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Смета по ТСН-2001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по ТСН-2001'!$18:$18</definedName>
    <definedName name="_xlnm.Print_Area" localSheetId="0">'Смета по ТСН-2001'!$A$1:$K$132</definedName>
  </definedNames>
  <calcPr calcId="152511"/>
</workbook>
</file>

<file path=xl/calcChain.xml><?xml version="1.0" encoding="utf-8"?>
<calcChain xmlns="http://schemas.openxmlformats.org/spreadsheetml/2006/main">
  <c r="H130" i="5" l="1"/>
  <c r="C130" i="5"/>
  <c r="J125" i="5"/>
  <c r="C125" i="5"/>
  <c r="J124" i="5"/>
  <c r="C124" i="5"/>
  <c r="J123" i="5"/>
  <c r="C123" i="5"/>
  <c r="J122" i="5"/>
  <c r="C122" i="5"/>
  <c r="J121" i="5"/>
  <c r="C121" i="5"/>
  <c r="J120" i="5"/>
  <c r="C120" i="5"/>
  <c r="J119" i="5"/>
  <c r="C119" i="5"/>
  <c r="J15" i="5"/>
  <c r="I15" i="5"/>
  <c r="I118" i="5"/>
  <c r="J118" i="5"/>
  <c r="I117" i="5"/>
  <c r="J117" i="5"/>
  <c r="AL116" i="5"/>
  <c r="A116" i="5"/>
  <c r="J114" i="5"/>
  <c r="C114" i="5"/>
  <c r="I113" i="5"/>
  <c r="J113" i="5"/>
  <c r="I112" i="5"/>
  <c r="J112" i="5"/>
  <c r="A111" i="5"/>
  <c r="Z109" i="5"/>
  <c r="Y109" i="5"/>
  <c r="X109" i="5"/>
  <c r="P109" i="5"/>
  <c r="K108" i="5"/>
  <c r="J109" i="5" s="1"/>
  <c r="J108" i="5"/>
  <c r="I108" i="5"/>
  <c r="AA109" i="5" s="1"/>
  <c r="H108" i="5"/>
  <c r="G108" i="5"/>
  <c r="F108" i="5"/>
  <c r="V107" i="5"/>
  <c r="T107" i="5"/>
  <c r="R107" i="5"/>
  <c r="U107" i="5"/>
  <c r="S107" i="5"/>
  <c r="Q107" i="5"/>
  <c r="E107" i="5"/>
  <c r="D107" i="5"/>
  <c r="B107" i="5"/>
  <c r="A107" i="5"/>
  <c r="Z106" i="5"/>
  <c r="Y106" i="5"/>
  <c r="X106" i="5"/>
  <c r="J106" i="5"/>
  <c r="K105" i="5"/>
  <c r="P106" i="5" s="1"/>
  <c r="J111" i="5" s="1"/>
  <c r="J105" i="5"/>
  <c r="I105" i="5"/>
  <c r="AA106" i="5" s="1"/>
  <c r="H105" i="5"/>
  <c r="G105" i="5"/>
  <c r="F105" i="5"/>
  <c r="V104" i="5"/>
  <c r="T104" i="5"/>
  <c r="R104" i="5"/>
  <c r="U104" i="5"/>
  <c r="S104" i="5"/>
  <c r="Q104" i="5"/>
  <c r="E104" i="5"/>
  <c r="D104" i="5"/>
  <c r="B104" i="5"/>
  <c r="A104" i="5"/>
  <c r="A103" i="5"/>
  <c r="J101" i="5"/>
  <c r="C101" i="5"/>
  <c r="I100" i="5"/>
  <c r="J100" i="5"/>
  <c r="I99" i="5"/>
  <c r="J99" i="5"/>
  <c r="A98" i="5"/>
  <c r="AA96" i="5"/>
  <c r="Z96" i="5"/>
  <c r="X96" i="5"/>
  <c r="K95" i="5"/>
  <c r="P96" i="5" s="1"/>
  <c r="J95" i="5"/>
  <c r="I95" i="5"/>
  <c r="O96" i="5" s="1"/>
  <c r="H95" i="5"/>
  <c r="G95" i="5"/>
  <c r="F95" i="5"/>
  <c r="V95" i="5"/>
  <c r="T95" i="5"/>
  <c r="R95" i="5"/>
  <c r="U95" i="5"/>
  <c r="S95" i="5"/>
  <c r="Q95" i="5"/>
  <c r="E95" i="5"/>
  <c r="D95" i="5"/>
  <c r="B95" i="5"/>
  <c r="A95" i="5"/>
  <c r="AA94" i="5"/>
  <c r="Z94" i="5"/>
  <c r="X94" i="5"/>
  <c r="I93" i="5"/>
  <c r="H93" i="5"/>
  <c r="G93" i="5"/>
  <c r="E93" i="5"/>
  <c r="J92" i="5"/>
  <c r="E92" i="5"/>
  <c r="J91" i="5"/>
  <c r="E91" i="5"/>
  <c r="J90" i="5"/>
  <c r="E90" i="5"/>
  <c r="K89" i="5"/>
  <c r="J89" i="5"/>
  <c r="I89" i="5"/>
  <c r="H89" i="5"/>
  <c r="G89" i="5"/>
  <c r="F89" i="5"/>
  <c r="K88" i="5"/>
  <c r="J88" i="5"/>
  <c r="I88" i="5"/>
  <c r="W88" i="5" s="1"/>
  <c r="H88" i="5"/>
  <c r="G88" i="5"/>
  <c r="F88" i="5"/>
  <c r="K87" i="5"/>
  <c r="J87" i="5"/>
  <c r="I87" i="5"/>
  <c r="H87" i="5"/>
  <c r="G87" i="5"/>
  <c r="F87" i="5"/>
  <c r="K86" i="5"/>
  <c r="J86" i="5"/>
  <c r="I86" i="5"/>
  <c r="H86" i="5"/>
  <c r="G86" i="5"/>
  <c r="F86" i="5"/>
  <c r="V85" i="5"/>
  <c r="K92" i="5" s="1"/>
  <c r="T85" i="5"/>
  <c r="K91" i="5" s="1"/>
  <c r="R85" i="5"/>
  <c r="K90" i="5" s="1"/>
  <c r="U85" i="5"/>
  <c r="I92" i="5" s="1"/>
  <c r="S85" i="5"/>
  <c r="I91" i="5" s="1"/>
  <c r="Q85" i="5"/>
  <c r="I90" i="5" s="1"/>
  <c r="E85" i="5"/>
  <c r="D85" i="5"/>
  <c r="B85" i="5"/>
  <c r="A85" i="5"/>
  <c r="AA84" i="5"/>
  <c r="Z84" i="5"/>
  <c r="X84" i="5"/>
  <c r="J84" i="5"/>
  <c r="K83" i="5"/>
  <c r="P84" i="5" s="1"/>
  <c r="J83" i="5"/>
  <c r="I83" i="5"/>
  <c r="Y84" i="5" s="1"/>
  <c r="H83" i="5"/>
  <c r="G83" i="5"/>
  <c r="F83" i="5"/>
  <c r="V83" i="5"/>
  <c r="T83" i="5"/>
  <c r="R83" i="5"/>
  <c r="U83" i="5"/>
  <c r="S83" i="5"/>
  <c r="Q83" i="5"/>
  <c r="E83" i="5"/>
  <c r="D83" i="5"/>
  <c r="B83" i="5"/>
  <c r="A83" i="5"/>
  <c r="AA82" i="5"/>
  <c r="Z82" i="5"/>
  <c r="Y82" i="5"/>
  <c r="K81" i="5"/>
  <c r="P82" i="5" s="1"/>
  <c r="J81" i="5"/>
  <c r="I81" i="5"/>
  <c r="X82" i="5" s="1"/>
  <c r="H81" i="5"/>
  <c r="G81" i="5"/>
  <c r="F81" i="5"/>
  <c r="V81" i="5"/>
  <c r="T81" i="5"/>
  <c r="R81" i="5"/>
  <c r="U81" i="5"/>
  <c r="S81" i="5"/>
  <c r="Q81" i="5"/>
  <c r="E81" i="5"/>
  <c r="D81" i="5"/>
  <c r="B81" i="5"/>
  <c r="A81" i="5"/>
  <c r="AA80" i="5"/>
  <c r="Z80" i="5"/>
  <c r="Y80" i="5"/>
  <c r="J80" i="5"/>
  <c r="K79" i="5"/>
  <c r="P80" i="5" s="1"/>
  <c r="J79" i="5"/>
  <c r="I79" i="5"/>
  <c r="X80" i="5" s="1"/>
  <c r="H79" i="5"/>
  <c r="G79" i="5"/>
  <c r="F79" i="5"/>
  <c r="V79" i="5"/>
  <c r="T79" i="5"/>
  <c r="R79" i="5"/>
  <c r="U79" i="5"/>
  <c r="S79" i="5"/>
  <c r="Q79" i="5"/>
  <c r="E79" i="5"/>
  <c r="D79" i="5"/>
  <c r="B79" i="5"/>
  <c r="A79" i="5"/>
  <c r="AA78" i="5"/>
  <c r="Z78" i="5"/>
  <c r="X78" i="5"/>
  <c r="I77" i="5"/>
  <c r="H77" i="5"/>
  <c r="G77" i="5"/>
  <c r="E77" i="5"/>
  <c r="J76" i="5"/>
  <c r="E76" i="5"/>
  <c r="J75" i="5"/>
  <c r="E75" i="5"/>
  <c r="J74" i="5"/>
  <c r="E74" i="5"/>
  <c r="K73" i="5"/>
  <c r="J73" i="5"/>
  <c r="I73" i="5"/>
  <c r="H73" i="5"/>
  <c r="G73" i="5"/>
  <c r="F73" i="5"/>
  <c r="K72" i="5"/>
  <c r="J72" i="5"/>
  <c r="I72" i="5"/>
  <c r="W72" i="5" s="1"/>
  <c r="H72" i="5"/>
  <c r="G72" i="5"/>
  <c r="F72" i="5"/>
  <c r="K71" i="5"/>
  <c r="J71" i="5"/>
  <c r="I71" i="5"/>
  <c r="H71" i="5"/>
  <c r="G71" i="5"/>
  <c r="F71" i="5"/>
  <c r="K70" i="5"/>
  <c r="J70" i="5"/>
  <c r="I70" i="5"/>
  <c r="H70" i="5"/>
  <c r="G70" i="5"/>
  <c r="F70" i="5"/>
  <c r="V69" i="5"/>
  <c r="K76" i="5" s="1"/>
  <c r="T69" i="5"/>
  <c r="K75" i="5" s="1"/>
  <c r="R69" i="5"/>
  <c r="K74" i="5" s="1"/>
  <c r="U69" i="5"/>
  <c r="I76" i="5" s="1"/>
  <c r="S69" i="5"/>
  <c r="I75" i="5" s="1"/>
  <c r="Q69" i="5"/>
  <c r="I74" i="5" s="1"/>
  <c r="E69" i="5"/>
  <c r="D69" i="5"/>
  <c r="B69" i="5"/>
  <c r="A69" i="5"/>
  <c r="AA68" i="5"/>
  <c r="Z68" i="5"/>
  <c r="X68" i="5"/>
  <c r="I67" i="5"/>
  <c r="H67" i="5"/>
  <c r="G67" i="5"/>
  <c r="E67" i="5"/>
  <c r="J66" i="5"/>
  <c r="E66" i="5"/>
  <c r="J65" i="5"/>
  <c r="E65" i="5"/>
  <c r="J64" i="5"/>
  <c r="E64" i="5"/>
  <c r="K63" i="5"/>
  <c r="J63" i="5"/>
  <c r="I63" i="5"/>
  <c r="W63" i="5" s="1"/>
  <c r="H63" i="5"/>
  <c r="G63" i="5"/>
  <c r="F63" i="5"/>
  <c r="K62" i="5"/>
  <c r="J62" i="5"/>
  <c r="I62" i="5"/>
  <c r="H62" i="5"/>
  <c r="G62" i="5"/>
  <c r="F62" i="5"/>
  <c r="K61" i="5"/>
  <c r="J61" i="5"/>
  <c r="I61" i="5"/>
  <c r="H61" i="5"/>
  <c r="G61" i="5"/>
  <c r="F61" i="5"/>
  <c r="V60" i="5"/>
  <c r="K66" i="5" s="1"/>
  <c r="T60" i="5"/>
  <c r="K65" i="5" s="1"/>
  <c r="R60" i="5"/>
  <c r="K64" i="5" s="1"/>
  <c r="U60" i="5"/>
  <c r="I66" i="5" s="1"/>
  <c r="S60" i="5"/>
  <c r="I65" i="5" s="1"/>
  <c r="Q60" i="5"/>
  <c r="I64" i="5" s="1"/>
  <c r="H68" i="5" s="1"/>
  <c r="E60" i="5"/>
  <c r="D60" i="5"/>
  <c r="B60" i="5"/>
  <c r="A60" i="5"/>
  <c r="AA59" i="5"/>
  <c r="Z59" i="5"/>
  <c r="X59" i="5"/>
  <c r="O59" i="5"/>
  <c r="H59" i="5"/>
  <c r="K58" i="5"/>
  <c r="P59" i="5" s="1"/>
  <c r="J58" i="5"/>
  <c r="I58" i="5"/>
  <c r="Y59" i="5" s="1"/>
  <c r="H58" i="5"/>
  <c r="G58" i="5"/>
  <c r="F58" i="5"/>
  <c r="V58" i="5"/>
  <c r="T58" i="5"/>
  <c r="R58" i="5"/>
  <c r="U58" i="5"/>
  <c r="S58" i="5"/>
  <c r="Q58" i="5"/>
  <c r="E58" i="5"/>
  <c r="D58" i="5"/>
  <c r="B58" i="5"/>
  <c r="A58" i="5"/>
  <c r="AA57" i="5"/>
  <c r="Z57" i="5"/>
  <c r="X57" i="5"/>
  <c r="I56" i="5"/>
  <c r="H56" i="5"/>
  <c r="G56" i="5"/>
  <c r="E56" i="5"/>
  <c r="J55" i="5"/>
  <c r="E55" i="5"/>
  <c r="J54" i="5"/>
  <c r="E54" i="5"/>
  <c r="J53" i="5"/>
  <c r="E53" i="5"/>
  <c r="K52" i="5"/>
  <c r="J52" i="5"/>
  <c r="I52" i="5"/>
  <c r="H52" i="5"/>
  <c r="G52" i="5"/>
  <c r="F52" i="5"/>
  <c r="K51" i="5"/>
  <c r="J51" i="5"/>
  <c r="I51" i="5"/>
  <c r="W51" i="5" s="1"/>
  <c r="H51" i="5"/>
  <c r="G51" i="5"/>
  <c r="F51" i="5"/>
  <c r="K50" i="5"/>
  <c r="J50" i="5"/>
  <c r="I50" i="5"/>
  <c r="H50" i="5"/>
  <c r="G50" i="5"/>
  <c r="F50" i="5"/>
  <c r="K49" i="5"/>
  <c r="J49" i="5"/>
  <c r="I49" i="5"/>
  <c r="W49" i="5" s="1"/>
  <c r="H49" i="5"/>
  <c r="G49" i="5"/>
  <c r="F49" i="5"/>
  <c r="V48" i="5"/>
  <c r="K55" i="5" s="1"/>
  <c r="T48" i="5"/>
  <c r="K54" i="5" s="1"/>
  <c r="R48" i="5"/>
  <c r="K53" i="5" s="1"/>
  <c r="U48" i="5"/>
  <c r="I55" i="5" s="1"/>
  <c r="S48" i="5"/>
  <c r="I54" i="5" s="1"/>
  <c r="Q48" i="5"/>
  <c r="I53" i="5" s="1"/>
  <c r="E48" i="5"/>
  <c r="D48" i="5"/>
  <c r="B48" i="5"/>
  <c r="A48" i="5"/>
  <c r="AA47" i="5"/>
  <c r="Z47" i="5"/>
  <c r="Y47" i="5"/>
  <c r="X47" i="5"/>
  <c r="K46" i="5"/>
  <c r="P47" i="5" s="1"/>
  <c r="J46" i="5"/>
  <c r="I46" i="5"/>
  <c r="H47" i="5" s="1"/>
  <c r="H46" i="5"/>
  <c r="G46" i="5"/>
  <c r="F46" i="5"/>
  <c r="V46" i="5"/>
  <c r="T46" i="5"/>
  <c r="R46" i="5"/>
  <c r="U46" i="5"/>
  <c r="S46" i="5"/>
  <c r="Q46" i="5"/>
  <c r="E46" i="5"/>
  <c r="D46" i="5"/>
  <c r="B46" i="5"/>
  <c r="A46" i="5"/>
  <c r="AA45" i="5"/>
  <c r="Z45" i="5"/>
  <c r="X45" i="5"/>
  <c r="K44" i="5"/>
  <c r="P45" i="5" s="1"/>
  <c r="J44" i="5"/>
  <c r="I44" i="5"/>
  <c r="Y45" i="5" s="1"/>
  <c r="H44" i="5"/>
  <c r="G44" i="5"/>
  <c r="F44" i="5"/>
  <c r="V44" i="5"/>
  <c r="T44" i="5"/>
  <c r="R44" i="5"/>
  <c r="U44" i="5"/>
  <c r="S44" i="5"/>
  <c r="Q44" i="5"/>
  <c r="E44" i="5"/>
  <c r="D44" i="5"/>
  <c r="B44" i="5"/>
  <c r="A44" i="5"/>
  <c r="AA43" i="5"/>
  <c r="Z43" i="5"/>
  <c r="X43" i="5"/>
  <c r="I42" i="5"/>
  <c r="H42" i="5"/>
  <c r="G42" i="5"/>
  <c r="E42" i="5"/>
  <c r="J41" i="5"/>
  <c r="E41" i="5"/>
  <c r="K40" i="5"/>
  <c r="J40" i="5"/>
  <c r="E40" i="5"/>
  <c r="J39" i="5"/>
  <c r="E39" i="5"/>
  <c r="K38" i="5"/>
  <c r="J38" i="5"/>
  <c r="I38" i="5"/>
  <c r="H38" i="5"/>
  <c r="G38" i="5"/>
  <c r="F38" i="5"/>
  <c r="K37" i="5"/>
  <c r="J37" i="5"/>
  <c r="I37" i="5"/>
  <c r="W37" i="5" s="1"/>
  <c r="H37" i="5"/>
  <c r="G37" i="5"/>
  <c r="F37" i="5"/>
  <c r="K36" i="5"/>
  <c r="J36" i="5"/>
  <c r="I36" i="5"/>
  <c r="H36" i="5"/>
  <c r="G36" i="5"/>
  <c r="F36" i="5"/>
  <c r="K35" i="5"/>
  <c r="J35" i="5"/>
  <c r="I35" i="5"/>
  <c r="H35" i="5"/>
  <c r="G35" i="5"/>
  <c r="F35" i="5"/>
  <c r="V34" i="5"/>
  <c r="K41" i="5" s="1"/>
  <c r="T34" i="5"/>
  <c r="R34" i="5"/>
  <c r="K39" i="5" s="1"/>
  <c r="U34" i="5"/>
  <c r="I41" i="5" s="1"/>
  <c r="S34" i="5"/>
  <c r="I40" i="5" s="1"/>
  <c r="Q34" i="5"/>
  <c r="I39" i="5" s="1"/>
  <c r="E34" i="5"/>
  <c r="D34" i="5"/>
  <c r="B34" i="5"/>
  <c r="A34" i="5"/>
  <c r="A33" i="5"/>
  <c r="J31" i="5"/>
  <c r="C31" i="5"/>
  <c r="I30" i="5"/>
  <c r="J30" i="5"/>
  <c r="I29" i="5"/>
  <c r="J29" i="5"/>
  <c r="A28" i="5"/>
  <c r="AA26" i="5"/>
  <c r="Z26" i="5"/>
  <c r="Y26" i="5"/>
  <c r="I25" i="5"/>
  <c r="H25" i="5"/>
  <c r="G25" i="5"/>
  <c r="E25" i="5"/>
  <c r="J24" i="5"/>
  <c r="E24" i="5"/>
  <c r="J23" i="5"/>
  <c r="I23" i="5"/>
  <c r="E23" i="5"/>
  <c r="K22" i="5"/>
  <c r="J22" i="5"/>
  <c r="I22" i="5"/>
  <c r="H22" i="5"/>
  <c r="G22" i="5"/>
  <c r="F22" i="5"/>
  <c r="V21" i="5"/>
  <c r="T21" i="5"/>
  <c r="K24" i="5" s="1"/>
  <c r="R21" i="5"/>
  <c r="K23" i="5" s="1"/>
  <c r="U21" i="5"/>
  <c r="S21" i="5"/>
  <c r="I24" i="5" s="1"/>
  <c r="X26" i="5" s="1"/>
  <c r="Q21" i="5"/>
  <c r="E21" i="5"/>
  <c r="D21" i="5"/>
  <c r="B21" i="5"/>
  <c r="A21" i="5"/>
  <c r="A20" i="5"/>
  <c r="AK11" i="5"/>
  <c r="A11" i="5"/>
  <c r="A3" i="5" s="1"/>
  <c r="A9" i="5"/>
  <c r="A6" i="5"/>
  <c r="A1" i="5"/>
  <c r="Y68" i="5" l="1"/>
  <c r="H109" i="5"/>
  <c r="H106" i="5"/>
  <c r="O109" i="5"/>
  <c r="J82" i="5"/>
  <c r="O106" i="5"/>
  <c r="H111" i="5" s="1"/>
  <c r="O47" i="5"/>
  <c r="J59" i="5"/>
  <c r="O68" i="5"/>
  <c r="P68" i="5"/>
  <c r="O26" i="5"/>
  <c r="O94" i="5"/>
  <c r="Y78" i="5"/>
  <c r="P43" i="5"/>
  <c r="P57" i="5"/>
  <c r="P26" i="5"/>
  <c r="P94" i="5"/>
  <c r="Y94" i="5"/>
  <c r="H57" i="5"/>
  <c r="O57" i="5"/>
  <c r="P78" i="5"/>
  <c r="J78" i="5"/>
  <c r="H26" i="5"/>
  <c r="Y43" i="5"/>
  <c r="Y57" i="5"/>
  <c r="J57" i="5"/>
  <c r="J43" i="5"/>
  <c r="J45" i="5"/>
  <c r="J47" i="5"/>
  <c r="W70" i="5"/>
  <c r="H78" i="5"/>
  <c r="H80" i="5"/>
  <c r="H82" i="5"/>
  <c r="H84" i="5"/>
  <c r="O78" i="5"/>
  <c r="O80" i="5"/>
  <c r="O82" i="5"/>
  <c r="O84" i="5"/>
  <c r="J26" i="5"/>
  <c r="W35" i="5"/>
  <c r="H43" i="5"/>
  <c r="H45" i="5"/>
  <c r="W61" i="5"/>
  <c r="J68" i="5"/>
  <c r="J94" i="5"/>
  <c r="J96" i="5"/>
  <c r="Y96" i="5"/>
  <c r="W22" i="5"/>
  <c r="O43" i="5"/>
  <c r="O45" i="5"/>
  <c r="W86" i="5"/>
  <c r="H94" i="5"/>
  <c r="H96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1" i="3"/>
  <c r="CX1" i="3"/>
  <c r="CY1" i="3"/>
  <c r="CZ1" i="3"/>
  <c r="DB1" i="3" s="1"/>
  <c r="DA1" i="3"/>
  <c r="DC1" i="3"/>
  <c r="A2" i="3"/>
  <c r="CX2" i="3"/>
  <c r="CY2" i="3"/>
  <c r="CZ2" i="3"/>
  <c r="DB2" i="3" s="1"/>
  <c r="DA2" i="3"/>
  <c r="DC2" i="3"/>
  <c r="A3" i="3"/>
  <c r="CX3" i="3"/>
  <c r="CY3" i="3"/>
  <c r="CZ3" i="3"/>
  <c r="DB3" i="3" s="1"/>
  <c r="DA3" i="3"/>
  <c r="DC3" i="3"/>
  <c r="A4" i="3"/>
  <c r="CY4" i="3"/>
  <c r="CZ4" i="3"/>
  <c r="DB4" i="3" s="1"/>
  <c r="DA4" i="3"/>
  <c r="DC4" i="3"/>
  <c r="A5" i="3"/>
  <c r="CX5" i="3"/>
  <c r="CY5" i="3"/>
  <c r="CZ5" i="3"/>
  <c r="DA5" i="3"/>
  <c r="DB5" i="3"/>
  <c r="DC5" i="3"/>
  <c r="A6" i="3"/>
  <c r="CX6" i="3"/>
  <c r="CY6" i="3"/>
  <c r="CZ6" i="3"/>
  <c r="DB6" i="3" s="1"/>
  <c r="DA6" i="3"/>
  <c r="DC6" i="3"/>
  <c r="A7" i="3"/>
  <c r="CX7" i="3"/>
  <c r="CY7" i="3"/>
  <c r="CZ7" i="3"/>
  <c r="DB7" i="3" s="1"/>
  <c r="DA7" i="3"/>
  <c r="DC7" i="3"/>
  <c r="A8" i="3"/>
  <c r="CX8" i="3"/>
  <c r="CY8" i="3"/>
  <c r="CZ8" i="3"/>
  <c r="DA8" i="3"/>
  <c r="DB8" i="3"/>
  <c r="DC8" i="3"/>
  <c r="A9" i="3"/>
  <c r="CX9" i="3"/>
  <c r="CY9" i="3"/>
  <c r="CZ9" i="3"/>
  <c r="DA9" i="3"/>
  <c r="DB9" i="3"/>
  <c r="DC9" i="3"/>
  <c r="A10" i="3"/>
  <c r="CX10" i="3"/>
  <c r="CY10" i="3"/>
  <c r="CZ10" i="3"/>
  <c r="DA10" i="3"/>
  <c r="DB10" i="3"/>
  <c r="DC10" i="3"/>
  <c r="A11" i="3"/>
  <c r="CX11" i="3"/>
  <c r="CY11" i="3"/>
  <c r="CZ11" i="3"/>
  <c r="DB11" i="3" s="1"/>
  <c r="DA11" i="3"/>
  <c r="DC11" i="3"/>
  <c r="A12" i="3"/>
  <c r="CX12" i="3"/>
  <c r="CY12" i="3"/>
  <c r="CZ12" i="3"/>
  <c r="DB12" i="3" s="1"/>
  <c r="DA12" i="3"/>
  <c r="DC12" i="3"/>
  <c r="A13" i="3"/>
  <c r="CX13" i="3"/>
  <c r="CY13" i="3"/>
  <c r="CZ13" i="3"/>
  <c r="DA13" i="3"/>
  <c r="DB13" i="3"/>
  <c r="DC13" i="3"/>
  <c r="A14" i="3"/>
  <c r="CX14" i="3"/>
  <c r="CY14" i="3"/>
  <c r="CZ14" i="3"/>
  <c r="DB14" i="3" s="1"/>
  <c r="DA14" i="3"/>
  <c r="DC14" i="3"/>
  <c r="A15" i="3"/>
  <c r="CX15" i="3"/>
  <c r="CY15" i="3"/>
  <c r="CZ15" i="3"/>
  <c r="DB15" i="3" s="1"/>
  <c r="DA15" i="3"/>
  <c r="DC15" i="3"/>
  <c r="A16" i="3"/>
  <c r="CX16" i="3"/>
  <c r="CY16" i="3"/>
  <c r="CZ16" i="3"/>
  <c r="DA16" i="3"/>
  <c r="DB16" i="3"/>
  <c r="DC16" i="3"/>
  <c r="A17" i="3"/>
  <c r="CX17" i="3"/>
  <c r="CY17" i="3"/>
  <c r="CZ17" i="3"/>
  <c r="DA17" i="3"/>
  <c r="DB17" i="3"/>
  <c r="DC17" i="3"/>
  <c r="A18" i="3"/>
  <c r="CX18" i="3"/>
  <c r="CY18" i="3"/>
  <c r="CZ18" i="3"/>
  <c r="DA18" i="3"/>
  <c r="DB18" i="3"/>
  <c r="DC18" i="3"/>
  <c r="A19" i="3"/>
  <c r="CX19" i="3"/>
  <c r="CY19" i="3"/>
  <c r="CZ19" i="3"/>
  <c r="DA19" i="3"/>
  <c r="DB19" i="3"/>
  <c r="DC19" i="3"/>
  <c r="A20" i="3"/>
  <c r="CX20" i="3"/>
  <c r="CY20" i="3"/>
  <c r="CZ20" i="3"/>
  <c r="DB20" i="3" s="1"/>
  <c r="DA20" i="3"/>
  <c r="DC20" i="3"/>
  <c r="A21" i="3"/>
  <c r="CX21" i="3"/>
  <c r="CY21" i="3"/>
  <c r="CZ21" i="3"/>
  <c r="DA21" i="3"/>
  <c r="DB21" i="3"/>
  <c r="DC21" i="3"/>
  <c r="A22" i="3"/>
  <c r="CX22" i="3"/>
  <c r="CY22" i="3"/>
  <c r="CZ22" i="3"/>
  <c r="DB22" i="3" s="1"/>
  <c r="DA22" i="3"/>
  <c r="DC22" i="3"/>
  <c r="A23" i="3"/>
  <c r="CX23" i="3"/>
  <c r="CY23" i="3"/>
  <c r="CZ23" i="3"/>
  <c r="DB23" i="3" s="1"/>
  <c r="DA23" i="3"/>
  <c r="DC23" i="3"/>
  <c r="A24" i="3"/>
  <c r="CX24" i="3"/>
  <c r="CY24" i="3"/>
  <c r="CZ24" i="3"/>
  <c r="DA24" i="3"/>
  <c r="DB24" i="3"/>
  <c r="DC24" i="3"/>
  <c r="A25" i="3"/>
  <c r="CX25" i="3"/>
  <c r="CY25" i="3"/>
  <c r="CZ25" i="3"/>
  <c r="DA25" i="3"/>
  <c r="DB25" i="3"/>
  <c r="DC25" i="3"/>
  <c r="A26" i="3"/>
  <c r="CX26" i="3"/>
  <c r="CY26" i="3"/>
  <c r="CZ26" i="3"/>
  <c r="DA26" i="3"/>
  <c r="DB26" i="3"/>
  <c r="DC26" i="3"/>
  <c r="A27" i="3"/>
  <c r="CX27" i="3"/>
  <c r="CY27" i="3"/>
  <c r="CZ27" i="3"/>
  <c r="DB27" i="3" s="1"/>
  <c r="DA27" i="3"/>
  <c r="DC27" i="3"/>
  <c r="A28" i="3"/>
  <c r="CX28" i="3"/>
  <c r="CY28" i="3"/>
  <c r="CZ28" i="3"/>
  <c r="DB28" i="3" s="1"/>
  <c r="DA28" i="3"/>
  <c r="DC28" i="3"/>
  <c r="A29" i="3"/>
  <c r="CX29" i="3"/>
  <c r="CY29" i="3"/>
  <c r="CZ29" i="3"/>
  <c r="DA29" i="3"/>
  <c r="DB29" i="3"/>
  <c r="DC29" i="3"/>
  <c r="A30" i="3"/>
  <c r="CX30" i="3"/>
  <c r="CY30" i="3"/>
  <c r="CZ30" i="3"/>
  <c r="DB30" i="3" s="1"/>
  <c r="DA30" i="3"/>
  <c r="DC30" i="3"/>
  <c r="A31" i="3"/>
  <c r="CX31" i="3"/>
  <c r="CY31" i="3"/>
  <c r="CZ31" i="3"/>
  <c r="DB31" i="3" s="1"/>
  <c r="DA31" i="3"/>
  <c r="DC31" i="3"/>
  <c r="A32" i="3"/>
  <c r="CX32" i="3"/>
  <c r="CY32" i="3"/>
  <c r="CZ32" i="3"/>
  <c r="DA32" i="3"/>
  <c r="DB32" i="3"/>
  <c r="DC32" i="3"/>
  <c r="A33" i="3"/>
  <c r="CX33" i="3"/>
  <c r="CY33" i="3"/>
  <c r="CZ33" i="3"/>
  <c r="DA33" i="3"/>
  <c r="DB33" i="3"/>
  <c r="DC33" i="3"/>
  <c r="A34" i="3"/>
  <c r="CX34" i="3"/>
  <c r="CY34" i="3"/>
  <c r="CZ34" i="3"/>
  <c r="DA34" i="3"/>
  <c r="DB34" i="3"/>
  <c r="DC34" i="3"/>
  <c r="A35" i="3"/>
  <c r="CX35" i="3"/>
  <c r="CY35" i="3"/>
  <c r="CZ35" i="3"/>
  <c r="DB35" i="3" s="1"/>
  <c r="DA35" i="3"/>
  <c r="DC35" i="3"/>
  <c r="A36" i="3"/>
  <c r="CX36" i="3"/>
  <c r="CY36" i="3"/>
  <c r="CZ36" i="3"/>
  <c r="DA36" i="3"/>
  <c r="DB36" i="3"/>
  <c r="DC36" i="3"/>
  <c r="A37" i="3"/>
  <c r="CX37" i="3"/>
  <c r="CY37" i="3"/>
  <c r="CZ37" i="3"/>
  <c r="DA37" i="3"/>
  <c r="DB37" i="3"/>
  <c r="DC37" i="3"/>
  <c r="A38" i="3"/>
  <c r="CX38" i="3"/>
  <c r="CY38" i="3"/>
  <c r="CZ38" i="3"/>
  <c r="DB38" i="3" s="1"/>
  <c r="DA38" i="3"/>
  <c r="DC38" i="3"/>
  <c r="A39" i="3"/>
  <c r="CX39" i="3"/>
  <c r="CY39" i="3"/>
  <c r="CZ39" i="3"/>
  <c r="DB39" i="3" s="1"/>
  <c r="DA39" i="3"/>
  <c r="DC39" i="3"/>
  <c r="A40" i="3"/>
  <c r="CX40" i="3"/>
  <c r="CY40" i="3"/>
  <c r="CZ40" i="3"/>
  <c r="DA40" i="3"/>
  <c r="DB40" i="3"/>
  <c r="DC40" i="3"/>
  <c r="A41" i="3"/>
  <c r="CX41" i="3"/>
  <c r="CY41" i="3"/>
  <c r="CZ41" i="3"/>
  <c r="DA41" i="3"/>
  <c r="DB41" i="3"/>
  <c r="DC41" i="3"/>
  <c r="A42" i="3"/>
  <c r="CX42" i="3"/>
  <c r="CY42" i="3"/>
  <c r="CZ42" i="3"/>
  <c r="DA42" i="3"/>
  <c r="DB42" i="3"/>
  <c r="DC42" i="3"/>
  <c r="A43" i="3"/>
  <c r="CX43" i="3"/>
  <c r="CY43" i="3"/>
  <c r="CZ43" i="3"/>
  <c r="DB43" i="3" s="1"/>
  <c r="DA43" i="3"/>
  <c r="DC43" i="3"/>
  <c r="A44" i="3"/>
  <c r="CX44" i="3"/>
  <c r="CY44" i="3"/>
  <c r="CZ44" i="3"/>
  <c r="DA44" i="3"/>
  <c r="DB44" i="3"/>
  <c r="DC44" i="3"/>
  <c r="A45" i="3"/>
  <c r="CX45" i="3"/>
  <c r="CY45" i="3"/>
  <c r="CZ45" i="3"/>
  <c r="DA45" i="3"/>
  <c r="DB45" i="3"/>
  <c r="DC45" i="3"/>
  <c r="A46" i="3"/>
  <c r="CX46" i="3"/>
  <c r="CY46" i="3"/>
  <c r="CZ46" i="3"/>
  <c r="DB46" i="3" s="1"/>
  <c r="DA46" i="3"/>
  <c r="DC46" i="3"/>
  <c r="A47" i="3"/>
  <c r="CX47" i="3"/>
  <c r="CY47" i="3"/>
  <c r="CZ47" i="3"/>
  <c r="DB47" i="3" s="1"/>
  <c r="DA47" i="3"/>
  <c r="DC47" i="3"/>
  <c r="A48" i="3"/>
  <c r="CX48" i="3"/>
  <c r="CY48" i="3"/>
  <c r="CZ48" i="3"/>
  <c r="DA48" i="3"/>
  <c r="DB48" i="3"/>
  <c r="DC48" i="3"/>
  <c r="A49" i="3"/>
  <c r="CX49" i="3"/>
  <c r="CY49" i="3"/>
  <c r="CZ49" i="3"/>
  <c r="DA49" i="3"/>
  <c r="DB49" i="3"/>
  <c r="DC49" i="3"/>
  <c r="A50" i="3"/>
  <c r="CX50" i="3"/>
  <c r="CY50" i="3"/>
  <c r="CZ50" i="3"/>
  <c r="DA50" i="3"/>
  <c r="DB50" i="3"/>
  <c r="DC50" i="3"/>
  <c r="A51" i="3"/>
  <c r="CX51" i="3"/>
  <c r="CY51" i="3"/>
  <c r="CZ51" i="3"/>
  <c r="DB51" i="3" s="1"/>
  <c r="DA51" i="3"/>
  <c r="DC51" i="3"/>
  <c r="A52" i="3"/>
  <c r="CX52" i="3"/>
  <c r="CY52" i="3"/>
  <c r="CZ52" i="3"/>
  <c r="DA52" i="3"/>
  <c r="DB52" i="3"/>
  <c r="DC52" i="3"/>
  <c r="A53" i="3"/>
  <c r="CX53" i="3"/>
  <c r="CY53" i="3"/>
  <c r="CZ53" i="3"/>
  <c r="DA53" i="3"/>
  <c r="DB53" i="3"/>
  <c r="DC53" i="3"/>
  <c r="A54" i="3"/>
  <c r="CX54" i="3"/>
  <c r="CY54" i="3"/>
  <c r="CZ54" i="3"/>
  <c r="DB54" i="3" s="1"/>
  <c r="DA54" i="3"/>
  <c r="DC54" i="3"/>
  <c r="A55" i="3"/>
  <c r="CX55" i="3"/>
  <c r="CY55" i="3"/>
  <c r="CZ55" i="3"/>
  <c r="DB55" i="3" s="1"/>
  <c r="DA55" i="3"/>
  <c r="DC55" i="3"/>
  <c r="A56" i="3"/>
  <c r="CX56" i="3"/>
  <c r="CY56" i="3"/>
  <c r="CZ56" i="3"/>
  <c r="DA56" i="3"/>
  <c r="DB56" i="3"/>
  <c r="DC56" i="3"/>
  <c r="A57" i="3"/>
  <c r="CX57" i="3"/>
  <c r="CY57" i="3"/>
  <c r="CZ57" i="3"/>
  <c r="DA57" i="3"/>
  <c r="DB57" i="3"/>
  <c r="DC57" i="3"/>
  <c r="A58" i="3"/>
  <c r="CX58" i="3"/>
  <c r="CY58" i="3"/>
  <c r="CZ58" i="3"/>
  <c r="DA58" i="3"/>
  <c r="DB58" i="3"/>
  <c r="DC58" i="3"/>
  <c r="A59" i="3"/>
  <c r="CX59" i="3"/>
  <c r="CY59" i="3"/>
  <c r="CZ59" i="3"/>
  <c r="DB59" i="3" s="1"/>
  <c r="DA59" i="3"/>
  <c r="DC59" i="3"/>
  <c r="A60" i="3"/>
  <c r="CX60" i="3"/>
  <c r="CY60" i="3"/>
  <c r="CZ60" i="3"/>
  <c r="DA60" i="3"/>
  <c r="DB60" i="3"/>
  <c r="DC60" i="3"/>
  <c r="A61" i="3"/>
  <c r="CX61" i="3"/>
  <c r="CY61" i="3"/>
  <c r="CZ61" i="3"/>
  <c r="DA61" i="3"/>
  <c r="DB61" i="3"/>
  <c r="DC61" i="3"/>
  <c r="A62" i="3"/>
  <c r="CX62" i="3"/>
  <c r="CY62" i="3"/>
  <c r="CZ62" i="3"/>
  <c r="DB62" i="3" s="1"/>
  <c r="DA62" i="3"/>
  <c r="DC62" i="3"/>
  <c r="A63" i="3"/>
  <c r="CY63" i="3"/>
  <c r="CZ63" i="3"/>
  <c r="DB63" i="3" s="1"/>
  <c r="DA63" i="3"/>
  <c r="DC63" i="3"/>
  <c r="A64" i="3"/>
  <c r="CY64" i="3"/>
  <c r="CZ64" i="3"/>
  <c r="DA64" i="3"/>
  <c r="DB64" i="3"/>
  <c r="DC64" i="3"/>
  <c r="A65" i="3"/>
  <c r="CY65" i="3"/>
  <c r="CZ65" i="3"/>
  <c r="DA65" i="3"/>
  <c r="DB65" i="3"/>
  <c r="DC65" i="3"/>
  <c r="A66" i="3"/>
  <c r="CX66" i="3"/>
  <c r="CY66" i="3"/>
  <c r="CZ66" i="3"/>
  <c r="DA66" i="3"/>
  <c r="DB66" i="3"/>
  <c r="DC66" i="3"/>
  <c r="A67" i="3"/>
  <c r="CX67" i="3"/>
  <c r="CY67" i="3"/>
  <c r="CZ67" i="3"/>
  <c r="DB67" i="3" s="1"/>
  <c r="DA67" i="3"/>
  <c r="DC67" i="3"/>
  <c r="A68" i="3"/>
  <c r="CY68" i="3"/>
  <c r="CZ68" i="3"/>
  <c r="DA68" i="3"/>
  <c r="DB68" i="3"/>
  <c r="DC6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P28" i="1"/>
  <c r="R28" i="1"/>
  <c r="GK28" i="1" s="1"/>
  <c r="AC28" i="1"/>
  <c r="AE28" i="1"/>
  <c r="AD28" i="1" s="1"/>
  <c r="AB28" i="1" s="1"/>
  <c r="AF28" i="1"/>
  <c r="S28" i="1" s="1"/>
  <c r="AG28" i="1"/>
  <c r="AH28" i="1"/>
  <c r="CV28" i="1" s="1"/>
  <c r="U28" i="1" s="1"/>
  <c r="AI28" i="1"/>
  <c r="AJ28" i="1"/>
  <c r="CX28" i="1" s="1"/>
  <c r="W28" i="1" s="1"/>
  <c r="CQ28" i="1"/>
  <c r="CR28" i="1"/>
  <c r="CU28" i="1"/>
  <c r="T28" i="1" s="1"/>
  <c r="CW28" i="1"/>
  <c r="V28" i="1" s="1"/>
  <c r="FR28" i="1"/>
  <c r="GL28" i="1"/>
  <c r="GO28" i="1"/>
  <c r="GP28" i="1"/>
  <c r="GV28" i="1"/>
  <c r="HC28" i="1" s="1"/>
  <c r="GX28" i="1" s="1"/>
  <c r="C29" i="1"/>
  <c r="D29" i="1"/>
  <c r="AC29" i="1"/>
  <c r="AD29" i="1"/>
  <c r="AE29" i="1"/>
  <c r="AF29" i="1"/>
  <c r="AG29" i="1"/>
  <c r="CU29" i="1" s="1"/>
  <c r="AH29" i="1"/>
  <c r="AI29" i="1"/>
  <c r="AJ29" i="1"/>
  <c r="CX29" i="1" s="1"/>
  <c r="CQ29" i="1"/>
  <c r="CR29" i="1"/>
  <c r="CS29" i="1"/>
  <c r="CV29" i="1"/>
  <c r="CW29" i="1"/>
  <c r="FR29" i="1"/>
  <c r="GL29" i="1"/>
  <c r="GO29" i="1"/>
  <c r="GP29" i="1"/>
  <c r="GV29" i="1"/>
  <c r="HC29" i="1"/>
  <c r="C30" i="1"/>
  <c r="D30" i="1"/>
  <c r="Q30" i="1"/>
  <c r="S30" i="1"/>
  <c r="AC30" i="1"/>
  <c r="AE30" i="1"/>
  <c r="AD30" i="1" s="1"/>
  <c r="AF30" i="1"/>
  <c r="AG30" i="1"/>
  <c r="CU30" i="1" s="1"/>
  <c r="T30" i="1" s="1"/>
  <c r="AH30" i="1"/>
  <c r="AI30" i="1"/>
  <c r="CW30" i="1" s="1"/>
  <c r="V30" i="1" s="1"/>
  <c r="AJ30" i="1"/>
  <c r="CR30" i="1"/>
  <c r="CT30" i="1"/>
  <c r="CV30" i="1"/>
  <c r="U30" i="1" s="1"/>
  <c r="CX30" i="1"/>
  <c r="W30" i="1" s="1"/>
  <c r="FR30" i="1"/>
  <c r="GL30" i="1"/>
  <c r="GO30" i="1"/>
  <c r="GP30" i="1"/>
  <c r="GV30" i="1"/>
  <c r="HC30" i="1"/>
  <c r="GX30" i="1" s="1"/>
  <c r="I31" i="1"/>
  <c r="Q31" i="1"/>
  <c r="S31" i="1"/>
  <c r="CY31" i="1" s="1"/>
  <c r="X31" i="1" s="1"/>
  <c r="W31" i="1"/>
  <c r="Y31" i="1"/>
  <c r="AC31" i="1"/>
  <c r="AE31" i="1"/>
  <c r="R31" i="1" s="1"/>
  <c r="GK31" i="1" s="1"/>
  <c r="AF31" i="1"/>
  <c r="AG31" i="1"/>
  <c r="CU31" i="1" s="1"/>
  <c r="T31" i="1" s="1"/>
  <c r="AH31" i="1"/>
  <c r="AI31" i="1"/>
  <c r="CW31" i="1" s="1"/>
  <c r="V31" i="1" s="1"/>
  <c r="AJ31" i="1"/>
  <c r="CR31" i="1"/>
  <c r="CT31" i="1"/>
  <c r="CV31" i="1"/>
  <c r="U31" i="1" s="1"/>
  <c r="CX31" i="1"/>
  <c r="CZ31" i="1"/>
  <c r="FR31" i="1"/>
  <c r="GL31" i="1"/>
  <c r="GO31" i="1"/>
  <c r="GP31" i="1"/>
  <c r="GV31" i="1"/>
  <c r="HC31" i="1" s="1"/>
  <c r="GX31" i="1" s="1"/>
  <c r="I32" i="1"/>
  <c r="S32" i="1"/>
  <c r="CY32" i="1" s="1"/>
  <c r="X32" i="1" s="1"/>
  <c r="U32" i="1"/>
  <c r="W32" i="1"/>
  <c r="AC32" i="1"/>
  <c r="P32" i="1" s="1"/>
  <c r="AE32" i="1"/>
  <c r="Q32" i="1" s="1"/>
  <c r="AF32" i="1"/>
  <c r="AG32" i="1"/>
  <c r="CU32" i="1" s="1"/>
  <c r="T32" i="1" s="1"/>
  <c r="AH32" i="1"/>
  <c r="AI32" i="1"/>
  <c r="CW32" i="1" s="1"/>
  <c r="V32" i="1" s="1"/>
  <c r="AJ32" i="1"/>
  <c r="CR32" i="1"/>
  <c r="CT32" i="1"/>
  <c r="CV32" i="1"/>
  <c r="CX32" i="1"/>
  <c r="CZ32" i="1"/>
  <c r="Y32" i="1" s="1"/>
  <c r="FR32" i="1"/>
  <c r="GL32" i="1"/>
  <c r="GO32" i="1"/>
  <c r="GP32" i="1"/>
  <c r="GV32" i="1"/>
  <c r="HC32" i="1"/>
  <c r="GX32" i="1" s="1"/>
  <c r="C33" i="1"/>
  <c r="D33" i="1"/>
  <c r="P33" i="1"/>
  <c r="Q33" i="1"/>
  <c r="R33" i="1"/>
  <c r="GK33" i="1" s="1"/>
  <c r="T33" i="1"/>
  <c r="AC33" i="1"/>
  <c r="AD33" i="1"/>
  <c r="AB33" i="1" s="1"/>
  <c r="AE33" i="1"/>
  <c r="AF33" i="1"/>
  <c r="CT33" i="1" s="1"/>
  <c r="AG33" i="1"/>
  <c r="AH33" i="1"/>
  <c r="CV33" i="1" s="1"/>
  <c r="U33" i="1" s="1"/>
  <c r="AI33" i="1"/>
  <c r="AJ33" i="1"/>
  <c r="CX33" i="1" s="1"/>
  <c r="W33" i="1" s="1"/>
  <c r="CQ33" i="1"/>
  <c r="CR33" i="1"/>
  <c r="CS33" i="1"/>
  <c r="CU33" i="1"/>
  <c r="CW33" i="1"/>
  <c r="V33" i="1" s="1"/>
  <c r="FR33" i="1"/>
  <c r="GL33" i="1"/>
  <c r="GO33" i="1"/>
  <c r="GP33" i="1"/>
  <c r="GV33" i="1"/>
  <c r="HC33" i="1" s="1"/>
  <c r="GX33" i="1" s="1"/>
  <c r="I34" i="1"/>
  <c r="P34" i="1" s="1"/>
  <c r="R34" i="1"/>
  <c r="GK34" i="1" s="1"/>
  <c r="AB34" i="1"/>
  <c r="AC34" i="1"/>
  <c r="AD34" i="1"/>
  <c r="AE34" i="1"/>
  <c r="AF34" i="1"/>
  <c r="S34" i="1" s="1"/>
  <c r="AG34" i="1"/>
  <c r="AH34" i="1"/>
  <c r="CV34" i="1" s="1"/>
  <c r="U34" i="1" s="1"/>
  <c r="AI34" i="1"/>
  <c r="AJ34" i="1"/>
  <c r="CX34" i="1" s="1"/>
  <c r="W34" i="1" s="1"/>
  <c r="CQ34" i="1"/>
  <c r="CR34" i="1"/>
  <c r="CS34" i="1"/>
  <c r="CU34" i="1"/>
  <c r="T34" i="1" s="1"/>
  <c r="CW34" i="1"/>
  <c r="V34" i="1" s="1"/>
  <c r="FR34" i="1"/>
  <c r="GL34" i="1"/>
  <c r="GO34" i="1"/>
  <c r="GP34" i="1"/>
  <c r="GV34" i="1"/>
  <c r="GX34" i="1"/>
  <c r="HC34" i="1"/>
  <c r="I35" i="1"/>
  <c r="Q35" i="1" s="1"/>
  <c r="P35" i="1"/>
  <c r="CP35" i="1" s="1"/>
  <c r="O35" i="1" s="1"/>
  <c r="AC35" i="1"/>
  <c r="AD35" i="1"/>
  <c r="AB35" i="1" s="1"/>
  <c r="AE35" i="1"/>
  <c r="AF35" i="1"/>
  <c r="S35" i="1" s="1"/>
  <c r="AG35" i="1"/>
  <c r="AH35" i="1"/>
  <c r="CV35" i="1" s="1"/>
  <c r="U35" i="1" s="1"/>
  <c r="AI35" i="1"/>
  <c r="AJ35" i="1"/>
  <c r="CX35" i="1" s="1"/>
  <c r="W35" i="1" s="1"/>
  <c r="CQ35" i="1"/>
  <c r="CR35" i="1"/>
  <c r="CS35" i="1"/>
  <c r="CU35" i="1"/>
  <c r="T35" i="1" s="1"/>
  <c r="CW35" i="1"/>
  <c r="V35" i="1" s="1"/>
  <c r="FR35" i="1"/>
  <c r="GL35" i="1"/>
  <c r="GO35" i="1"/>
  <c r="GP35" i="1"/>
  <c r="GV35" i="1"/>
  <c r="HC35" i="1" s="1"/>
  <c r="GX35" i="1" s="1"/>
  <c r="I36" i="1"/>
  <c r="V36" i="1" s="1"/>
  <c r="AC36" i="1"/>
  <c r="AD36" i="1"/>
  <c r="AE36" i="1"/>
  <c r="AF36" i="1"/>
  <c r="AG36" i="1"/>
  <c r="AH36" i="1"/>
  <c r="CV36" i="1" s="1"/>
  <c r="AI36" i="1"/>
  <c r="AJ36" i="1"/>
  <c r="CX36" i="1" s="1"/>
  <c r="CQ36" i="1"/>
  <c r="CR36" i="1"/>
  <c r="CS36" i="1"/>
  <c r="CU36" i="1"/>
  <c r="CW36" i="1"/>
  <c r="FR36" i="1"/>
  <c r="GL36" i="1"/>
  <c r="GO36" i="1"/>
  <c r="GP36" i="1"/>
  <c r="GV36" i="1"/>
  <c r="HC36" i="1" s="1"/>
  <c r="GX36" i="1"/>
  <c r="C37" i="1"/>
  <c r="D37" i="1"/>
  <c r="Q37" i="1"/>
  <c r="S37" i="1"/>
  <c r="W37" i="1"/>
  <c r="AC37" i="1"/>
  <c r="AE37" i="1"/>
  <c r="AD37" i="1" s="1"/>
  <c r="AF37" i="1"/>
  <c r="AG37" i="1"/>
  <c r="CU37" i="1" s="1"/>
  <c r="T37" i="1" s="1"/>
  <c r="AH37" i="1"/>
  <c r="AI37" i="1"/>
  <c r="CW37" i="1" s="1"/>
  <c r="V37" i="1" s="1"/>
  <c r="AJ37" i="1"/>
  <c r="CR37" i="1"/>
  <c r="CT37" i="1"/>
  <c r="CV37" i="1"/>
  <c r="U37" i="1" s="1"/>
  <c r="CX37" i="1"/>
  <c r="FR37" i="1"/>
  <c r="GL37" i="1"/>
  <c r="GO37" i="1"/>
  <c r="GP37" i="1"/>
  <c r="GV37" i="1"/>
  <c r="HC37" i="1"/>
  <c r="GX37" i="1" s="1"/>
  <c r="I38" i="1"/>
  <c r="Q38" i="1"/>
  <c r="S38" i="1"/>
  <c r="CY38" i="1" s="1"/>
  <c r="X38" i="1" s="1"/>
  <c r="U38" i="1"/>
  <c r="Y38" i="1"/>
  <c r="AC38" i="1"/>
  <c r="AE38" i="1"/>
  <c r="AF38" i="1"/>
  <c r="AG38" i="1"/>
  <c r="CU38" i="1" s="1"/>
  <c r="T38" i="1" s="1"/>
  <c r="AH38" i="1"/>
  <c r="AI38" i="1"/>
  <c r="CW38" i="1" s="1"/>
  <c r="V38" i="1" s="1"/>
  <c r="AJ38" i="1"/>
  <c r="CT38" i="1"/>
  <c r="CV38" i="1"/>
  <c r="CX38" i="1"/>
  <c r="W38" i="1" s="1"/>
  <c r="CZ38" i="1"/>
  <c r="FR38" i="1"/>
  <c r="GL38" i="1"/>
  <c r="GO38" i="1"/>
  <c r="GP38" i="1"/>
  <c r="GV38" i="1"/>
  <c r="HC38" i="1" s="1"/>
  <c r="GX38" i="1" s="1"/>
  <c r="C39" i="1"/>
  <c r="D39" i="1"/>
  <c r="P39" i="1"/>
  <c r="R39" i="1"/>
  <c r="GK39" i="1" s="1"/>
  <c r="T39" i="1"/>
  <c r="AC39" i="1"/>
  <c r="AD39" i="1"/>
  <c r="AB39" i="1" s="1"/>
  <c r="AE39" i="1"/>
  <c r="Q39" i="1" s="1"/>
  <c r="AF39" i="1"/>
  <c r="AG39" i="1"/>
  <c r="AH39" i="1"/>
  <c r="CV39" i="1" s="1"/>
  <c r="U39" i="1" s="1"/>
  <c r="AI39" i="1"/>
  <c r="AJ39" i="1"/>
  <c r="CX39" i="1" s="1"/>
  <c r="W39" i="1" s="1"/>
  <c r="CQ39" i="1"/>
  <c r="CR39" i="1"/>
  <c r="CS39" i="1"/>
  <c r="CU39" i="1"/>
  <c r="CW39" i="1"/>
  <c r="V39" i="1" s="1"/>
  <c r="FR39" i="1"/>
  <c r="GL39" i="1"/>
  <c r="GO39" i="1"/>
  <c r="GP39" i="1"/>
  <c r="GV39" i="1"/>
  <c r="HC39" i="1" s="1"/>
  <c r="GX39" i="1"/>
  <c r="C40" i="1"/>
  <c r="D40" i="1"/>
  <c r="Q40" i="1"/>
  <c r="S40" i="1"/>
  <c r="CY40" i="1" s="1"/>
  <c r="X40" i="1" s="1"/>
  <c r="Y40" i="1"/>
  <c r="AC40" i="1"/>
  <c r="AE40" i="1"/>
  <c r="CR40" i="1" s="1"/>
  <c r="AF40" i="1"/>
  <c r="AG40" i="1"/>
  <c r="CU40" i="1" s="1"/>
  <c r="T40" i="1" s="1"/>
  <c r="AH40" i="1"/>
  <c r="AI40" i="1"/>
  <c r="CW40" i="1" s="1"/>
  <c r="V40" i="1" s="1"/>
  <c r="AJ40" i="1"/>
  <c r="CT40" i="1"/>
  <c r="CV40" i="1"/>
  <c r="U40" i="1" s="1"/>
  <c r="CX40" i="1"/>
  <c r="W40" i="1" s="1"/>
  <c r="CZ40" i="1"/>
  <c r="FR40" i="1"/>
  <c r="GL40" i="1"/>
  <c r="GO40" i="1"/>
  <c r="GP40" i="1"/>
  <c r="GV40" i="1"/>
  <c r="HC40" i="1"/>
  <c r="GX40" i="1" s="1"/>
  <c r="I41" i="1"/>
  <c r="S41" i="1"/>
  <c r="CY41" i="1" s="1"/>
  <c r="X41" i="1" s="1"/>
  <c r="W41" i="1"/>
  <c r="AC41" i="1"/>
  <c r="AE41" i="1"/>
  <c r="Q41" i="1" s="1"/>
  <c r="AF41" i="1"/>
  <c r="AG41" i="1"/>
  <c r="CU41" i="1" s="1"/>
  <c r="T41" i="1" s="1"/>
  <c r="AH41" i="1"/>
  <c r="AI41" i="1"/>
  <c r="CW41" i="1" s="1"/>
  <c r="V41" i="1" s="1"/>
  <c r="AJ41" i="1"/>
  <c r="CS41" i="1"/>
  <c r="CT41" i="1"/>
  <c r="CV41" i="1"/>
  <c r="U41" i="1" s="1"/>
  <c r="CX41" i="1"/>
  <c r="CZ41" i="1"/>
  <c r="Y41" i="1" s="1"/>
  <c r="FR41" i="1"/>
  <c r="GL41" i="1"/>
  <c r="GO41" i="1"/>
  <c r="GP41" i="1"/>
  <c r="GV41" i="1"/>
  <c r="GX41" i="1"/>
  <c r="HC41" i="1"/>
  <c r="C42" i="1"/>
  <c r="D42" i="1"/>
  <c r="S42" i="1"/>
  <c r="CY42" i="1" s="1"/>
  <c r="X42" i="1" s="1"/>
  <c r="U42" i="1"/>
  <c r="AC42" i="1"/>
  <c r="AE42" i="1"/>
  <c r="Q42" i="1" s="1"/>
  <c r="AF42" i="1"/>
  <c r="CT42" i="1" s="1"/>
  <c r="AG42" i="1"/>
  <c r="AH42" i="1"/>
  <c r="CV42" i="1" s="1"/>
  <c r="AI42" i="1"/>
  <c r="AJ42" i="1"/>
  <c r="CR42" i="1"/>
  <c r="CU42" i="1"/>
  <c r="T42" i="1" s="1"/>
  <c r="CW42" i="1"/>
  <c r="V42" i="1" s="1"/>
  <c r="CX42" i="1"/>
  <c r="W42" i="1" s="1"/>
  <c r="FR42" i="1"/>
  <c r="GL42" i="1"/>
  <c r="GO42" i="1"/>
  <c r="GP42" i="1"/>
  <c r="GV42" i="1"/>
  <c r="HC42" i="1" s="1"/>
  <c r="GX42" i="1" s="1"/>
  <c r="I43" i="1"/>
  <c r="R43" i="1" s="1"/>
  <c r="GK43" i="1" s="1"/>
  <c r="Q43" i="1"/>
  <c r="S43" i="1"/>
  <c r="CZ43" i="1" s="1"/>
  <c r="Y43" i="1" s="1"/>
  <c r="AC43" i="1"/>
  <c r="CQ43" i="1" s="1"/>
  <c r="AD43" i="1"/>
  <c r="AE43" i="1"/>
  <c r="AF43" i="1"/>
  <c r="CT43" i="1" s="1"/>
  <c r="AG43" i="1"/>
  <c r="AH43" i="1"/>
  <c r="AI43" i="1"/>
  <c r="AJ43" i="1"/>
  <c r="CR43" i="1"/>
  <c r="CS43" i="1"/>
  <c r="CU43" i="1"/>
  <c r="T43" i="1" s="1"/>
  <c r="CV43" i="1"/>
  <c r="CW43" i="1"/>
  <c r="V43" i="1" s="1"/>
  <c r="CX43" i="1"/>
  <c r="FR43" i="1"/>
  <c r="GL43" i="1"/>
  <c r="GO43" i="1"/>
  <c r="GP43" i="1"/>
  <c r="GV43" i="1"/>
  <c r="HC43" i="1" s="1"/>
  <c r="GX43" i="1"/>
  <c r="C44" i="1"/>
  <c r="D44" i="1"/>
  <c r="AC44" i="1"/>
  <c r="AE44" i="1"/>
  <c r="AF44" i="1"/>
  <c r="S44" i="1" s="1"/>
  <c r="AG44" i="1"/>
  <c r="AH44" i="1"/>
  <c r="CV44" i="1" s="1"/>
  <c r="U44" i="1" s="1"/>
  <c r="AI44" i="1"/>
  <c r="AJ44" i="1"/>
  <c r="CX44" i="1" s="1"/>
  <c r="W44" i="1" s="1"/>
  <c r="CQ44" i="1"/>
  <c r="CR44" i="1"/>
  <c r="CS44" i="1"/>
  <c r="CU44" i="1"/>
  <c r="T44" i="1" s="1"/>
  <c r="CW44" i="1"/>
  <c r="V44" i="1" s="1"/>
  <c r="FR44" i="1"/>
  <c r="GL44" i="1"/>
  <c r="GO44" i="1"/>
  <c r="GP44" i="1"/>
  <c r="GV44" i="1"/>
  <c r="GX44" i="1"/>
  <c r="HC44" i="1"/>
  <c r="C45" i="1"/>
  <c r="D45" i="1"/>
  <c r="S45" i="1"/>
  <c r="CY45" i="1" s="1"/>
  <c r="X45" i="1" s="1"/>
  <c r="U45" i="1"/>
  <c r="W45" i="1"/>
  <c r="AC45" i="1"/>
  <c r="P45" i="1" s="1"/>
  <c r="AE45" i="1"/>
  <c r="CS45" i="1" s="1"/>
  <c r="AF45" i="1"/>
  <c r="AG45" i="1"/>
  <c r="CU45" i="1" s="1"/>
  <c r="T45" i="1" s="1"/>
  <c r="AH45" i="1"/>
  <c r="AI45" i="1"/>
  <c r="CW45" i="1" s="1"/>
  <c r="V45" i="1" s="1"/>
  <c r="AJ45" i="1"/>
  <c r="CR45" i="1"/>
  <c r="CT45" i="1"/>
  <c r="CV45" i="1"/>
  <c r="CX45" i="1"/>
  <c r="CZ45" i="1"/>
  <c r="Y45" i="1" s="1"/>
  <c r="FR45" i="1"/>
  <c r="GL45" i="1"/>
  <c r="GO45" i="1"/>
  <c r="GP45" i="1"/>
  <c r="GV45" i="1"/>
  <c r="HC45" i="1"/>
  <c r="GX45" i="1" s="1"/>
  <c r="C46" i="1"/>
  <c r="D46" i="1"/>
  <c r="P46" i="1"/>
  <c r="CP46" i="1" s="1"/>
  <c r="O46" i="1" s="1"/>
  <c r="Q46" i="1"/>
  <c r="R46" i="1"/>
  <c r="GK46" i="1" s="1"/>
  <c r="T46" i="1"/>
  <c r="AC46" i="1"/>
  <c r="AD46" i="1"/>
  <c r="AB46" i="1" s="1"/>
  <c r="AE46" i="1"/>
  <c r="AF46" i="1"/>
  <c r="S46" i="1" s="1"/>
  <c r="AG46" i="1"/>
  <c r="AH46" i="1"/>
  <c r="CV46" i="1" s="1"/>
  <c r="U46" i="1" s="1"/>
  <c r="AI46" i="1"/>
  <c r="AJ46" i="1"/>
  <c r="CX46" i="1" s="1"/>
  <c r="W46" i="1" s="1"/>
  <c r="CQ46" i="1"/>
  <c r="CR46" i="1"/>
  <c r="CS46" i="1"/>
  <c r="CU46" i="1"/>
  <c r="CW46" i="1"/>
  <c r="V46" i="1" s="1"/>
  <c r="FR46" i="1"/>
  <c r="GL46" i="1"/>
  <c r="GO46" i="1"/>
  <c r="GP46" i="1"/>
  <c r="GV46" i="1"/>
  <c r="HC46" i="1" s="1"/>
  <c r="GX46" i="1" s="1"/>
  <c r="C47" i="1"/>
  <c r="D47" i="1"/>
  <c r="Q47" i="1"/>
  <c r="S47" i="1"/>
  <c r="CY47" i="1" s="1"/>
  <c r="X47" i="1" s="1"/>
  <c r="W47" i="1"/>
  <c r="Y47" i="1"/>
  <c r="AC47" i="1"/>
  <c r="P47" i="1" s="1"/>
  <c r="CP47" i="1" s="1"/>
  <c r="O47" i="1" s="1"/>
  <c r="AE47" i="1"/>
  <c r="R47" i="1" s="1"/>
  <c r="GK47" i="1" s="1"/>
  <c r="AF47" i="1"/>
  <c r="AG47" i="1"/>
  <c r="CU47" i="1" s="1"/>
  <c r="T47" i="1" s="1"/>
  <c r="AH47" i="1"/>
  <c r="AI47" i="1"/>
  <c r="CW47" i="1" s="1"/>
  <c r="V47" i="1" s="1"/>
  <c r="AJ47" i="1"/>
  <c r="CR47" i="1"/>
  <c r="CT47" i="1"/>
  <c r="CV47" i="1"/>
  <c r="U47" i="1" s="1"/>
  <c r="CX47" i="1"/>
  <c r="CZ47" i="1"/>
  <c r="FR47" i="1"/>
  <c r="GL47" i="1"/>
  <c r="GO47" i="1"/>
  <c r="GP47" i="1"/>
  <c r="GV47" i="1"/>
  <c r="HC47" i="1"/>
  <c r="GX47" i="1" s="1"/>
  <c r="I48" i="1"/>
  <c r="S48" i="1"/>
  <c r="CY48" i="1" s="1"/>
  <c r="X48" i="1" s="1"/>
  <c r="U48" i="1"/>
  <c r="W48" i="1"/>
  <c r="AC48" i="1"/>
  <c r="P48" i="1" s="1"/>
  <c r="AE48" i="1"/>
  <c r="CS48" i="1" s="1"/>
  <c r="AF48" i="1"/>
  <c r="AG48" i="1"/>
  <c r="CU48" i="1" s="1"/>
  <c r="T48" i="1" s="1"/>
  <c r="AH48" i="1"/>
  <c r="AI48" i="1"/>
  <c r="CW48" i="1" s="1"/>
  <c r="V48" i="1" s="1"/>
  <c r="AJ48" i="1"/>
  <c r="CR48" i="1"/>
  <c r="CT48" i="1"/>
  <c r="CV48" i="1"/>
  <c r="CX48" i="1"/>
  <c r="CZ48" i="1"/>
  <c r="Y48" i="1" s="1"/>
  <c r="FR48" i="1"/>
  <c r="GL48" i="1"/>
  <c r="GO48" i="1"/>
  <c r="GP48" i="1"/>
  <c r="GV48" i="1"/>
  <c r="HC48" i="1" s="1"/>
  <c r="GX48" i="1" s="1"/>
  <c r="I49" i="1"/>
  <c r="S49" i="1"/>
  <c r="CY49" i="1" s="1"/>
  <c r="X49" i="1" s="1"/>
  <c r="U49" i="1"/>
  <c r="AC49" i="1"/>
  <c r="CQ49" i="1" s="1"/>
  <c r="AE49" i="1"/>
  <c r="AD49" i="1" s="1"/>
  <c r="AF49" i="1"/>
  <c r="AG49" i="1"/>
  <c r="CU49" i="1" s="1"/>
  <c r="T49" i="1" s="1"/>
  <c r="AH49" i="1"/>
  <c r="AI49" i="1"/>
  <c r="CW49" i="1" s="1"/>
  <c r="V49" i="1" s="1"/>
  <c r="AJ49" i="1"/>
  <c r="CR49" i="1"/>
  <c r="CT49" i="1"/>
  <c r="CV49" i="1"/>
  <c r="CX49" i="1"/>
  <c r="W49" i="1" s="1"/>
  <c r="CZ49" i="1"/>
  <c r="Y49" i="1" s="1"/>
  <c r="FR49" i="1"/>
  <c r="GL49" i="1"/>
  <c r="GO49" i="1"/>
  <c r="GP49" i="1"/>
  <c r="GV49" i="1"/>
  <c r="HC49" i="1" s="1"/>
  <c r="GX49" i="1" s="1"/>
  <c r="I50" i="1"/>
  <c r="Q50" i="1"/>
  <c r="S50" i="1"/>
  <c r="CY50" i="1" s="1"/>
  <c r="X50" i="1" s="1"/>
  <c r="AC50" i="1"/>
  <c r="AE50" i="1"/>
  <c r="R50" i="1" s="1"/>
  <c r="GK50" i="1" s="1"/>
  <c r="AF50" i="1"/>
  <c r="AG50" i="1"/>
  <c r="CU50" i="1" s="1"/>
  <c r="T50" i="1" s="1"/>
  <c r="AH50" i="1"/>
  <c r="AI50" i="1"/>
  <c r="CW50" i="1" s="1"/>
  <c r="V50" i="1" s="1"/>
  <c r="AJ50" i="1"/>
  <c r="CR50" i="1"/>
  <c r="CT50" i="1"/>
  <c r="CV50" i="1"/>
  <c r="U50" i="1" s="1"/>
  <c r="CX50" i="1"/>
  <c r="W50" i="1" s="1"/>
  <c r="FR50" i="1"/>
  <c r="GL50" i="1"/>
  <c r="GO50" i="1"/>
  <c r="GP50" i="1"/>
  <c r="GV50" i="1"/>
  <c r="HC50" i="1"/>
  <c r="GX50" i="1" s="1"/>
  <c r="I51" i="1"/>
  <c r="Q51" i="1"/>
  <c r="S51" i="1"/>
  <c r="CY51" i="1" s="1"/>
  <c r="X51" i="1" s="1"/>
  <c r="W51" i="1"/>
  <c r="Y51" i="1"/>
  <c r="AC51" i="1"/>
  <c r="P51" i="1" s="1"/>
  <c r="CP51" i="1" s="1"/>
  <c r="O51" i="1" s="1"/>
  <c r="AE51" i="1"/>
  <c r="R51" i="1" s="1"/>
  <c r="GK51" i="1" s="1"/>
  <c r="AF51" i="1"/>
  <c r="AG51" i="1"/>
  <c r="CU51" i="1" s="1"/>
  <c r="T51" i="1" s="1"/>
  <c r="AH51" i="1"/>
  <c r="AI51" i="1"/>
  <c r="CW51" i="1" s="1"/>
  <c r="V51" i="1" s="1"/>
  <c r="AJ51" i="1"/>
  <c r="CR51" i="1"/>
  <c r="CT51" i="1"/>
  <c r="CV51" i="1"/>
  <c r="U51" i="1" s="1"/>
  <c r="CX51" i="1"/>
  <c r="CZ51" i="1"/>
  <c r="FR51" i="1"/>
  <c r="GL51" i="1"/>
  <c r="GO51" i="1"/>
  <c r="GP51" i="1"/>
  <c r="GV51" i="1"/>
  <c r="HC51" i="1"/>
  <c r="GX51" i="1" s="1"/>
  <c r="C52" i="1"/>
  <c r="D52" i="1"/>
  <c r="P52" i="1"/>
  <c r="R52" i="1"/>
  <c r="GK52" i="1" s="1"/>
  <c r="T52" i="1"/>
  <c r="V52" i="1"/>
  <c r="AC52" i="1"/>
  <c r="AD52" i="1"/>
  <c r="AB52" i="1" s="1"/>
  <c r="AE52" i="1"/>
  <c r="Q52" i="1" s="1"/>
  <c r="AF52" i="1"/>
  <c r="CT52" i="1" s="1"/>
  <c r="AG52" i="1"/>
  <c r="AH52" i="1"/>
  <c r="CV52" i="1" s="1"/>
  <c r="U52" i="1" s="1"/>
  <c r="AI52" i="1"/>
  <c r="AJ52" i="1"/>
  <c r="CX52" i="1" s="1"/>
  <c r="W52" i="1" s="1"/>
  <c r="CQ52" i="1"/>
  <c r="CR52" i="1"/>
  <c r="CS52" i="1"/>
  <c r="CU52" i="1"/>
  <c r="CW52" i="1"/>
  <c r="FR52" i="1"/>
  <c r="GL52" i="1"/>
  <c r="GO52" i="1"/>
  <c r="GP52" i="1"/>
  <c r="GV52" i="1"/>
  <c r="GX52" i="1"/>
  <c r="HC52" i="1"/>
  <c r="I53" i="1"/>
  <c r="P53" i="1" s="1"/>
  <c r="R53" i="1"/>
  <c r="GK53" i="1" s="1"/>
  <c r="T53" i="1"/>
  <c r="AC53" i="1"/>
  <c r="AD53" i="1"/>
  <c r="AB53" i="1" s="1"/>
  <c r="AE53" i="1"/>
  <c r="AF53" i="1"/>
  <c r="S53" i="1" s="1"/>
  <c r="AG53" i="1"/>
  <c r="AH53" i="1"/>
  <c r="CV53" i="1" s="1"/>
  <c r="U53" i="1" s="1"/>
  <c r="AI53" i="1"/>
  <c r="AJ53" i="1"/>
  <c r="CX53" i="1" s="1"/>
  <c r="W53" i="1" s="1"/>
  <c r="CQ53" i="1"/>
  <c r="CR53" i="1"/>
  <c r="CS53" i="1"/>
  <c r="CU53" i="1"/>
  <c r="CW53" i="1"/>
  <c r="V53" i="1" s="1"/>
  <c r="FR53" i="1"/>
  <c r="GL53" i="1"/>
  <c r="GO53" i="1"/>
  <c r="GP53" i="1"/>
  <c r="GV53" i="1"/>
  <c r="HC53" i="1" s="1"/>
  <c r="GX53" i="1" s="1"/>
  <c r="B55" i="1"/>
  <c r="B26" i="1" s="1"/>
  <c r="C55" i="1"/>
  <c r="C26" i="1" s="1"/>
  <c r="D55" i="1"/>
  <c r="D26" i="1" s="1"/>
  <c r="F55" i="1"/>
  <c r="F26" i="1" s="1"/>
  <c r="G55" i="1"/>
  <c r="G26" i="1" s="1"/>
  <c r="BX55" i="1"/>
  <c r="BX26" i="1" s="1"/>
  <c r="BY55" i="1"/>
  <c r="BY26" i="1" s="1"/>
  <c r="BZ55" i="1"/>
  <c r="BZ26" i="1" s="1"/>
  <c r="CC55" i="1"/>
  <c r="CC26" i="1" s="1"/>
  <c r="CD55" i="1"/>
  <c r="CD26" i="1" s="1"/>
  <c r="CK55" i="1"/>
  <c r="CK26" i="1" s="1"/>
  <c r="CL55" i="1"/>
  <c r="CL26" i="1" s="1"/>
  <c r="CM55" i="1"/>
  <c r="CM26" i="1" s="1"/>
  <c r="D86" i="1"/>
  <c r="E88" i="1"/>
  <c r="Z88" i="1"/>
  <c r="AA88" i="1"/>
  <c r="AM88" i="1"/>
  <c r="AN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CN88" i="1"/>
  <c r="CO88" i="1"/>
  <c r="CP88" i="1"/>
  <c r="CQ88" i="1"/>
  <c r="CR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DL88" i="1"/>
  <c r="DM88" i="1"/>
  <c r="DN88" i="1"/>
  <c r="DO88" i="1"/>
  <c r="DP88" i="1"/>
  <c r="DQ88" i="1"/>
  <c r="DR88" i="1"/>
  <c r="DS88" i="1"/>
  <c r="DT88" i="1"/>
  <c r="DU88" i="1"/>
  <c r="DV88" i="1"/>
  <c r="DW88" i="1"/>
  <c r="DX88" i="1"/>
  <c r="DY88" i="1"/>
  <c r="DZ88" i="1"/>
  <c r="EA88" i="1"/>
  <c r="EB88" i="1"/>
  <c r="EC88" i="1"/>
  <c r="ED88" i="1"/>
  <c r="EE88" i="1"/>
  <c r="EF88" i="1"/>
  <c r="EG88" i="1"/>
  <c r="EH88" i="1"/>
  <c r="EI88" i="1"/>
  <c r="EJ88" i="1"/>
  <c r="EK88" i="1"/>
  <c r="EL88" i="1"/>
  <c r="EM88" i="1"/>
  <c r="EN88" i="1"/>
  <c r="EO88" i="1"/>
  <c r="EP88" i="1"/>
  <c r="EQ88" i="1"/>
  <c r="ER88" i="1"/>
  <c r="ES88" i="1"/>
  <c r="ET88" i="1"/>
  <c r="EU88" i="1"/>
  <c r="EV88" i="1"/>
  <c r="EW88" i="1"/>
  <c r="EX88" i="1"/>
  <c r="EY88" i="1"/>
  <c r="EZ88" i="1"/>
  <c r="FA88" i="1"/>
  <c r="FB88" i="1"/>
  <c r="FC88" i="1"/>
  <c r="FD88" i="1"/>
  <c r="FE88" i="1"/>
  <c r="FF88" i="1"/>
  <c r="FG88" i="1"/>
  <c r="FH88" i="1"/>
  <c r="FI88" i="1"/>
  <c r="FJ88" i="1"/>
  <c r="FK88" i="1"/>
  <c r="FL88" i="1"/>
  <c r="FM88" i="1"/>
  <c r="FN88" i="1"/>
  <c r="FO88" i="1"/>
  <c r="FP88" i="1"/>
  <c r="FQ88" i="1"/>
  <c r="FR88" i="1"/>
  <c r="FS88" i="1"/>
  <c r="FT88" i="1"/>
  <c r="FU88" i="1"/>
  <c r="FV88" i="1"/>
  <c r="FW88" i="1"/>
  <c r="FX88" i="1"/>
  <c r="FY88" i="1"/>
  <c r="FZ88" i="1"/>
  <c r="GA88" i="1"/>
  <c r="GB88" i="1"/>
  <c r="GC88" i="1"/>
  <c r="GD88" i="1"/>
  <c r="GE88" i="1"/>
  <c r="GF88" i="1"/>
  <c r="GG88" i="1"/>
  <c r="GH88" i="1"/>
  <c r="GI88" i="1"/>
  <c r="GJ88" i="1"/>
  <c r="GK88" i="1"/>
  <c r="GL88" i="1"/>
  <c r="GM88" i="1"/>
  <c r="GN88" i="1"/>
  <c r="GO88" i="1"/>
  <c r="GP88" i="1"/>
  <c r="GQ88" i="1"/>
  <c r="GR88" i="1"/>
  <c r="GS88" i="1"/>
  <c r="GT88" i="1"/>
  <c r="GU88" i="1"/>
  <c r="GV88" i="1"/>
  <c r="GW88" i="1"/>
  <c r="GX88" i="1"/>
  <c r="D90" i="1"/>
  <c r="Q90" i="1"/>
  <c r="S90" i="1"/>
  <c r="CY90" i="1" s="1"/>
  <c r="X90" i="1" s="1"/>
  <c r="W90" i="1"/>
  <c r="AC90" i="1"/>
  <c r="AE90" i="1"/>
  <c r="R90" i="1" s="1"/>
  <c r="AF90" i="1"/>
  <c r="AG90" i="1"/>
  <c r="CU90" i="1" s="1"/>
  <c r="T90" i="1" s="1"/>
  <c r="AH90" i="1"/>
  <c r="AI90" i="1"/>
  <c r="CW90" i="1" s="1"/>
  <c r="V90" i="1" s="1"/>
  <c r="AJ90" i="1"/>
  <c r="CR90" i="1"/>
  <c r="CT90" i="1"/>
  <c r="CV90" i="1"/>
  <c r="U90" i="1" s="1"/>
  <c r="CX90" i="1"/>
  <c r="CZ90" i="1"/>
  <c r="Y90" i="1" s="1"/>
  <c r="FR90" i="1"/>
  <c r="GK90" i="1"/>
  <c r="GL90" i="1"/>
  <c r="GN90" i="1"/>
  <c r="GP90" i="1"/>
  <c r="GV90" i="1"/>
  <c r="HC90" i="1"/>
  <c r="GX90" i="1" s="1"/>
  <c r="D91" i="1"/>
  <c r="I91" i="1"/>
  <c r="P91" i="1" s="1"/>
  <c r="R91" i="1"/>
  <c r="GK91" i="1" s="1"/>
  <c r="T91" i="1"/>
  <c r="AC91" i="1"/>
  <c r="AD91" i="1"/>
  <c r="AB91" i="1" s="1"/>
  <c r="AE91" i="1"/>
  <c r="AF91" i="1"/>
  <c r="CT91" i="1" s="1"/>
  <c r="AG91" i="1"/>
  <c r="AH91" i="1"/>
  <c r="CV91" i="1" s="1"/>
  <c r="U91" i="1" s="1"/>
  <c r="AI91" i="1"/>
  <c r="AJ91" i="1"/>
  <c r="CX91" i="1" s="1"/>
  <c r="W91" i="1" s="1"/>
  <c r="CQ91" i="1"/>
  <c r="CR91" i="1"/>
  <c r="CS91" i="1"/>
  <c r="CU91" i="1"/>
  <c r="CW91" i="1"/>
  <c r="V91" i="1" s="1"/>
  <c r="FR91" i="1"/>
  <c r="GL91" i="1"/>
  <c r="GN91" i="1"/>
  <c r="GP91" i="1"/>
  <c r="GV91" i="1"/>
  <c r="HC91" i="1" s="1"/>
  <c r="GX91" i="1" s="1"/>
  <c r="D92" i="1"/>
  <c r="I92" i="1"/>
  <c r="Q92" i="1"/>
  <c r="R92" i="1"/>
  <c r="S92" i="1"/>
  <c r="CY92" i="1" s="1"/>
  <c r="X92" i="1" s="1"/>
  <c r="AC92" i="1"/>
  <c r="CQ92" i="1" s="1"/>
  <c r="AE92" i="1"/>
  <c r="AD92" i="1" s="1"/>
  <c r="AF92" i="1"/>
  <c r="AG92" i="1"/>
  <c r="CU92" i="1" s="1"/>
  <c r="T92" i="1" s="1"/>
  <c r="AH92" i="1"/>
  <c r="AI92" i="1"/>
  <c r="CW92" i="1" s="1"/>
  <c r="V92" i="1" s="1"/>
  <c r="AJ92" i="1"/>
  <c r="CR92" i="1"/>
  <c r="CT92" i="1"/>
  <c r="CV92" i="1"/>
  <c r="U92" i="1" s="1"/>
  <c r="CX92" i="1"/>
  <c r="W92" i="1" s="1"/>
  <c r="FR92" i="1"/>
  <c r="GK92" i="1"/>
  <c r="GL92" i="1"/>
  <c r="GN92" i="1"/>
  <c r="GP92" i="1"/>
  <c r="GV92" i="1"/>
  <c r="HC92" i="1"/>
  <c r="GX92" i="1" s="1"/>
  <c r="AC93" i="1"/>
  <c r="AE93" i="1"/>
  <c r="AF93" i="1"/>
  <c r="AG93" i="1"/>
  <c r="CU93" i="1" s="1"/>
  <c r="AH93" i="1"/>
  <c r="AI93" i="1"/>
  <c r="CW93" i="1" s="1"/>
  <c r="AJ93" i="1"/>
  <c r="CR93" i="1"/>
  <c r="CT93" i="1"/>
  <c r="CV93" i="1"/>
  <c r="CX93" i="1"/>
  <c r="FR93" i="1"/>
  <c r="GL93" i="1"/>
  <c r="GN93" i="1"/>
  <c r="GP93" i="1"/>
  <c r="GV93" i="1"/>
  <c r="HC93" i="1"/>
  <c r="D94" i="1"/>
  <c r="S94" i="1"/>
  <c r="CY94" i="1" s="1"/>
  <c r="X94" i="1" s="1"/>
  <c r="U94" i="1"/>
  <c r="W94" i="1"/>
  <c r="AC94" i="1"/>
  <c r="AE94" i="1"/>
  <c r="AF94" i="1"/>
  <c r="AG94" i="1"/>
  <c r="CU94" i="1" s="1"/>
  <c r="T94" i="1" s="1"/>
  <c r="AH94" i="1"/>
  <c r="AI94" i="1"/>
  <c r="CW94" i="1" s="1"/>
  <c r="V94" i="1" s="1"/>
  <c r="AJ94" i="1"/>
  <c r="CR94" i="1"/>
  <c r="CT94" i="1"/>
  <c r="CV94" i="1"/>
  <c r="CX94" i="1"/>
  <c r="FR94" i="1"/>
  <c r="GL94" i="1"/>
  <c r="GN94" i="1"/>
  <c r="GP94" i="1"/>
  <c r="GV94" i="1"/>
  <c r="HC94" i="1"/>
  <c r="GX94" i="1" s="1"/>
  <c r="I95" i="1"/>
  <c r="S95" i="1"/>
  <c r="W95" i="1"/>
  <c r="AC95" i="1"/>
  <c r="AD95" i="1"/>
  <c r="AE95" i="1"/>
  <c r="AF95" i="1"/>
  <c r="AG95" i="1"/>
  <c r="CU95" i="1" s="1"/>
  <c r="T95" i="1" s="1"/>
  <c r="AH95" i="1"/>
  <c r="AI95" i="1"/>
  <c r="CW95" i="1" s="1"/>
  <c r="V95" i="1" s="1"/>
  <c r="AJ95" i="1"/>
  <c r="CQ95" i="1"/>
  <c r="CR95" i="1"/>
  <c r="CT95" i="1"/>
  <c r="CV95" i="1"/>
  <c r="U95" i="1" s="1"/>
  <c r="CX95" i="1"/>
  <c r="CY95" i="1"/>
  <c r="X95" i="1" s="1"/>
  <c r="CZ95" i="1"/>
  <c r="Y95" i="1" s="1"/>
  <c r="FR95" i="1"/>
  <c r="GL95" i="1"/>
  <c r="GN95" i="1"/>
  <c r="GP95" i="1"/>
  <c r="GV95" i="1"/>
  <c r="HC95" i="1" s="1"/>
  <c r="GX95" i="1" s="1"/>
  <c r="P96" i="1"/>
  <c r="R96" i="1"/>
  <c r="GK96" i="1" s="1"/>
  <c r="AC96" i="1"/>
  <c r="AD96" i="1"/>
  <c r="AB96" i="1" s="1"/>
  <c r="AE96" i="1"/>
  <c r="Q96" i="1" s="1"/>
  <c r="AF96" i="1"/>
  <c r="CT96" i="1" s="1"/>
  <c r="AG96" i="1"/>
  <c r="AH96" i="1"/>
  <c r="CV96" i="1" s="1"/>
  <c r="U96" i="1" s="1"/>
  <c r="AI96" i="1"/>
  <c r="AJ96" i="1"/>
  <c r="CX96" i="1" s="1"/>
  <c r="W96" i="1" s="1"/>
  <c r="CQ96" i="1"/>
  <c r="CR96" i="1"/>
  <c r="CS96" i="1"/>
  <c r="CU96" i="1"/>
  <c r="T96" i="1" s="1"/>
  <c r="CW96" i="1"/>
  <c r="V96" i="1" s="1"/>
  <c r="FR96" i="1"/>
  <c r="GL96" i="1"/>
  <c r="GN96" i="1"/>
  <c r="GP96" i="1"/>
  <c r="GV96" i="1"/>
  <c r="GX96" i="1"/>
  <c r="HC96" i="1"/>
  <c r="Q97" i="1"/>
  <c r="S97" i="1"/>
  <c r="CY97" i="1" s="1"/>
  <c r="X97" i="1" s="1"/>
  <c r="AC97" i="1"/>
  <c r="AE97" i="1"/>
  <c r="AF97" i="1"/>
  <c r="AG97" i="1"/>
  <c r="CU97" i="1" s="1"/>
  <c r="T97" i="1" s="1"/>
  <c r="AH97" i="1"/>
  <c r="AI97" i="1"/>
  <c r="AJ97" i="1"/>
  <c r="CX97" i="1" s="1"/>
  <c r="W97" i="1" s="1"/>
  <c r="CT97" i="1"/>
  <c r="CV97" i="1"/>
  <c r="U97" i="1" s="1"/>
  <c r="CW97" i="1"/>
  <c r="V97" i="1" s="1"/>
  <c r="FR97" i="1"/>
  <c r="GL97" i="1"/>
  <c r="GO97" i="1"/>
  <c r="GP97" i="1"/>
  <c r="GV97" i="1"/>
  <c r="HC97" i="1"/>
  <c r="GX97" i="1" s="1"/>
  <c r="P98" i="1"/>
  <c r="Q98" i="1"/>
  <c r="R98" i="1"/>
  <c r="GK98" i="1" s="1"/>
  <c r="T98" i="1"/>
  <c r="AC98" i="1"/>
  <c r="AD98" i="1"/>
  <c r="AB98" i="1" s="1"/>
  <c r="AE98" i="1"/>
  <c r="CS98" i="1" s="1"/>
  <c r="AF98" i="1"/>
  <c r="AG98" i="1"/>
  <c r="AH98" i="1"/>
  <c r="AI98" i="1"/>
  <c r="AJ98" i="1"/>
  <c r="CQ98" i="1"/>
  <c r="CR98" i="1"/>
  <c r="CU98" i="1"/>
  <c r="CV98" i="1"/>
  <c r="U98" i="1" s="1"/>
  <c r="CW98" i="1"/>
  <c r="V98" i="1" s="1"/>
  <c r="CX98" i="1"/>
  <c r="W98" i="1" s="1"/>
  <c r="FR98" i="1"/>
  <c r="GL98" i="1"/>
  <c r="GO98" i="1"/>
  <c r="GP98" i="1"/>
  <c r="GV98" i="1"/>
  <c r="HC98" i="1" s="1"/>
  <c r="GX98" i="1" s="1"/>
  <c r="R99" i="1"/>
  <c r="GK99" i="1" s="1"/>
  <c r="S99" i="1"/>
  <c r="U99" i="1"/>
  <c r="AC99" i="1"/>
  <c r="P99" i="1" s="1"/>
  <c r="AD99" i="1"/>
  <c r="AB99" i="1" s="1"/>
  <c r="AE99" i="1"/>
  <c r="CS99" i="1" s="1"/>
  <c r="AF99" i="1"/>
  <c r="CT99" i="1" s="1"/>
  <c r="AG99" i="1"/>
  <c r="CU99" i="1" s="1"/>
  <c r="T99" i="1" s="1"/>
  <c r="AH99" i="1"/>
  <c r="AI99" i="1"/>
  <c r="AJ99" i="1"/>
  <c r="CX99" i="1" s="1"/>
  <c r="W99" i="1" s="1"/>
  <c r="CQ99" i="1"/>
  <c r="CR99" i="1"/>
  <c r="CV99" i="1"/>
  <c r="CW99" i="1"/>
  <c r="V99" i="1" s="1"/>
  <c r="CY99" i="1"/>
  <c r="X99" i="1" s="1"/>
  <c r="CZ99" i="1"/>
  <c r="Y99" i="1" s="1"/>
  <c r="FR99" i="1"/>
  <c r="GL99" i="1"/>
  <c r="GO99" i="1"/>
  <c r="GP99" i="1"/>
  <c r="GV99" i="1"/>
  <c r="HC99" i="1" s="1"/>
  <c r="GX99" i="1" s="1"/>
  <c r="Q100" i="1"/>
  <c r="R100" i="1"/>
  <c r="GK100" i="1" s="1"/>
  <c r="S100" i="1"/>
  <c r="T100" i="1"/>
  <c r="AC100" i="1"/>
  <c r="AD100" i="1"/>
  <c r="AE100" i="1"/>
  <c r="CS100" i="1" s="1"/>
  <c r="AF100" i="1"/>
  <c r="CT100" i="1" s="1"/>
  <c r="AG100" i="1"/>
  <c r="AH100" i="1"/>
  <c r="AI100" i="1"/>
  <c r="CW100" i="1" s="1"/>
  <c r="V100" i="1" s="1"/>
  <c r="AJ100" i="1"/>
  <c r="CR100" i="1"/>
  <c r="CU100" i="1"/>
  <c r="CV100" i="1"/>
  <c r="U100" i="1" s="1"/>
  <c r="CX100" i="1"/>
  <c r="W100" i="1" s="1"/>
  <c r="FR100" i="1"/>
  <c r="GL100" i="1"/>
  <c r="GO100" i="1"/>
  <c r="GP100" i="1"/>
  <c r="GV100" i="1"/>
  <c r="HC100" i="1" s="1"/>
  <c r="GX100" i="1" s="1"/>
  <c r="C101" i="1"/>
  <c r="D101" i="1"/>
  <c r="I101" i="1"/>
  <c r="CX63" i="3" s="1"/>
  <c r="P101" i="1"/>
  <c r="W101" i="1"/>
  <c r="AC101" i="1"/>
  <c r="AE101" i="1"/>
  <c r="R101" i="1" s="1"/>
  <c r="AF101" i="1"/>
  <c r="S101" i="1" s="1"/>
  <c r="AG101" i="1"/>
  <c r="CU101" i="1" s="1"/>
  <c r="T101" i="1" s="1"/>
  <c r="AH101" i="1"/>
  <c r="CV101" i="1" s="1"/>
  <c r="U101" i="1" s="1"/>
  <c r="AI101" i="1"/>
  <c r="CW101" i="1" s="1"/>
  <c r="V101" i="1" s="1"/>
  <c r="AJ101" i="1"/>
  <c r="CX101" i="1" s="1"/>
  <c r="CQ101" i="1"/>
  <c r="CR101" i="1"/>
  <c r="CT101" i="1"/>
  <c r="FR101" i="1"/>
  <c r="GK101" i="1"/>
  <c r="GL101" i="1"/>
  <c r="GN101" i="1"/>
  <c r="GP101" i="1"/>
  <c r="GV101" i="1"/>
  <c r="HC101" i="1"/>
  <c r="GX101" i="1" s="1"/>
  <c r="I102" i="1"/>
  <c r="Q102" i="1" s="1"/>
  <c r="S102" i="1"/>
  <c r="CY102" i="1" s="1"/>
  <c r="X102" i="1" s="1"/>
  <c r="U102" i="1"/>
  <c r="V102" i="1"/>
  <c r="AC102" i="1"/>
  <c r="AE102" i="1"/>
  <c r="AF102" i="1"/>
  <c r="CT102" i="1" s="1"/>
  <c r="AG102" i="1"/>
  <c r="CU102" i="1" s="1"/>
  <c r="T102" i="1" s="1"/>
  <c r="AH102" i="1"/>
  <c r="CV102" i="1" s="1"/>
  <c r="AI102" i="1"/>
  <c r="AJ102" i="1"/>
  <c r="CR102" i="1"/>
  <c r="CW102" i="1"/>
  <c r="CX102" i="1"/>
  <c r="W102" i="1" s="1"/>
  <c r="CZ102" i="1"/>
  <c r="Y102" i="1" s="1"/>
  <c r="FR102" i="1"/>
  <c r="GL102" i="1"/>
  <c r="GN102" i="1"/>
  <c r="GP102" i="1"/>
  <c r="GV102" i="1"/>
  <c r="HC102" i="1" s="1"/>
  <c r="GX102" i="1" s="1"/>
  <c r="C103" i="1"/>
  <c r="D103" i="1"/>
  <c r="I103" i="1"/>
  <c r="P103" i="1"/>
  <c r="CP103" i="1" s="1"/>
  <c r="O103" i="1" s="1"/>
  <c r="Q103" i="1"/>
  <c r="R103" i="1"/>
  <c r="AB103" i="1"/>
  <c r="AC103" i="1"/>
  <c r="AD103" i="1"/>
  <c r="AE103" i="1"/>
  <c r="AF103" i="1"/>
  <c r="S103" i="1" s="1"/>
  <c r="AG103" i="1"/>
  <c r="CU103" i="1" s="1"/>
  <c r="T103" i="1" s="1"/>
  <c r="AH103" i="1"/>
  <c r="AI103" i="1"/>
  <c r="CW103" i="1" s="1"/>
  <c r="V103" i="1" s="1"/>
  <c r="AJ103" i="1"/>
  <c r="CX103" i="1" s="1"/>
  <c r="W103" i="1" s="1"/>
  <c r="CQ103" i="1"/>
  <c r="CR103" i="1"/>
  <c r="CS103" i="1"/>
  <c r="CT103" i="1"/>
  <c r="CV103" i="1"/>
  <c r="U103" i="1" s="1"/>
  <c r="FR103" i="1"/>
  <c r="GK103" i="1"/>
  <c r="GL103" i="1"/>
  <c r="GN103" i="1"/>
  <c r="GP103" i="1"/>
  <c r="GV103" i="1"/>
  <c r="HC103" i="1"/>
  <c r="GX103" i="1" s="1"/>
  <c r="D104" i="1"/>
  <c r="I104" i="1"/>
  <c r="T104" i="1" s="1"/>
  <c r="V104" i="1"/>
  <c r="AC104" i="1"/>
  <c r="AD104" i="1"/>
  <c r="AE104" i="1"/>
  <c r="R104" i="1" s="1"/>
  <c r="GK104" i="1" s="1"/>
  <c r="AF104" i="1"/>
  <c r="AG104" i="1"/>
  <c r="CU104" i="1" s="1"/>
  <c r="AH104" i="1"/>
  <c r="AI104" i="1"/>
  <c r="CW104" i="1" s="1"/>
  <c r="AJ104" i="1"/>
  <c r="CQ104" i="1"/>
  <c r="CR104" i="1"/>
  <c r="CS104" i="1"/>
  <c r="CV104" i="1"/>
  <c r="CX104" i="1"/>
  <c r="FR104" i="1"/>
  <c r="GL104" i="1"/>
  <c r="GN104" i="1"/>
  <c r="GP104" i="1"/>
  <c r="GV104" i="1"/>
  <c r="GX104" i="1"/>
  <c r="HC104" i="1"/>
  <c r="D105" i="1"/>
  <c r="AC105" i="1"/>
  <c r="CQ105" i="1" s="1"/>
  <c r="AD105" i="1"/>
  <c r="AE105" i="1"/>
  <c r="AF105" i="1"/>
  <c r="CT105" i="1" s="1"/>
  <c r="AG105" i="1"/>
  <c r="AH105" i="1"/>
  <c r="AI105" i="1"/>
  <c r="CW105" i="1" s="1"/>
  <c r="AJ105" i="1"/>
  <c r="CR105" i="1"/>
  <c r="CS105" i="1"/>
  <c r="CU105" i="1"/>
  <c r="CV105" i="1"/>
  <c r="CX105" i="1"/>
  <c r="FR105" i="1"/>
  <c r="GL105" i="1"/>
  <c r="GN105" i="1"/>
  <c r="GP105" i="1"/>
  <c r="GV105" i="1"/>
  <c r="HC105" i="1" s="1"/>
  <c r="C106" i="1"/>
  <c r="D106" i="1"/>
  <c r="I106" i="1"/>
  <c r="CX65" i="3" s="1"/>
  <c r="P106" i="1"/>
  <c r="V106" i="1"/>
  <c r="AC106" i="1"/>
  <c r="AE106" i="1"/>
  <c r="AF106" i="1"/>
  <c r="S106" i="1" s="1"/>
  <c r="CY106" i="1" s="1"/>
  <c r="X106" i="1" s="1"/>
  <c r="AG106" i="1"/>
  <c r="AH106" i="1"/>
  <c r="CV106" i="1" s="1"/>
  <c r="U106" i="1" s="1"/>
  <c r="AI106" i="1"/>
  <c r="AJ106" i="1"/>
  <c r="CX106" i="1" s="1"/>
  <c r="W106" i="1" s="1"/>
  <c r="CQ106" i="1"/>
  <c r="CR106" i="1"/>
  <c r="CT106" i="1"/>
  <c r="CU106" i="1"/>
  <c r="T106" i="1" s="1"/>
  <c r="CW106" i="1"/>
  <c r="FR106" i="1"/>
  <c r="GL106" i="1"/>
  <c r="GN106" i="1"/>
  <c r="GP106" i="1"/>
  <c r="GV106" i="1"/>
  <c r="HC106" i="1" s="1"/>
  <c r="GX106" i="1" s="1"/>
  <c r="D107" i="1"/>
  <c r="S107" i="1"/>
  <c r="CY107" i="1" s="1"/>
  <c r="X107" i="1" s="1"/>
  <c r="T107" i="1"/>
  <c r="V107" i="1"/>
  <c r="AC107" i="1"/>
  <c r="AE107" i="1"/>
  <c r="CR107" i="1" s="1"/>
  <c r="AF107" i="1"/>
  <c r="CT107" i="1" s="1"/>
  <c r="AG107" i="1"/>
  <c r="AH107" i="1"/>
  <c r="CV107" i="1" s="1"/>
  <c r="U107" i="1" s="1"/>
  <c r="AI107" i="1"/>
  <c r="AJ107" i="1"/>
  <c r="CS107" i="1"/>
  <c r="CU107" i="1"/>
  <c r="CW107" i="1"/>
  <c r="CX107" i="1"/>
  <c r="W107" i="1" s="1"/>
  <c r="CZ107" i="1"/>
  <c r="Y107" i="1" s="1"/>
  <c r="FR107" i="1"/>
  <c r="GL107" i="1"/>
  <c r="GN107" i="1"/>
  <c r="GP107" i="1"/>
  <c r="GV107" i="1"/>
  <c r="HC107" i="1" s="1"/>
  <c r="GX107" i="1" s="1"/>
  <c r="C108" i="1"/>
  <c r="D108" i="1"/>
  <c r="P108" i="1"/>
  <c r="CP108" i="1" s="1"/>
  <c r="O108" i="1" s="1"/>
  <c r="Q108" i="1"/>
  <c r="R108" i="1"/>
  <c r="GK108" i="1" s="1"/>
  <c r="S108" i="1"/>
  <c r="AC108" i="1"/>
  <c r="CQ108" i="1" s="1"/>
  <c r="AE108" i="1"/>
  <c r="AD108" i="1" s="1"/>
  <c r="AF108" i="1"/>
  <c r="AG108" i="1"/>
  <c r="AH108" i="1"/>
  <c r="CV108" i="1" s="1"/>
  <c r="U108" i="1" s="1"/>
  <c r="AI108" i="1"/>
  <c r="AJ108" i="1"/>
  <c r="CX108" i="1" s="1"/>
  <c r="W108" i="1" s="1"/>
  <c r="CR108" i="1"/>
  <c r="CT108" i="1"/>
  <c r="CU108" i="1"/>
  <c r="T108" i="1" s="1"/>
  <c r="CW108" i="1"/>
  <c r="V108" i="1" s="1"/>
  <c r="FR108" i="1"/>
  <c r="GL108" i="1"/>
  <c r="GN108" i="1"/>
  <c r="GP108" i="1"/>
  <c r="GV108" i="1"/>
  <c r="HC108" i="1"/>
  <c r="GX108" i="1" s="1"/>
  <c r="D109" i="1"/>
  <c r="P109" i="1"/>
  <c r="Q109" i="1"/>
  <c r="V109" i="1"/>
  <c r="W109" i="1"/>
  <c r="AC109" i="1"/>
  <c r="AE109" i="1"/>
  <c r="R109" i="1" s="1"/>
  <c r="AF109" i="1"/>
  <c r="S109" i="1" s="1"/>
  <c r="AG109" i="1"/>
  <c r="AH109" i="1"/>
  <c r="CV109" i="1" s="1"/>
  <c r="U109" i="1" s="1"/>
  <c r="AI109" i="1"/>
  <c r="CW109" i="1" s="1"/>
  <c r="AJ109" i="1"/>
  <c r="CR109" i="1"/>
  <c r="CS109" i="1"/>
  <c r="CU109" i="1"/>
  <c r="T109" i="1" s="1"/>
  <c r="CX109" i="1"/>
  <c r="FR109" i="1"/>
  <c r="GK109" i="1"/>
  <c r="GL109" i="1"/>
  <c r="GN109" i="1"/>
  <c r="GP109" i="1"/>
  <c r="GV109" i="1"/>
  <c r="GX109" i="1"/>
  <c r="HC109" i="1"/>
  <c r="D110" i="1"/>
  <c r="I110" i="1"/>
  <c r="S110" i="1"/>
  <c r="T110" i="1"/>
  <c r="U110" i="1"/>
  <c r="V110" i="1"/>
  <c r="AC110" i="1"/>
  <c r="CQ110" i="1" s="1"/>
  <c r="AE110" i="1"/>
  <c r="R110" i="1" s="1"/>
  <c r="GK110" i="1" s="1"/>
  <c r="AF110" i="1"/>
  <c r="CT110" i="1" s="1"/>
  <c r="AG110" i="1"/>
  <c r="AH110" i="1"/>
  <c r="CV110" i="1" s="1"/>
  <c r="AI110" i="1"/>
  <c r="AJ110" i="1"/>
  <c r="CR110" i="1"/>
  <c r="CU110" i="1"/>
  <c r="CW110" i="1"/>
  <c r="CX110" i="1"/>
  <c r="W110" i="1" s="1"/>
  <c r="CY110" i="1"/>
  <c r="X110" i="1" s="1"/>
  <c r="CZ110" i="1"/>
  <c r="Y110" i="1" s="1"/>
  <c r="FR110" i="1"/>
  <c r="GL110" i="1"/>
  <c r="GN110" i="1"/>
  <c r="GP110" i="1"/>
  <c r="GV110" i="1"/>
  <c r="HC110" i="1" s="1"/>
  <c r="GX110" i="1" s="1"/>
  <c r="D111" i="1"/>
  <c r="I111" i="1"/>
  <c r="P111" i="1"/>
  <c r="CP111" i="1" s="1"/>
  <c r="O111" i="1" s="1"/>
  <c r="Q111" i="1"/>
  <c r="R111" i="1"/>
  <c r="S111" i="1"/>
  <c r="AC111" i="1"/>
  <c r="CQ111" i="1" s="1"/>
  <c r="AE111" i="1"/>
  <c r="AD111" i="1" s="1"/>
  <c r="AB111" i="1" s="1"/>
  <c r="AF111" i="1"/>
  <c r="AG111" i="1"/>
  <c r="AH111" i="1"/>
  <c r="CV111" i="1" s="1"/>
  <c r="U111" i="1" s="1"/>
  <c r="AI111" i="1"/>
  <c r="CW111" i="1" s="1"/>
  <c r="V111" i="1" s="1"/>
  <c r="AJ111" i="1"/>
  <c r="CR111" i="1"/>
  <c r="CT111" i="1"/>
  <c r="CU111" i="1"/>
  <c r="T111" i="1" s="1"/>
  <c r="CX111" i="1"/>
  <c r="W111" i="1" s="1"/>
  <c r="FR111" i="1"/>
  <c r="GK111" i="1"/>
  <c r="GL111" i="1"/>
  <c r="GN111" i="1"/>
  <c r="GP111" i="1"/>
  <c r="GV111" i="1"/>
  <c r="HC111" i="1"/>
  <c r="GX111" i="1" s="1"/>
  <c r="I112" i="1"/>
  <c r="Q112" i="1" s="1"/>
  <c r="P112" i="1"/>
  <c r="AC112" i="1"/>
  <c r="AE112" i="1"/>
  <c r="CR112" i="1" s="1"/>
  <c r="AF112" i="1"/>
  <c r="AG112" i="1"/>
  <c r="AH112" i="1"/>
  <c r="CV112" i="1" s="1"/>
  <c r="U112" i="1" s="1"/>
  <c r="AI112" i="1"/>
  <c r="CW112" i="1" s="1"/>
  <c r="V112" i="1" s="1"/>
  <c r="AJ112" i="1"/>
  <c r="CT112" i="1"/>
  <c r="CU112" i="1"/>
  <c r="CX112" i="1"/>
  <c r="FR112" i="1"/>
  <c r="GL112" i="1"/>
  <c r="GO112" i="1"/>
  <c r="GP112" i="1"/>
  <c r="GV112" i="1"/>
  <c r="HC112" i="1"/>
  <c r="I113" i="1"/>
  <c r="S113" i="1" s="1"/>
  <c r="Q113" i="1"/>
  <c r="AC113" i="1"/>
  <c r="AD113" i="1"/>
  <c r="AE113" i="1"/>
  <c r="CS113" i="1" s="1"/>
  <c r="AF113" i="1"/>
  <c r="AG113" i="1"/>
  <c r="CU113" i="1" s="1"/>
  <c r="T113" i="1" s="1"/>
  <c r="AH113" i="1"/>
  <c r="AI113" i="1"/>
  <c r="CW113" i="1" s="1"/>
  <c r="AJ113" i="1"/>
  <c r="CQ113" i="1"/>
  <c r="CR113" i="1"/>
  <c r="CT113" i="1"/>
  <c r="CV113" i="1"/>
  <c r="U113" i="1" s="1"/>
  <c r="CX113" i="1"/>
  <c r="W113" i="1" s="1"/>
  <c r="FR113" i="1"/>
  <c r="BY121" i="1" s="1"/>
  <c r="GL113" i="1"/>
  <c r="GO113" i="1"/>
  <c r="GP113" i="1"/>
  <c r="GV113" i="1"/>
  <c r="HC113" i="1"/>
  <c r="GX113" i="1" s="1"/>
  <c r="T114" i="1"/>
  <c r="AC114" i="1"/>
  <c r="P114" i="1" s="1"/>
  <c r="AE114" i="1"/>
  <c r="Q114" i="1" s="1"/>
  <c r="AF114" i="1"/>
  <c r="CT114" i="1" s="1"/>
  <c r="AG114" i="1"/>
  <c r="AH114" i="1"/>
  <c r="CV114" i="1" s="1"/>
  <c r="U114" i="1" s="1"/>
  <c r="AI114" i="1"/>
  <c r="AJ114" i="1"/>
  <c r="CX114" i="1" s="1"/>
  <c r="W114" i="1" s="1"/>
  <c r="CR114" i="1"/>
  <c r="CS114" i="1"/>
  <c r="CU114" i="1"/>
  <c r="CW114" i="1"/>
  <c r="V114" i="1" s="1"/>
  <c r="FR114" i="1"/>
  <c r="GL114" i="1"/>
  <c r="GO114" i="1"/>
  <c r="GP114" i="1"/>
  <c r="GV114" i="1"/>
  <c r="HC114" i="1" s="1"/>
  <c r="GX114" i="1"/>
  <c r="D115" i="1"/>
  <c r="Q115" i="1"/>
  <c r="R115" i="1"/>
  <c r="GK115" i="1" s="1"/>
  <c r="T115" i="1"/>
  <c r="V115" i="1"/>
  <c r="AC115" i="1"/>
  <c r="P115" i="1" s="1"/>
  <c r="AD115" i="1"/>
  <c r="AE115" i="1"/>
  <c r="AF115" i="1"/>
  <c r="CT115" i="1" s="1"/>
  <c r="AG115" i="1"/>
  <c r="AH115" i="1"/>
  <c r="AI115" i="1"/>
  <c r="AJ115" i="1"/>
  <c r="CQ115" i="1"/>
  <c r="CR115" i="1"/>
  <c r="CS115" i="1"/>
  <c r="CU115" i="1"/>
  <c r="CV115" i="1"/>
  <c r="U115" i="1" s="1"/>
  <c r="CW115" i="1"/>
  <c r="CX115" i="1"/>
  <c r="W115" i="1" s="1"/>
  <c r="FR115" i="1"/>
  <c r="GL115" i="1"/>
  <c r="GN115" i="1"/>
  <c r="GP115" i="1"/>
  <c r="GV115" i="1"/>
  <c r="HC115" i="1" s="1"/>
  <c r="GX115" i="1"/>
  <c r="D116" i="1"/>
  <c r="I116" i="1"/>
  <c r="AC116" i="1"/>
  <c r="AE116" i="1"/>
  <c r="CR116" i="1" s="1"/>
  <c r="AF116" i="1"/>
  <c r="S116" i="1" s="1"/>
  <c r="AG116" i="1"/>
  <c r="AH116" i="1"/>
  <c r="AI116" i="1"/>
  <c r="CW116" i="1" s="1"/>
  <c r="V116" i="1" s="1"/>
  <c r="AJ116" i="1"/>
  <c r="CS116" i="1"/>
  <c r="CT116" i="1"/>
  <c r="CU116" i="1"/>
  <c r="CV116" i="1"/>
  <c r="U116" i="1" s="1"/>
  <c r="CX116" i="1"/>
  <c r="W116" i="1" s="1"/>
  <c r="FR116" i="1"/>
  <c r="GL116" i="1"/>
  <c r="BZ121" i="1" s="1"/>
  <c r="GN116" i="1"/>
  <c r="GP116" i="1"/>
  <c r="GV116" i="1"/>
  <c r="GX116" i="1"/>
  <c r="HC116" i="1"/>
  <c r="I117" i="1"/>
  <c r="Q117" i="1" s="1"/>
  <c r="AC117" i="1"/>
  <c r="CQ117" i="1" s="1"/>
  <c r="AE117" i="1"/>
  <c r="AF117" i="1"/>
  <c r="S117" i="1" s="1"/>
  <c r="AG117" i="1"/>
  <c r="CU117" i="1" s="1"/>
  <c r="AH117" i="1"/>
  <c r="AI117" i="1"/>
  <c r="CW117" i="1" s="1"/>
  <c r="AJ117" i="1"/>
  <c r="CR117" i="1"/>
  <c r="CS117" i="1"/>
  <c r="CV117" i="1"/>
  <c r="U117" i="1" s="1"/>
  <c r="CX117" i="1"/>
  <c r="W117" i="1" s="1"/>
  <c r="FR117" i="1"/>
  <c r="GL117" i="1"/>
  <c r="GN117" i="1"/>
  <c r="GP117" i="1"/>
  <c r="CD121" i="1" s="1"/>
  <c r="GV117" i="1"/>
  <c r="HC117" i="1"/>
  <c r="GX117" i="1" s="1"/>
  <c r="C118" i="1"/>
  <c r="D118" i="1"/>
  <c r="Q118" i="1"/>
  <c r="R118" i="1"/>
  <c r="GK118" i="1" s="1"/>
  <c r="AC118" i="1"/>
  <c r="CQ118" i="1" s="1"/>
  <c r="AD118" i="1"/>
  <c r="AE118" i="1"/>
  <c r="AF118" i="1"/>
  <c r="S118" i="1" s="1"/>
  <c r="AG118" i="1"/>
  <c r="CU118" i="1" s="1"/>
  <c r="T118" i="1" s="1"/>
  <c r="AH118" i="1"/>
  <c r="AI118" i="1"/>
  <c r="CW118" i="1" s="1"/>
  <c r="V118" i="1" s="1"/>
  <c r="AJ118" i="1"/>
  <c r="CR118" i="1"/>
  <c r="CS118" i="1"/>
  <c r="CT118" i="1"/>
  <c r="CV118" i="1"/>
  <c r="U118" i="1" s="1"/>
  <c r="CX118" i="1"/>
  <c r="W118" i="1" s="1"/>
  <c r="FR118" i="1"/>
  <c r="GL118" i="1"/>
  <c r="GN118" i="1"/>
  <c r="GP118" i="1"/>
  <c r="GV118" i="1"/>
  <c r="HC118" i="1"/>
  <c r="GX118" i="1" s="1"/>
  <c r="P119" i="1"/>
  <c r="R119" i="1"/>
  <c r="GK119" i="1" s="1"/>
  <c r="AC119" i="1"/>
  <c r="CQ119" i="1" s="1"/>
  <c r="AE119" i="1"/>
  <c r="AD119" i="1" s="1"/>
  <c r="AB119" i="1" s="1"/>
  <c r="AF119" i="1"/>
  <c r="S119" i="1" s="1"/>
  <c r="AG119" i="1"/>
  <c r="AH119" i="1"/>
  <c r="CV119" i="1" s="1"/>
  <c r="U119" i="1" s="1"/>
  <c r="AI119" i="1"/>
  <c r="AJ119" i="1"/>
  <c r="CX119" i="1" s="1"/>
  <c r="W119" i="1" s="1"/>
  <c r="CR119" i="1"/>
  <c r="CS119" i="1"/>
  <c r="CU119" i="1"/>
  <c r="T119" i="1" s="1"/>
  <c r="CW119" i="1"/>
  <c r="V119" i="1" s="1"/>
  <c r="FR119" i="1"/>
  <c r="GL119" i="1"/>
  <c r="GN119" i="1"/>
  <c r="GP119" i="1"/>
  <c r="GV119" i="1"/>
  <c r="HC119" i="1" s="1"/>
  <c r="GX119" i="1" s="1"/>
  <c r="B121" i="1"/>
  <c r="B88" i="1" s="1"/>
  <c r="C121" i="1"/>
  <c r="C88" i="1" s="1"/>
  <c r="D121" i="1"/>
  <c r="D88" i="1" s="1"/>
  <c r="F121" i="1"/>
  <c r="F88" i="1" s="1"/>
  <c r="G121" i="1"/>
  <c r="G88" i="1" s="1"/>
  <c r="BX121" i="1"/>
  <c r="BX88" i="1" s="1"/>
  <c r="CK121" i="1"/>
  <c r="CK88" i="1" s="1"/>
  <c r="CL121" i="1"/>
  <c r="CL88" i="1" s="1"/>
  <c r="CM121" i="1"/>
  <c r="D152" i="1"/>
  <c r="B154" i="1"/>
  <c r="D154" i="1"/>
  <c r="E154" i="1"/>
  <c r="Z154" i="1"/>
  <c r="AA154" i="1"/>
  <c r="AM154" i="1"/>
  <c r="AN154" i="1"/>
  <c r="BE154" i="1"/>
  <c r="BF154" i="1"/>
  <c r="BG154" i="1"/>
  <c r="BH154" i="1"/>
  <c r="BI154" i="1"/>
  <c r="BJ154" i="1"/>
  <c r="BK154" i="1"/>
  <c r="BL154" i="1"/>
  <c r="BM154" i="1"/>
  <c r="BN154" i="1"/>
  <c r="BO154" i="1"/>
  <c r="BP154" i="1"/>
  <c r="BQ154" i="1"/>
  <c r="BR154" i="1"/>
  <c r="BS154" i="1"/>
  <c r="BT154" i="1"/>
  <c r="BU154" i="1"/>
  <c r="BV154" i="1"/>
  <c r="BW154" i="1"/>
  <c r="CK154" i="1"/>
  <c r="CM154" i="1"/>
  <c r="CN154" i="1"/>
  <c r="CO154" i="1"/>
  <c r="CP154" i="1"/>
  <c r="CQ154" i="1"/>
  <c r="CR154" i="1"/>
  <c r="CS154" i="1"/>
  <c r="CT154" i="1"/>
  <c r="CU154" i="1"/>
  <c r="CV154" i="1"/>
  <c r="CW154" i="1"/>
  <c r="CX154" i="1"/>
  <c r="CY154" i="1"/>
  <c r="CZ154" i="1"/>
  <c r="DA154" i="1"/>
  <c r="DB154" i="1"/>
  <c r="DC154" i="1"/>
  <c r="DD154" i="1"/>
  <c r="DE154" i="1"/>
  <c r="DF154" i="1"/>
  <c r="DG154" i="1"/>
  <c r="DH154" i="1"/>
  <c r="DI154" i="1"/>
  <c r="DJ154" i="1"/>
  <c r="DK154" i="1"/>
  <c r="DL154" i="1"/>
  <c r="DM154" i="1"/>
  <c r="DN154" i="1"/>
  <c r="DO154" i="1"/>
  <c r="DP154" i="1"/>
  <c r="DQ154" i="1"/>
  <c r="DR154" i="1"/>
  <c r="DS154" i="1"/>
  <c r="DT154" i="1"/>
  <c r="DU154" i="1"/>
  <c r="DV154" i="1"/>
  <c r="DW154" i="1"/>
  <c r="DX154" i="1"/>
  <c r="DY154" i="1"/>
  <c r="DZ154" i="1"/>
  <c r="EA154" i="1"/>
  <c r="EB154" i="1"/>
  <c r="EC154" i="1"/>
  <c r="ED154" i="1"/>
  <c r="EE154" i="1"/>
  <c r="EF154" i="1"/>
  <c r="EG154" i="1"/>
  <c r="EH154" i="1"/>
  <c r="EI154" i="1"/>
  <c r="EJ154" i="1"/>
  <c r="EK154" i="1"/>
  <c r="EL154" i="1"/>
  <c r="EM154" i="1"/>
  <c r="EN154" i="1"/>
  <c r="EO154" i="1"/>
  <c r="EP154" i="1"/>
  <c r="EQ154" i="1"/>
  <c r="ER154" i="1"/>
  <c r="ES154" i="1"/>
  <c r="ET154" i="1"/>
  <c r="EU154" i="1"/>
  <c r="EV154" i="1"/>
  <c r="EW154" i="1"/>
  <c r="EX154" i="1"/>
  <c r="EY154" i="1"/>
  <c r="EZ154" i="1"/>
  <c r="FA154" i="1"/>
  <c r="FB154" i="1"/>
  <c r="FC154" i="1"/>
  <c r="FD154" i="1"/>
  <c r="FE154" i="1"/>
  <c r="FF154" i="1"/>
  <c r="FG154" i="1"/>
  <c r="FH154" i="1"/>
  <c r="FI154" i="1"/>
  <c r="FJ154" i="1"/>
  <c r="FK154" i="1"/>
  <c r="FL154" i="1"/>
  <c r="FM154" i="1"/>
  <c r="FN154" i="1"/>
  <c r="FO154" i="1"/>
  <c r="FP154" i="1"/>
  <c r="FQ154" i="1"/>
  <c r="FR154" i="1"/>
  <c r="FS154" i="1"/>
  <c r="FT154" i="1"/>
  <c r="FU154" i="1"/>
  <c r="FV154" i="1"/>
  <c r="FW154" i="1"/>
  <c r="FX154" i="1"/>
  <c r="FY154" i="1"/>
  <c r="FZ154" i="1"/>
  <c r="GA154" i="1"/>
  <c r="GB154" i="1"/>
  <c r="GC154" i="1"/>
  <c r="GD154" i="1"/>
  <c r="GE154" i="1"/>
  <c r="GF154" i="1"/>
  <c r="GG154" i="1"/>
  <c r="GH154" i="1"/>
  <c r="GI154" i="1"/>
  <c r="GJ154" i="1"/>
  <c r="GK154" i="1"/>
  <c r="GL154" i="1"/>
  <c r="GM154" i="1"/>
  <c r="GN154" i="1"/>
  <c r="GO154" i="1"/>
  <c r="GP154" i="1"/>
  <c r="GQ154" i="1"/>
  <c r="GR154" i="1"/>
  <c r="GS154" i="1"/>
  <c r="GT154" i="1"/>
  <c r="GU154" i="1"/>
  <c r="GV154" i="1"/>
  <c r="GW154" i="1"/>
  <c r="GX154" i="1"/>
  <c r="C156" i="1"/>
  <c r="D156" i="1"/>
  <c r="AC156" i="1"/>
  <c r="AB156" i="1" s="1"/>
  <c r="AD156" i="1"/>
  <c r="AE156" i="1"/>
  <c r="AF156" i="1"/>
  <c r="AG156" i="1"/>
  <c r="AH156" i="1"/>
  <c r="CV156" i="1" s="1"/>
  <c r="AI156" i="1"/>
  <c r="CW156" i="1" s="1"/>
  <c r="AJ156" i="1"/>
  <c r="CQ156" i="1"/>
  <c r="CR156" i="1"/>
  <c r="CS156" i="1"/>
  <c r="CU156" i="1"/>
  <c r="CX156" i="1"/>
  <c r="FR156" i="1"/>
  <c r="BY159" i="1" s="1"/>
  <c r="GL156" i="1"/>
  <c r="GN156" i="1"/>
  <c r="GO156" i="1"/>
  <c r="GV156" i="1"/>
  <c r="HC156" i="1"/>
  <c r="D157" i="1"/>
  <c r="AC157" i="1"/>
  <c r="AD157" i="1"/>
  <c r="AB157" i="1" s="1"/>
  <c r="AE157" i="1"/>
  <c r="AF157" i="1"/>
  <c r="AG157" i="1"/>
  <c r="CU157" i="1" s="1"/>
  <c r="AH157" i="1"/>
  <c r="AI157" i="1"/>
  <c r="AJ157" i="1"/>
  <c r="CX157" i="1" s="1"/>
  <c r="CQ157" i="1"/>
  <c r="CR157" i="1"/>
  <c r="CS157" i="1"/>
  <c r="CV157" i="1"/>
  <c r="CW157" i="1"/>
  <c r="FR157" i="1"/>
  <c r="GL157" i="1"/>
  <c r="GN157" i="1"/>
  <c r="GO157" i="1"/>
  <c r="CC159" i="1" s="1"/>
  <c r="GV157" i="1"/>
  <c r="HC157" i="1"/>
  <c r="B159" i="1"/>
  <c r="C159" i="1"/>
  <c r="C154" i="1" s="1"/>
  <c r="D159" i="1"/>
  <c r="F159" i="1"/>
  <c r="F154" i="1" s="1"/>
  <c r="G159" i="1"/>
  <c r="G154" i="1" s="1"/>
  <c r="AO159" i="1"/>
  <c r="AO154" i="1" s="1"/>
  <c r="BX159" i="1"/>
  <c r="BZ159" i="1"/>
  <c r="BZ154" i="1" s="1"/>
  <c r="CB159" i="1"/>
  <c r="CB154" i="1" s="1"/>
  <c r="CK159" i="1"/>
  <c r="BB159" i="1" s="1"/>
  <c r="CL159" i="1"/>
  <c r="BC159" i="1" s="1"/>
  <c r="CM159" i="1"/>
  <c r="BD159" i="1" s="1"/>
  <c r="F163" i="1"/>
  <c r="B190" i="1"/>
  <c r="B22" i="1" s="1"/>
  <c r="C190" i="1"/>
  <c r="C22" i="1" s="1"/>
  <c r="D190" i="1"/>
  <c r="D22" i="1" s="1"/>
  <c r="F190" i="1"/>
  <c r="F22" i="1" s="1"/>
  <c r="G190" i="1"/>
  <c r="G22" i="1" s="1"/>
  <c r="B227" i="1"/>
  <c r="B18" i="1" s="1"/>
  <c r="C227" i="1"/>
  <c r="C18" i="1" s="1"/>
  <c r="D227" i="1"/>
  <c r="D18" i="1" s="1"/>
  <c r="F227" i="1"/>
  <c r="F18" i="1" s="1"/>
  <c r="G227" i="1"/>
  <c r="H98" i="5" l="1"/>
  <c r="G18" i="1"/>
  <c r="J28" i="5"/>
  <c r="J116" i="5"/>
  <c r="J98" i="5"/>
  <c r="H28" i="5"/>
  <c r="H116" i="5"/>
  <c r="F184" i="1"/>
  <c r="BD154" i="1"/>
  <c r="CM88" i="1"/>
  <c r="BD121" i="1"/>
  <c r="CY117" i="1"/>
  <c r="X117" i="1" s="1"/>
  <c r="CZ117" i="1"/>
  <c r="Y117" i="1" s="1"/>
  <c r="BX154" i="1"/>
  <c r="CG159" i="1"/>
  <c r="F175" i="1"/>
  <c r="BC154" i="1"/>
  <c r="CT157" i="1"/>
  <c r="BZ88" i="1"/>
  <c r="AQ121" i="1"/>
  <c r="CY113" i="1"/>
  <c r="X113" i="1" s="1"/>
  <c r="CZ113" i="1"/>
  <c r="Y113" i="1" s="1"/>
  <c r="BB154" i="1"/>
  <c r="F172" i="1"/>
  <c r="BY88" i="1"/>
  <c r="AP121" i="1"/>
  <c r="CI121" i="1"/>
  <c r="CY118" i="1"/>
  <c r="X118" i="1" s="1"/>
  <c r="CZ118" i="1"/>
  <c r="Y118" i="1" s="1"/>
  <c r="AS159" i="1"/>
  <c r="AT159" i="1"/>
  <c r="CC154" i="1"/>
  <c r="CD88" i="1"/>
  <c r="AU121" i="1"/>
  <c r="CY116" i="1"/>
  <c r="X116" i="1" s="1"/>
  <c r="CZ116" i="1"/>
  <c r="Y116" i="1" s="1"/>
  <c r="AQ159" i="1"/>
  <c r="BY154" i="1"/>
  <c r="AP159" i="1"/>
  <c r="CI159" i="1"/>
  <c r="CY119" i="1"/>
  <c r="X119" i="1" s="1"/>
  <c r="CZ119" i="1"/>
  <c r="Y119" i="1" s="1"/>
  <c r="CT156" i="1"/>
  <c r="CL154" i="1"/>
  <c r="BC121" i="1"/>
  <c r="Q119" i="1"/>
  <c r="CP119" i="1" s="1"/>
  <c r="O119" i="1" s="1"/>
  <c r="AB118" i="1"/>
  <c r="CQ116" i="1"/>
  <c r="P116" i="1"/>
  <c r="P113" i="1"/>
  <c r="CP113" i="1" s="1"/>
  <c r="O113" i="1" s="1"/>
  <c r="AB113" i="1"/>
  <c r="CS112" i="1"/>
  <c r="AD110" i="1"/>
  <c r="P107" i="1"/>
  <c r="CQ107" i="1"/>
  <c r="R106" i="1"/>
  <c r="GK106" i="1" s="1"/>
  <c r="AD106" i="1"/>
  <c r="AB106" i="1" s="1"/>
  <c r="CS106" i="1"/>
  <c r="CY103" i="1"/>
  <c r="X103" i="1" s="1"/>
  <c r="GO103" i="1" s="1"/>
  <c r="CZ103" i="1"/>
  <c r="Y103" i="1" s="1"/>
  <c r="AD97" i="1"/>
  <c r="AB97" i="1" s="1"/>
  <c r="CS97" i="1"/>
  <c r="CR97" i="1"/>
  <c r="R97" i="1"/>
  <c r="GK97" i="1" s="1"/>
  <c r="BB121" i="1"/>
  <c r="P118" i="1"/>
  <c r="CP118" i="1" s="1"/>
  <c r="O118" i="1" s="1"/>
  <c r="V117" i="1"/>
  <c r="P110" i="1"/>
  <c r="AB110" i="1"/>
  <c r="P105" i="1"/>
  <c r="AB105" i="1"/>
  <c r="CT119" i="1"/>
  <c r="CT117" i="1"/>
  <c r="S115" i="1"/>
  <c r="P104" i="1"/>
  <c r="CY101" i="1"/>
  <c r="X101" i="1" s="1"/>
  <c r="CZ101" i="1"/>
  <c r="Y101" i="1" s="1"/>
  <c r="T117" i="1"/>
  <c r="V113" i="1"/>
  <c r="GX112" i="1"/>
  <c r="W112" i="1"/>
  <c r="CY109" i="1"/>
  <c r="X109" i="1" s="1"/>
  <c r="CZ109" i="1"/>
  <c r="Y109" i="1" s="1"/>
  <c r="CP109" i="1"/>
  <c r="O109" i="1" s="1"/>
  <c r="GX105" i="1"/>
  <c r="W105" i="1"/>
  <c r="R117" i="1"/>
  <c r="GK117" i="1" s="1"/>
  <c r="S114" i="1"/>
  <c r="CY111" i="1"/>
  <c r="X111" i="1" s="1"/>
  <c r="GM111" i="1" s="1"/>
  <c r="CZ111" i="1"/>
  <c r="Y111" i="1" s="1"/>
  <c r="CT109" i="1"/>
  <c r="AB108" i="1"/>
  <c r="P100" i="1"/>
  <c r="CP100" i="1" s="1"/>
  <c r="O100" i="1" s="1"/>
  <c r="AB100" i="1"/>
  <c r="CQ100" i="1"/>
  <c r="P94" i="1"/>
  <c r="AB94" i="1"/>
  <c r="CQ94" i="1"/>
  <c r="CG121" i="1"/>
  <c r="AD117" i="1"/>
  <c r="T116" i="1"/>
  <c r="AB115" i="1"/>
  <c r="CQ114" i="1"/>
  <c r="AD114" i="1"/>
  <c r="AB114" i="1" s="1"/>
  <c r="R114" i="1"/>
  <c r="GK114" i="1" s="1"/>
  <c r="CZ106" i="1"/>
  <c r="Y106" i="1" s="1"/>
  <c r="Q104" i="1"/>
  <c r="I105" i="1"/>
  <c r="U104" i="1"/>
  <c r="W104" i="1"/>
  <c r="AO121" i="1"/>
  <c r="P117" i="1"/>
  <c r="CP117" i="1" s="1"/>
  <c r="O117" i="1" s="1"/>
  <c r="AB117" i="1"/>
  <c r="R113" i="1"/>
  <c r="GK113" i="1" s="1"/>
  <c r="T112" i="1"/>
  <c r="S112" i="1"/>
  <c r="CS110" i="1"/>
  <c r="Q110" i="1"/>
  <c r="CY108" i="1"/>
  <c r="X108" i="1" s="1"/>
  <c r="GM108" i="1" s="1"/>
  <c r="CZ108" i="1"/>
  <c r="Y108" i="1" s="1"/>
  <c r="R102" i="1"/>
  <c r="GK102" i="1" s="1"/>
  <c r="AD102" i="1"/>
  <c r="AB102" i="1" s="1"/>
  <c r="CS102" i="1"/>
  <c r="CZ100" i="1"/>
  <c r="Y100" i="1" s="1"/>
  <c r="CY100" i="1"/>
  <c r="X100" i="1" s="1"/>
  <c r="R116" i="1"/>
  <c r="GK116" i="1" s="1"/>
  <c r="AD116" i="1"/>
  <c r="AB116" i="1" s="1"/>
  <c r="Q116" i="1"/>
  <c r="R112" i="1"/>
  <c r="GK112" i="1" s="1"/>
  <c r="AD112" i="1"/>
  <c r="AB112" i="1" s="1"/>
  <c r="CP112" i="1"/>
  <c r="O112" i="1" s="1"/>
  <c r="Q107" i="1"/>
  <c r="R107" i="1"/>
  <c r="GK107" i="1" s="1"/>
  <c r="AD107" i="1"/>
  <c r="AB107" i="1" s="1"/>
  <c r="S104" i="1"/>
  <c r="CT104" i="1"/>
  <c r="P102" i="1"/>
  <c r="CP102" i="1" s="1"/>
  <c r="O102" i="1" s="1"/>
  <c r="CQ102" i="1"/>
  <c r="CS95" i="1"/>
  <c r="R95" i="1"/>
  <c r="GK95" i="1" s="1"/>
  <c r="Q95" i="1"/>
  <c r="Q94" i="1"/>
  <c r="R94" i="1"/>
  <c r="GK94" i="1" s="1"/>
  <c r="AD94" i="1"/>
  <c r="CS94" i="1"/>
  <c r="CY53" i="1"/>
  <c r="X53" i="1" s="1"/>
  <c r="CZ53" i="1"/>
  <c r="Y53" i="1" s="1"/>
  <c r="CS101" i="1"/>
  <c r="CQ97" i="1"/>
  <c r="P97" i="1"/>
  <c r="CP97" i="1" s="1"/>
  <c r="O97" i="1" s="1"/>
  <c r="P95" i="1"/>
  <c r="CP95" i="1" s="1"/>
  <c r="O95" i="1" s="1"/>
  <c r="AB95" i="1"/>
  <c r="GM51" i="1"/>
  <c r="GN51" i="1"/>
  <c r="CY46" i="1"/>
  <c r="X46" i="1" s="1"/>
  <c r="GN46" i="1" s="1"/>
  <c r="CZ46" i="1"/>
  <c r="Y46" i="1" s="1"/>
  <c r="CX64" i="3"/>
  <c r="I29" i="1"/>
  <c r="AD101" i="1"/>
  <c r="AB101" i="1" s="1"/>
  <c r="Q99" i="1"/>
  <c r="CP99" i="1" s="1"/>
  <c r="O99" i="1" s="1"/>
  <c r="CY44" i="1"/>
  <c r="X44" i="1" s="1"/>
  <c r="CZ44" i="1"/>
  <c r="Y44" i="1" s="1"/>
  <c r="CQ112" i="1"/>
  <c r="CS111" i="1"/>
  <c r="CQ109" i="1"/>
  <c r="AD109" i="1"/>
  <c r="AB109" i="1" s="1"/>
  <c r="CS108" i="1"/>
  <c r="AB104" i="1"/>
  <c r="CZ97" i="1"/>
  <c r="Y97" i="1" s="1"/>
  <c r="CZ94" i="1"/>
  <c r="Y94" i="1" s="1"/>
  <c r="S98" i="1"/>
  <c r="CT98" i="1"/>
  <c r="CP53" i="1"/>
  <c r="O53" i="1" s="1"/>
  <c r="GM47" i="1"/>
  <c r="GN47" i="1"/>
  <c r="Q106" i="1"/>
  <c r="CP106" i="1" s="1"/>
  <c r="O106" i="1" s="1"/>
  <c r="Q101" i="1"/>
  <c r="CP101" i="1" s="1"/>
  <c r="O101" i="1" s="1"/>
  <c r="S96" i="1"/>
  <c r="BC55" i="1"/>
  <c r="AU55" i="1"/>
  <c r="Q53" i="1"/>
  <c r="S52" i="1"/>
  <c r="CS51" i="1"/>
  <c r="P50" i="1"/>
  <c r="CP50" i="1" s="1"/>
  <c r="O50" i="1" s="1"/>
  <c r="AB49" i="1"/>
  <c r="R49" i="1"/>
  <c r="GK49" i="1" s="1"/>
  <c r="CQ48" i="1"/>
  <c r="AD48" i="1"/>
  <c r="CS47" i="1"/>
  <c r="CQ45" i="1"/>
  <c r="AD45" i="1"/>
  <c r="CT44" i="1"/>
  <c r="W43" i="1"/>
  <c r="AB43" i="1"/>
  <c r="P43" i="1"/>
  <c r="CP43" i="1" s="1"/>
  <c r="O43" i="1" s="1"/>
  <c r="CQ42" i="1"/>
  <c r="AD42" i="1"/>
  <c r="AB42" i="1" s="1"/>
  <c r="R42" i="1"/>
  <c r="GK42" i="1" s="1"/>
  <c r="CQ40" i="1"/>
  <c r="P40" i="1"/>
  <c r="CP40" i="1" s="1"/>
  <c r="O40" i="1" s="1"/>
  <c r="CY37" i="1"/>
  <c r="X37" i="1" s="1"/>
  <c r="CZ37" i="1"/>
  <c r="Y37" i="1" s="1"/>
  <c r="W36" i="1"/>
  <c r="CY35" i="1"/>
  <c r="X35" i="1" s="1"/>
  <c r="CZ35" i="1"/>
  <c r="Y35" i="1" s="1"/>
  <c r="CY34" i="1"/>
  <c r="X34" i="1" s="1"/>
  <c r="CZ34" i="1"/>
  <c r="Y34" i="1" s="1"/>
  <c r="CQ30" i="1"/>
  <c r="P30" i="1"/>
  <c r="CP30" i="1" s="1"/>
  <c r="O30" i="1" s="1"/>
  <c r="AB30" i="1"/>
  <c r="AB92" i="1"/>
  <c r="P90" i="1"/>
  <c r="BB55" i="1"/>
  <c r="AT55" i="1"/>
  <c r="Q49" i="1"/>
  <c r="CZ42" i="1"/>
  <c r="Y42" i="1" s="1"/>
  <c r="P42" i="1"/>
  <c r="CP42" i="1" s="1"/>
  <c r="O42" i="1" s="1"/>
  <c r="R41" i="1"/>
  <c r="GK41" i="1" s="1"/>
  <c r="AD41" i="1"/>
  <c r="R38" i="1"/>
  <c r="GK38" i="1" s="1"/>
  <c r="AD38" i="1"/>
  <c r="AB38" i="1" s="1"/>
  <c r="CS38" i="1"/>
  <c r="P36" i="1"/>
  <c r="Q36" i="1"/>
  <c r="R36" i="1"/>
  <c r="GK36" i="1" s="1"/>
  <c r="T36" i="1"/>
  <c r="CY30" i="1"/>
  <c r="X30" i="1" s="1"/>
  <c r="CZ30" i="1"/>
  <c r="Y30" i="1" s="1"/>
  <c r="W29" i="1"/>
  <c r="AJ55" i="1" s="1"/>
  <c r="CT53" i="1"/>
  <c r="CQ51" i="1"/>
  <c r="AD51" i="1"/>
  <c r="CS50" i="1"/>
  <c r="P49" i="1"/>
  <c r="CP49" i="1" s="1"/>
  <c r="O49" i="1" s="1"/>
  <c r="AB48" i="1"/>
  <c r="R48" i="1"/>
  <c r="GK48" i="1" s="1"/>
  <c r="CQ47" i="1"/>
  <c r="AD47" i="1"/>
  <c r="CT46" i="1"/>
  <c r="AB45" i="1"/>
  <c r="R45" i="1"/>
  <c r="GK45" i="1" s="1"/>
  <c r="R44" i="1"/>
  <c r="GK44" i="1" s="1"/>
  <c r="AD44" i="1"/>
  <c r="Q44" i="1"/>
  <c r="U43" i="1"/>
  <c r="CR41" i="1"/>
  <c r="AB41" i="1"/>
  <c r="CQ41" i="1"/>
  <c r="P41" i="1"/>
  <c r="CP41" i="1" s="1"/>
  <c r="O41" i="1" s="1"/>
  <c r="CT39" i="1"/>
  <c r="S39" i="1"/>
  <c r="CR38" i="1"/>
  <c r="CQ38" i="1"/>
  <c r="P38" i="1"/>
  <c r="CP38" i="1" s="1"/>
  <c r="O38" i="1" s="1"/>
  <c r="U36" i="1"/>
  <c r="CP32" i="1"/>
  <c r="O32" i="1" s="1"/>
  <c r="CS93" i="1"/>
  <c r="I93" i="1"/>
  <c r="P92" i="1"/>
  <c r="CP92" i="1" s="1"/>
  <c r="O92" i="1" s="1"/>
  <c r="S91" i="1"/>
  <c r="CS90" i="1"/>
  <c r="CI55" i="1"/>
  <c r="CZ50" i="1"/>
  <c r="Y50" i="1" s="1"/>
  <c r="Q48" i="1"/>
  <c r="CP48" i="1" s="1"/>
  <c r="O48" i="1" s="1"/>
  <c r="Q45" i="1"/>
  <c r="CP45" i="1" s="1"/>
  <c r="O45" i="1" s="1"/>
  <c r="AB44" i="1"/>
  <c r="P44" i="1"/>
  <c r="CP44" i="1" s="1"/>
  <c r="O44" i="1" s="1"/>
  <c r="CY28" i="1"/>
  <c r="X28" i="1" s="1"/>
  <c r="CZ28" i="1"/>
  <c r="Y28" i="1" s="1"/>
  <c r="AQ55" i="1"/>
  <c r="AB51" i="1"/>
  <c r="CQ50" i="1"/>
  <c r="AD50" i="1"/>
  <c r="AB50" i="1" s="1"/>
  <c r="CS49" i="1"/>
  <c r="AB47" i="1"/>
  <c r="CT36" i="1"/>
  <c r="AB36" i="1"/>
  <c r="S36" i="1"/>
  <c r="T29" i="1"/>
  <c r="AG55" i="1" s="1"/>
  <c r="CQ93" i="1"/>
  <c r="AD93" i="1"/>
  <c r="AB93" i="1" s="1"/>
  <c r="CS92" i="1"/>
  <c r="Q91" i="1"/>
  <c r="CP91" i="1" s="1"/>
  <c r="O91" i="1" s="1"/>
  <c r="CQ90" i="1"/>
  <c r="AD90" i="1"/>
  <c r="AB90" i="1" s="1"/>
  <c r="CG55" i="1"/>
  <c r="AP55" i="1"/>
  <c r="CQ37" i="1"/>
  <c r="P37" i="1"/>
  <c r="CP37" i="1" s="1"/>
  <c r="O37" i="1" s="1"/>
  <c r="AB37" i="1"/>
  <c r="CP33" i="1"/>
  <c r="O33" i="1" s="1"/>
  <c r="U29" i="1"/>
  <c r="AH55" i="1" s="1"/>
  <c r="CT29" i="1"/>
  <c r="AB29" i="1"/>
  <c r="S29" i="1"/>
  <c r="CZ92" i="1"/>
  <c r="Y92" i="1" s="1"/>
  <c r="AO55" i="1"/>
  <c r="CS42" i="1"/>
  <c r="BD55" i="1"/>
  <c r="CY43" i="1"/>
  <c r="X43" i="1" s="1"/>
  <c r="AD40" i="1"/>
  <c r="AB40" i="1" s="1"/>
  <c r="CS40" i="1"/>
  <c r="R40" i="1"/>
  <c r="GK40" i="1" s="1"/>
  <c r="R37" i="1"/>
  <c r="GK37" i="1" s="1"/>
  <c r="CT35" i="1"/>
  <c r="Q34" i="1"/>
  <c r="CP34" i="1" s="1"/>
  <c r="O34" i="1" s="1"/>
  <c r="S33" i="1"/>
  <c r="CS32" i="1"/>
  <c r="P31" i="1"/>
  <c r="CP31" i="1" s="1"/>
  <c r="O31" i="1" s="1"/>
  <c r="R30" i="1"/>
  <c r="GK30" i="1" s="1"/>
  <c r="Q28" i="1"/>
  <c r="CP28" i="1" s="1"/>
  <c r="O28" i="1" s="1"/>
  <c r="CT34" i="1"/>
  <c r="CQ32" i="1"/>
  <c r="AD32" i="1"/>
  <c r="CS31" i="1"/>
  <c r="CT28" i="1"/>
  <c r="CS28" i="1"/>
  <c r="CS37" i="1"/>
  <c r="AB32" i="1"/>
  <c r="R32" i="1"/>
  <c r="GK32" i="1" s="1"/>
  <c r="CQ31" i="1"/>
  <c r="AD31" i="1"/>
  <c r="AB31" i="1" s="1"/>
  <c r="CS30" i="1"/>
  <c r="R35" i="1"/>
  <c r="GK35" i="1" s="1"/>
  <c r="GM35" i="1" s="1"/>
  <c r="GM48" i="1" l="1"/>
  <c r="GN48" i="1"/>
  <c r="GM106" i="1"/>
  <c r="GO106" i="1"/>
  <c r="GM99" i="1"/>
  <c r="GN99" i="1"/>
  <c r="GM28" i="1"/>
  <c r="GN28" i="1"/>
  <c r="GO119" i="1"/>
  <c r="GM119" i="1"/>
  <c r="GM34" i="1"/>
  <c r="GN34" i="1"/>
  <c r="GM45" i="1"/>
  <c r="GN45" i="1"/>
  <c r="GM101" i="1"/>
  <c r="GO101" i="1"/>
  <c r="CY29" i="1"/>
  <c r="X29" i="1" s="1"/>
  <c r="CZ29" i="1"/>
  <c r="Y29" i="1" s="1"/>
  <c r="AF55" i="1"/>
  <c r="GN37" i="1"/>
  <c r="GM37" i="1"/>
  <c r="S93" i="1"/>
  <c r="Q93" i="1"/>
  <c r="W93" i="1"/>
  <c r="AJ121" i="1" s="1"/>
  <c r="CZ39" i="1"/>
  <c r="Y39" i="1" s="1"/>
  <c r="CY39" i="1"/>
  <c r="X39" i="1" s="1"/>
  <c r="CP90" i="1"/>
  <c r="O90" i="1" s="1"/>
  <c r="CZ96" i="1"/>
  <c r="Y96" i="1" s="1"/>
  <c r="CY96" i="1"/>
  <c r="X96" i="1" s="1"/>
  <c r="GX93" i="1"/>
  <c r="CJ121" i="1" s="1"/>
  <c r="CZ104" i="1"/>
  <c r="Y104" i="1" s="1"/>
  <c r="CY104" i="1"/>
  <c r="X104" i="1" s="1"/>
  <c r="AP88" i="1"/>
  <c r="F130" i="1"/>
  <c r="AQ88" i="1"/>
  <c r="F131" i="1"/>
  <c r="GM49" i="1"/>
  <c r="GN49" i="1"/>
  <c r="CY52" i="1"/>
  <c r="X52" i="1" s="1"/>
  <c r="CZ52" i="1"/>
  <c r="Y52" i="1" s="1"/>
  <c r="P29" i="1"/>
  <c r="Q29" i="1"/>
  <c r="R29" i="1"/>
  <c r="GX29" i="1"/>
  <c r="CJ55" i="1" s="1"/>
  <c r="CX4" i="3"/>
  <c r="V29" i="1"/>
  <c r="AI55" i="1" s="1"/>
  <c r="I156" i="1"/>
  <c r="GM117" i="1"/>
  <c r="GO117" i="1"/>
  <c r="GO109" i="1"/>
  <c r="GM109" i="1"/>
  <c r="CP107" i="1"/>
  <c r="O107" i="1" s="1"/>
  <c r="F169" i="1"/>
  <c r="AQ154" i="1"/>
  <c r="GO108" i="1"/>
  <c r="AP26" i="1"/>
  <c r="F64" i="1"/>
  <c r="AP190" i="1"/>
  <c r="AG26" i="1"/>
  <c r="T55" i="1"/>
  <c r="GM32" i="1"/>
  <c r="GN32" i="1"/>
  <c r="GN41" i="1"/>
  <c r="GM41" i="1"/>
  <c r="P93" i="1"/>
  <c r="CP93" i="1" s="1"/>
  <c r="O93" i="1" s="1"/>
  <c r="CZ98" i="1"/>
  <c r="Y98" i="1" s="1"/>
  <c r="CY98" i="1"/>
  <c r="X98" i="1" s="1"/>
  <c r="AO88" i="1"/>
  <c r="F125" i="1"/>
  <c r="CP94" i="1"/>
  <c r="O94" i="1" s="1"/>
  <c r="CP104" i="1"/>
  <c r="O104" i="1" s="1"/>
  <c r="CP110" i="1"/>
  <c r="O110" i="1" s="1"/>
  <c r="CI154" i="1"/>
  <c r="AZ159" i="1"/>
  <c r="AT154" i="1"/>
  <c r="F177" i="1"/>
  <c r="GN31" i="1"/>
  <c r="GM31" i="1"/>
  <c r="CZ33" i="1"/>
  <c r="Y33" i="1" s="1"/>
  <c r="CY33" i="1"/>
  <c r="X33" i="1" s="1"/>
  <c r="BD26" i="1"/>
  <c r="F80" i="1"/>
  <c r="BD190" i="1"/>
  <c r="AH26" i="1"/>
  <c r="U55" i="1"/>
  <c r="CG26" i="1"/>
  <c r="AX55" i="1"/>
  <c r="CY36" i="1"/>
  <c r="X36" i="1" s="1"/>
  <c r="CZ36" i="1"/>
  <c r="Y36" i="1" s="1"/>
  <c r="AL55" i="1" s="1"/>
  <c r="AQ26" i="1"/>
  <c r="F65" i="1"/>
  <c r="AQ190" i="1"/>
  <c r="GM42" i="1"/>
  <c r="GN42" i="1"/>
  <c r="AU26" i="1"/>
  <c r="F74" i="1"/>
  <c r="GM95" i="1"/>
  <c r="GO95" i="1"/>
  <c r="CY114" i="1"/>
  <c r="X114" i="1" s="1"/>
  <c r="CZ114" i="1"/>
  <c r="Y114" i="1" s="1"/>
  <c r="CZ115" i="1"/>
  <c r="Y115" i="1" s="1"/>
  <c r="CY115" i="1"/>
  <c r="X115" i="1" s="1"/>
  <c r="F168" i="1"/>
  <c r="AP154" i="1"/>
  <c r="AS154" i="1"/>
  <c r="F176" i="1"/>
  <c r="CI26" i="1"/>
  <c r="AZ55" i="1"/>
  <c r="GN38" i="1"/>
  <c r="GM38" i="1"/>
  <c r="GM43" i="1"/>
  <c r="GN43" i="1"/>
  <c r="BC26" i="1"/>
  <c r="F71" i="1"/>
  <c r="BC190" i="1"/>
  <c r="T93" i="1"/>
  <c r="AG121" i="1" s="1"/>
  <c r="GN97" i="1"/>
  <c r="GM97" i="1"/>
  <c r="GM112" i="1"/>
  <c r="GO118" i="1"/>
  <c r="GM118" i="1"/>
  <c r="BC88" i="1"/>
  <c r="F137" i="1"/>
  <c r="GO111" i="1"/>
  <c r="GM33" i="1"/>
  <c r="GN33" i="1"/>
  <c r="GN35" i="1"/>
  <c r="AK55" i="1"/>
  <c r="CP36" i="1"/>
  <c r="O36" i="1" s="1"/>
  <c r="GM30" i="1"/>
  <c r="GN30" i="1"/>
  <c r="V93" i="1"/>
  <c r="CY112" i="1"/>
  <c r="X112" i="1" s="1"/>
  <c r="CZ112" i="1"/>
  <c r="Y112" i="1" s="1"/>
  <c r="GN112" i="1" s="1"/>
  <c r="R105" i="1"/>
  <c r="GK105" i="1" s="1"/>
  <c r="T105" i="1"/>
  <c r="Q105" i="1"/>
  <c r="CP105" i="1" s="1"/>
  <c r="O105" i="1" s="1"/>
  <c r="S105" i="1"/>
  <c r="GM100" i="1"/>
  <c r="GN100" i="1"/>
  <c r="BB88" i="1"/>
  <c r="F134" i="1"/>
  <c r="CP98" i="1"/>
  <c r="O98" i="1" s="1"/>
  <c r="BD88" i="1"/>
  <c r="F146" i="1"/>
  <c r="GM103" i="1"/>
  <c r="AO26" i="1"/>
  <c r="F59" i="1"/>
  <c r="AO190" i="1"/>
  <c r="AD121" i="1"/>
  <c r="CP39" i="1"/>
  <c r="O39" i="1" s="1"/>
  <c r="CZ91" i="1"/>
  <c r="Y91" i="1" s="1"/>
  <c r="CY91" i="1"/>
  <c r="X91" i="1" s="1"/>
  <c r="GM91" i="1" s="1"/>
  <c r="AF121" i="1"/>
  <c r="AJ26" i="1"/>
  <c r="W55" i="1"/>
  <c r="AT26" i="1"/>
  <c r="F73" i="1"/>
  <c r="R93" i="1"/>
  <c r="CP52" i="1"/>
  <c r="O52" i="1" s="1"/>
  <c r="GM46" i="1"/>
  <c r="GM102" i="1"/>
  <c r="GO102" i="1"/>
  <c r="U105" i="1"/>
  <c r="V105" i="1"/>
  <c r="CP96" i="1"/>
  <c r="O96" i="1" s="1"/>
  <c r="GN113" i="1"/>
  <c r="GM113" i="1"/>
  <c r="CP115" i="1"/>
  <c r="O115" i="1" s="1"/>
  <c r="AU88" i="1"/>
  <c r="F140" i="1"/>
  <c r="CP114" i="1"/>
  <c r="O114" i="1" s="1"/>
  <c r="AD55" i="1"/>
  <c r="GM44" i="1"/>
  <c r="GN44" i="1"/>
  <c r="GO92" i="1"/>
  <c r="GM92" i="1"/>
  <c r="BB26" i="1"/>
  <c r="F68" i="1"/>
  <c r="BB190" i="1"/>
  <c r="GN40" i="1"/>
  <c r="GM40" i="1"/>
  <c r="GM50" i="1"/>
  <c r="GN50" i="1"/>
  <c r="U93" i="1"/>
  <c r="AH121" i="1" s="1"/>
  <c r="GN53" i="1"/>
  <c r="GM53" i="1"/>
  <c r="CG88" i="1"/>
  <c r="AX121" i="1"/>
  <c r="CP116" i="1"/>
  <c r="O116" i="1" s="1"/>
  <c r="CI88" i="1"/>
  <c r="AZ121" i="1"/>
  <c r="CG154" i="1"/>
  <c r="AX159" i="1"/>
  <c r="AL26" i="1" l="1"/>
  <c r="Y55" i="1"/>
  <c r="GK93" i="1"/>
  <c r="AE121" i="1"/>
  <c r="AL121" i="1"/>
  <c r="AK26" i="1"/>
  <c r="X55" i="1"/>
  <c r="BD22" i="1"/>
  <c r="BD227" i="1"/>
  <c r="F215" i="1"/>
  <c r="GK29" i="1"/>
  <c r="AE55" i="1"/>
  <c r="GM116" i="1"/>
  <c r="GO116" i="1"/>
  <c r="GM98" i="1"/>
  <c r="GN98" i="1"/>
  <c r="AZ154" i="1"/>
  <c r="F170" i="1"/>
  <c r="AP22" i="1"/>
  <c r="AP227" i="1"/>
  <c r="F199" i="1"/>
  <c r="G16" i="2" s="1"/>
  <c r="G18" i="2" s="1"/>
  <c r="AC121" i="1"/>
  <c r="GM96" i="1"/>
  <c r="GO96" i="1"/>
  <c r="GM39" i="1"/>
  <c r="GN39" i="1"/>
  <c r="AD88" i="1"/>
  <c r="Q121" i="1"/>
  <c r="CP29" i="1"/>
  <c r="O29" i="1" s="1"/>
  <c r="AC55" i="1"/>
  <c r="GO90" i="1"/>
  <c r="GM90" i="1"/>
  <c r="AB121" i="1"/>
  <c r="AF26" i="1"/>
  <c r="S55" i="1"/>
  <c r="AZ88" i="1"/>
  <c r="F132" i="1"/>
  <c r="AD26" i="1"/>
  <c r="Q55" i="1"/>
  <c r="BB22" i="1"/>
  <c r="F203" i="1"/>
  <c r="BB227" i="1"/>
  <c r="GM114" i="1"/>
  <c r="GN114" i="1"/>
  <c r="AO22" i="1"/>
  <c r="F194" i="1"/>
  <c r="AO227" i="1"/>
  <c r="GM110" i="1"/>
  <c r="GO110" i="1"/>
  <c r="GO91" i="1"/>
  <c r="AX88" i="1"/>
  <c r="F128" i="1"/>
  <c r="W26" i="1"/>
  <c r="F79" i="1"/>
  <c r="AI121" i="1"/>
  <c r="CB121" i="1"/>
  <c r="AX26" i="1"/>
  <c r="F62" i="1"/>
  <c r="AX190" i="1"/>
  <c r="GM104" i="1"/>
  <c r="GO104" i="1"/>
  <c r="CX68" i="3"/>
  <c r="Q156" i="1"/>
  <c r="R156" i="1"/>
  <c r="I157" i="1"/>
  <c r="P156" i="1"/>
  <c r="W156" i="1"/>
  <c r="S156" i="1"/>
  <c r="V156" i="1"/>
  <c r="GX156" i="1"/>
  <c r="U156" i="1"/>
  <c r="T156" i="1"/>
  <c r="AG88" i="1"/>
  <c r="T121" i="1"/>
  <c r="F66" i="1"/>
  <c r="AZ26" i="1"/>
  <c r="AZ190" i="1"/>
  <c r="GO94" i="1"/>
  <c r="GM94" i="1"/>
  <c r="AI26" i="1"/>
  <c r="V55" i="1"/>
  <c r="AJ88" i="1"/>
  <c r="W121" i="1"/>
  <c r="F166" i="1"/>
  <c r="AX154" i="1"/>
  <c r="AH88" i="1"/>
  <c r="U121" i="1"/>
  <c r="GO115" i="1"/>
  <c r="GM115" i="1"/>
  <c r="AF88" i="1"/>
  <c r="S121" i="1"/>
  <c r="CZ105" i="1"/>
  <c r="Y105" i="1" s="1"/>
  <c r="CY105" i="1"/>
  <c r="X105" i="1" s="1"/>
  <c r="GM105" i="1" s="1"/>
  <c r="BC22" i="1"/>
  <c r="BC227" i="1"/>
  <c r="F206" i="1"/>
  <c r="U26" i="1"/>
  <c r="F77" i="1"/>
  <c r="CJ88" i="1"/>
  <c r="BA121" i="1"/>
  <c r="GM52" i="1"/>
  <c r="GN52" i="1"/>
  <c r="AK121" i="1"/>
  <c r="GM36" i="1"/>
  <c r="GN36" i="1"/>
  <c r="AQ22" i="1"/>
  <c r="F200" i="1"/>
  <c r="AQ227" i="1"/>
  <c r="T26" i="1"/>
  <c r="F76" i="1"/>
  <c r="GM107" i="1"/>
  <c r="GO107" i="1"/>
  <c r="CJ26" i="1"/>
  <c r="BA55" i="1"/>
  <c r="CY93" i="1"/>
  <c r="X93" i="1" s="1"/>
  <c r="GM93" i="1" s="1"/>
  <c r="CZ93" i="1"/>
  <c r="Y93" i="1" s="1"/>
  <c r="T88" i="1" l="1"/>
  <c r="F142" i="1"/>
  <c r="AC159" i="1"/>
  <c r="CP156" i="1"/>
  <c r="O156" i="1" s="1"/>
  <c r="S26" i="1"/>
  <c r="F70" i="1"/>
  <c r="GO93" i="1"/>
  <c r="AC88" i="1"/>
  <c r="CE121" i="1"/>
  <c r="CF121" i="1"/>
  <c r="CH121" i="1"/>
  <c r="P121" i="1"/>
  <c r="Q157" i="1"/>
  <c r="AD159" i="1" s="1"/>
  <c r="R157" i="1"/>
  <c r="AE159" i="1" s="1"/>
  <c r="V157" i="1"/>
  <c r="U157" i="1"/>
  <c r="GX157" i="1"/>
  <c r="T157" i="1"/>
  <c r="AG159" i="1" s="1"/>
  <c r="S157" i="1"/>
  <c r="P157" i="1"/>
  <c r="W157" i="1"/>
  <c r="AL88" i="1"/>
  <c r="Y121" i="1"/>
  <c r="V26" i="1"/>
  <c r="F78" i="1"/>
  <c r="BB18" i="1"/>
  <c r="F240" i="1"/>
  <c r="CB88" i="1"/>
  <c r="AS121" i="1"/>
  <c r="AB88" i="1"/>
  <c r="O121" i="1"/>
  <c r="AP18" i="1"/>
  <c r="F236" i="1"/>
  <c r="AE26" i="1"/>
  <c r="R55" i="1"/>
  <c r="AE88" i="1"/>
  <c r="R121" i="1"/>
  <c r="AI88" i="1"/>
  <c r="V121" i="1"/>
  <c r="CA121" i="1"/>
  <c r="Q88" i="1"/>
  <c r="F133" i="1"/>
  <c r="AH159" i="1"/>
  <c r="CJ159" i="1"/>
  <c r="AO18" i="1"/>
  <c r="F231" i="1"/>
  <c r="Q26" i="1"/>
  <c r="F67" i="1"/>
  <c r="GO105" i="1"/>
  <c r="CC121" i="1" s="1"/>
  <c r="AZ22" i="1"/>
  <c r="F201" i="1"/>
  <c r="AZ227" i="1"/>
  <c r="AK88" i="1"/>
  <c r="X121" i="1"/>
  <c r="BC18" i="1"/>
  <c r="F243" i="1"/>
  <c r="AQ18" i="1"/>
  <c r="F237" i="1"/>
  <c r="AI159" i="1"/>
  <c r="AC26" i="1"/>
  <c r="CE55" i="1"/>
  <c r="CF55" i="1"/>
  <c r="CH55" i="1"/>
  <c r="P55" i="1"/>
  <c r="BD18" i="1"/>
  <c r="F252" i="1"/>
  <c r="BA26" i="1"/>
  <c r="F75" i="1"/>
  <c r="CY156" i="1"/>
  <c r="X156" i="1" s="1"/>
  <c r="CZ156" i="1"/>
  <c r="Y156" i="1" s="1"/>
  <c r="AF159" i="1"/>
  <c r="GM29" i="1"/>
  <c r="CA55" i="1" s="1"/>
  <c r="GN29" i="1"/>
  <c r="CB55" i="1" s="1"/>
  <c r="AB55" i="1"/>
  <c r="Y26" i="1"/>
  <c r="F82" i="1"/>
  <c r="U88" i="1"/>
  <c r="F143" i="1"/>
  <c r="BA88" i="1"/>
  <c r="F141" i="1"/>
  <c r="S88" i="1"/>
  <c r="F136" i="1"/>
  <c r="W88" i="1"/>
  <c r="F145" i="1"/>
  <c r="AJ159" i="1"/>
  <c r="AX22" i="1"/>
  <c r="F197" i="1"/>
  <c r="AX227" i="1"/>
  <c r="X26" i="1"/>
  <c r="F81" i="1"/>
  <c r="AD154" i="1" l="1"/>
  <c r="Q159" i="1"/>
  <c r="R159" i="1"/>
  <c r="AE154" i="1"/>
  <c r="T159" i="1"/>
  <c r="AG154" i="1"/>
  <c r="CC88" i="1"/>
  <c r="AT121" i="1"/>
  <c r="AJ154" i="1"/>
  <c r="W159" i="1"/>
  <c r="CH26" i="1"/>
  <c r="AY55" i="1"/>
  <c r="R26" i="1"/>
  <c r="F69" i="1"/>
  <c r="R190" i="1"/>
  <c r="CP157" i="1"/>
  <c r="O157" i="1" s="1"/>
  <c r="P88" i="1"/>
  <c r="F124" i="1"/>
  <c r="AS88" i="1"/>
  <c r="F138" i="1"/>
  <c r="P26" i="1"/>
  <c r="F58" i="1"/>
  <c r="CF26" i="1"/>
  <c r="AW55" i="1"/>
  <c r="X88" i="1"/>
  <c r="F147" i="1"/>
  <c r="CY157" i="1"/>
  <c r="X157" i="1" s="1"/>
  <c r="AK159" i="1" s="1"/>
  <c r="CZ157" i="1"/>
  <c r="Y157" i="1" s="1"/>
  <c r="AL159" i="1" s="1"/>
  <c r="CH88" i="1"/>
  <c r="AY121" i="1"/>
  <c r="AB159" i="1"/>
  <c r="GP156" i="1"/>
  <c r="GM156" i="1"/>
  <c r="R88" i="1"/>
  <c r="F135" i="1"/>
  <c r="S159" i="1"/>
  <c r="AF154" i="1"/>
  <c r="CE26" i="1"/>
  <c r="AV55" i="1"/>
  <c r="CF88" i="1"/>
  <c r="AW121" i="1"/>
  <c r="AC154" i="1"/>
  <c r="CE159" i="1"/>
  <c r="P159" i="1"/>
  <c r="P190" i="1" s="1"/>
  <c r="CF159" i="1"/>
  <c r="CH159" i="1"/>
  <c r="AZ18" i="1"/>
  <c r="F238" i="1"/>
  <c r="V88" i="1"/>
  <c r="F144" i="1"/>
  <c r="CE88" i="1"/>
  <c r="AV121" i="1"/>
  <c r="CA26" i="1"/>
  <c r="AR55" i="1"/>
  <c r="CA88" i="1"/>
  <c r="AR121" i="1"/>
  <c r="AX18" i="1"/>
  <c r="F234" i="1"/>
  <c r="O55" i="1"/>
  <c r="AB26" i="1"/>
  <c r="V159" i="1"/>
  <c r="AI154" i="1"/>
  <c r="O88" i="1"/>
  <c r="F123" i="1"/>
  <c r="U159" i="1"/>
  <c r="AH154" i="1"/>
  <c r="CB26" i="1"/>
  <c r="AS55" i="1"/>
  <c r="CJ154" i="1"/>
  <c r="BA159" i="1"/>
  <c r="Y88" i="1"/>
  <c r="F148" i="1"/>
  <c r="P22" i="1" l="1"/>
  <c r="F193" i="1"/>
  <c r="P227" i="1"/>
  <c r="AL154" i="1"/>
  <c r="Y159" i="1"/>
  <c r="AK154" i="1"/>
  <c r="X159" i="1"/>
  <c r="R22" i="1"/>
  <c r="R227" i="1"/>
  <c r="F204" i="1"/>
  <c r="AT88" i="1"/>
  <c r="F139" i="1"/>
  <c r="AT190" i="1"/>
  <c r="AS26" i="1"/>
  <c r="F72" i="1"/>
  <c r="AS190" i="1"/>
  <c r="F174" i="1"/>
  <c r="S154" i="1"/>
  <c r="S190" i="1"/>
  <c r="AV88" i="1"/>
  <c r="F126" i="1"/>
  <c r="O26" i="1"/>
  <c r="F57" i="1"/>
  <c r="AV159" i="1"/>
  <c r="CE154" i="1"/>
  <c r="P154" i="1"/>
  <c r="F162" i="1"/>
  <c r="AY26" i="1"/>
  <c r="F63" i="1"/>
  <c r="T154" i="1"/>
  <c r="F180" i="1"/>
  <c r="T190" i="1"/>
  <c r="F182" i="1"/>
  <c r="V154" i="1"/>
  <c r="V190" i="1"/>
  <c r="AW88" i="1"/>
  <c r="F127" i="1"/>
  <c r="CA159" i="1"/>
  <c r="U154" i="1"/>
  <c r="F181" i="1"/>
  <c r="U190" i="1"/>
  <c r="AW26" i="1"/>
  <c r="F61" i="1"/>
  <c r="AW190" i="1"/>
  <c r="R154" i="1"/>
  <c r="F173" i="1"/>
  <c r="CF154" i="1"/>
  <c r="AW159" i="1"/>
  <c r="AV26" i="1"/>
  <c r="F60" i="1"/>
  <c r="AB154" i="1"/>
  <c r="O159" i="1"/>
  <c r="O190" i="1" s="1"/>
  <c r="F183" i="1"/>
  <c r="W154" i="1"/>
  <c r="W190" i="1"/>
  <c r="Q154" i="1"/>
  <c r="F171" i="1"/>
  <c r="Q190" i="1"/>
  <c r="AR88" i="1"/>
  <c r="F149" i="1"/>
  <c r="F150" i="1" s="1"/>
  <c r="F220" i="1" s="1"/>
  <c r="BA154" i="1"/>
  <c r="F179" i="1"/>
  <c r="BA190" i="1"/>
  <c r="AR26" i="1"/>
  <c r="F83" i="1"/>
  <c r="F84" i="1" s="1"/>
  <c r="F219" i="1" s="1"/>
  <c r="CH154" i="1"/>
  <c r="AY159" i="1"/>
  <c r="AY88" i="1"/>
  <c r="F129" i="1"/>
  <c r="GM157" i="1"/>
  <c r="GP157" i="1"/>
  <c r="CD159" i="1" s="1"/>
  <c r="AU159" i="1" l="1"/>
  <c r="CD154" i="1"/>
  <c r="O22" i="1"/>
  <c r="O227" i="1"/>
  <c r="F192" i="1"/>
  <c r="CA154" i="1"/>
  <c r="AR159" i="1"/>
  <c r="AS22" i="1"/>
  <c r="F207" i="1"/>
  <c r="E16" i="2" s="1"/>
  <c r="AS227" i="1"/>
  <c r="AV154" i="1"/>
  <c r="F164" i="1"/>
  <c r="F167" i="1"/>
  <c r="AY154" i="1"/>
  <c r="X154" i="1"/>
  <c r="F185" i="1"/>
  <c r="X190" i="1"/>
  <c r="R18" i="1"/>
  <c r="F241" i="1"/>
  <c r="AY190" i="1"/>
  <c r="Q22" i="1"/>
  <c r="Q227" i="1"/>
  <c r="F202" i="1"/>
  <c r="AV190" i="1"/>
  <c r="AW22" i="1"/>
  <c r="AW227" i="1"/>
  <c r="F196" i="1"/>
  <c r="O154" i="1"/>
  <c r="F161" i="1"/>
  <c r="AT22" i="1"/>
  <c r="AT227" i="1"/>
  <c r="F208" i="1"/>
  <c r="F16" i="2" s="1"/>
  <c r="F18" i="2" s="1"/>
  <c r="V22" i="1"/>
  <c r="F213" i="1"/>
  <c r="V227" i="1"/>
  <c r="U22" i="1"/>
  <c r="U227" i="1"/>
  <c r="F212" i="1"/>
  <c r="S22" i="1"/>
  <c r="S227" i="1"/>
  <c r="F205" i="1"/>
  <c r="J16" i="2" s="1"/>
  <c r="J18" i="2" s="1"/>
  <c r="P18" i="1"/>
  <c r="F230" i="1"/>
  <c r="F221" i="1"/>
  <c r="F186" i="1"/>
  <c r="Y154" i="1"/>
  <c r="Y190" i="1"/>
  <c r="BA22" i="1"/>
  <c r="F210" i="1"/>
  <c r="BA227" i="1"/>
  <c r="W22" i="1"/>
  <c r="W227" i="1"/>
  <c r="F214" i="1"/>
  <c r="AW154" i="1"/>
  <c r="F165" i="1"/>
  <c r="T22" i="1"/>
  <c r="F211" i="1"/>
  <c r="T227" i="1"/>
  <c r="AR154" i="1" l="1"/>
  <c r="F187" i="1"/>
  <c r="F188" i="1" s="1"/>
  <c r="F222" i="1" s="1"/>
  <c r="F223" i="1" s="1"/>
  <c r="F224" i="1" s="1"/>
  <c r="F225" i="1" s="1"/>
  <c r="AR190" i="1"/>
  <c r="AV22" i="1"/>
  <c r="AV227" i="1"/>
  <c r="F195" i="1"/>
  <c r="Q18" i="1"/>
  <c r="F239" i="1"/>
  <c r="Y22" i="1"/>
  <c r="F217" i="1"/>
  <c r="Y227" i="1"/>
  <c r="U18" i="1"/>
  <c r="F249" i="1"/>
  <c r="O18" i="1"/>
  <c r="F229" i="1"/>
  <c r="AY22" i="1"/>
  <c r="F198" i="1"/>
  <c r="AY227" i="1"/>
  <c r="V18" i="1"/>
  <c r="F250" i="1"/>
  <c r="AT18" i="1"/>
  <c r="F245" i="1"/>
  <c r="W18" i="1"/>
  <c r="F251" i="1"/>
  <c r="T18" i="1"/>
  <c r="F248" i="1"/>
  <c r="BA18" i="1"/>
  <c r="F247" i="1"/>
  <c r="AW18" i="1"/>
  <c r="F233" i="1"/>
  <c r="AS18" i="1"/>
  <c r="F244" i="1"/>
  <c r="S18" i="1"/>
  <c r="F242" i="1"/>
  <c r="X22" i="1"/>
  <c r="F216" i="1"/>
  <c r="X227" i="1"/>
  <c r="E18" i="2"/>
  <c r="AU154" i="1"/>
  <c r="F178" i="1"/>
  <c r="AU190" i="1"/>
  <c r="AV18" i="1" l="1"/>
  <c r="F232" i="1"/>
  <c r="X18" i="1"/>
  <c r="F253" i="1"/>
  <c r="Y18" i="1"/>
  <c r="F254" i="1"/>
  <c r="F256" i="1" s="1"/>
  <c r="F257" i="1" s="1"/>
  <c r="AR22" i="1"/>
  <c r="F218" i="1"/>
  <c r="AR227" i="1"/>
  <c r="AU22" i="1"/>
  <c r="F209" i="1"/>
  <c r="H16" i="2" s="1"/>
  <c r="AU227" i="1"/>
  <c r="AY18" i="1"/>
  <c r="F235" i="1"/>
  <c r="H18" i="2" l="1"/>
  <c r="I16" i="2"/>
  <c r="I18" i="2" s="1"/>
  <c r="AU18" i="1"/>
  <c r="F246" i="1"/>
  <c r="AR18" i="1"/>
  <c r="F255" i="1"/>
</calcChain>
</file>

<file path=xl/sharedStrings.xml><?xml version="1.0" encoding="utf-8"?>
<sst xmlns="http://schemas.openxmlformats.org/spreadsheetml/2006/main" count="3745" uniqueCount="562">
  <si>
    <t>Smeta.RU  (495) 974-1589</t>
  </si>
  <si>
    <t>_PS_</t>
  </si>
  <si>
    <t>Smeta.RU</t>
  </si>
  <si>
    <t>ООО "Инженерные коммуникации СТОУН"  Доп. раб. место  MCCS-0028578</t>
  </si>
  <si>
    <t>5 коллектор  Строительство РП-1, 2КЛ-10кВ от ПС "Павелецкая"_(Копия)_(Копия)</t>
  </si>
  <si>
    <t>Сити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t>
  </si>
  <si>
    <t/>
  </si>
  <si>
    <t>11ХОР-7/16 ЭС 1</t>
  </si>
  <si>
    <t>Гапченко И.В.</t>
  </si>
  <si>
    <t>Генеральный директор</t>
  </si>
  <si>
    <t>ООО "Энергии Технологии", 127254, город Москва, Огородный проезд, дом.16, строение 17, комната 306,307,310</t>
  </si>
  <si>
    <t>Захарченко Н.Н.</t>
  </si>
  <si>
    <t>ООО "Инженерные коммуникации СТОУН", 141101, область Московская, район Щёлковский, город Щёлково, улица Заводская, дом 2, корпус 305А, помещение 28</t>
  </si>
  <si>
    <t>Сметные нормы списания</t>
  </si>
  <si>
    <t>Коды ОКП для ТСН-2001 МГЭ</t>
  </si>
  <si>
    <t>ТСН-2001 (МГЭ) - Новое строительство</t>
  </si>
  <si>
    <t>Типовой расчет Smeta.ru вер. 10 для ТСН-2001 МГЭ (Строительство), Доп 53 (от 01.08.2018 г.)</t>
  </si>
  <si>
    <t>Территориальные сметные нормативы для Москвы ТСН-2001 (МГЭ)</t>
  </si>
  <si>
    <t>Поправки для ТСН-2001 от 06.05.2019 г.</t>
  </si>
  <si>
    <t>6</t>
  </si>
  <si>
    <t>Прокладка кабеля 20 кВ в коллекторе "ПС Сити 2"</t>
  </si>
  <si>
    <t>ГУП «МГЦАЖ»</t>
  </si>
  <si>
    <t>Новый раздел</t>
  </si>
  <si>
    <t>Строительные работы</t>
  </si>
  <si>
    <t>1</t>
  </si>
  <si>
    <t>6.69-2-4</t>
  </si>
  <si>
    <t>Пробивка отбойным молотком сквозных отверстий в бетонных стенах и фундаментах толщиной 0,4 м для трубопроводов диаметром 200 мм</t>
  </si>
  <si>
    <t>100 отверстий</t>
  </si>
  <si>
    <t>ТСН-2001.6. Доп. 1-42. Сб. 69, т. 2, поз. 4</t>
  </si>
  <si>
    <t>)*1,15</t>
  </si>
  <si>
    <t>Ремонтно-строительные работы</t>
  </si>
  <si>
    <t>ТСН-2001.6-69. 69-1...69-49</t>
  </si>
  <si>
    <t>ТСН-2001.6-69-1</t>
  </si>
  <si>
    <t>Поправка: о.п.прил.2 п.1</t>
  </si>
  <si>
    <t>2</t>
  </si>
  <si>
    <t>6.69-19-1</t>
  </si>
  <si>
    <t>Погрузка и выгрузка вручную строительного мусора на транспортные средства</t>
  </si>
  <si>
    <t>1 Т</t>
  </si>
  <si>
    <t>ТСН-2001.6. Доп. 1-42. Сб. 69, т. 19, поз. 1</t>
  </si>
  <si>
    <t>Поправка: 6/16</t>
  </si>
  <si>
    <t>3</t>
  </si>
  <si>
    <t>3.34-17-3</t>
  </si>
  <si>
    <t>Устройство трубопроводов из асбестоцементных труб с соединением манжетами полиэтиленовыми до 2-х отверстий (прим. а/ц бусы)</t>
  </si>
  <si>
    <t>1 канало-километр трубопровода</t>
  </si>
  <si>
    <t>ТСН-2001.3. Доп. 1-42. Сб. 34, т. 17, поз. 3</t>
  </si>
  <si>
    <t>*1,15*1,2</t>
  </si>
  <si>
    <t>ТСН-2001.3-34. 34-17...34-28</t>
  </si>
  <si>
    <t>ТСН-2001.3-34-6</t>
  </si>
  <si>
    <t>Поправка: 3/4  Поправка: 3/2  Поправка: 3.34-17/1</t>
  </si>
  <si>
    <t>3,1</t>
  </si>
  <si>
    <t>1.12-3-26</t>
  </si>
  <si>
    <t>Трубы асбестоцементные безнапорные, диаметр условного прохода, мм, 150, внутренний диаметр 141 мм</t>
  </si>
  <si>
    <t>м</t>
  </si>
  <si>
    <t>ТСН-2001.1. Доп. 1-42. Р. 12, о. 3, поз. 26</t>
  </si>
  <si>
    <t>3,2</t>
  </si>
  <si>
    <t>1.12-3-25</t>
  </si>
  <si>
    <t>Трубы асбестоцементные безнапорные, диаметр условного прохода, мм, 100, внутренний диаметр 100 мм</t>
  </si>
  <si>
    <t>ТСН-2001.1. Доп. 1-42. Р. 12, о. 3, поз. 25</t>
  </si>
  <si>
    <t>4</t>
  </si>
  <si>
    <t>3.15-52-1</t>
  </si>
  <si>
    <t>Простое оштукатуривание стен цементно-известковым раствором по камню и бетону внутри зданий</t>
  </si>
  <si>
    <t>100 м2 оштукатуриваемой поверхности</t>
  </si>
  <si>
    <t>ТСН-2001.3. Доп. 1-42. Сб. 15, т. 52, поз. 1</t>
  </si>
  <si>
    <t>Поправка: ТСН-2001.3. Пр.2. п.3  Наименование: Строительство новых объектов в стесненных условиях: на территории действующих предприятий, имеющих разветвленную сеть транспортных и инженерных коммуникаций и стесненные условия для складирования материалов</t>
  </si>
  <si>
    <t>ТСН-2001.3-15. 15-51...15-81</t>
  </si>
  <si>
    <t>ТСН-2001.3-15-7</t>
  </si>
  <si>
    <t>Поправка: ТСН-2001.3. Пр.2. п.3</t>
  </si>
  <si>
    <t>4,1</t>
  </si>
  <si>
    <t>1.1-1-118</t>
  </si>
  <si>
    <t>Вода</t>
  </si>
  <si>
    <t>м3</t>
  </si>
  <si>
    <t>ТСН-2001.1. Доп. 1-42. Р. 1, о. 1, поз. 118</t>
  </si>
  <si>
    <t>4,2</t>
  </si>
  <si>
    <t>1.3-2-29</t>
  </si>
  <si>
    <t>Смеси сухие штукатурные цементно-известково-песчаные для внутренних и наружных работ, для ручного нанесения, В7,5 (М100), F50, крупность заполнителя не более 0,5 мм</t>
  </si>
  <si>
    <t>т</t>
  </si>
  <si>
    <t>ТСН-2001.1. Доп. 1-42. Р. 3, о. 2, поз. 29</t>
  </si>
  <si>
    <t>4,3</t>
  </si>
  <si>
    <t>1.3-2-12</t>
  </si>
  <si>
    <t>Растворы цементно-известковые, марка 50</t>
  </si>
  <si>
    <t>ТСН-2001.1. Доп. 1-42. Р. 3, о. 2, поз. 12</t>
  </si>
  <si>
    <t>5</t>
  </si>
  <si>
    <t>3.8-2-7</t>
  </si>
  <si>
    <t>Гидроизоляция стен, фундаментов боковая обмазочная битумная в 2 слоя по выравненной поверхности бутовой кладки, кирпичу, бетону</t>
  </si>
  <si>
    <t>100 м2 изолируемой поверхности</t>
  </si>
  <si>
    <t>ТСН-2001.3. Доп. 1-42. Сб. 8, т. 2, поз. 7</t>
  </si>
  <si>
    <t>ТСН-2001.3-8. 8-2-2,3,5...7</t>
  </si>
  <si>
    <t>ТСН-2001.3-8-2</t>
  </si>
  <si>
    <t>5,1</t>
  </si>
  <si>
    <t>1.1-1-613</t>
  </si>
  <si>
    <t>Мастика клеящая морозостойкая, марка МБ-50, битумно-масляная</t>
  </si>
  <si>
    <t>ТСН-2001.1. Доп. 1-42. Р. 1, о. 1, поз. 613</t>
  </si>
  <si>
    <t>УСТРОЙСТВО ТРУБОПРОВОДОВ ИЗ АСБЕСТОЦЕМЕНТНЫХ ТРУБ С СОЕДИНЕНИЕМ МАНЖЕТАМИ ПОЛИЭТИЛЕНОВЫМИ ДО 2-Х ОТВЕРСТИЙ (прим. устройство а/ц бус)</t>
  </si>
  <si>
    <t>)*1,15)*1,2</t>
  </si>
  <si>
    <t>Поправка: о.п.2.3  Поправка: т.ч.о.2 п.3.2</t>
  </si>
  <si>
    <t>7</t>
  </si>
  <si>
    <t>6.69-9-1</t>
  </si>
  <si>
    <t>Заделка отверстий в кирпичных стенах в местах прохода трубопроводов</t>
  </si>
  <si>
    <t>ТСН-2001.6. Доп. 1-42. Сб. 69, т. 9, поз. 1</t>
  </si>
  <si>
    <t>*1,15)</t>
  </si>
  <si>
    <t>7,1</t>
  </si>
  <si>
    <t>1.3-1-36</t>
  </si>
  <si>
    <t>СМЕСИ БЕТОННЫЕ, БСГ, ТЯЖЕЛОГО БЕТОНА НА ГРАНИТНОМ ЩЕБНЕ, КЛАСС ПРОЧНОСТИ: В7,5 (М100); П3, ФРАКЦИЯ 5-20</t>
  </si>
  <si>
    <t>ТСН-2001.1. База. Р.3, о.1, поз.36</t>
  </si>
  <si>
    <t>8</t>
  </si>
  <si>
    <t>3.13-31-1</t>
  </si>
  <si>
    <t>Огнезащитное покрытие электрических кабелей, проложенных в коллекторах, мастикой "МПВО" вручную</t>
  </si>
  <si>
    <t>м2 покрытия</t>
  </si>
  <si>
    <t>ТСН-2001.3. Доп. 1-42. Сб. 13, т. 31, поз. 1</t>
  </si>
  <si>
    <t>ТСН-2001.3-13. 13-17-6, 13-17-7, 13-18...13-38</t>
  </si>
  <si>
    <t>ТСН-2001.3-13-3</t>
  </si>
  <si>
    <t>8,1</t>
  </si>
  <si>
    <t>1.1-1-1970</t>
  </si>
  <si>
    <t>Паста огнезащитная терморасширяющаяся для защиты электрических кабелей, марка "Огракс-В1"</t>
  </si>
  <si>
    <t>ТСН-2001.1. Доп. 1-42. Р. 1, о. 1, поз. 1970</t>
  </si>
  <si>
    <t>9</t>
  </si>
  <si>
    <t>6.66-16-1</t>
  </si>
  <si>
    <t>Перекладка кабеля связи в коллекторе при массе 1 п.м. до 3 кг</t>
  </si>
  <si>
    <t>100 М КАБЕЛЯ</t>
  </si>
  <si>
    <t>ТСН-2001.6. Доп. 1-42. Сб. 66, т. 16, поз. 1</t>
  </si>
  <si>
    <t>ТСН-2001.6-66. 66-16, 66-17</t>
  </si>
  <si>
    <t>ТСН-2001.6-66-4</t>
  </si>
  <si>
    <t>10</t>
  </si>
  <si>
    <t>3.33-37-1</t>
  </si>
  <si>
    <t>ПЕРЕРЕЗКА КАБЕЛЯ НОЖОВКОЙ, МАССА КАБЕЛЯ 0,5 - 3 КГ (перевод кабеля из яч. 310 на 106 (РП 19139) и с яч. 106 в яч. 310 (РТП "Базовская")</t>
  </si>
  <si>
    <t>1 перерез</t>
  </si>
  <si>
    <t>ТСН-2001.3. Доп. 1-42. Сб. 33, т. 37, поз. 1</t>
  </si>
  <si>
    <t>Поправка: о.п.2.4  Наименование:  Строительство инженерных сетей и сооружений, а также объектов жилищно-гражданского назначения в стесненных условиях застроенной части города</t>
  </si>
  <si>
    <t>ТСН-2001.3-33. 33-37</t>
  </si>
  <si>
    <t>ТСН-2001.3-33-2</t>
  </si>
  <si>
    <t>Поправка: о.п.2.4</t>
  </si>
  <si>
    <t>11</t>
  </si>
  <si>
    <t>3.33-37-2</t>
  </si>
  <si>
    <t>ПЕРЕРЕЗКА КАБЕЛЯ НОЖОВКОЙ, МАССА КАБЕЛЯ 6 - 13 КГ (перев0д кабеля из яч.25)</t>
  </si>
  <si>
    <t>ТСН-2001.3. Доп. 1-42. Сб. 33, т. 37, поз. 2</t>
  </si>
  <si>
    <t>12</t>
  </si>
  <si>
    <t>3.9-64-2</t>
  </si>
  <si>
    <t>Изготовление мелких индивидуальных конструкций (стремянок, связей, кронштейнов, тормозных конструкций и прочие) (кабельные стойки)</t>
  </si>
  <si>
    <t>1 т конструкций</t>
  </si>
  <si>
    <t>ТСН-2001.3. Доп. 1-42. Сб. 9, т. 64, поз. 2</t>
  </si>
  <si>
    <t>ТСН-2001.3-9. 9-1...9-72</t>
  </si>
  <si>
    <t>ТСН-2001.3-9-1</t>
  </si>
  <si>
    <t>12,1</t>
  </si>
  <si>
    <t>1.1-1-987</t>
  </si>
  <si>
    <t>Пропан-бутан газообразный</t>
  </si>
  <si>
    <t>ТСН-2001.1. Доп. 1-42. Р. 1, о. 1, поз. 987</t>
  </si>
  <si>
    <t>12,2</t>
  </si>
  <si>
    <t>1.1-1-1111</t>
  </si>
  <si>
    <t>Сталь угловая равнополочная общего назначения, марка Ст0, ширина полки 35-70 мм</t>
  </si>
  <si>
    <t>ТСН-2001.1. Доп. 1-42. Р. 1, о. 1, поз. 1111</t>
  </si>
  <si>
    <t>12,3</t>
  </si>
  <si>
    <t>1.1-1-1092</t>
  </si>
  <si>
    <t>Сталь полосовая, марка Ст1сп - Ст6сп, спокойная</t>
  </si>
  <si>
    <t>ТСН-2001.1. Доп. 1-42. Р. 1, о. 1, поз. 1092</t>
  </si>
  <si>
    <t>12,4</t>
  </si>
  <si>
    <t>1.1-1-376</t>
  </si>
  <si>
    <t>Кислород технический газообразный</t>
  </si>
  <si>
    <t>ТСН-2001.1. Доп. 1-42. Р. 1, о. 1, поз. 376</t>
  </si>
  <si>
    <t>13</t>
  </si>
  <si>
    <t>3.13-11-5</t>
  </si>
  <si>
    <t>Окраска металлических огрунтованных поверхностей эмалью КО-811</t>
  </si>
  <si>
    <t>100 м2</t>
  </si>
  <si>
    <t>ТСН-2001.3. Доп. 1-42. Сб. 13, т. 11, поз. 5</t>
  </si>
  <si>
    <t>ТСН-2001.3-13. 13-1...13-16, 13-17-1...13-17-4</t>
  </si>
  <si>
    <t>ТСН-2001.3-13-1</t>
  </si>
  <si>
    <t>13,1</t>
  </si>
  <si>
    <t>1.1-1-2048</t>
  </si>
  <si>
    <t>Эмаль кремнийорганическая, марка КО-811</t>
  </si>
  <si>
    <t>кг</t>
  </si>
  <si>
    <t>ТСН-2001.1. Доп. 1-42. Р. 1, о. 1, поз. 2048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</si>
  <si>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</si>
  <si>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</si>
  <si>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</si>
  <si>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</si>
  <si>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</si>
  <si>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</si>
  <si>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</si>
  <si>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</si>
  <si>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</si>
  <si>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</si>
  <si>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</si>
  <si>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</si>
  <si>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</si>
  <si>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</si>
  <si>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</si>
  <si>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</si>
  <si>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</si>
  <si>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</si>
  <si>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</si>
  <si>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</si>
  <si>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</si>
  <si>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</si>
  <si>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</si>
  <si>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</si>
  <si>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</si>
  <si>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</si>
  <si>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</si>
  <si>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</si>
  <si>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</si>
  <si>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</si>
  <si>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</si>
  <si>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</si>
  <si>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</si>
  <si>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</si>
  <si>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</si>
  <si>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</si>
  <si>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</si>
  <si>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</si>
  <si>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</si>
  <si>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</si>
  <si>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</si>
  <si>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</si>
  <si>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</si>
  <si>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</si>
  <si>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</si>
  <si>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</si>
  <si>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</si>
  <si>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</si>
  <si>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</si>
  <si>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</si>
  <si>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</si>
  <si>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</si>
  <si>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</si>
  <si>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</si>
  <si>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</t>
  </si>
  <si>
    <t>Итого по разделу</t>
  </si>
  <si>
    <t>Монтажные работы</t>
  </si>
  <si>
    <t>4.8-79-5</t>
  </si>
  <si>
    <t>ДЕМОНТАЖ, КАБЕЛИ ДО 35 КВ, ПРОКЛАДЫВАЕМЫЕ ПО УСТАНОВЛЕННЫМ КОНСТРУКЦИЯМ И ЛОТКАМ, КАБЕЛЬ С КРЕПЛЕНИЕМ НА ПОВОРОТАХ И В КОНЦЕ ТРАССЫ, МАССА 1 М: ДО 9 КГ</t>
  </si>
  <si>
    <t>ТСН-2001.4. Доп. 1-42. Сб. 8, т. 79, поз. 5</t>
  </si>
  <si>
    <t>*0</t>
  </si>
  <si>
    <t>*1,15*1,2*0,3</t>
  </si>
  <si>
    <t>Монтаж оборудования</t>
  </si>
  <si>
    <t>ТСН-2001.4-8. 8-73...8-80</t>
  </si>
  <si>
    <t>ТСН-2001.4-8-3</t>
  </si>
  <si>
    <t>Поправка: ТСН-2001.4. О.П. тб1. п.1</t>
  </si>
  <si>
    <t>4.8-309-1</t>
  </si>
  <si>
    <t>Кабели одножильные с изоляцией из сшитого полиэтилена напряжением до 35 кВ с укладкой в треугольник по установленным конструкциям</t>
  </si>
  <si>
    <t>100 м</t>
  </si>
  <si>
    <t>ТСН-2001.4. Доп. 1-42. Сб. 8, т. 309, поз. 1</t>
  </si>
  <si>
    <t>)*1,15)</t>
  </si>
  <si>
    <t>ТСН-2001.4-8. 8-291...292 (доп. 24)</t>
  </si>
  <si>
    <t>ТСН-2001.4-8-29</t>
  </si>
  <si>
    <t>Поправка: ТСН-2001.4. О.П. тб1. п.2</t>
  </si>
  <si>
    <t>4.8-80-3</t>
  </si>
  <si>
    <t>Кабели до 35 кВ в проложенных трубах, блоках и коробах, кабель, масса 1 м, до 3 кг</t>
  </si>
  <si>
    <t>ТСН-2001.4. Доп. 1-42. Сб. 8, т. 80, поз. 3</t>
  </si>
  <si>
    <t>*1,38</t>
  </si>
  <si>
    <t>1.23-7-724</t>
  </si>
  <si>
    <t>Кабели силовые с изоляцией из сшитого полиэтилена,, с медным экраном, в оболочке из ПВХ пластиката пониженной пожароопасности с низким дымо- и газовыделением, напряжение 20000 В, марка АПвВнг(А)-LS, число жил, сечение жилы/сечение экрана 1х500/70 мм2</t>
  </si>
  <si>
    <t>км</t>
  </si>
  <si>
    <t>ТСН-2001.1. Доп. 1-42. Р. 23, о. 7, поз. 724</t>
  </si>
  <si>
    <t>Материалы монтажные</t>
  </si>
  <si>
    <t>ТСН-2001.1 Материалы монтажные</t>
  </si>
  <si>
    <t>ТСН-2001.1-2</t>
  </si>
  <si>
    <t>1.23-7-723</t>
  </si>
  <si>
    <t>Кабели силовые с изоляцией из сшитого полиэтилена, в оболочке из полиэтилена увеличенной толщины, с двойной и дополнительной продольной герметизацией жил, напряжение 20000 В, марка АПвПу2гж, число жил, сечение жилы/сечение экрана 1х500/70 мм2</t>
  </si>
  <si>
    <t>ТСН-2001.1. Доп. 1-42. Р. 23, о. 7, поз. 723</t>
  </si>
  <si>
    <t>1.23-7-386</t>
  </si>
  <si>
    <t>КАБЕЛИ СИЛОВЫЕ С ИЗОЛЯЦИЕЙ ИЗ СШИТОГО ПОЛИЭТИЛЕНА, НАПРЯЖЕНИЕ 10000 В, С ОДНОЙ МНОГОПРОВОЛОЧНОЙ ЖИЛОЙ И С МЕДНЫМ ЭКРАНОМ, МАРКА АПВВНГ - 1Х240/50 ММ2</t>
  </si>
  <si>
    <t>ТСН-2001.1. База. Р.23, о.7, поз.386</t>
  </si>
  <si>
    <t>1.12-2-1165</t>
  </si>
  <si>
    <t>Хомуты из оцинкованной стали с резиновыми прокладками для жесткого и скользящего крепления полипропиленовых труб, наружный диаметр 50  мм (прим. аллюминиевый хомут)</t>
  </si>
  <si>
    <t>шт.</t>
  </si>
  <si>
    <t>ТСН-2001.1 Доп. 46, Р. 12, о. 2, поз. 1165</t>
  </si>
  <si>
    <t>Материалы строительные</t>
  </si>
  <si>
    <t>ТСН-2001.1 Материалы строительные</t>
  </si>
  <si>
    <t>ТСН-2001.1-1</t>
  </si>
  <si>
    <t>сч.ф. 234 от 27.07.2018г.</t>
  </si>
  <si>
    <t>Хомут AL для трех кабелей д.40мм с резиновой прокладкой</t>
  </si>
  <si>
    <t>ШТ</t>
  </si>
  <si>
    <t>*1,02</t>
  </si>
  <si>
    <t>Материалы</t>
  </si>
  <si>
    <t>Материалы, изделия и конструкции</t>
  </si>
  <si>
    <t>[101,69 /  5,36]</t>
  </si>
  <si>
    <t>14</t>
  </si>
  <si>
    <t>15</t>
  </si>
  <si>
    <t>сч.ф. 306 от 10.10.2018г.</t>
  </si>
  <si>
    <t>16</t>
  </si>
  <si>
    <t>4.10-108-11</t>
  </si>
  <si>
    <t>Консоль в коллекторе четырехместная</t>
  </si>
  <si>
    <t>1  ШТ.</t>
  </si>
  <si>
    <t>ТСН-2001.4. Доп. 1-42. Сб. 10, т. 108, поз. 11</t>
  </si>
  <si>
    <t>*1,15</t>
  </si>
  <si>
    <t>ТСН-2001.4-10. 10-92...10-114, 10-115-1...10-115-25</t>
  </si>
  <si>
    <t>ТСН-2001.4-10-2</t>
  </si>
  <si>
    <t>17</t>
  </si>
  <si>
    <t>1.14-1-9</t>
  </si>
  <si>
    <t>Консоли кабельные</t>
  </si>
  <si>
    <t>ТСН-2001.1. Доп. 1-42. Р. 14, о. 1, поз. 9</t>
  </si>
  <si>
    <t>18</t>
  </si>
  <si>
    <t>4.8-83-1</t>
  </si>
  <si>
    <t>Демонтаж. Конструкции металлические кабельные, полка-кронштейн из угловой стали</t>
  </si>
  <si>
    <t>ТСН-2001.4. Доп. 1-42. Сб. 8, т. 83, поз. 1</t>
  </si>
  <si>
    <t>)*0</t>
  </si>
  <si>
    <t>)*0,3)*1,15)</t>
  </si>
  <si>
    <t>ТСН-2001.4-8. 8-81...8-83</t>
  </si>
  <si>
    <t>ТСН-2001.4-8-4</t>
  </si>
  <si>
    <t>Поправка: ТСН-2001.4. О.П. п.6.1.1.3  Поправка: ТСН-2001.4. О.П. тб1. п.2  Поправка: ТСН-2001.4. О.П. тб1. п.3</t>
  </si>
  <si>
    <t>19</t>
  </si>
  <si>
    <t>ДЕМОНТАЖ.КОНСТРУКЦИИ МЕТАЛЛИЧЕСКИЕ КАБЕЛЬНЫЕ, ПОЛКА-КРОНШТЕЙН ИЗ УГЛОВОЙ СТАЛИ с последующим монтажом</t>
  </si>
  <si>
    <t>*1,15*1,2*0,4</t>
  </si>
  <si>
    <t>Поправка: 4/3  Поправка: 4/6</t>
  </si>
  <si>
    <t>20</t>
  </si>
  <si>
    <t>КОНСТРУКЦИИ МЕТАЛЛИЧЕСКИЕ КАБЕЛЬНЫЕ, ПОЛКА-КРОНШТЕЙН ИЗ УГЛОВОЙ СТАЛИ сущ.</t>
  </si>
  <si>
    <t>21</t>
  </si>
  <si>
    <t>4.8-83-3</t>
  </si>
  <si>
    <t>Конструкции металлические кабельные, конструкция сварная (Кабельная стойка)</t>
  </si>
  <si>
    <t>ТСН-2001.4. Доп. 1-42. Сб. 8, т. 83, поз. 3</t>
  </si>
  <si>
    <t>Поправка: ТСН-2001.4. О.П. тб1. п.2  Поправка: ТСН-2001.4. О.П. тб1. п.3</t>
  </si>
  <si>
    <t>22</t>
  </si>
  <si>
    <t>Конструкции металлические кабельные, полка-кронштейн из угловой стали</t>
  </si>
  <si>
    <t>23</t>
  </si>
  <si>
    <t>4.8-85-1</t>
  </si>
  <si>
    <t>Демонтаж. Плиты асбестоцементные между проложенными кабелями на кабельных конструкциях</t>
  </si>
  <si>
    <t>ТСН-2001.4. Доп. 1-42. Сб. 8, т. 85, поз. 1</t>
  </si>
  <si>
    <t>)*0,3)*1,15)*1,2</t>
  </si>
  <si>
    <t>ТСН-2001.4-8. 8-84...8-94</t>
  </si>
  <si>
    <t>ТСН-2001.4-8-5</t>
  </si>
  <si>
    <t>24</t>
  </si>
  <si>
    <t>ДЕМОНТАЖ. ПЛИТЫ АСБЕСТОЦЕМЕНТНЫЕ МЕЖДУ ПРОЛОЖЕННЫМИ КАБЕЛЯМИ НА КАБЕЛЬНЫХ КОНСТРУКЦИЯХ</t>
  </si>
  <si>
    <t>*0,552</t>
  </si>
  <si>
    <t>Поправка: 4/3  Поправка: 4/2  Поправка: 4/6</t>
  </si>
  <si>
    <t>25</t>
  </si>
  <si>
    <t>ПЛИТЫ АСБЕСТОЦЕМЕНТНЫЕ МЕЖДУ ПРОЛОЖЕННЫМИ КАБЕЛЯМИ НА КАБЕЛЬНЫХ КОНСТРУКЦИЯХ (существующие)</t>
  </si>
  <si>
    <t>26</t>
  </si>
  <si>
    <t>Плиты асбестоцементные между проложенными кабелями на кабельных конструкциях</t>
  </si>
  <si>
    <t>27</t>
  </si>
  <si>
    <t>сч.ф. №239 от 01.08.2018г.</t>
  </si>
  <si>
    <t>Лист АЦЭИД в размере 1500х500х10мм</t>
  </si>
  <si>
    <t>[193,22 /  5,36]</t>
  </si>
  <si>
    <t>28</t>
  </si>
  <si>
    <t>сч.ф.№258 от 21.08.2018г.</t>
  </si>
  <si>
    <t>Соединитель перегородок К168 АЦП из оцинк. стали</t>
  </si>
  <si>
    <t>[10,17 /  5,36]</t>
  </si>
  <si>
    <t>29</t>
  </si>
  <si>
    <t>1.1-1-562</t>
  </si>
  <si>
    <t>Листы асбестоцементные плоские, большеразмерные, прессованные, толщина 10 мм</t>
  </si>
  <si>
    <t>м2</t>
  </si>
  <si>
    <t>ТСН-2001.1. Доп. 1-42. Р. 1, о. 1, поз. 562</t>
  </si>
  <si>
    <t>30</t>
  </si>
  <si>
    <t>4.10-14-1</t>
  </si>
  <si>
    <t>Кабель на одном объекте от 10 до 50 км с вязкой пакетами</t>
  </si>
  <si>
    <t>ТСН-2001.4. Доп. 1-42. Сб. 10, т. 14, поз. 1</t>
  </si>
  <si>
    <t>ТСН-2001.4-10. 10-1...10-91</t>
  </si>
  <si>
    <t>ТСН-2001.4-10-1</t>
  </si>
  <si>
    <t>31</t>
  </si>
  <si>
    <t>4.10-14-2</t>
  </si>
  <si>
    <t>Кабель на одном объекте от 10 до 50 км без вязки пакетами</t>
  </si>
  <si>
    <t>ТСН-2001.4. Доп. 1-42. Сб. 10, т. 14, поз. 2</t>
  </si>
  <si>
    <t>32</t>
  </si>
  <si>
    <t>1.21-5-927</t>
  </si>
  <si>
    <t>Хомуты (стяжки) кабельные из полиамида, размеры 3,6х290 мм</t>
  </si>
  <si>
    <t>100 шт.</t>
  </si>
  <si>
    <t>ТСН-2001.1. Доп. 1-42. Р. 21, о. 5, поз. 927</t>
  </si>
  <si>
    <t>33</t>
  </si>
  <si>
    <t>4.8-304-2</t>
  </si>
  <si>
    <t>Муфты соединительные для одножильного экранированного кабеля с изоляцией из сшитого полиэтилена, напряжением до 35 кВ</t>
  </si>
  <si>
    <t>1 комплект</t>
  </si>
  <si>
    <t>ТСН-2001.4. Доп. 1-42. Сб. 8, т. 304, поз. 2</t>
  </si>
  <si>
    <t>34</t>
  </si>
  <si>
    <t>1.21-5-1166</t>
  </si>
  <si>
    <t>Муфты соединительные и ремонтные для экранированных одножильных кабелей с пластмассовой изоляцией, напряжение 20 кВ, с болтовыми соединителями, тип POLJ 24/1Х240-400</t>
  </si>
  <si>
    <t>компл.</t>
  </si>
  <si>
    <t>ТСН-2001.1. Доп. 1-42. Р. 21, о. 5, поз. 1166</t>
  </si>
  <si>
    <t>15.1-28-10</t>
  </si>
  <si>
    <t>Перевозка строительного мусора на расстояние 28 км автосамосвалами грузоподъемностью до 10 т</t>
  </si>
  <si>
    <t>ТСН-2001.15. Доп. 1-42. Сб. 1, т. 28, поз. 10</t>
  </si>
  <si>
    <t>Транспортные затраты</t>
  </si>
  <si>
    <t>ТСН-2001.15-1. Содержание свалки</t>
  </si>
  <si>
    <t>ТСН-2001.15-1-2</t>
  </si>
  <si>
    <t>15.1-0-1</t>
  </si>
  <si>
    <t>Размещение строительного мусора</t>
  </si>
  <si>
    <t>ТСН-2001.15 Доп. 44, Сб. 1, т. 0, поз. 1</t>
  </si>
  <si>
    <t>Стр</t>
  </si>
  <si>
    <t>Монт</t>
  </si>
  <si>
    <t>вр</t>
  </si>
  <si>
    <t>Временные здания и сооружения 1,5%</t>
  </si>
  <si>
    <t>пр</t>
  </si>
  <si>
    <t>ит</t>
  </si>
  <si>
    <t>Итого</t>
  </si>
  <si>
    <t>НДС</t>
  </si>
  <si>
    <t>НДС-20%</t>
  </si>
  <si>
    <t>вс</t>
  </si>
  <si>
    <t>Всего по смете  с НДС</t>
  </si>
  <si>
    <t>НД</t>
  </si>
  <si>
    <t>сНДС</t>
  </si>
  <si>
    <t>Уровень цен</t>
  </si>
  <si>
    <t>Сборник индексов</t>
  </si>
  <si>
    <t>Коэффициенты к ТСН-2001 МГЭ</t>
  </si>
  <si>
    <t>149</t>
  </si>
  <si>
    <t>_OBSM_</t>
  </si>
  <si>
    <t>9999990008</t>
  </si>
  <si>
    <t>Трудозатраты рабочих</t>
  </si>
  <si>
    <t>чел.-ч.</t>
  </si>
  <si>
    <t>2.1-10-4</t>
  </si>
  <si>
    <t>ТСН-2001.2. Доп. 46. п.1-10-4 (101001)</t>
  </si>
  <si>
    <t>Компрессоры прицепные с двигателем внутреннего сгорания, производительность до 2,5 м3/мин, мощность двигателя до 23 кВт (31,3 л.с.)</t>
  </si>
  <si>
    <t>маш.-ч.</t>
  </si>
  <si>
    <t>2.1-30-54</t>
  </si>
  <si>
    <t>ТСН-2001.2. Доп. 1-42, п. 1-30-54 (308901)</t>
  </si>
  <si>
    <t>Молотки отбойные</t>
  </si>
  <si>
    <t>МТСН 81.1-98. База. Р.12, о.3, поз.26</t>
  </si>
  <si>
    <t>ТРУБЫ АСБЕСТОЦЕМЕНТНЫЕ БЕЗНАПОРНЫЕ, ДИАМЕТР УСЛОВНОГО ПРОХОДА, ММ, 150, ВНУТРЕННИЙ ДИАМЕТР 141 ММ</t>
  </si>
  <si>
    <t>1.12-5-115</t>
  </si>
  <si>
    <t>ТСН-2001.1. База. Р.12, о.5, поз.115</t>
  </si>
  <si>
    <t>МУФТЫ ПОЛИЭТИЛЕНОВЫЕ, ДИАМЕТР 100 ММ</t>
  </si>
  <si>
    <t>10 шт.</t>
  </si>
  <si>
    <t>9999990006</t>
  </si>
  <si>
    <t>Стоимость прочих материалов (ЭСН)</t>
  </si>
  <si>
    <t>руб.</t>
  </si>
  <si>
    <t>2.1-6-33</t>
  </si>
  <si>
    <t>ТСН-2001.2. Доп. 1-42, п. 1-6-33 (067501)</t>
  </si>
  <si>
    <t>Растворонасосы, производительность до 1 м3/ч</t>
  </si>
  <si>
    <t>9999990007</t>
  </si>
  <si>
    <t>Стоимость прочих машин (ЭСН)</t>
  </si>
  <si>
    <t>1.1-1-1029</t>
  </si>
  <si>
    <t>ТСН-2001.1. Доп. 1-42. Р. 1, о. 1, поз. 1029</t>
  </si>
  <si>
    <t>Сетка проволочная штукатурная тканая, квадрат 5х5 мм, толщина 1,6 мм</t>
  </si>
  <si>
    <t>ТСН-2001.1. База. Р.12, о.3, поз.25</t>
  </si>
  <si>
    <t>ТРУБЫ АСБЕСТОЦЕМЕНТНЫЕ БЕЗНАПОРНЫЕ, ДИАМЕТР УСЛОВНОГО ПРОХОДА, ММ, 100, ВНУТРЕННИЙ ДИАМЕТР 100 ММ</t>
  </si>
  <si>
    <t>1.1-1-132</t>
  </si>
  <si>
    <t>ТСН-2001.1. База. Р.1, о.1, поз.132</t>
  </si>
  <si>
    <t>ГВОЗДИ СТРОИТЕЛЬНЫЕ</t>
  </si>
  <si>
    <t>1.1-1-221</t>
  </si>
  <si>
    <t>ТСН-2001.1. База. Р.1, о.1, поз.221</t>
  </si>
  <si>
    <t>ДОСКИ ХВОЙНЫХ ПОРОД, ОБРЕЗНЫЕ, ДЛИНА 2-6,5 М, СОРТ II, ТОЛЩИНА 25-32 ММ</t>
  </si>
  <si>
    <t>1.1-1-79</t>
  </si>
  <si>
    <t>ТСН-2001.1. База. Р.1, о.1, поз.79</t>
  </si>
  <si>
    <t>БРУСКИ ХВОЙНЫХ ПОРОД ОБРЕЗНЫЕ, ДЛИНА 2-6,5 М, СОРТ III, ТОЛЩИНА 50-60 ММ</t>
  </si>
  <si>
    <t>2.1-30-6</t>
  </si>
  <si>
    <t>ТСН-2001.2. Доп. 1-42, п. 1-30-6 (303701)</t>
  </si>
  <si>
    <t>Дрели электрические</t>
  </si>
  <si>
    <t>1.1-1-1090</t>
  </si>
  <si>
    <t>ТСН-2001.1. База. Р.1, о.1, поз.1090</t>
  </si>
  <si>
    <t>СТАЛЬ ПОЛОСОВАЯ, МАРКА СТ0, УГЛЕРОДИСТАЯ КИПЯЩАЯ</t>
  </si>
  <si>
    <t>1.1-1-226</t>
  </si>
  <si>
    <t>ТСН-2001.1. База. Р.1, о.1, поз.226</t>
  </si>
  <si>
    <t>ДОСКИ ХВОЙНЫХ ПОРОД, ОБРЕЗНЫЕ, ДЛИНА 2-6,5 М, СОРТ III, ТОЛЩИНА 25-32 ММ</t>
  </si>
  <si>
    <t>1.1-1-227</t>
  </si>
  <si>
    <t>ТСН-2001.1. База. Р.1, о.1, поз.227</t>
  </si>
  <si>
    <t>ДОСКИ ХВОЙНЫХ ПОРОД, ОБРЕЗНЫЕ, ДЛИНА 2-6,5 М, СОРТ III, ТОЛЩИНА 40-60 ММ</t>
  </si>
  <si>
    <t>1.1-1-26</t>
  </si>
  <si>
    <t>ТСН-2001.1. База. Р.1, о.1, поз.26</t>
  </si>
  <si>
    <t>АЦЕТИЛЕН ТЕХНИЧЕСКИЙ</t>
  </si>
  <si>
    <t>ТСН-2001.1. База. Р.1, о.1, поз.376</t>
  </si>
  <si>
    <t>КИСЛОРОД ТЕХНИЧЕСКИЙ ГАЗООБРАЗНЫЙ</t>
  </si>
  <si>
    <t>1.1-1-764</t>
  </si>
  <si>
    <t>ТСН-2001.1. База. Р.1, о.1, поз.764</t>
  </si>
  <si>
    <t>МАТЕРИАЛ КРОВЕЛЬНЫЙ, ПЕРГАМИН, МАРКА П-350</t>
  </si>
  <si>
    <t>2.1-13-14</t>
  </si>
  <si>
    <t>ТСН-2001.2. Доп. 1-42, п. 1-13-14 (136001)</t>
  </si>
  <si>
    <t>Установки для сварки ручной дуговой (постоянного тока)</t>
  </si>
  <si>
    <t>2.1-13-16</t>
  </si>
  <si>
    <t>ТСН-2001.2. Доп. 1-42, п. 1-13-16 (136301)</t>
  </si>
  <si>
    <t>Аппараты для газовой сварки и резки</t>
  </si>
  <si>
    <t>2.1-30-19</t>
  </si>
  <si>
    <t>ТСН-2001.2. Доп. 1-42, п. 1-30-19 (305001)</t>
  </si>
  <si>
    <t>Машины шлифовальные электрические</t>
  </si>
  <si>
    <t>2.1-30-37</t>
  </si>
  <si>
    <t>ТСН-2001.2. Доп. 1-42, п. 1-30-37 (307101)</t>
  </si>
  <si>
    <t>Станки сверлильные</t>
  </si>
  <si>
    <t>2.1-30-64</t>
  </si>
  <si>
    <t>ТСН-2001.2. Доп. 1-42, п. 1-30-64 (331001)</t>
  </si>
  <si>
    <t>Пресс-ножницы комбинированные</t>
  </si>
  <si>
    <t>1.1-1-1566</t>
  </si>
  <si>
    <t>ТСН-2001.1. Доп. 1-42. Р. 1, о. 1, поз. 1566</t>
  </si>
  <si>
    <t>Электроды, тип Э-42, 46, 50, диаметр 4 - 6 мм</t>
  </si>
  <si>
    <t>2.1-10-12</t>
  </si>
  <si>
    <t>ТСН-2001.2. Доп. 1-42, п. 1-10-12 (105001)</t>
  </si>
  <si>
    <t>Электрокомпрессоры прицепные, производительность до 3,5 м3/мин</t>
  </si>
  <si>
    <t>1.1-1-489</t>
  </si>
  <si>
    <t>ТСН-2001.1. Доп. 1-42. Р. 1, о. 1, поз. 489</t>
  </si>
  <si>
    <t>Ксилол нефтяной, марка А</t>
  </si>
  <si>
    <t>ТСН-2001.1. Доп. 1-42. Р. 12, о. 5, поз. 115</t>
  </si>
  <si>
    <t>Муфты полиэтиленовые, диаметр 100 мм</t>
  </si>
  <si>
    <t>0131000000</t>
  </si>
  <si>
    <t>5745120000</t>
  </si>
  <si>
    <t>Смеси сухие для штукатурных работ</t>
  </si>
  <si>
    <t>5745520000</t>
  </si>
  <si>
    <t>Растворы тяжелые цементно-известковые, марки 75</t>
  </si>
  <si>
    <t>5775340000</t>
  </si>
  <si>
    <t>Мастика клеящая морозостойкая битумно-масляная МБ-50</t>
  </si>
  <si>
    <t>ТСН-2001.1. Доп. 1-42. Р. 1, о. 1, поз. 132</t>
  </si>
  <si>
    <t>Гвозди строительные</t>
  </si>
  <si>
    <t>ТСН-2001.1. Доп. 1-42. Р. 1, о. 1, поз. 221</t>
  </si>
  <si>
    <t>Доски хвойных пород, обрезные, длина 2-6,5 м, сорт II, толщина 25-32 мм</t>
  </si>
  <si>
    <t>ТСН-2001.1. Доп. 1-42. Р. 1, о. 1, поз. 79</t>
  </si>
  <si>
    <t>Бруски хвойных пород обрезные, длина 2-6,5 м, сорт III, толщина 50-60 мм</t>
  </si>
  <si>
    <t>5745010000</t>
  </si>
  <si>
    <t>Бетон (класс по проекту)</t>
  </si>
  <si>
    <t>2257420000</t>
  </si>
  <si>
    <t>Состав огнезащитный, марка "МПВО"</t>
  </si>
  <si>
    <t>ТСН-2001.1. Доп. 1-42. Р. 1, о. 1, поз. 1090</t>
  </si>
  <si>
    <t>Сталь полосовая, марка Ст0, углеродистая кипящая</t>
  </si>
  <si>
    <t>ТСН-2001.1. Доп. 1-42. Р. 1, о. 1, поз. 226</t>
  </si>
  <si>
    <t>Доски хвойных пород, обрезные, длина 2-6,5 м, сорт III, толщина 25-32 мм</t>
  </si>
  <si>
    <t>ТСН-2001.1. Доп. 1-42. Р. 1, о. 1, поз. 227</t>
  </si>
  <si>
    <t>Доски хвойных пород, обрезные, длина 2-6,5 м, сорт III, толщина 40-60 мм</t>
  </si>
  <si>
    <t>ТСН-2001.1. Доп. 1-42. Р. 1, о. 1, поз. 26</t>
  </si>
  <si>
    <t>Ацетилен технический</t>
  </si>
  <si>
    <t>ТСН-2001.1. Доп. 1-42. Р. 1, о. 1, поз. 764</t>
  </si>
  <si>
    <t>Материал кровельный, пергамин, марка П-350</t>
  </si>
  <si>
    <t>0272310000</t>
  </si>
  <si>
    <t>Пропан-бутан</t>
  </si>
  <si>
    <t>0930110000</t>
  </si>
  <si>
    <t>Металл для изготовления конструкций</t>
  </si>
  <si>
    <t>2114110000</t>
  </si>
  <si>
    <t>Кислород</t>
  </si>
  <si>
    <t>2312720000</t>
  </si>
  <si>
    <t>Эмаль КО -811</t>
  </si>
  <si>
    <t>3538851000</t>
  </si>
  <si>
    <t>Кабели с изоляцией из сшитого полиэтилена</t>
  </si>
  <si>
    <t>3449630000</t>
  </si>
  <si>
    <t>Муфты соединительные термоусаживаемые (359900)</t>
  </si>
  <si>
    <t>Поправка: о.п.прил.2 п.1  Наименование:  Производство в эксплуатируемых зданиях всех назначений, в действующих цехах и на производственных площадках в связи с наличием в зоне производства работ действующего технологического оборудования, загромождающих помещения предметов или движения транспорта по внутрицеховым путям</t>
  </si>
  <si>
    <t>Поправка: 3/4  Наименование:  Строительство инженерных сетей и сооружений, а также объектов жилищно-гражданского назначения в стесненных условиях застроенной части города  Поправка: 3/2  Наименование:  Производство строительных работ в закрытых сооружениях (помещениях), находящихся ниже 3м от поверхности земли  Поправка: 3.34-17/1  Наименование:  Вблизи действующих кабелей</t>
  </si>
  <si>
    <t>Поправка: о.п.2.3  Наименование:  Строительство новых объектов в стесненных условиях: на территории действующих предприятий, имеющих разветвленную сеть транспортных и инженерных коммуникаций и стесненные условия для складирования материалов  Поправка: т.ч.о.2 п.3.2  Наименование:  Вблизи действующих кабелей</t>
  </si>
  <si>
    <t>Поправка: ТСН-2001.4. О.П. тб1. п.3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  Поправка: ТСН-2001.4. О.П. тб1. п.2  Наименование: На предприятиях (в цехах на производственных площадях), остановленных для производства строительно-монтажных работ, а также в зданиях и сооружениях всех назначений при наличии в зоне производства работ загромоаждающих помещение предметов (станков, установок, аппаратов, эксплуатационного и лабораторного оборудования, оргтехники, мебели и т.п.)  Поправка: ТСН-2001.4. О.П. тб1. п.6  Наименование: При выполнении работ в закрытых сооружениях (помещениях), находящихся ниже 3 м от поверхности земли</t>
  </si>
  <si>
    <t>Поправка: ТСН-2001.4. О.П. п.6.1.1.3  Наименование: Демонтаж оборудования, предназначенного в лом  Поправка: ТСН-2001.4. О.П. тб1. п.2  Наименование: На предприятиях (в цехах на производственных площадях), остановленных для производства строительно-монтажных работ, а также в зданиях и сооружениях всех назначений при наличии в зоне производства работ загромоаждающих помещение предметов (станков, установок, аппаратов, эксплуатационного и лабораторного оборудования, оргтехники, мебели и т.п.)</t>
  </si>
  <si>
    <t>Поправка: 4/3  Наименование: 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  Поправка: 4/6  Наименование:  При выполнении работ в закрытых сооружениях (помещениях), находящихся ниже 3 м от поверхности земли</t>
  </si>
  <si>
    <t>Поправка: ТСН-2001.4. О.П. тб1. п.2  Наименование: На предприятиях (в цехах на производственных площадях), остановленных для производства строительно-монтажных работ, а также в зданиях и сооружениях всех назначений при наличии в зоне производства работ загромоаждающих помещение предметов (станков, установок, аппаратов, эксплуатационного и лабораторного оборудования, оргтехники, мебели и т.п.)  Поправка: ТСН-2001.4. О.П. тб1. п.3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</si>
  <si>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Поправка: 4/3  Наименование: 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  Поправка: 4/2  Наименование:  На предприятиях (в цехах на производственных площадях), остановленных для производства строительно-монтажных работ, а также в зданиях и сооружениях всех назначений при наличии в зоне производства работ заграждающих помещение предметов (станков, установок, аппаратов, эксплуатационного и лабораторного оборудования, оргтехники, мебели и т.п.)  Поправка: 4/6  Наименование:  При выполнении работ в закрытых сооружениях (помещениях), находящихся ниже 3 м от поверхности земли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</si>
  <si>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</si>
  <si>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</si>
  <si>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</si>
  <si>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 xml:space="preserve">Кроме того: 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</si>
  <si>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</si>
  <si>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</si>
  <si>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</si>
  <si>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</si>
  <si>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</si>
  <si>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</si>
  <si>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</si>
  <si>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</si>
  <si>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ВСЕГО в базисном уровне цен, руб.</t>
  </si>
  <si>
    <t>Коэфф. пересчета и нормы НР и СП</t>
  </si>
  <si>
    <t>Всего в текущем уровне цен, руб.</t>
  </si>
  <si>
    <t>Форма № 1б</t>
  </si>
  <si>
    <t>Составлен(а) в уровне текущих (прогнозных) цен Коэффициенты к ТСН-2001 МГЭ №149 февраль 2019 года</t>
  </si>
  <si>
    <t>ЗП</t>
  </si>
  <si>
    <t>НР от ЗП</t>
  </si>
  <si>
    <t>%</t>
  </si>
  <si>
    <t>СП от ЗП</t>
  </si>
  <si>
    <t>ЗТР</t>
  </si>
  <si>
    <t>чел-ч</t>
  </si>
  <si>
    <t xml:space="preserve">   Итого по ТСН-2001.16</t>
  </si>
  <si>
    <t xml:space="preserve">   Итого возвратных сумм</t>
  </si>
  <si>
    <t>ЭМ</t>
  </si>
  <si>
    <t>в т.ч. ЗПМ</t>
  </si>
  <si>
    <t>МР</t>
  </si>
  <si>
    <t>НР и СП от ЗПМ</t>
  </si>
  <si>
    <r>
      <t>Хомут AL для трех кабелей д.40мм с резиновой прокладкой</t>
    </r>
    <r>
      <rPr>
        <i/>
        <sz val="10"/>
        <rFont val="Arial"/>
        <family val="2"/>
        <charset val="204"/>
      </rPr>
      <t xml:space="preserve">
Базисная стоимость: 18,97 = [101,69 /  5,36]</t>
    </r>
  </si>
  <si>
    <r>
      <t>Лист АЦЭИД в размере 1500х500х10мм</t>
    </r>
    <r>
      <rPr>
        <i/>
        <sz val="10"/>
        <rFont val="Arial"/>
        <family val="2"/>
        <charset val="204"/>
      </rPr>
      <t xml:space="preserve">
Базисная стоимость: 36,05 = [193,22 /  5,36]</t>
    </r>
  </si>
  <si>
    <r>
      <t>Соединитель перегородок К168 АЦП из оцинк. стали</t>
    </r>
    <r>
      <rPr>
        <i/>
        <sz val="10"/>
        <rFont val="Arial"/>
        <family val="2"/>
        <charset val="204"/>
      </rPr>
      <t xml:space="preserve">
Базисная стоимость: 1,90 = [10,17 /  5,36]</t>
    </r>
  </si>
  <si>
    <t xml:space="preserve">  тыс.руб</t>
  </si>
  <si>
    <t xml:space="preserve">Составил   </t>
  </si>
  <si>
    <t>[должность,подпись(инициалы,фамилия)]</t>
  </si>
  <si>
    <t xml:space="preserve">Проверил   </t>
  </si>
  <si>
    <t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t>
  </si>
  <si>
    <t>Инженер сметчик I категории</t>
  </si>
  <si>
    <t>Калинкина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</si>
</sst>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#,##0.00####;[Red]\-\ #,##0.00####"/>
  </numFmts>
  <fonts count="20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6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0" fillId="0" borderId="0" xfId="0" applyNumberFormat="1"/>
    <xf numFmtId="0" fontId="0" fillId="0" borderId="5" xfId="0" applyBorder="1"/>
    <xf numFmtId="164" fontId="16" fillId="0" borderId="0" xfId="0" applyNumberFormat="1" applyFont="1" applyAlignment="1">
      <alignment horizontal="right"/>
    </xf>
    <xf numFmtId="0" fontId="17" fillId="0" borderId="0" xfId="0" applyFont="1" applyAlignment="1">
      <alignment horizontal="left" wrapText="1"/>
    </xf>
    <xf numFmtId="0" fontId="11" fillId="0" borderId="1" xfId="0" applyFont="1" applyBorder="1"/>
    <xf numFmtId="0" fontId="19" fillId="0" borderId="0" xfId="0" applyFont="1"/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7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right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164" fontId="17" fillId="0" borderId="5" xfId="0" applyNumberFormat="1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11" fillId="0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1" xfId="0" applyFont="1" applyBorder="1" applyAlignment="1">
      <alignment horizontal="left" wrapText="1"/>
    </xf>
    <xf numFmtId="0" fontId="10" fillId="0" borderId="0" xfId="0" applyFont="1" applyAlignment="1">
      <alignment horizontal="center" wrapText="1"/>
    </xf>
    <xf numFmtId="0" fontId="0" fillId="0" borderId="0" xfId="0" applyAlignment="1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1"/>
  <sheetViews>
    <sheetView tabSelected="1" topLeftCell="A104" zoomScaleNormal="100" workbookViewId="0">
      <selection activeCell="D133" sqref="D133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7" width="12.7109375" customWidth="1"/>
    <col min="8" max="8" width="10.7109375" customWidth="1"/>
    <col min="9" max="11" width="12.7109375" customWidth="1"/>
    <col min="15" max="36" width="0" hidden="1" customWidth="1"/>
    <col min="37" max="37" width="150.7109375" hidden="1" customWidth="1"/>
    <col min="38" max="38" width="104.7109375" hidden="1" customWidth="1"/>
    <col min="39" max="42" width="0" hidden="1" customWidth="1"/>
  </cols>
  <sheetData>
    <row r="1" spans="1:37" x14ac:dyDescent="0.2">
      <c r="A1" s="9" t="str">
        <f>Source!B1</f>
        <v>Smeta.RU  (495) 974-1589</v>
      </c>
    </row>
    <row r="2" spans="1:37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 t="s">
        <v>538</v>
      </c>
    </row>
    <row r="3" spans="1:37" ht="52.5" customHeight="1" x14ac:dyDescent="0.25">
      <c r="A3" s="43" t="str">
        <f>A11</f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37" x14ac:dyDescent="0.2">
      <c r="A4" s="30" t="s">
        <v>523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37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37" ht="15.75" x14ac:dyDescent="0.25">
      <c r="A6" s="43" t="str">
        <f>CONCATENATE( "ЛОКАЛЬНАЯ СМЕТА № ",IF(Source!F20&lt;&gt;"Новая локальная смета", Source!F20, ""))</f>
        <v>ЛОКАЛЬНАЯ СМЕТА № 3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37" x14ac:dyDescent="0.2">
      <c r="A7" s="41" t="s">
        <v>524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37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37" ht="18" x14ac:dyDescent="0.25">
      <c r="A9" s="45" t="str">
        <f>IF(Source!G20&lt;&gt;"Новая локальная смета", Source!G20, "")</f>
        <v>Прокладка кабеля 20 кВ в коллекторе "ПС Сити 2"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37" ht="12.7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37" ht="54" hidden="1" x14ac:dyDescent="0.25">
      <c r="A11" s="46" t="str">
        <f>IF(Source!G12&lt;&gt;"Новый объект", Source!G12, "")</f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AK11" s="15" t="str">
        <f>IF(Source!G12&lt;&gt;"Новый объект", Source!G12, "")</f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</row>
    <row r="12" spans="1:37" x14ac:dyDescent="0.2">
      <c r="A12" s="41" t="s">
        <v>525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37" ht="14.2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37" ht="14.25" hidden="1" x14ac:dyDescent="0.2">
      <c r="A14" s="10"/>
      <c r="B14" s="10"/>
      <c r="C14" s="10"/>
      <c r="D14" s="10"/>
      <c r="E14" s="10"/>
      <c r="F14" s="12" t="s">
        <v>526</v>
      </c>
      <c r="G14" s="12"/>
      <c r="H14" s="12"/>
      <c r="I14" s="11"/>
      <c r="J14" s="11"/>
      <c r="K14" s="10"/>
    </row>
    <row r="15" spans="1:37" ht="14.25" hidden="1" x14ac:dyDescent="0.2">
      <c r="A15" s="10"/>
      <c r="B15" s="10"/>
      <c r="C15" s="10"/>
      <c r="D15" s="10"/>
      <c r="E15" s="10"/>
      <c r="F15" s="38" t="s">
        <v>209</v>
      </c>
      <c r="G15" s="39"/>
      <c r="H15" s="39"/>
      <c r="I15" s="11">
        <f>SUM(AE19:AE118)/1000</f>
        <v>0</v>
      </c>
      <c r="J15" s="11">
        <f>SUM(AF19:AF118)/1000</f>
        <v>0</v>
      </c>
      <c r="K15" s="10" t="s">
        <v>555</v>
      </c>
    </row>
    <row r="16" spans="1:37" ht="14.25" x14ac:dyDescent="0.2">
      <c r="A16" s="40" t="s">
        <v>539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27" ht="57" x14ac:dyDescent="0.2">
      <c r="A17" s="13" t="s">
        <v>527</v>
      </c>
      <c r="B17" s="13" t="s">
        <v>528</v>
      </c>
      <c r="C17" s="13" t="s">
        <v>529</v>
      </c>
      <c r="D17" s="13" t="s">
        <v>530</v>
      </c>
      <c r="E17" s="13" t="s">
        <v>531</v>
      </c>
      <c r="F17" s="13" t="s">
        <v>532</v>
      </c>
      <c r="G17" s="14" t="s">
        <v>533</v>
      </c>
      <c r="H17" s="14" t="s">
        <v>534</v>
      </c>
      <c r="I17" s="13" t="s">
        <v>535</v>
      </c>
      <c r="J17" s="13" t="s">
        <v>536</v>
      </c>
      <c r="K17" s="13" t="s">
        <v>537</v>
      </c>
    </row>
    <row r="18" spans="1:27" ht="14.25" x14ac:dyDescent="0.2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</row>
    <row r="20" spans="1:27" ht="16.5" x14ac:dyDescent="0.25">
      <c r="A20" s="37" t="str">
        <f>CONCATENATE("Раздел: ",IF(Source!G24&lt;&gt;"Новый раздел", Source!G24, ""))</f>
        <v>Раздел: Строительные работы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1" spans="1:27" ht="42.75" x14ac:dyDescent="0.2">
      <c r="A21" s="16" t="str">
        <f>Source!E29</f>
        <v>2</v>
      </c>
      <c r="B21" s="17" t="str">
        <f>Source!F29</f>
        <v>6.69-19-1</v>
      </c>
      <c r="C21" s="17" t="s">
        <v>36</v>
      </c>
      <c r="D21" s="19" t="str">
        <f>Source!H29</f>
        <v>1 Т</v>
      </c>
      <c r="E21" s="18">
        <f>Source!I29</f>
        <v>3.77</v>
      </c>
      <c r="F21" s="21"/>
      <c r="G21" s="20"/>
      <c r="H21" s="18"/>
      <c r="I21" s="22"/>
      <c r="J21" s="18"/>
      <c r="K21" s="22"/>
      <c r="Q21">
        <f>ROUND((Source!DN29/100)*ROUND((ROUND((Source!AF29*Source!AV29*Source!I29),2)),2), 2)</f>
        <v>34.549999999999997</v>
      </c>
      <c r="R21">
        <f>Source!X29</f>
        <v>594</v>
      </c>
      <c r="S21">
        <f>ROUND((Source!DO29/100)*ROUND((ROUND((Source!AF29*Source!AV29*Source!I29),2)),2), 2)</f>
        <v>26.58</v>
      </c>
      <c r="T21">
        <f>Source!Y29</f>
        <v>333.62</v>
      </c>
      <c r="U21">
        <f>ROUND((175/100)*ROUND((ROUND((Source!AE29*Source!AV29*Source!I29),2)),2), 2)</f>
        <v>0</v>
      </c>
      <c r="V21">
        <f>ROUND((157/100)*ROUND(ROUND((ROUND((Source!AE29*Source!AV29*Source!I29),2)*Source!BS29),2), 2), 2)</f>
        <v>0</v>
      </c>
    </row>
    <row r="22" spans="1:27" ht="14.25" x14ac:dyDescent="0.2">
      <c r="A22" s="16"/>
      <c r="B22" s="17"/>
      <c r="C22" s="17" t="s">
        <v>540</v>
      </c>
      <c r="D22" s="19"/>
      <c r="E22" s="18"/>
      <c r="F22" s="21">
        <f>Source!AO29</f>
        <v>9.6199999999999992</v>
      </c>
      <c r="G22" s="20" t="str">
        <f>Source!DG29</f>
        <v/>
      </c>
      <c r="H22" s="18">
        <f>Source!AV29</f>
        <v>1.0469999999999999</v>
      </c>
      <c r="I22" s="22">
        <f>ROUND((ROUND((Source!AF29*Source!AV29*Source!I29),2)),2)</f>
        <v>37.97</v>
      </c>
      <c r="J22" s="18">
        <f>IF(Source!BA29&lt;&gt; 0, Source!BA29, 1)</f>
        <v>21.43</v>
      </c>
      <c r="K22" s="22">
        <f>Source!S29</f>
        <v>813.7</v>
      </c>
      <c r="W22">
        <f>I22</f>
        <v>37.97</v>
      </c>
    </row>
    <row r="23" spans="1:27" ht="14.25" x14ac:dyDescent="0.2">
      <c r="A23" s="16"/>
      <c r="B23" s="17"/>
      <c r="C23" s="17" t="s">
        <v>541</v>
      </c>
      <c r="D23" s="19" t="s">
        <v>542</v>
      </c>
      <c r="E23" s="18">
        <f>Source!DN29</f>
        <v>91</v>
      </c>
      <c r="F23" s="21"/>
      <c r="G23" s="20"/>
      <c r="H23" s="18"/>
      <c r="I23" s="22">
        <f>SUM(Q21:Q22)</f>
        <v>34.549999999999997</v>
      </c>
      <c r="J23" s="18">
        <f>Source!BZ29</f>
        <v>73</v>
      </c>
      <c r="K23" s="22">
        <f>SUM(R21:R22)</f>
        <v>594</v>
      </c>
    </row>
    <row r="24" spans="1:27" ht="14.25" x14ac:dyDescent="0.2">
      <c r="A24" s="16"/>
      <c r="B24" s="17"/>
      <c r="C24" s="17" t="s">
        <v>543</v>
      </c>
      <c r="D24" s="19" t="s">
        <v>542</v>
      </c>
      <c r="E24" s="18">
        <f>Source!DO29</f>
        <v>70</v>
      </c>
      <c r="F24" s="21"/>
      <c r="G24" s="20"/>
      <c r="H24" s="18"/>
      <c r="I24" s="22">
        <f>SUM(S21:S23)</f>
        <v>26.58</v>
      </c>
      <c r="J24" s="18">
        <f>Source!CA29</f>
        <v>41</v>
      </c>
      <c r="K24" s="22">
        <f>SUM(T21:T23)</f>
        <v>333.62</v>
      </c>
    </row>
    <row r="25" spans="1:27" ht="14.25" x14ac:dyDescent="0.2">
      <c r="A25" s="16"/>
      <c r="B25" s="17"/>
      <c r="C25" s="17" t="s">
        <v>544</v>
      </c>
      <c r="D25" s="19" t="s">
        <v>545</v>
      </c>
      <c r="E25" s="18">
        <f>Source!AQ29</f>
        <v>1.02</v>
      </c>
      <c r="F25" s="21"/>
      <c r="G25" s="20" t="str">
        <f>Source!DI29</f>
        <v/>
      </c>
      <c r="H25" s="18">
        <f>Source!AV29</f>
        <v>1.0469999999999999</v>
      </c>
      <c r="I25" s="22">
        <f>Source!U29</f>
        <v>4.0261337999999993</v>
      </c>
      <c r="J25" s="18"/>
      <c r="K25" s="22"/>
    </row>
    <row r="26" spans="1:27" ht="15" x14ac:dyDescent="0.25">
      <c r="A26" s="24"/>
      <c r="B26" s="24"/>
      <c r="C26" s="24"/>
      <c r="D26" s="24"/>
      <c r="E26" s="24"/>
      <c r="F26" s="24"/>
      <c r="G26" s="24"/>
      <c r="H26" s="36">
        <f>I22+I23+I24</f>
        <v>99.1</v>
      </c>
      <c r="I26" s="36"/>
      <c r="J26" s="36">
        <f>K22+K23+K24</f>
        <v>1741.3200000000002</v>
      </c>
      <c r="K26" s="36"/>
      <c r="O26" s="23">
        <f>I22+I23+I24</f>
        <v>99.1</v>
      </c>
      <c r="P26" s="23">
        <f>K22+K23+K24</f>
        <v>1741.3200000000002</v>
      </c>
      <c r="X26">
        <f>IF(Source!BI29&lt;=1,I22+I23+I24-0, 0)</f>
        <v>99.1</v>
      </c>
      <c r="Y26">
        <f>IF(Source!BI29=2,I22+I23+I24-0, 0)</f>
        <v>0</v>
      </c>
      <c r="Z26">
        <f>IF(Source!BI29=3,I22+I23+I24-0, 0)</f>
        <v>0</v>
      </c>
      <c r="AA26">
        <f>IF(Source!BI29=4,I22+I23+I24,0)</f>
        <v>0</v>
      </c>
    </row>
    <row r="28" spans="1:27" ht="15" x14ac:dyDescent="0.25">
      <c r="A28" s="31" t="str">
        <f>CONCATENATE("Итого по разделу: ",IF(Source!G55&lt;&gt;"Новый раздел", Source!G55, ""))</f>
        <v>Итого по разделу: Строительные работы</v>
      </c>
      <c r="B28" s="31"/>
      <c r="C28" s="31"/>
      <c r="D28" s="31"/>
      <c r="E28" s="31"/>
      <c r="F28" s="31"/>
      <c r="G28" s="31"/>
      <c r="H28" s="32">
        <f>SUM(O20:O27)</f>
        <v>99.1</v>
      </c>
      <c r="I28" s="35"/>
      <c r="J28" s="32">
        <f>SUM(P20:P27)</f>
        <v>1741.3200000000002</v>
      </c>
      <c r="K28" s="35"/>
    </row>
    <row r="29" spans="1:27" hidden="1" x14ac:dyDescent="0.2">
      <c r="A29" t="s">
        <v>546</v>
      </c>
      <c r="I29">
        <f>SUM(AC20:AC28)</f>
        <v>0</v>
      </c>
      <c r="J29">
        <f>SUM(AD20:AD28)</f>
        <v>0</v>
      </c>
    </row>
    <row r="30" spans="1:27" hidden="1" x14ac:dyDescent="0.2">
      <c r="A30" t="s">
        <v>547</v>
      </c>
      <c r="I30">
        <f>SUM(AE20:AE29)</f>
        <v>0</v>
      </c>
      <c r="J30">
        <f>SUM(AF20:AF29)</f>
        <v>0</v>
      </c>
    </row>
    <row r="31" spans="1:27" ht="14.25" x14ac:dyDescent="0.2">
      <c r="C31" s="33" t="str">
        <f>Source!H84</f>
        <v>Итого по разделу</v>
      </c>
      <c r="D31" s="33"/>
      <c r="E31" s="33"/>
      <c r="F31" s="33"/>
      <c r="G31" s="33"/>
      <c r="H31" s="33"/>
      <c r="I31" s="33"/>
      <c r="J31" s="34">
        <f>IF(Source!F84=0, "", Source!F84)</f>
        <v>1741.32</v>
      </c>
      <c r="K31" s="34"/>
    </row>
    <row r="33" spans="1:27" ht="16.5" x14ac:dyDescent="0.25">
      <c r="A33" s="37" t="str">
        <f>CONCATENATE("Раздел: ",IF(Source!G86&lt;&gt;"Новый раздел", Source!G86, ""))</f>
        <v>Раздел: Монтажные работы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pans="1:27" ht="57" x14ac:dyDescent="0.2">
      <c r="A34" s="16" t="str">
        <f>Source!E91</f>
        <v>2</v>
      </c>
      <c r="B34" s="17" t="str">
        <f>Source!F91</f>
        <v>4.8-309-1</v>
      </c>
      <c r="C34" s="17" t="s">
        <v>237</v>
      </c>
      <c r="D34" s="19" t="str">
        <f>Source!H91</f>
        <v>100 м</v>
      </c>
      <c r="E34" s="18">
        <f>Source!I91</f>
        <v>16.8</v>
      </c>
      <c r="F34" s="21"/>
      <c r="G34" s="20"/>
      <c r="H34" s="18"/>
      <c r="I34" s="22"/>
      <c r="J34" s="18"/>
      <c r="K34" s="22"/>
      <c r="Q34">
        <f>ROUND((Source!DN91/100)*ROUND((ROUND((Source!AF91*Source!AV91*Source!I91),2)),2), 2)</f>
        <v>14883.24</v>
      </c>
      <c r="R34">
        <f>Source!X91</f>
        <v>256297.42</v>
      </c>
      <c r="S34">
        <f>ROUND((Source!DO91/100)*ROUND((ROUND((Source!AF91*Source!AV91*Source!I91),2)),2), 2)</f>
        <v>9302.0300000000007</v>
      </c>
      <c r="T34">
        <f>Source!Y91</f>
        <v>122453.21</v>
      </c>
      <c r="U34">
        <f>ROUND((175/100)*ROUND((ROUND((Source!AE91*Source!AV91*Source!I91),2)),2), 2)</f>
        <v>2059.52</v>
      </c>
      <c r="V34">
        <f>ROUND((157/100)*ROUND(ROUND((ROUND((Source!AE91*Source!AV91*Source!I91),2)*Source!BS91),2), 2), 2)</f>
        <v>39595.9</v>
      </c>
    </row>
    <row r="35" spans="1:27" ht="14.25" x14ac:dyDescent="0.2">
      <c r="A35" s="16"/>
      <c r="B35" s="17"/>
      <c r="C35" s="17" t="s">
        <v>540</v>
      </c>
      <c r="D35" s="19"/>
      <c r="E35" s="18"/>
      <c r="F35" s="21">
        <f>Source!AO91</f>
        <v>656.94</v>
      </c>
      <c r="G35" s="20" t="str">
        <f>Source!DG91</f>
        <v>)*1,15)</v>
      </c>
      <c r="H35" s="18">
        <f>Source!AV91</f>
        <v>1.0469999999999999</v>
      </c>
      <c r="I35" s="22">
        <f>ROUND((ROUND((Source!AF91*Source!AV91*Source!I91),2)),2)</f>
        <v>13288.61</v>
      </c>
      <c r="J35" s="18">
        <f>IF(Source!BA91&lt;&gt; 0, Source!BA91, 1)</f>
        <v>21.43</v>
      </c>
      <c r="K35" s="22">
        <f>Source!S91</f>
        <v>284774.90999999997</v>
      </c>
      <c r="W35">
        <f>I35</f>
        <v>13288.61</v>
      </c>
    </row>
    <row r="36" spans="1:27" ht="14.25" x14ac:dyDescent="0.2">
      <c r="A36" s="16"/>
      <c r="B36" s="17"/>
      <c r="C36" s="17" t="s">
        <v>548</v>
      </c>
      <c r="D36" s="19"/>
      <c r="E36" s="18"/>
      <c r="F36" s="21">
        <f>Source!AM91</f>
        <v>293.49</v>
      </c>
      <c r="G36" s="20" t="str">
        <f>Source!DE91</f>
        <v>*1,15)</v>
      </c>
      <c r="H36" s="18">
        <f>Source!AV91</f>
        <v>1.0469999999999999</v>
      </c>
      <c r="I36" s="22">
        <f>(ROUND((ROUND((((Source!ET91*1.15))*Source!AV91*Source!I91),2)),2)+ROUND((ROUND(((Source!AE91-((Source!EU91*1.15)))*Source!AV91*Source!I91),2)),2))</f>
        <v>5936.73</v>
      </c>
      <c r="J36" s="18">
        <f>IF(Source!BB91&lt;&gt; 0, Source!BB91, 1)</f>
        <v>8.4700000000000006</v>
      </c>
      <c r="K36" s="22">
        <f>Source!Q91</f>
        <v>50284.1</v>
      </c>
    </row>
    <row r="37" spans="1:27" ht="14.25" x14ac:dyDescent="0.2">
      <c r="A37" s="16"/>
      <c r="B37" s="17"/>
      <c r="C37" s="17" t="s">
        <v>549</v>
      </c>
      <c r="D37" s="19"/>
      <c r="E37" s="18"/>
      <c r="F37" s="21">
        <f>Source!AN91</f>
        <v>58.18</v>
      </c>
      <c r="G37" s="20" t="str">
        <f>Source!DF91</f>
        <v>*1,15)</v>
      </c>
      <c r="H37" s="18">
        <f>Source!AV91</f>
        <v>1.0469999999999999</v>
      </c>
      <c r="I37" s="25">
        <f>ROUND((ROUND((Source!AE91*Source!AV91*Source!I91),2)),2)</f>
        <v>1176.8699999999999</v>
      </c>
      <c r="J37" s="18">
        <f>IF(Source!BS91&lt;&gt; 0, Source!BS91, 1)</f>
        <v>21.43</v>
      </c>
      <c r="K37" s="25">
        <f>Source!R91</f>
        <v>25220.32</v>
      </c>
      <c r="W37">
        <f>I37</f>
        <v>1176.8699999999999</v>
      </c>
    </row>
    <row r="38" spans="1:27" ht="14.25" x14ac:dyDescent="0.2">
      <c r="A38" s="16"/>
      <c r="B38" s="17"/>
      <c r="C38" s="17" t="s">
        <v>550</v>
      </c>
      <c r="D38" s="19"/>
      <c r="E38" s="18"/>
      <c r="F38" s="21">
        <f>Source!AL91</f>
        <v>188.49</v>
      </c>
      <c r="G38" s="20" t="str">
        <f>Source!DD91</f>
        <v/>
      </c>
      <c r="H38" s="18">
        <f>Source!AW91</f>
        <v>1</v>
      </c>
      <c r="I38" s="22">
        <f>ROUND((ROUND((Source!AC91*Source!AW91*Source!I91),2)),2)</f>
        <v>3166.63</v>
      </c>
      <c r="J38" s="18">
        <f>IF(Source!BC91&lt;&gt; 0, Source!BC91, 1)</f>
        <v>5.36</v>
      </c>
      <c r="K38" s="22">
        <f>Source!P91</f>
        <v>16973.14</v>
      </c>
    </row>
    <row r="39" spans="1:27" ht="14.25" x14ac:dyDescent="0.2">
      <c r="A39" s="16"/>
      <c r="B39" s="17"/>
      <c r="C39" s="17" t="s">
        <v>541</v>
      </c>
      <c r="D39" s="19" t="s">
        <v>542</v>
      </c>
      <c r="E39" s="18">
        <f>Source!DN91</f>
        <v>112</v>
      </c>
      <c r="F39" s="21"/>
      <c r="G39" s="20"/>
      <c r="H39" s="18"/>
      <c r="I39" s="22">
        <f>SUM(Q34:Q38)</f>
        <v>14883.24</v>
      </c>
      <c r="J39" s="18">
        <f>Source!BZ91</f>
        <v>90</v>
      </c>
      <c r="K39" s="22">
        <f>SUM(R34:R38)</f>
        <v>256297.42</v>
      </c>
    </row>
    <row r="40" spans="1:27" ht="14.25" x14ac:dyDescent="0.2">
      <c r="A40" s="16"/>
      <c r="B40" s="17"/>
      <c r="C40" s="17" t="s">
        <v>543</v>
      </c>
      <c r="D40" s="19" t="s">
        <v>542</v>
      </c>
      <c r="E40" s="18">
        <f>Source!DO91</f>
        <v>70</v>
      </c>
      <c r="F40" s="21"/>
      <c r="G40" s="20"/>
      <c r="H40" s="18"/>
      <c r="I40" s="22">
        <f>SUM(S34:S39)</f>
        <v>9302.0300000000007</v>
      </c>
      <c r="J40" s="18">
        <f>Source!CA91</f>
        <v>43</v>
      </c>
      <c r="K40" s="22">
        <f>SUM(T34:T39)</f>
        <v>122453.21</v>
      </c>
    </row>
    <row r="41" spans="1:27" ht="14.25" x14ac:dyDescent="0.2">
      <c r="A41" s="16"/>
      <c r="B41" s="17"/>
      <c r="C41" s="17" t="s">
        <v>551</v>
      </c>
      <c r="D41" s="19" t="s">
        <v>542</v>
      </c>
      <c r="E41" s="18">
        <f>175</f>
        <v>175</v>
      </c>
      <c r="F41" s="21"/>
      <c r="G41" s="20"/>
      <c r="H41" s="18"/>
      <c r="I41" s="22">
        <f>SUM(U34:U40)</f>
        <v>2059.52</v>
      </c>
      <c r="J41" s="18">
        <f>157</f>
        <v>157</v>
      </c>
      <c r="K41" s="22">
        <f>SUM(V34:V40)</f>
        <v>39595.9</v>
      </c>
    </row>
    <row r="42" spans="1:27" ht="14.25" x14ac:dyDescent="0.2">
      <c r="A42" s="16"/>
      <c r="B42" s="17"/>
      <c r="C42" s="17" t="s">
        <v>544</v>
      </c>
      <c r="D42" s="19" t="s">
        <v>545</v>
      </c>
      <c r="E42" s="18">
        <f>Source!AQ91</f>
        <v>54.12</v>
      </c>
      <c r="F42" s="21"/>
      <c r="G42" s="20" t="str">
        <f>Source!DI91</f>
        <v>)*1,15)</v>
      </c>
      <c r="H42" s="18">
        <f>Source!AV91</f>
        <v>1.0469999999999999</v>
      </c>
      <c r="I42" s="22">
        <f>Source!U91</f>
        <v>1094.7415247999998</v>
      </c>
      <c r="J42" s="18"/>
      <c r="K42" s="22"/>
    </row>
    <row r="43" spans="1:27" ht="15" x14ac:dyDescent="0.25">
      <c r="A43" s="24"/>
      <c r="B43" s="24"/>
      <c r="C43" s="24"/>
      <c r="D43" s="24"/>
      <c r="E43" s="24"/>
      <c r="F43" s="24"/>
      <c r="G43" s="24"/>
      <c r="H43" s="36">
        <f>I35+I36+I38+I39+I40+I41</f>
        <v>48636.759999999995</v>
      </c>
      <c r="I43" s="36"/>
      <c r="J43" s="36">
        <f>K35+K36+K38+K39+K40+K41</f>
        <v>770378.67999999993</v>
      </c>
      <c r="K43" s="36"/>
      <c r="O43" s="23">
        <f>I35+I36+I38+I39+I40+I41</f>
        <v>48636.759999999995</v>
      </c>
      <c r="P43" s="23">
        <f>K35+K36+K38+K39+K40+K41</f>
        <v>770378.67999999993</v>
      </c>
      <c r="X43">
        <f>IF(Source!BI91&lt;=1,I35+I36+I38+I39+I40+I41-0, 0)</f>
        <v>0</v>
      </c>
      <c r="Y43">
        <f>IF(Source!BI91=2,I35+I36+I38+I39+I40+I41-0, 0)</f>
        <v>48636.759999999995</v>
      </c>
      <c r="Z43">
        <f>IF(Source!BI91=3,I35+I36+I38+I39+I40+I41-0, 0)</f>
        <v>0</v>
      </c>
      <c r="AA43">
        <f>IF(Source!BI91=4,I35+I36+I38+I39+I40+I41,0)</f>
        <v>0</v>
      </c>
    </row>
    <row r="44" spans="1:27" ht="128.25" x14ac:dyDescent="0.2">
      <c r="A44" s="16" t="str">
        <f>Source!E93</f>
        <v>4</v>
      </c>
      <c r="B44" s="17" t="str">
        <f>Source!F93</f>
        <v>1.23-7-724</v>
      </c>
      <c r="C44" s="17" t="s">
        <v>249</v>
      </c>
      <c r="D44" s="19" t="str">
        <f>Source!H93</f>
        <v>км</v>
      </c>
      <c r="E44" s="18">
        <f>Source!I93</f>
        <v>5.1407999999999996</v>
      </c>
      <c r="F44" s="21">
        <f>Source!AL93</f>
        <v>165011.89000000001</v>
      </c>
      <c r="G44" s="20" t="str">
        <f>Source!DD93</f>
        <v/>
      </c>
      <c r="H44" s="18">
        <f>Source!AW93</f>
        <v>1</v>
      </c>
      <c r="I44" s="22">
        <f>ROUND((ROUND((Source!AC93*Source!AW93*Source!I93),2)),2)</f>
        <v>848293.12</v>
      </c>
      <c r="J44" s="18">
        <f>IF(Source!BC93&lt;&gt; 0, Source!BC93, 1)</f>
        <v>6.34</v>
      </c>
      <c r="K44" s="22">
        <f>Source!P93</f>
        <v>5378178.3799999999</v>
      </c>
      <c r="Q44">
        <f>ROUND((Source!DN93/100)*ROUND((ROUND((Source!AF93*Source!AV93*Source!I93),2)),2), 2)</f>
        <v>0</v>
      </c>
      <c r="R44">
        <f>Source!X93</f>
        <v>0</v>
      </c>
      <c r="S44">
        <f>ROUND((Source!DO93/100)*ROUND((ROUND((Source!AF93*Source!AV93*Source!I93),2)),2), 2)</f>
        <v>0</v>
      </c>
      <c r="T44">
        <f>Source!Y93</f>
        <v>0</v>
      </c>
      <c r="U44">
        <f>ROUND((175/100)*ROUND((ROUND((Source!AE93*Source!AV93*Source!I93),2)),2), 2)</f>
        <v>0</v>
      </c>
      <c r="V44">
        <f>ROUND((157/100)*ROUND(ROUND((ROUND((Source!AE93*Source!AV93*Source!I93),2)*Source!BS93),2), 2), 2)</f>
        <v>0</v>
      </c>
    </row>
    <row r="45" spans="1:27" ht="15" x14ac:dyDescent="0.25">
      <c r="A45" s="24"/>
      <c r="B45" s="24"/>
      <c r="C45" s="24"/>
      <c r="D45" s="24"/>
      <c r="E45" s="24"/>
      <c r="F45" s="24"/>
      <c r="G45" s="24"/>
      <c r="H45" s="36">
        <f>I44</f>
        <v>848293.12</v>
      </c>
      <c r="I45" s="36"/>
      <c r="J45" s="36">
        <f>K44</f>
        <v>5378178.3799999999</v>
      </c>
      <c r="K45" s="36"/>
      <c r="O45" s="23">
        <f>I44</f>
        <v>848293.12</v>
      </c>
      <c r="P45" s="23">
        <f>K44</f>
        <v>5378178.3799999999</v>
      </c>
      <c r="X45">
        <f>IF(Source!BI93&lt;=1,I44-0, 0)</f>
        <v>0</v>
      </c>
      <c r="Y45">
        <f>IF(Source!BI93=2,I44-0, 0)</f>
        <v>848293.12</v>
      </c>
      <c r="Z45">
        <f>IF(Source!BI93=3,I44-0, 0)</f>
        <v>0</v>
      </c>
      <c r="AA45">
        <f>IF(Source!BI93=4,I44,0)</f>
        <v>0</v>
      </c>
    </row>
    <row r="46" spans="1:27" ht="57" x14ac:dyDescent="0.2">
      <c r="A46" s="16" t="str">
        <f>Source!E98</f>
        <v>13</v>
      </c>
      <c r="B46" s="17" t="str">
        <f>Source!F98</f>
        <v>сч.ф. 234 от 27.07.2018г.</v>
      </c>
      <c r="C46" s="17" t="s">
        <v>552</v>
      </c>
      <c r="D46" s="19" t="str">
        <f>Source!H98</f>
        <v>ШТ</v>
      </c>
      <c r="E46" s="18">
        <f>Source!I98</f>
        <v>200</v>
      </c>
      <c r="F46" s="21">
        <f>Source!AL98</f>
        <v>18.97</v>
      </c>
      <c r="G46" s="20" t="str">
        <f>Source!DD98</f>
        <v>*1,02</v>
      </c>
      <c r="H46" s="18">
        <f>Source!AW98</f>
        <v>1</v>
      </c>
      <c r="I46" s="22">
        <f>ROUND((ROUND((Source!AC98*Source!AW98*Source!I98),2)),2)</f>
        <v>3869.88</v>
      </c>
      <c r="J46" s="18">
        <f>IF(Source!BC98&lt;&gt; 0, Source!BC98, 1)</f>
        <v>5.36</v>
      </c>
      <c r="K46" s="22">
        <f>Source!P98</f>
        <v>20742.560000000001</v>
      </c>
      <c r="Q46">
        <f>ROUND((Source!DN98/100)*ROUND((ROUND((Source!AF98*Source!AV98*Source!I98),2)),2), 2)</f>
        <v>0</v>
      </c>
      <c r="R46">
        <f>Source!X98</f>
        <v>0</v>
      </c>
      <c r="S46">
        <f>ROUND((Source!DO98/100)*ROUND((ROUND((Source!AF98*Source!AV98*Source!I98),2)),2), 2)</f>
        <v>0</v>
      </c>
      <c r="T46">
        <f>Source!Y98</f>
        <v>0</v>
      </c>
      <c r="U46">
        <f>ROUND((175/100)*ROUND((ROUND((Source!AE98*Source!AV98*Source!I98),2)),2), 2)</f>
        <v>0</v>
      </c>
      <c r="V46">
        <f>ROUND((157/100)*ROUND(ROUND((ROUND((Source!AE98*Source!AV98*Source!I98),2)*Source!BS98),2), 2), 2)</f>
        <v>0</v>
      </c>
    </row>
    <row r="47" spans="1:27" ht="15" x14ac:dyDescent="0.25">
      <c r="A47" s="24"/>
      <c r="B47" s="24"/>
      <c r="C47" s="24"/>
      <c r="D47" s="24"/>
      <c r="E47" s="24"/>
      <c r="F47" s="24"/>
      <c r="G47" s="24"/>
      <c r="H47" s="36">
        <f>I46</f>
        <v>3869.88</v>
      </c>
      <c r="I47" s="36"/>
      <c r="J47" s="36">
        <f>K46</f>
        <v>20742.560000000001</v>
      </c>
      <c r="K47" s="36"/>
      <c r="O47" s="23">
        <f>I46</f>
        <v>3869.88</v>
      </c>
      <c r="P47" s="23">
        <f>K46</f>
        <v>20742.560000000001</v>
      </c>
      <c r="X47">
        <f>IF(Source!BI98&lt;=1,I46-0, 0)</f>
        <v>3869.88</v>
      </c>
      <c r="Y47">
        <f>IF(Source!BI98=2,I46-0, 0)</f>
        <v>0</v>
      </c>
      <c r="Z47">
        <f>IF(Source!BI98=3,I46-0, 0)</f>
        <v>0</v>
      </c>
      <c r="AA47">
        <f>IF(Source!BI98=4,I46,0)</f>
        <v>0</v>
      </c>
    </row>
    <row r="48" spans="1:27" ht="28.5" x14ac:dyDescent="0.2">
      <c r="A48" s="16" t="str">
        <f>Source!E101</f>
        <v>16</v>
      </c>
      <c r="B48" s="17" t="str">
        <f>Source!F101</f>
        <v>4.10-108-11</v>
      </c>
      <c r="C48" s="17" t="s">
        <v>280</v>
      </c>
      <c r="D48" s="19" t="str">
        <f>Source!H101</f>
        <v>1  ШТ.</v>
      </c>
      <c r="E48" s="18">
        <f>Source!I101</f>
        <v>1815</v>
      </c>
      <c r="F48" s="21"/>
      <c r="G48" s="20"/>
      <c r="H48" s="18"/>
      <c r="I48" s="22"/>
      <c r="J48" s="18"/>
      <c r="K48" s="22"/>
      <c r="Q48">
        <f>ROUND((Source!DN101/100)*ROUND((ROUND((Source!AF101*Source!AV101*Source!I101),2)),2), 2)</f>
        <v>13344.76</v>
      </c>
      <c r="R48">
        <f>Source!X101</f>
        <v>229803.83</v>
      </c>
      <c r="S48">
        <f>ROUND((Source!DO101/100)*ROUND((ROUND((Source!AF101*Source!AV101*Source!I101),2)),2), 2)</f>
        <v>8340.4699999999993</v>
      </c>
      <c r="T48">
        <f>Source!Y101</f>
        <v>109795.16</v>
      </c>
      <c r="U48">
        <f>ROUND((175/100)*ROUND((ROUND((Source!AE101*Source!AV101*Source!I101),2)),2), 2)</f>
        <v>5963.06</v>
      </c>
      <c r="V48">
        <f>ROUND((157/100)*ROUND(ROUND((ROUND((Source!AE101*Source!AV101*Source!I101),2)*Source!BS101),2), 2), 2)</f>
        <v>114644.34</v>
      </c>
    </row>
    <row r="49" spans="1:27" ht="14.25" x14ac:dyDescent="0.2">
      <c r="A49" s="16"/>
      <c r="B49" s="17"/>
      <c r="C49" s="17" t="s">
        <v>540</v>
      </c>
      <c r="D49" s="19"/>
      <c r="E49" s="18"/>
      <c r="F49" s="21">
        <f>Source!AO101</f>
        <v>5.35</v>
      </c>
      <c r="G49" s="20" t="str">
        <f>Source!DG101</f>
        <v>*1,15</v>
      </c>
      <c r="H49" s="18">
        <f>Source!AV101</f>
        <v>1.0669999999999999</v>
      </c>
      <c r="I49" s="22">
        <f>ROUND((ROUND((Source!AF101*Source!AV101*Source!I101),2)),2)</f>
        <v>11914.96</v>
      </c>
      <c r="J49" s="18">
        <f>IF(Source!BA101&lt;&gt; 0, Source!BA101, 1)</f>
        <v>21.43</v>
      </c>
      <c r="K49" s="22">
        <f>Source!S101</f>
        <v>255337.59</v>
      </c>
      <c r="W49">
        <f>I49</f>
        <v>11914.96</v>
      </c>
    </row>
    <row r="50" spans="1:27" ht="14.25" x14ac:dyDescent="0.2">
      <c r="A50" s="16"/>
      <c r="B50" s="17"/>
      <c r="C50" s="17" t="s">
        <v>548</v>
      </c>
      <c r="D50" s="19"/>
      <c r="E50" s="18"/>
      <c r="F50" s="21">
        <f>Source!AM101</f>
        <v>7.77</v>
      </c>
      <c r="G50" s="20" t="str">
        <f>Source!DE101</f>
        <v>*1,15</v>
      </c>
      <c r="H50" s="18">
        <f>Source!AV101</f>
        <v>1.0669999999999999</v>
      </c>
      <c r="I50" s="22">
        <f>(ROUND((ROUND((((Source!ET101*1.15))*Source!AV101*Source!I101),2)),2)+ROUND((ROUND(((Source!AE101-((Source!EU101*1.15)))*Source!AV101*Source!I101),2)),2))</f>
        <v>17304.53</v>
      </c>
      <c r="J50" s="18">
        <f>IF(Source!BB101&lt;&gt; 0, Source!BB101, 1)</f>
        <v>8.44</v>
      </c>
      <c r="K50" s="22">
        <f>Source!Q101</f>
        <v>146050.23000000001</v>
      </c>
    </row>
    <row r="51" spans="1:27" ht="14.25" x14ac:dyDescent="0.2">
      <c r="A51" s="16"/>
      <c r="B51" s="17"/>
      <c r="C51" s="17" t="s">
        <v>549</v>
      </c>
      <c r="D51" s="19"/>
      <c r="E51" s="18"/>
      <c r="F51" s="21">
        <f>Source!AN101</f>
        <v>1.53</v>
      </c>
      <c r="G51" s="20" t="str">
        <f>Source!DF101</f>
        <v>*1,15</v>
      </c>
      <c r="H51" s="18">
        <f>Source!AV101</f>
        <v>1.0669999999999999</v>
      </c>
      <c r="I51" s="25">
        <f>ROUND((ROUND((Source!AE101*Source!AV101*Source!I101),2)),2)</f>
        <v>3407.46</v>
      </c>
      <c r="J51" s="18">
        <f>IF(Source!BS101&lt;&gt; 0, Source!BS101, 1)</f>
        <v>21.43</v>
      </c>
      <c r="K51" s="25">
        <f>Source!R101</f>
        <v>73021.87</v>
      </c>
      <c r="W51">
        <f>I51</f>
        <v>3407.46</v>
      </c>
    </row>
    <row r="52" spans="1:27" ht="14.25" x14ac:dyDescent="0.2">
      <c r="A52" s="16"/>
      <c r="B52" s="17"/>
      <c r="C52" s="17" t="s">
        <v>550</v>
      </c>
      <c r="D52" s="19"/>
      <c r="E52" s="18"/>
      <c r="F52" s="21">
        <f>Source!AL101</f>
        <v>16.940000000000001</v>
      </c>
      <c r="G52" s="20" t="str">
        <f>Source!DD101</f>
        <v/>
      </c>
      <c r="H52" s="18">
        <f>Source!AW101</f>
        <v>1.081</v>
      </c>
      <c r="I52" s="22">
        <f>ROUND((ROUND((Source!AC101*Source!AW101*Source!I101),2)),2)</f>
        <v>33236.53</v>
      </c>
      <c r="J52" s="18">
        <f>IF(Source!BC101&lt;&gt; 0, Source!BC101, 1)</f>
        <v>5.36</v>
      </c>
      <c r="K52" s="22">
        <f>Source!P101</f>
        <v>178147.8</v>
      </c>
    </row>
    <row r="53" spans="1:27" ht="14.25" x14ac:dyDescent="0.2">
      <c r="A53" s="16"/>
      <c r="B53" s="17"/>
      <c r="C53" s="17" t="s">
        <v>541</v>
      </c>
      <c r="D53" s="19" t="s">
        <v>542</v>
      </c>
      <c r="E53" s="18">
        <f>Source!DN101</f>
        <v>112</v>
      </c>
      <c r="F53" s="21"/>
      <c r="G53" s="20"/>
      <c r="H53" s="18"/>
      <c r="I53" s="22">
        <f>SUM(Q48:Q52)</f>
        <v>13344.76</v>
      </c>
      <c r="J53" s="18">
        <f>Source!BZ101</f>
        <v>90</v>
      </c>
      <c r="K53" s="22">
        <f>SUM(R48:R52)</f>
        <v>229803.83</v>
      </c>
    </row>
    <row r="54" spans="1:27" ht="14.25" x14ac:dyDescent="0.2">
      <c r="A54" s="16"/>
      <c r="B54" s="17"/>
      <c r="C54" s="17" t="s">
        <v>543</v>
      </c>
      <c r="D54" s="19" t="s">
        <v>542</v>
      </c>
      <c r="E54" s="18">
        <f>Source!DO101</f>
        <v>70</v>
      </c>
      <c r="F54" s="21"/>
      <c r="G54" s="20"/>
      <c r="H54" s="18"/>
      <c r="I54" s="22">
        <f>SUM(S48:S53)</f>
        <v>8340.4699999999993</v>
      </c>
      <c r="J54" s="18">
        <f>Source!CA101</f>
        <v>43</v>
      </c>
      <c r="K54" s="22">
        <f>SUM(T48:T53)</f>
        <v>109795.16</v>
      </c>
    </row>
    <row r="55" spans="1:27" ht="14.25" x14ac:dyDescent="0.2">
      <c r="A55" s="16"/>
      <c r="B55" s="17"/>
      <c r="C55" s="17" t="s">
        <v>551</v>
      </c>
      <c r="D55" s="19" t="s">
        <v>542</v>
      </c>
      <c r="E55" s="18">
        <f>175</f>
        <v>175</v>
      </c>
      <c r="F55" s="21"/>
      <c r="G55" s="20"/>
      <c r="H55" s="18"/>
      <c r="I55" s="22">
        <f>SUM(U48:U54)</f>
        <v>5963.06</v>
      </c>
      <c r="J55" s="18">
        <f>157</f>
        <v>157</v>
      </c>
      <c r="K55" s="22">
        <f>SUM(V48:V54)</f>
        <v>114644.34</v>
      </c>
    </row>
    <row r="56" spans="1:27" ht="14.25" x14ac:dyDescent="0.2">
      <c r="A56" s="16"/>
      <c r="B56" s="17"/>
      <c r="C56" s="17" t="s">
        <v>544</v>
      </c>
      <c r="D56" s="19" t="s">
        <v>545</v>
      </c>
      <c r="E56" s="18">
        <f>Source!AQ101</f>
        <v>0.5</v>
      </c>
      <c r="F56" s="21"/>
      <c r="G56" s="20" t="str">
        <f>Source!DI101</f>
        <v>*1,15</v>
      </c>
      <c r="H56" s="18">
        <f>Source!AV101</f>
        <v>1.0669999999999999</v>
      </c>
      <c r="I56" s="22">
        <f>Source!U101</f>
        <v>1113.5478749999997</v>
      </c>
      <c r="J56" s="18"/>
      <c r="K56" s="22"/>
    </row>
    <row r="57" spans="1:27" ht="15" x14ac:dyDescent="0.25">
      <c r="A57" s="24"/>
      <c r="B57" s="24"/>
      <c r="C57" s="24"/>
      <c r="D57" s="24"/>
      <c r="E57" s="24"/>
      <c r="F57" s="24"/>
      <c r="G57" s="24"/>
      <c r="H57" s="36">
        <f>I49+I50+I52+I53+I54+I55</f>
        <v>90104.31</v>
      </c>
      <c r="I57" s="36"/>
      <c r="J57" s="36">
        <f>K49+K50+K52+K53+K54+K55</f>
        <v>1033778.95</v>
      </c>
      <c r="K57" s="36"/>
      <c r="O57" s="23">
        <f>I49+I50+I52+I53+I54+I55</f>
        <v>90104.31</v>
      </c>
      <c r="P57" s="23">
        <f>K49+K50+K52+K53+K54+K55</f>
        <v>1033778.95</v>
      </c>
      <c r="X57">
        <f>IF(Source!BI101&lt;=1,I49+I50+I52+I53+I54+I55-0, 0)</f>
        <v>0</v>
      </c>
      <c r="Y57">
        <f>IF(Source!BI101=2,I49+I50+I52+I53+I54+I55-0, 0)</f>
        <v>90104.31</v>
      </c>
      <c r="Z57">
        <f>IF(Source!BI101=3,I49+I50+I52+I53+I54+I55-0, 0)</f>
        <v>0</v>
      </c>
      <c r="AA57">
        <f>IF(Source!BI101=4,I49+I50+I52+I53+I54+I55,0)</f>
        <v>0</v>
      </c>
    </row>
    <row r="58" spans="1:27" ht="14.25" x14ac:dyDescent="0.2">
      <c r="A58" s="16" t="str">
        <f>Source!E102</f>
        <v>17</v>
      </c>
      <c r="B58" s="17" t="str">
        <f>Source!F102</f>
        <v>1.14-1-9</v>
      </c>
      <c r="C58" s="17" t="s">
        <v>288</v>
      </c>
      <c r="D58" s="19" t="str">
        <f>Source!H102</f>
        <v>шт.</v>
      </c>
      <c r="E58" s="18">
        <f>Source!I102</f>
        <v>1815</v>
      </c>
      <c r="F58" s="21">
        <f>Source!AL102</f>
        <v>75</v>
      </c>
      <c r="G58" s="20" t="str">
        <f>Source!DD102</f>
        <v/>
      </c>
      <c r="H58" s="18">
        <f>Source!AW102</f>
        <v>1</v>
      </c>
      <c r="I58" s="22">
        <f>ROUND((ROUND((Source!AC102*Source!AW102*Source!I102),2)),2)</f>
        <v>136125</v>
      </c>
      <c r="J58" s="18">
        <f>IF(Source!BC102&lt;&gt; 0, Source!BC102, 1)</f>
        <v>7.99</v>
      </c>
      <c r="K58" s="22">
        <f>Source!P102</f>
        <v>1087638.75</v>
      </c>
      <c r="Q58">
        <f>ROUND((Source!DN102/100)*ROUND((ROUND((Source!AF102*Source!AV102*Source!I102),2)),2), 2)</f>
        <v>0</v>
      </c>
      <c r="R58">
        <f>Source!X102</f>
        <v>0</v>
      </c>
      <c r="S58">
        <f>ROUND((Source!DO102/100)*ROUND((ROUND((Source!AF102*Source!AV102*Source!I102),2)),2), 2)</f>
        <v>0</v>
      </c>
      <c r="T58">
        <f>Source!Y102</f>
        <v>0</v>
      </c>
      <c r="U58">
        <f>ROUND((175/100)*ROUND((ROUND((Source!AE102*Source!AV102*Source!I102),2)),2), 2)</f>
        <v>0</v>
      </c>
      <c r="V58">
        <f>ROUND((157/100)*ROUND(ROUND((ROUND((Source!AE102*Source!AV102*Source!I102),2)*Source!BS102),2), 2), 2)</f>
        <v>0</v>
      </c>
    </row>
    <row r="59" spans="1:27" ht="15" x14ac:dyDescent="0.25">
      <c r="A59" s="24"/>
      <c r="B59" s="24"/>
      <c r="C59" s="24"/>
      <c r="D59" s="24"/>
      <c r="E59" s="24"/>
      <c r="F59" s="24"/>
      <c r="G59" s="24"/>
      <c r="H59" s="36">
        <f>I58</f>
        <v>136125</v>
      </c>
      <c r="I59" s="36"/>
      <c r="J59" s="36">
        <f>K58</f>
        <v>1087638.75</v>
      </c>
      <c r="K59" s="36"/>
      <c r="O59" s="23">
        <f>I58</f>
        <v>136125</v>
      </c>
      <c r="P59" s="23">
        <f>K58</f>
        <v>1087638.75</v>
      </c>
      <c r="X59">
        <f>IF(Source!BI102&lt;=1,I58-0, 0)</f>
        <v>0</v>
      </c>
      <c r="Y59">
        <f>IF(Source!BI102=2,I58-0, 0)</f>
        <v>136125</v>
      </c>
      <c r="Z59">
        <f>IF(Source!BI102=3,I58-0, 0)</f>
        <v>0</v>
      </c>
      <c r="AA59">
        <f>IF(Source!BI102=4,I58,0)</f>
        <v>0</v>
      </c>
    </row>
    <row r="60" spans="1:27" ht="42.75" x14ac:dyDescent="0.2">
      <c r="A60" s="16" t="str">
        <f>Source!E103</f>
        <v>18</v>
      </c>
      <c r="B60" s="17" t="str">
        <f>Source!F103</f>
        <v>4.8-83-1</v>
      </c>
      <c r="C60" s="17" t="s">
        <v>292</v>
      </c>
      <c r="D60" s="19" t="str">
        <f>Source!H103</f>
        <v>1 Т</v>
      </c>
      <c r="E60" s="18">
        <f>Source!I103</f>
        <v>3.77</v>
      </c>
      <c r="F60" s="21"/>
      <c r="G60" s="20"/>
      <c r="H60" s="18"/>
      <c r="I60" s="22"/>
      <c r="J60" s="18"/>
      <c r="K60" s="22"/>
      <c r="Q60">
        <f>ROUND((Source!DN103/100)*ROUND((ROUND((Source!AF103*Source!AV103*Source!I103),2)),2), 2)</f>
        <v>1710.32</v>
      </c>
      <c r="R60">
        <f>Source!X103</f>
        <v>29452.6</v>
      </c>
      <c r="S60">
        <f>ROUND((Source!DO103/100)*ROUND((ROUND((Source!AF103*Source!AV103*Source!I103),2)),2), 2)</f>
        <v>1068.95</v>
      </c>
      <c r="T60">
        <f>Source!Y103</f>
        <v>14071.8</v>
      </c>
      <c r="U60">
        <f>ROUND((175/100)*ROUND((ROUND((Source!AE103*Source!AV103*Source!I103),2)),2), 2)</f>
        <v>251.02</v>
      </c>
      <c r="V60">
        <f>ROUND((157/100)*ROUND(ROUND((ROUND((Source!AE103*Source!AV103*Source!I103),2)*Source!BS103),2), 2), 2)</f>
        <v>4826.05</v>
      </c>
    </row>
    <row r="61" spans="1:27" ht="14.25" x14ac:dyDescent="0.2">
      <c r="A61" s="16"/>
      <c r="B61" s="17"/>
      <c r="C61" s="17" t="s">
        <v>540</v>
      </c>
      <c r="D61" s="19"/>
      <c r="E61" s="18"/>
      <c r="F61" s="21">
        <f>Source!AO103</f>
        <v>1080.1099999999999</v>
      </c>
      <c r="G61" s="20" t="str">
        <f>Source!DG103</f>
        <v>)*0,3)*1,15)</v>
      </c>
      <c r="H61" s="18">
        <f>Source!AV103</f>
        <v>1.087</v>
      </c>
      <c r="I61" s="22">
        <f>ROUND((ROUND((Source!AF103*Source!AV103*Source!I103),2)),2)</f>
        <v>1527.07</v>
      </c>
      <c r="J61" s="18">
        <f>IF(Source!BA103&lt;&gt; 0, Source!BA103, 1)</f>
        <v>21.43</v>
      </c>
      <c r="K61" s="22">
        <f>Source!S103</f>
        <v>32725.11</v>
      </c>
      <c r="W61">
        <f>I61</f>
        <v>1527.07</v>
      </c>
    </row>
    <row r="62" spans="1:27" ht="14.25" x14ac:dyDescent="0.2">
      <c r="A62" s="16"/>
      <c r="B62" s="17"/>
      <c r="C62" s="17" t="s">
        <v>548</v>
      </c>
      <c r="D62" s="19"/>
      <c r="E62" s="18"/>
      <c r="F62" s="21">
        <f>Source!AM103</f>
        <v>1191.97</v>
      </c>
      <c r="G62" s="20" t="str">
        <f>Source!DE103</f>
        <v>)*0,3)*1,15)</v>
      </c>
      <c r="H62" s="18">
        <f>Source!AV103</f>
        <v>1.087</v>
      </c>
      <c r="I62" s="22">
        <f>(ROUND((ROUND(((((Source!ET103*0.3)*1.15))*Source!AV103*Source!I103),2)),2)+ROUND((ROUND(((Source!AE103-(((Source!EU103*0.3)*1.15)))*Source!AV103*Source!I103),2)),2))</f>
        <v>1685.21</v>
      </c>
      <c r="J62" s="18">
        <f>IF(Source!BB103&lt;&gt; 0, Source!BB103, 1)</f>
        <v>6.64</v>
      </c>
      <c r="K62" s="22">
        <f>Source!Q103</f>
        <v>11189.79</v>
      </c>
    </row>
    <row r="63" spans="1:27" ht="14.25" x14ac:dyDescent="0.2">
      <c r="A63" s="16"/>
      <c r="B63" s="17"/>
      <c r="C63" s="17" t="s">
        <v>549</v>
      </c>
      <c r="D63" s="19"/>
      <c r="E63" s="18"/>
      <c r="F63" s="21">
        <f>Source!AN103</f>
        <v>101.46</v>
      </c>
      <c r="G63" s="20" t="str">
        <f>Source!DF103</f>
        <v>)*0,3)*1,15)</v>
      </c>
      <c r="H63" s="18">
        <f>Source!AV103</f>
        <v>1.087</v>
      </c>
      <c r="I63" s="25">
        <f>ROUND((ROUND((Source!AE103*Source!AV103*Source!I103),2)),2)</f>
        <v>143.44</v>
      </c>
      <c r="J63" s="18">
        <f>IF(Source!BS103&lt;&gt; 0, Source!BS103, 1)</f>
        <v>21.43</v>
      </c>
      <c r="K63" s="25">
        <f>Source!R103</f>
        <v>3073.92</v>
      </c>
      <c r="W63">
        <f>I63</f>
        <v>143.44</v>
      </c>
    </row>
    <row r="64" spans="1:27" ht="14.25" x14ac:dyDescent="0.2">
      <c r="A64" s="16"/>
      <c r="B64" s="17"/>
      <c r="C64" s="17" t="s">
        <v>541</v>
      </c>
      <c r="D64" s="19" t="s">
        <v>542</v>
      </c>
      <c r="E64" s="18">
        <f>Source!DN103</f>
        <v>112</v>
      </c>
      <c r="F64" s="21"/>
      <c r="G64" s="20"/>
      <c r="H64" s="18"/>
      <c r="I64" s="22">
        <f>SUM(Q60:Q63)</f>
        <v>1710.32</v>
      </c>
      <c r="J64" s="18">
        <f>Source!BZ103</f>
        <v>90</v>
      </c>
      <c r="K64" s="22">
        <f>SUM(R60:R63)</f>
        <v>29452.6</v>
      </c>
    </row>
    <row r="65" spans="1:27" ht="14.25" x14ac:dyDescent="0.2">
      <c r="A65" s="16"/>
      <c r="B65" s="17"/>
      <c r="C65" s="17" t="s">
        <v>543</v>
      </c>
      <c r="D65" s="19" t="s">
        <v>542</v>
      </c>
      <c r="E65" s="18">
        <f>Source!DO103</f>
        <v>70</v>
      </c>
      <c r="F65" s="21"/>
      <c r="G65" s="20"/>
      <c r="H65" s="18"/>
      <c r="I65" s="22">
        <f>SUM(S60:S64)</f>
        <v>1068.95</v>
      </c>
      <c r="J65" s="18">
        <f>Source!CA103</f>
        <v>43</v>
      </c>
      <c r="K65" s="22">
        <f>SUM(T60:T64)</f>
        <v>14071.8</v>
      </c>
    </row>
    <row r="66" spans="1:27" ht="14.25" x14ac:dyDescent="0.2">
      <c r="A66" s="16"/>
      <c r="B66" s="17"/>
      <c r="C66" s="17" t="s">
        <v>551</v>
      </c>
      <c r="D66" s="19" t="s">
        <v>542</v>
      </c>
      <c r="E66" s="18">
        <f>175</f>
        <v>175</v>
      </c>
      <c r="F66" s="21"/>
      <c r="G66" s="20"/>
      <c r="H66" s="18"/>
      <c r="I66" s="22">
        <f>SUM(U60:U65)</f>
        <v>251.02</v>
      </c>
      <c r="J66" s="18">
        <f>157</f>
        <v>157</v>
      </c>
      <c r="K66" s="22">
        <f>SUM(V60:V65)</f>
        <v>4826.05</v>
      </c>
    </row>
    <row r="67" spans="1:27" ht="14.25" x14ac:dyDescent="0.2">
      <c r="A67" s="16"/>
      <c r="B67" s="17"/>
      <c r="C67" s="17" t="s">
        <v>544</v>
      </c>
      <c r="D67" s="19" t="s">
        <v>545</v>
      </c>
      <c r="E67" s="18">
        <f>Source!AQ103</f>
        <v>87.6</v>
      </c>
      <c r="F67" s="21"/>
      <c r="G67" s="20" t="str">
        <f>Source!DI103</f>
        <v>)*0,3)*1,15)</v>
      </c>
      <c r="H67" s="18">
        <f>Source!AV103</f>
        <v>1.087</v>
      </c>
      <c r="I67" s="22">
        <f>Source!U103</f>
        <v>123.84945377999998</v>
      </c>
      <c r="J67" s="18"/>
      <c r="K67" s="22"/>
    </row>
    <row r="68" spans="1:27" ht="15" x14ac:dyDescent="0.25">
      <c r="A68" s="24"/>
      <c r="B68" s="24"/>
      <c r="C68" s="24"/>
      <c r="D68" s="24"/>
      <c r="E68" s="24"/>
      <c r="F68" s="24"/>
      <c r="G68" s="24"/>
      <c r="H68" s="36">
        <f>I61+I62+I64+I65+I66</f>
        <v>6242.57</v>
      </c>
      <c r="I68" s="36"/>
      <c r="J68" s="36">
        <f>K61+K62+K64+K65+K66</f>
        <v>92265.35</v>
      </c>
      <c r="K68" s="36"/>
      <c r="O68" s="23">
        <f>I61+I62+I64+I65+I66</f>
        <v>6242.57</v>
      </c>
      <c r="P68" s="23">
        <f>K61+K62+K64+K65+K66</f>
        <v>92265.35</v>
      </c>
      <c r="X68">
        <f>IF(Source!BI103&lt;=1,I61+I62+I64+I65+I66-0, 0)</f>
        <v>0</v>
      </c>
      <c r="Y68">
        <f>IF(Source!BI103=2,I61+I62+I64+I65+I66-0, 0)</f>
        <v>6242.57</v>
      </c>
      <c r="Z68">
        <f>IF(Source!BI103=3,I61+I62+I64+I65+I66-0, 0)</f>
        <v>0</v>
      </c>
      <c r="AA68">
        <f>IF(Source!BI103=4,I61+I62+I64+I65+I66,0)</f>
        <v>0</v>
      </c>
    </row>
    <row r="69" spans="1:27" ht="42.75" x14ac:dyDescent="0.2">
      <c r="A69" s="16" t="str">
        <f>Source!E111</f>
        <v>26</v>
      </c>
      <c r="B69" s="17" t="str">
        <f>Source!F111</f>
        <v>4.8-85-1</v>
      </c>
      <c r="C69" s="17" t="s">
        <v>326</v>
      </c>
      <c r="D69" s="19" t="str">
        <f>Source!H111</f>
        <v>100 м2</v>
      </c>
      <c r="E69" s="18">
        <f>Source!I111</f>
        <v>8.8800000000000008</v>
      </c>
      <c r="F69" s="21"/>
      <c r="G69" s="20"/>
      <c r="H69" s="18"/>
      <c r="I69" s="22"/>
      <c r="J69" s="18"/>
      <c r="K69" s="22"/>
      <c r="Q69">
        <f>ROUND((Source!DN111/100)*ROUND((ROUND((Source!AF111*Source!AV111*Source!I111),2)),2), 2)</f>
        <v>3720.88</v>
      </c>
      <c r="R69">
        <f>Source!X111</f>
        <v>64075.46</v>
      </c>
      <c r="S69">
        <f>ROUND((Source!DO111/100)*ROUND((ROUND((Source!AF111*Source!AV111*Source!I111),2)),2), 2)</f>
        <v>2325.5500000000002</v>
      </c>
      <c r="T69">
        <f>Source!Y111</f>
        <v>30613.83</v>
      </c>
      <c r="U69">
        <f>ROUND((175/100)*ROUND((ROUND((Source!AE111*Source!AV111*Source!I111),2)),2), 2)</f>
        <v>846.11</v>
      </c>
      <c r="V69">
        <f>ROUND((157/100)*ROUND(ROUND((ROUND((Source!AE111*Source!AV111*Source!I111),2)*Source!BS111),2), 2), 2)</f>
        <v>16267.07</v>
      </c>
    </row>
    <row r="70" spans="1:27" ht="14.25" x14ac:dyDescent="0.2">
      <c r="A70" s="16"/>
      <c r="B70" s="17"/>
      <c r="C70" s="17" t="s">
        <v>540</v>
      </c>
      <c r="D70" s="19"/>
      <c r="E70" s="18"/>
      <c r="F70" s="21">
        <f>Source!AO111</f>
        <v>310.72000000000003</v>
      </c>
      <c r="G70" s="20" t="str">
        <f>Source!DG111</f>
        <v>)*1,15)</v>
      </c>
      <c r="H70" s="18">
        <f>Source!AV111</f>
        <v>1.0469999999999999</v>
      </c>
      <c r="I70" s="22">
        <f>ROUND((ROUND((Source!AF111*Source!AV111*Source!I111),2)),2)</f>
        <v>3322.21</v>
      </c>
      <c r="J70" s="18">
        <f>IF(Source!BA111&lt;&gt; 0, Source!BA111, 1)</f>
        <v>21.43</v>
      </c>
      <c r="K70" s="22">
        <f>Source!S111</f>
        <v>71194.960000000006</v>
      </c>
      <c r="W70">
        <f>I70</f>
        <v>3322.21</v>
      </c>
    </row>
    <row r="71" spans="1:27" ht="14.25" x14ac:dyDescent="0.2">
      <c r="A71" s="16"/>
      <c r="B71" s="17"/>
      <c r="C71" s="17" t="s">
        <v>548</v>
      </c>
      <c r="D71" s="19"/>
      <c r="E71" s="18"/>
      <c r="F71" s="21">
        <f>Source!AM111</f>
        <v>194.72</v>
      </c>
      <c r="G71" s="20" t="str">
        <f>Source!DE111</f>
        <v>)*1,15)</v>
      </c>
      <c r="H71" s="18">
        <f>Source!AV111</f>
        <v>1.0469999999999999</v>
      </c>
      <c r="I71" s="22">
        <f>(ROUND((ROUND((((Source!ET111*1.15))*Source!AV111*Source!I111),2)),2)+ROUND((ROUND(((Source!AE111-((Source!EU111*1.15)))*Source!AV111*Source!I111),2)),2))</f>
        <v>2081.94</v>
      </c>
      <c r="J71" s="18">
        <f>IF(Source!BB111&lt;&gt; 0, Source!BB111, 1)</f>
        <v>9.02</v>
      </c>
      <c r="K71" s="22">
        <f>Source!Q111</f>
        <v>18779.099999999999</v>
      </c>
    </row>
    <row r="72" spans="1:27" ht="14.25" x14ac:dyDescent="0.2">
      <c r="A72" s="16"/>
      <c r="B72" s="17"/>
      <c r="C72" s="17" t="s">
        <v>549</v>
      </c>
      <c r="D72" s="19"/>
      <c r="E72" s="18"/>
      <c r="F72" s="21">
        <f>Source!AN111</f>
        <v>45.22</v>
      </c>
      <c r="G72" s="20" t="str">
        <f>Source!DF111</f>
        <v>)*1,15)</v>
      </c>
      <c r="H72" s="18">
        <f>Source!AV111</f>
        <v>1.0469999999999999</v>
      </c>
      <c r="I72" s="25">
        <f>ROUND((ROUND((Source!AE111*Source!AV111*Source!I111),2)),2)</f>
        <v>483.49</v>
      </c>
      <c r="J72" s="18">
        <f>IF(Source!BS111&lt;&gt; 0, Source!BS111, 1)</f>
        <v>21.43</v>
      </c>
      <c r="K72" s="25">
        <f>Source!R111</f>
        <v>10361.19</v>
      </c>
      <c r="W72">
        <f>I72</f>
        <v>483.49</v>
      </c>
    </row>
    <row r="73" spans="1:27" ht="14.25" x14ac:dyDescent="0.2">
      <c r="A73" s="16"/>
      <c r="B73" s="17"/>
      <c r="C73" s="17" t="s">
        <v>550</v>
      </c>
      <c r="D73" s="19"/>
      <c r="E73" s="18"/>
      <c r="F73" s="21">
        <f>Source!AL111</f>
        <v>280</v>
      </c>
      <c r="G73" s="20" t="str">
        <f>Source!DD111</f>
        <v/>
      </c>
      <c r="H73" s="18">
        <f>Source!AW111</f>
        <v>1</v>
      </c>
      <c r="I73" s="22">
        <f>ROUND((ROUND((Source!AC111*Source!AW111*Source!I111),2)),2)</f>
        <v>2486.4</v>
      </c>
      <c r="J73" s="18">
        <f>IF(Source!BC111&lt;&gt; 0, Source!BC111, 1)</f>
        <v>5.36</v>
      </c>
      <c r="K73" s="22">
        <f>Source!P111</f>
        <v>13327.1</v>
      </c>
    </row>
    <row r="74" spans="1:27" ht="14.25" x14ac:dyDescent="0.2">
      <c r="A74" s="16"/>
      <c r="B74" s="17"/>
      <c r="C74" s="17" t="s">
        <v>541</v>
      </c>
      <c r="D74" s="19" t="s">
        <v>542</v>
      </c>
      <c r="E74" s="18">
        <f>Source!DN111</f>
        <v>112</v>
      </c>
      <c r="F74" s="21"/>
      <c r="G74" s="20"/>
      <c r="H74" s="18"/>
      <c r="I74" s="22">
        <f>SUM(Q69:Q73)</f>
        <v>3720.88</v>
      </c>
      <c r="J74" s="18">
        <f>Source!BZ111</f>
        <v>90</v>
      </c>
      <c r="K74" s="22">
        <f>SUM(R69:R73)</f>
        <v>64075.46</v>
      </c>
    </row>
    <row r="75" spans="1:27" ht="14.25" x14ac:dyDescent="0.2">
      <c r="A75" s="16"/>
      <c r="B75" s="17"/>
      <c r="C75" s="17" t="s">
        <v>543</v>
      </c>
      <c r="D75" s="19" t="s">
        <v>542</v>
      </c>
      <c r="E75" s="18">
        <f>Source!DO111</f>
        <v>70</v>
      </c>
      <c r="F75" s="21"/>
      <c r="G75" s="20"/>
      <c r="H75" s="18"/>
      <c r="I75" s="22">
        <f>SUM(S69:S74)</f>
        <v>2325.5500000000002</v>
      </c>
      <c r="J75" s="18">
        <f>Source!CA111</f>
        <v>43</v>
      </c>
      <c r="K75" s="22">
        <f>SUM(T69:T74)</f>
        <v>30613.83</v>
      </c>
    </row>
    <row r="76" spans="1:27" ht="14.25" x14ac:dyDescent="0.2">
      <c r="A76" s="16"/>
      <c r="B76" s="17"/>
      <c r="C76" s="17" t="s">
        <v>551</v>
      </c>
      <c r="D76" s="19" t="s">
        <v>542</v>
      </c>
      <c r="E76" s="18">
        <f>175</f>
        <v>175</v>
      </c>
      <c r="F76" s="21"/>
      <c r="G76" s="20"/>
      <c r="H76" s="18"/>
      <c r="I76" s="22">
        <f>SUM(U69:U75)</f>
        <v>846.11</v>
      </c>
      <c r="J76" s="18">
        <f>157</f>
        <v>157</v>
      </c>
      <c r="K76" s="22">
        <f>SUM(V69:V75)</f>
        <v>16267.07</v>
      </c>
    </row>
    <row r="77" spans="1:27" ht="14.25" x14ac:dyDescent="0.2">
      <c r="A77" s="16"/>
      <c r="B77" s="17"/>
      <c r="C77" s="17" t="s">
        <v>544</v>
      </c>
      <c r="D77" s="19" t="s">
        <v>545</v>
      </c>
      <c r="E77" s="18">
        <f>Source!AQ111</f>
        <v>25.2</v>
      </c>
      <c r="F77" s="21"/>
      <c r="G77" s="20" t="str">
        <f>Source!DI111</f>
        <v>)*1,15)</v>
      </c>
      <c r="H77" s="18">
        <f>Source!AV111</f>
        <v>1.0469999999999999</v>
      </c>
      <c r="I77" s="22">
        <f>Source!U111</f>
        <v>269.43749279999997</v>
      </c>
      <c r="J77" s="18"/>
      <c r="K77" s="22"/>
    </row>
    <row r="78" spans="1:27" ht="15" x14ac:dyDescent="0.25">
      <c r="A78" s="24"/>
      <c r="B78" s="24"/>
      <c r="C78" s="24"/>
      <c r="D78" s="24"/>
      <c r="E78" s="24"/>
      <c r="F78" s="24"/>
      <c r="G78" s="24"/>
      <c r="H78" s="36">
        <f>I70+I71+I73+I74+I75+I76</f>
        <v>14783.09</v>
      </c>
      <c r="I78" s="36"/>
      <c r="J78" s="36">
        <f>K70+K71+K73+K74+K75+K76</f>
        <v>214257.52000000002</v>
      </c>
      <c r="K78" s="36"/>
      <c r="O78" s="23">
        <f>I70+I71+I73+I74+I75+I76</f>
        <v>14783.09</v>
      </c>
      <c r="P78" s="23">
        <f>K70+K71+K73+K74+K75+K76</f>
        <v>214257.52000000002</v>
      </c>
      <c r="X78">
        <f>IF(Source!BI111&lt;=1,I70+I71+I73+I74+I75+I76-0, 0)</f>
        <v>0</v>
      </c>
      <c r="Y78">
        <f>IF(Source!BI111=2,I70+I71+I73+I74+I75+I76-0, 0)</f>
        <v>14783.09</v>
      </c>
      <c r="Z78">
        <f>IF(Source!BI111=3,I70+I71+I73+I74+I75+I76-0, 0)</f>
        <v>0</v>
      </c>
      <c r="AA78">
        <f>IF(Source!BI111=4,I70+I71+I73+I74+I75+I76,0)</f>
        <v>0</v>
      </c>
    </row>
    <row r="79" spans="1:27" ht="57" x14ac:dyDescent="0.2">
      <c r="A79" s="16" t="str">
        <f>Source!E112</f>
        <v>27</v>
      </c>
      <c r="B79" s="17" t="str">
        <f>Source!F112</f>
        <v>сч.ф. №239 от 01.08.2018г.</v>
      </c>
      <c r="C79" s="17" t="s">
        <v>553</v>
      </c>
      <c r="D79" s="19" t="str">
        <f>Source!H112</f>
        <v>ШТ</v>
      </c>
      <c r="E79" s="18">
        <f>Source!I112</f>
        <v>1184</v>
      </c>
      <c r="F79" s="21">
        <f>Source!AL112</f>
        <v>36.049999999999997</v>
      </c>
      <c r="G79" s="20" t="str">
        <f>Source!DD112</f>
        <v>*1,02</v>
      </c>
      <c r="H79" s="18">
        <f>Source!AW112</f>
        <v>1</v>
      </c>
      <c r="I79" s="22">
        <f>ROUND((ROUND((Source!AC112*Source!AW112*Source!I112),2)),2)</f>
        <v>43536.86</v>
      </c>
      <c r="J79" s="18">
        <f>IF(Source!BC112&lt;&gt; 0, Source!BC112, 1)</f>
        <v>5.36</v>
      </c>
      <c r="K79" s="22">
        <f>Source!P112</f>
        <v>233357.57</v>
      </c>
      <c r="Q79">
        <f>ROUND((Source!DN112/100)*ROUND((ROUND((Source!AF112*Source!AV112*Source!I112),2)),2), 2)</f>
        <v>0</v>
      </c>
      <c r="R79">
        <f>Source!X112</f>
        <v>0</v>
      </c>
      <c r="S79">
        <f>ROUND((Source!DO112/100)*ROUND((ROUND((Source!AF112*Source!AV112*Source!I112),2)),2), 2)</f>
        <v>0</v>
      </c>
      <c r="T79">
        <f>Source!Y112</f>
        <v>0</v>
      </c>
      <c r="U79">
        <f>ROUND((175/100)*ROUND((ROUND((Source!AE112*Source!AV112*Source!I112),2)),2), 2)</f>
        <v>0</v>
      </c>
      <c r="V79">
        <f>ROUND((157/100)*ROUND(ROUND((ROUND((Source!AE112*Source!AV112*Source!I112),2)*Source!BS112),2), 2), 2)</f>
        <v>0</v>
      </c>
    </row>
    <row r="80" spans="1:27" ht="15" x14ac:dyDescent="0.25">
      <c r="A80" s="24"/>
      <c r="B80" s="24"/>
      <c r="C80" s="24"/>
      <c r="D80" s="24"/>
      <c r="E80" s="24"/>
      <c r="F80" s="24"/>
      <c r="G80" s="24"/>
      <c r="H80" s="36">
        <f>I79</f>
        <v>43536.86</v>
      </c>
      <c r="I80" s="36"/>
      <c r="J80" s="36">
        <f>K79</f>
        <v>233357.57</v>
      </c>
      <c r="K80" s="36"/>
      <c r="O80" s="23">
        <f>I79</f>
        <v>43536.86</v>
      </c>
      <c r="P80" s="23">
        <f>K79</f>
        <v>233357.57</v>
      </c>
      <c r="X80">
        <f>IF(Source!BI112&lt;=1,I79-0, 0)</f>
        <v>43536.86</v>
      </c>
      <c r="Y80">
        <f>IF(Source!BI112=2,I79-0, 0)</f>
        <v>0</v>
      </c>
      <c r="Z80">
        <f>IF(Source!BI112=3,I79-0, 0)</f>
        <v>0</v>
      </c>
      <c r="AA80">
        <f>IF(Source!BI112=4,I79,0)</f>
        <v>0</v>
      </c>
    </row>
    <row r="81" spans="1:27" ht="57" x14ac:dyDescent="0.2">
      <c r="A81" s="16" t="str">
        <f>Source!E113</f>
        <v>28</v>
      </c>
      <c r="B81" s="17" t="str">
        <f>Source!F113</f>
        <v>сч.ф.№258 от 21.08.2018г.</v>
      </c>
      <c r="C81" s="17" t="s">
        <v>554</v>
      </c>
      <c r="D81" s="19" t="str">
        <f>Source!H113</f>
        <v>ШТ</v>
      </c>
      <c r="E81" s="18">
        <f>Source!I113</f>
        <v>2380</v>
      </c>
      <c r="F81" s="21">
        <f>Source!AL113</f>
        <v>1.9</v>
      </c>
      <c r="G81" s="20" t="str">
        <f>Source!DD113</f>
        <v>*1,02</v>
      </c>
      <c r="H81" s="18">
        <f>Source!AW113</f>
        <v>1</v>
      </c>
      <c r="I81" s="22">
        <f>ROUND((ROUND((Source!AC113*Source!AW113*Source!I113),2)),2)</f>
        <v>4612.4399999999996</v>
      </c>
      <c r="J81" s="18">
        <f>IF(Source!BC113&lt;&gt; 0, Source!BC113, 1)</f>
        <v>5.36</v>
      </c>
      <c r="K81" s="22">
        <f>Source!P113</f>
        <v>24722.68</v>
      </c>
      <c r="Q81">
        <f>ROUND((Source!DN113/100)*ROUND((ROUND((Source!AF113*Source!AV113*Source!I113),2)),2), 2)</f>
        <v>0</v>
      </c>
      <c r="R81">
        <f>Source!X113</f>
        <v>0</v>
      </c>
      <c r="S81">
        <f>ROUND((Source!DO113/100)*ROUND((ROUND((Source!AF113*Source!AV113*Source!I113),2)),2), 2)</f>
        <v>0</v>
      </c>
      <c r="T81">
        <f>Source!Y113</f>
        <v>0</v>
      </c>
      <c r="U81">
        <f>ROUND((175/100)*ROUND((ROUND((Source!AE113*Source!AV113*Source!I113),2)),2), 2)</f>
        <v>0</v>
      </c>
      <c r="V81">
        <f>ROUND((157/100)*ROUND(ROUND((ROUND((Source!AE113*Source!AV113*Source!I113),2)*Source!BS113),2), 2), 2)</f>
        <v>0</v>
      </c>
    </row>
    <row r="82" spans="1:27" ht="15" x14ac:dyDescent="0.25">
      <c r="A82" s="24"/>
      <c r="B82" s="24"/>
      <c r="C82" s="24"/>
      <c r="D82" s="24"/>
      <c r="E82" s="24"/>
      <c r="F82" s="24"/>
      <c r="G82" s="24"/>
      <c r="H82" s="36">
        <f>I81</f>
        <v>4612.4399999999996</v>
      </c>
      <c r="I82" s="36"/>
      <c r="J82" s="36">
        <f>K81</f>
        <v>24722.68</v>
      </c>
      <c r="K82" s="36"/>
      <c r="O82" s="23">
        <f>I81</f>
        <v>4612.4399999999996</v>
      </c>
      <c r="P82" s="23">
        <f>K81</f>
        <v>24722.68</v>
      </c>
      <c r="X82">
        <f>IF(Source!BI113&lt;=1,I81-0, 0)</f>
        <v>4612.4399999999996</v>
      </c>
      <c r="Y82">
        <f>IF(Source!BI113=2,I81-0, 0)</f>
        <v>0</v>
      </c>
      <c r="Z82">
        <f>IF(Source!BI113=3,I81-0, 0)</f>
        <v>0</v>
      </c>
      <c r="AA82">
        <f>IF(Source!BI113=4,I81,0)</f>
        <v>0</v>
      </c>
    </row>
    <row r="83" spans="1:27" ht="28.5" x14ac:dyDescent="0.2">
      <c r="A83" s="16" t="str">
        <f>Source!E117</f>
        <v>32</v>
      </c>
      <c r="B83" s="17" t="str">
        <f>Source!F117</f>
        <v>1.21-5-927</v>
      </c>
      <c r="C83" s="17" t="s">
        <v>352</v>
      </c>
      <c r="D83" s="19" t="str">
        <f>Source!H117</f>
        <v>100 шт.</v>
      </c>
      <c r="E83" s="18">
        <f>Source!I117</f>
        <v>20</v>
      </c>
      <c r="F83" s="21">
        <f>Source!AL117</f>
        <v>30.8</v>
      </c>
      <c r="G83" s="20" t="str">
        <f>Source!DD117</f>
        <v/>
      </c>
      <c r="H83" s="18">
        <f>Source!AW117</f>
        <v>1</v>
      </c>
      <c r="I83" s="22">
        <f>ROUND((ROUND((Source!AC117*Source!AW117*Source!I117),2)),2)</f>
        <v>616</v>
      </c>
      <c r="J83" s="18">
        <f>IF(Source!BC117&lt;&gt; 0, Source!BC117, 1)</f>
        <v>5.31</v>
      </c>
      <c r="K83" s="22">
        <f>Source!P117</f>
        <v>3270.96</v>
      </c>
      <c r="Q83">
        <f>ROUND((Source!DN117/100)*ROUND((ROUND((Source!AF117*Source!AV117*Source!I117),2)),2), 2)</f>
        <v>0</v>
      </c>
      <c r="R83">
        <f>Source!X117</f>
        <v>0</v>
      </c>
      <c r="S83">
        <f>ROUND((Source!DO117/100)*ROUND((ROUND((Source!AF117*Source!AV117*Source!I117),2)),2), 2)</f>
        <v>0</v>
      </c>
      <c r="T83">
        <f>Source!Y117</f>
        <v>0</v>
      </c>
      <c r="U83">
        <f>ROUND((175/100)*ROUND((ROUND((Source!AE117*Source!AV117*Source!I117),2)),2), 2)</f>
        <v>0</v>
      </c>
      <c r="V83">
        <f>ROUND((157/100)*ROUND(ROUND((ROUND((Source!AE117*Source!AV117*Source!I117),2)*Source!BS117),2), 2), 2)</f>
        <v>0</v>
      </c>
    </row>
    <row r="84" spans="1:27" ht="15" x14ac:dyDescent="0.25">
      <c r="A84" s="24"/>
      <c r="B84" s="24"/>
      <c r="C84" s="24"/>
      <c r="D84" s="24"/>
      <c r="E84" s="24"/>
      <c r="F84" s="24"/>
      <c r="G84" s="24"/>
      <c r="H84" s="36">
        <f>I83</f>
        <v>616</v>
      </c>
      <c r="I84" s="36"/>
      <c r="J84" s="36">
        <f>K83</f>
        <v>3270.96</v>
      </c>
      <c r="K84" s="36"/>
      <c r="O84" s="23">
        <f>I83</f>
        <v>616</v>
      </c>
      <c r="P84" s="23">
        <f>K83</f>
        <v>3270.96</v>
      </c>
      <c r="X84">
        <f>IF(Source!BI117&lt;=1,I83-0, 0)</f>
        <v>0</v>
      </c>
      <c r="Y84">
        <f>IF(Source!BI117=2,I83-0, 0)</f>
        <v>616</v>
      </c>
      <c r="Z84">
        <f>IF(Source!BI117=3,I83-0, 0)</f>
        <v>0</v>
      </c>
      <c r="AA84">
        <f>IF(Source!BI117=4,I83,0)</f>
        <v>0</v>
      </c>
    </row>
    <row r="85" spans="1:27" ht="57" x14ac:dyDescent="0.2">
      <c r="A85" s="16" t="str">
        <f>Source!E118</f>
        <v>33</v>
      </c>
      <c r="B85" s="17" t="str">
        <f>Source!F118</f>
        <v>4.8-304-2</v>
      </c>
      <c r="C85" s="17" t="s">
        <v>357</v>
      </c>
      <c r="D85" s="19" t="str">
        <f>Source!H118</f>
        <v>1 комплект</v>
      </c>
      <c r="E85" s="18">
        <f>Source!I118</f>
        <v>48</v>
      </c>
      <c r="F85" s="21"/>
      <c r="G85" s="20"/>
      <c r="H85" s="18"/>
      <c r="I85" s="22"/>
      <c r="J85" s="18"/>
      <c r="K85" s="22"/>
      <c r="Q85">
        <f>ROUND((Source!DN118/100)*ROUND((ROUND((Source!AF118*Source!AV118*Source!I118),2)),2), 2)</f>
        <v>13738.23</v>
      </c>
      <c r="R85">
        <f>Source!X118</f>
        <v>236579.74</v>
      </c>
      <c r="S85">
        <f>ROUND((Source!DO118/100)*ROUND((ROUND((Source!AF118*Source!AV118*Source!I118),2)),2), 2)</f>
        <v>8586.4</v>
      </c>
      <c r="T85">
        <f>Source!Y118</f>
        <v>113032.54</v>
      </c>
      <c r="U85">
        <f>ROUND((175/100)*ROUND((ROUND((Source!AE118*Source!AV118*Source!I118),2)),2), 2)</f>
        <v>476.37</v>
      </c>
      <c r="V85">
        <f>ROUND((157/100)*ROUND(ROUND((ROUND((Source!AE118*Source!AV118*Source!I118),2)*Source!BS118),2), 2), 2)</f>
        <v>9158.5300000000007</v>
      </c>
    </row>
    <row r="86" spans="1:27" ht="14.25" x14ac:dyDescent="0.2">
      <c r="A86" s="16"/>
      <c r="B86" s="17"/>
      <c r="C86" s="17" t="s">
        <v>540</v>
      </c>
      <c r="D86" s="19"/>
      <c r="E86" s="18"/>
      <c r="F86" s="21">
        <f>Source!AO118</f>
        <v>212.24</v>
      </c>
      <c r="G86" s="20" t="str">
        <f>Source!DG118</f>
        <v>)*1,15</v>
      </c>
      <c r="H86" s="18">
        <f>Source!AV118</f>
        <v>1.0469999999999999</v>
      </c>
      <c r="I86" s="22">
        <f>ROUND((ROUND((Source!AF118*Source!AV118*Source!I118),2)),2)</f>
        <v>12266.28</v>
      </c>
      <c r="J86" s="18">
        <f>IF(Source!BA118&lt;&gt; 0, Source!BA118, 1)</f>
        <v>21.43</v>
      </c>
      <c r="K86" s="22">
        <f>Source!S118</f>
        <v>262866.38</v>
      </c>
      <c r="W86">
        <f>I86</f>
        <v>12266.28</v>
      </c>
    </row>
    <row r="87" spans="1:27" ht="14.25" x14ac:dyDescent="0.2">
      <c r="A87" s="16"/>
      <c r="B87" s="17"/>
      <c r="C87" s="17" t="s">
        <v>548</v>
      </c>
      <c r="D87" s="19"/>
      <c r="E87" s="18"/>
      <c r="F87" s="21">
        <f>Source!AM118</f>
        <v>53.54</v>
      </c>
      <c r="G87" s="20" t="str">
        <f>Source!DE118</f>
        <v>)*1,15</v>
      </c>
      <c r="H87" s="18">
        <f>Source!AV118</f>
        <v>1.0469999999999999</v>
      </c>
      <c r="I87" s="22">
        <f>(ROUND((ROUND((((Source!ET118*1.15))*Source!AV118*Source!I118),2)),2)+ROUND((ROUND(((Source!AE118-((Source!EU118*1.15)))*Source!AV118*Source!I118),2)),2))</f>
        <v>3094.31</v>
      </c>
      <c r="J87" s="18">
        <f>IF(Source!BB118&lt;&gt; 0, Source!BB118, 1)</f>
        <v>6.68</v>
      </c>
      <c r="K87" s="22">
        <f>Source!Q118</f>
        <v>20669.990000000002</v>
      </c>
    </row>
    <row r="88" spans="1:27" ht="14.25" x14ac:dyDescent="0.2">
      <c r="A88" s="16"/>
      <c r="B88" s="17"/>
      <c r="C88" s="17" t="s">
        <v>549</v>
      </c>
      <c r="D88" s="19"/>
      <c r="E88" s="18"/>
      <c r="F88" s="21">
        <f>Source!AN118</f>
        <v>4.71</v>
      </c>
      <c r="G88" s="20" t="str">
        <f>Source!DF118</f>
        <v>)*1,15</v>
      </c>
      <c r="H88" s="18">
        <f>Source!AV118</f>
        <v>1.0469999999999999</v>
      </c>
      <c r="I88" s="25">
        <f>ROUND((ROUND((Source!AE118*Source!AV118*Source!I118),2)),2)</f>
        <v>272.20999999999998</v>
      </c>
      <c r="J88" s="18">
        <f>IF(Source!BS118&lt;&gt; 0, Source!BS118, 1)</f>
        <v>21.43</v>
      </c>
      <c r="K88" s="25">
        <f>Source!R118</f>
        <v>5833.46</v>
      </c>
      <c r="W88">
        <f>I88</f>
        <v>272.20999999999998</v>
      </c>
    </row>
    <row r="89" spans="1:27" ht="14.25" x14ac:dyDescent="0.2">
      <c r="A89" s="16"/>
      <c r="B89" s="17"/>
      <c r="C89" s="17" t="s">
        <v>550</v>
      </c>
      <c r="D89" s="19"/>
      <c r="E89" s="18"/>
      <c r="F89" s="21">
        <f>Source!AL118</f>
        <v>61.32</v>
      </c>
      <c r="G89" s="20" t="str">
        <f>Source!DD118</f>
        <v/>
      </c>
      <c r="H89" s="18">
        <f>Source!AW118</f>
        <v>1</v>
      </c>
      <c r="I89" s="22">
        <f>ROUND((ROUND((Source!AC118*Source!AW118*Source!I118),2)),2)</f>
        <v>2943.36</v>
      </c>
      <c r="J89" s="18">
        <f>IF(Source!BC118&lt;&gt; 0, Source!BC118, 1)</f>
        <v>5.36</v>
      </c>
      <c r="K89" s="22">
        <f>Source!P118</f>
        <v>15776.41</v>
      </c>
    </row>
    <row r="90" spans="1:27" ht="14.25" x14ac:dyDescent="0.2">
      <c r="A90" s="16"/>
      <c r="B90" s="17"/>
      <c r="C90" s="17" t="s">
        <v>541</v>
      </c>
      <c r="D90" s="19" t="s">
        <v>542</v>
      </c>
      <c r="E90" s="18">
        <f>Source!DN118</f>
        <v>112</v>
      </c>
      <c r="F90" s="21"/>
      <c r="G90" s="20"/>
      <c r="H90" s="18"/>
      <c r="I90" s="22">
        <f>SUM(Q85:Q89)</f>
        <v>13738.23</v>
      </c>
      <c r="J90" s="18">
        <f>Source!BZ118</f>
        <v>90</v>
      </c>
      <c r="K90" s="22">
        <f>SUM(R85:R89)</f>
        <v>236579.74</v>
      </c>
    </row>
    <row r="91" spans="1:27" ht="14.25" x14ac:dyDescent="0.2">
      <c r="A91" s="16"/>
      <c r="B91" s="17"/>
      <c r="C91" s="17" t="s">
        <v>543</v>
      </c>
      <c r="D91" s="19" t="s">
        <v>542</v>
      </c>
      <c r="E91" s="18">
        <f>Source!DO118</f>
        <v>70</v>
      </c>
      <c r="F91" s="21"/>
      <c r="G91" s="20"/>
      <c r="H91" s="18"/>
      <c r="I91" s="22">
        <f>SUM(S85:S90)</f>
        <v>8586.4</v>
      </c>
      <c r="J91" s="18">
        <f>Source!CA118</f>
        <v>43</v>
      </c>
      <c r="K91" s="22">
        <f>SUM(T85:T90)</f>
        <v>113032.54</v>
      </c>
    </row>
    <row r="92" spans="1:27" ht="14.25" x14ac:dyDescent="0.2">
      <c r="A92" s="16"/>
      <c r="B92" s="17"/>
      <c r="C92" s="17" t="s">
        <v>551</v>
      </c>
      <c r="D92" s="19" t="s">
        <v>542</v>
      </c>
      <c r="E92" s="18">
        <f>175</f>
        <v>175</v>
      </c>
      <c r="F92" s="21"/>
      <c r="G92" s="20"/>
      <c r="H92" s="18"/>
      <c r="I92" s="22">
        <f>SUM(U85:U91)</f>
        <v>476.37</v>
      </c>
      <c r="J92" s="18">
        <f>157</f>
        <v>157</v>
      </c>
      <c r="K92" s="22">
        <f>SUM(V85:V91)</f>
        <v>9158.5300000000007</v>
      </c>
    </row>
    <row r="93" spans="1:27" ht="14.25" x14ac:dyDescent="0.2">
      <c r="A93" s="16"/>
      <c r="B93" s="17"/>
      <c r="C93" s="17" t="s">
        <v>544</v>
      </c>
      <c r="D93" s="19" t="s">
        <v>545</v>
      </c>
      <c r="E93" s="18">
        <f>Source!AQ118</f>
        <v>16.14</v>
      </c>
      <c r="F93" s="21"/>
      <c r="G93" s="20" t="str">
        <f>Source!DI118</f>
        <v>)*1,15</v>
      </c>
      <c r="H93" s="18">
        <f>Source!AV118</f>
        <v>1.0469999999999999</v>
      </c>
      <c r="I93" s="22">
        <f>Source!U118</f>
        <v>932.80161599999985</v>
      </c>
      <c r="J93" s="18"/>
      <c r="K93" s="22"/>
    </row>
    <row r="94" spans="1:27" ht="15" x14ac:dyDescent="0.25">
      <c r="A94" s="24"/>
      <c r="B94" s="24"/>
      <c r="C94" s="24"/>
      <c r="D94" s="24"/>
      <c r="E94" s="24"/>
      <c r="F94" s="24"/>
      <c r="G94" s="24"/>
      <c r="H94" s="36">
        <f>I86+I87+I89+I90+I91+I92</f>
        <v>41104.950000000004</v>
      </c>
      <c r="I94" s="36"/>
      <c r="J94" s="36">
        <f>K86+K87+K89+K90+K91+K92</f>
        <v>658083.59000000008</v>
      </c>
      <c r="K94" s="36"/>
      <c r="O94" s="23">
        <f>I86+I87+I89+I90+I91+I92</f>
        <v>41104.950000000004</v>
      </c>
      <c r="P94" s="23">
        <f>K86+K87+K89+K90+K91+K92</f>
        <v>658083.59000000008</v>
      </c>
      <c r="X94">
        <f>IF(Source!BI118&lt;=1,I86+I87+I89+I90+I91+I92-0, 0)</f>
        <v>0</v>
      </c>
      <c r="Y94">
        <f>IF(Source!BI118=2,I86+I87+I89+I90+I91+I92-0, 0)</f>
        <v>41104.950000000004</v>
      </c>
      <c r="Z94">
        <f>IF(Source!BI118=3,I86+I87+I89+I90+I91+I92-0, 0)</f>
        <v>0</v>
      </c>
      <c r="AA94">
        <f>IF(Source!BI118=4,I86+I87+I89+I90+I91+I92,0)</f>
        <v>0</v>
      </c>
    </row>
    <row r="95" spans="1:27" ht="85.5" x14ac:dyDescent="0.2">
      <c r="A95" s="16" t="str">
        <f>Source!E119</f>
        <v>34</v>
      </c>
      <c r="B95" s="17" t="str">
        <f>Source!F119</f>
        <v>1.21-5-1166</v>
      </c>
      <c r="C95" s="17" t="s">
        <v>362</v>
      </c>
      <c r="D95" s="19" t="str">
        <f>Source!H119</f>
        <v>компл.</v>
      </c>
      <c r="E95" s="18">
        <f>Source!I119</f>
        <v>48</v>
      </c>
      <c r="F95" s="21">
        <f>Source!AL119</f>
        <v>5697.92</v>
      </c>
      <c r="G95" s="20" t="str">
        <f>Source!DD119</f>
        <v/>
      </c>
      <c r="H95" s="18">
        <f>Source!AW119</f>
        <v>1</v>
      </c>
      <c r="I95" s="22">
        <f>ROUND((ROUND((Source!AC119*Source!AW119*Source!I119),2)),2)</f>
        <v>273500.15999999997</v>
      </c>
      <c r="J95" s="18">
        <f>IF(Source!BC119&lt;&gt; 0, Source!BC119, 1)</f>
        <v>2.46</v>
      </c>
      <c r="K95" s="22">
        <f>Source!P119</f>
        <v>672810.39</v>
      </c>
      <c r="Q95">
        <f>ROUND((Source!DN119/100)*ROUND((ROUND((Source!AF119*Source!AV119*Source!I119),2)),2), 2)</f>
        <v>0</v>
      </c>
      <c r="R95">
        <f>Source!X119</f>
        <v>0</v>
      </c>
      <c r="S95">
        <f>ROUND((Source!DO119/100)*ROUND((ROUND((Source!AF119*Source!AV119*Source!I119),2)),2), 2)</f>
        <v>0</v>
      </c>
      <c r="T95">
        <f>Source!Y119</f>
        <v>0</v>
      </c>
      <c r="U95">
        <f>ROUND((175/100)*ROUND((ROUND((Source!AE119*Source!AV119*Source!I119),2)),2), 2)</f>
        <v>0</v>
      </c>
      <c r="V95">
        <f>ROUND((157/100)*ROUND(ROUND((ROUND((Source!AE119*Source!AV119*Source!I119),2)*Source!BS119),2), 2), 2)</f>
        <v>0</v>
      </c>
    </row>
    <row r="96" spans="1:27" ht="15" x14ac:dyDescent="0.25">
      <c r="A96" s="24"/>
      <c r="B96" s="24"/>
      <c r="C96" s="24"/>
      <c r="D96" s="24"/>
      <c r="E96" s="24"/>
      <c r="F96" s="24"/>
      <c r="G96" s="24"/>
      <c r="H96" s="36">
        <f>I95</f>
        <v>273500.15999999997</v>
      </c>
      <c r="I96" s="36"/>
      <c r="J96" s="36">
        <f>K95</f>
        <v>672810.39</v>
      </c>
      <c r="K96" s="36"/>
      <c r="O96" s="23">
        <f>I95</f>
        <v>273500.15999999997</v>
      </c>
      <c r="P96" s="23">
        <f>K95</f>
        <v>672810.39</v>
      </c>
      <c r="X96">
        <f>IF(Source!BI119&lt;=1,I95-0, 0)</f>
        <v>0</v>
      </c>
      <c r="Y96">
        <f>IF(Source!BI119=2,I95-0, 0)</f>
        <v>273500.15999999997</v>
      </c>
      <c r="Z96">
        <f>IF(Source!BI119=3,I95-0, 0)</f>
        <v>0</v>
      </c>
      <c r="AA96">
        <f>IF(Source!BI119=4,I95,0)</f>
        <v>0</v>
      </c>
    </row>
    <row r="98" spans="1:27" ht="15" x14ac:dyDescent="0.25">
      <c r="A98" s="31" t="str">
        <f>CONCATENATE("Итого по разделу: ",IF(Source!G121&lt;&gt;"Новый раздел", Source!G121, ""))</f>
        <v>Итого по разделу: Монтажные работы</v>
      </c>
      <c r="B98" s="31"/>
      <c r="C98" s="31"/>
      <c r="D98" s="31"/>
      <c r="E98" s="31"/>
      <c r="F98" s="31"/>
      <c r="G98" s="31"/>
      <c r="H98" s="32">
        <f>SUM(O33:O97)</f>
        <v>1511425.1400000001</v>
      </c>
      <c r="I98" s="35"/>
      <c r="J98" s="32">
        <f>SUM(P33:P97)</f>
        <v>10189485.380000001</v>
      </c>
      <c r="K98" s="35"/>
    </row>
    <row r="99" spans="1:27" hidden="1" x14ac:dyDescent="0.2">
      <c r="A99" t="s">
        <v>546</v>
      </c>
      <c r="I99">
        <f>SUM(AC33:AC98)</f>
        <v>0</v>
      </c>
      <c r="J99">
        <f>SUM(AD33:AD98)</f>
        <v>0</v>
      </c>
    </row>
    <row r="100" spans="1:27" hidden="1" x14ac:dyDescent="0.2">
      <c r="A100" t="s">
        <v>547</v>
      </c>
      <c r="I100">
        <f>SUM(AE33:AE99)</f>
        <v>0</v>
      </c>
      <c r="J100">
        <f>SUM(AF33:AF99)</f>
        <v>0</v>
      </c>
    </row>
    <row r="101" spans="1:27" ht="14.25" x14ac:dyDescent="0.2">
      <c r="C101" s="33" t="str">
        <f>Source!H150</f>
        <v>Итого по разделу</v>
      </c>
      <c r="D101" s="33"/>
      <c r="E101" s="33"/>
      <c r="F101" s="33"/>
      <c r="G101" s="33"/>
      <c r="H101" s="33"/>
      <c r="I101" s="33"/>
      <c r="J101" s="34">
        <f>IF(Source!F150=0, "", Source!F150)</f>
        <v>10189485.380000001</v>
      </c>
      <c r="K101" s="34"/>
    </row>
    <row r="103" spans="1:27" ht="16.5" x14ac:dyDescent="0.25">
      <c r="A103" s="37" t="str">
        <f>CONCATENATE("Раздел: ",IF(Source!G152&lt;&gt;"Новый раздел", Source!G152, ""))</f>
        <v>Раздел: Прочие</v>
      </c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1:27" ht="42.75" x14ac:dyDescent="0.2">
      <c r="A104" s="16" t="str">
        <f>Source!E156</f>
        <v>1</v>
      </c>
      <c r="B104" s="17" t="str">
        <f>Source!F156</f>
        <v>15.1-28-10</v>
      </c>
      <c r="C104" s="17" t="s">
        <v>366</v>
      </c>
      <c r="D104" s="19" t="str">
        <f>Source!H156</f>
        <v>1 Т</v>
      </c>
      <c r="E104" s="18">
        <f>Source!I156</f>
        <v>3.77</v>
      </c>
      <c r="F104" s="21"/>
      <c r="G104" s="20"/>
      <c r="H104" s="18"/>
      <c r="I104" s="22"/>
      <c r="J104" s="18"/>
      <c r="K104" s="22"/>
      <c r="Q104">
        <f>ROUND((Source!DN156/100)*ROUND((ROUND((Source!AF156*Source!AV156*Source!I156),2)),2), 2)</f>
        <v>0</v>
      </c>
      <c r="R104">
        <f>Source!X156</f>
        <v>0</v>
      </c>
      <c r="S104">
        <f>ROUND((Source!DO156/100)*ROUND((ROUND((Source!AF156*Source!AV156*Source!I156),2)),2), 2)</f>
        <v>0</v>
      </c>
      <c r="T104">
        <f>Source!Y156</f>
        <v>0</v>
      </c>
      <c r="U104">
        <f>ROUND((175/100)*ROUND((ROUND((Source!AE156*Source!AV156*Source!I156),2)),2), 2)</f>
        <v>0</v>
      </c>
      <c r="V104">
        <f>ROUND((157/100)*ROUND(ROUND((ROUND((Source!AE156*Source!AV156*Source!I156),2)*Source!BS156),2), 2), 2)</f>
        <v>0</v>
      </c>
    </row>
    <row r="105" spans="1:27" ht="14.25" x14ac:dyDescent="0.2">
      <c r="A105" s="16"/>
      <c r="B105" s="17"/>
      <c r="C105" s="17" t="s">
        <v>548</v>
      </c>
      <c r="D105" s="19"/>
      <c r="E105" s="18"/>
      <c r="F105" s="21">
        <f>Source!AM156</f>
        <v>34.29</v>
      </c>
      <c r="G105" s="20" t="str">
        <f>Source!DE156</f>
        <v/>
      </c>
      <c r="H105" s="18">
        <f>Source!AV156</f>
        <v>1</v>
      </c>
      <c r="I105" s="22">
        <f>(ROUND((ROUND(((Source!ET156)*Source!AV156*Source!I156),2)),2)+ROUND((ROUND(((Source!AE156-(Source!EU156))*Source!AV156*Source!I156),2)),2))</f>
        <v>129.27000000000001</v>
      </c>
      <c r="J105" s="18">
        <f>IF(Source!BB156&lt;&gt; 0, Source!BB156, 1)</f>
        <v>7.96</v>
      </c>
      <c r="K105" s="22">
        <f>Source!Q156</f>
        <v>1028.99</v>
      </c>
    </row>
    <row r="106" spans="1:27" ht="15" x14ac:dyDescent="0.25">
      <c r="A106" s="24"/>
      <c r="B106" s="24"/>
      <c r="C106" s="24"/>
      <c r="D106" s="24"/>
      <c r="E106" s="24"/>
      <c r="F106" s="24"/>
      <c r="G106" s="24"/>
      <c r="H106" s="36">
        <f>I105</f>
        <v>129.27000000000001</v>
      </c>
      <c r="I106" s="36"/>
      <c r="J106" s="36">
        <f>K105</f>
        <v>1028.99</v>
      </c>
      <c r="K106" s="36"/>
      <c r="O106" s="23">
        <f>I105</f>
        <v>129.27000000000001</v>
      </c>
      <c r="P106" s="23">
        <f>K105</f>
        <v>1028.99</v>
      </c>
      <c r="X106">
        <f>IF(Source!BI156&lt;=1,I105-0, 0)</f>
        <v>0</v>
      </c>
      <c r="Y106">
        <f>IF(Source!BI156=2,I105-0, 0)</f>
        <v>0</v>
      </c>
      <c r="Z106">
        <f>IF(Source!BI156=3,I105-0, 0)</f>
        <v>0</v>
      </c>
      <c r="AA106">
        <f>IF(Source!BI156=4,I105,0)</f>
        <v>129.27000000000001</v>
      </c>
    </row>
    <row r="107" spans="1:27" ht="14.25" x14ac:dyDescent="0.2">
      <c r="A107" s="16" t="str">
        <f>Source!E157</f>
        <v>2</v>
      </c>
      <c r="B107" s="17" t="str">
        <f>Source!F157</f>
        <v>15.1-0-1</v>
      </c>
      <c r="C107" s="17" t="s">
        <v>372</v>
      </c>
      <c r="D107" s="19" t="str">
        <f>Source!H157</f>
        <v>1 Т</v>
      </c>
      <c r="E107" s="18">
        <f>Source!I157</f>
        <v>3.77</v>
      </c>
      <c r="F107" s="21"/>
      <c r="G107" s="20"/>
      <c r="H107" s="18"/>
      <c r="I107" s="22"/>
      <c r="J107" s="18"/>
      <c r="K107" s="22"/>
      <c r="Q107">
        <f>ROUND((Source!DN157/100)*ROUND((ROUND((Source!AF157*Source!AV157*Source!I157),2)),2), 2)</f>
        <v>0</v>
      </c>
      <c r="R107">
        <f>Source!X157</f>
        <v>0</v>
      </c>
      <c r="S107">
        <f>ROUND((Source!DO157/100)*ROUND((ROUND((Source!AF157*Source!AV157*Source!I157),2)),2), 2)</f>
        <v>0</v>
      </c>
      <c r="T107">
        <f>Source!Y157</f>
        <v>0</v>
      </c>
      <c r="U107">
        <f>ROUND((175/100)*ROUND((ROUND((Source!AE157*Source!AV157*Source!I157),2)),2), 2)</f>
        <v>0</v>
      </c>
      <c r="V107">
        <f>ROUND((157/100)*ROUND(ROUND((ROUND((Source!AE157*Source!AV157*Source!I157),2)*Source!BS157),2), 2), 2)</f>
        <v>0</v>
      </c>
    </row>
    <row r="108" spans="1:27" ht="14.25" x14ac:dyDescent="0.2">
      <c r="A108" s="16"/>
      <c r="B108" s="17"/>
      <c r="C108" s="17" t="s">
        <v>548</v>
      </c>
      <c r="D108" s="19"/>
      <c r="E108" s="18"/>
      <c r="F108" s="21">
        <f>Source!AM157</f>
        <v>101</v>
      </c>
      <c r="G108" s="20" t="str">
        <f>Source!DE157</f>
        <v/>
      </c>
      <c r="H108" s="18">
        <f>Source!AV157</f>
        <v>1</v>
      </c>
      <c r="I108" s="22">
        <f>(ROUND((ROUND(((Source!ET157)*Source!AV157*Source!I157),2)),2)+ROUND((ROUND(((Source!AE157-(Source!EU157))*Source!AV157*Source!I157),2)),2))</f>
        <v>380.77</v>
      </c>
      <c r="J108" s="18">
        <f>IF(Source!BB157&lt;&gt; 0, Source!BB157, 1)</f>
        <v>2.14</v>
      </c>
      <c r="K108" s="22">
        <f>Source!Q157</f>
        <v>814.85</v>
      </c>
    </row>
    <row r="109" spans="1:27" ht="15" x14ac:dyDescent="0.25">
      <c r="A109" s="24"/>
      <c r="B109" s="24"/>
      <c r="C109" s="24"/>
      <c r="D109" s="24"/>
      <c r="E109" s="24"/>
      <c r="F109" s="24"/>
      <c r="G109" s="24"/>
      <c r="H109" s="36">
        <f>I108</f>
        <v>380.77</v>
      </c>
      <c r="I109" s="36"/>
      <c r="J109" s="36">
        <f>K108</f>
        <v>814.85</v>
      </c>
      <c r="K109" s="36"/>
      <c r="O109" s="23">
        <f>I108</f>
        <v>380.77</v>
      </c>
      <c r="P109" s="23">
        <f>K108</f>
        <v>814.85</v>
      </c>
      <c r="X109">
        <f>IF(Source!BI157&lt;=1,I108-0, 0)</f>
        <v>0</v>
      </c>
      <c r="Y109">
        <f>IF(Source!BI157=2,I108-0, 0)</f>
        <v>0</v>
      </c>
      <c r="Z109">
        <f>IF(Source!BI157=3,I108-0, 0)</f>
        <v>0</v>
      </c>
      <c r="AA109">
        <f>IF(Source!BI157=4,I108,0)</f>
        <v>380.77</v>
      </c>
    </row>
    <row r="111" spans="1:27" ht="15" x14ac:dyDescent="0.25">
      <c r="A111" s="31" t="str">
        <f>CONCATENATE("Итого по разделу: ",IF(Source!G159&lt;&gt;"Новый раздел", Source!G159, ""))</f>
        <v>Итого по разделу: Прочие</v>
      </c>
      <c r="B111" s="31"/>
      <c r="C111" s="31"/>
      <c r="D111" s="31"/>
      <c r="E111" s="31"/>
      <c r="F111" s="31"/>
      <c r="G111" s="31"/>
      <c r="H111" s="32">
        <f>SUM(O103:O110)</f>
        <v>510.03999999999996</v>
      </c>
      <c r="I111" s="35"/>
      <c r="J111" s="32">
        <f>SUM(P103:P110)</f>
        <v>1843.8400000000001</v>
      </c>
      <c r="K111" s="35"/>
    </row>
    <row r="112" spans="1:27" hidden="1" x14ac:dyDescent="0.2">
      <c r="A112" t="s">
        <v>546</v>
      </c>
      <c r="I112">
        <f>SUM(AC103:AC111)</f>
        <v>0</v>
      </c>
      <c r="J112">
        <f>SUM(AD103:AD111)</f>
        <v>0</v>
      </c>
    </row>
    <row r="113" spans="1:38" hidden="1" x14ac:dyDescent="0.2">
      <c r="A113" t="s">
        <v>547</v>
      </c>
      <c r="I113">
        <f>SUM(AE103:AE112)</f>
        <v>0</v>
      </c>
      <c r="J113">
        <f>SUM(AF103:AF112)</f>
        <v>0</v>
      </c>
    </row>
    <row r="114" spans="1:38" ht="14.25" x14ac:dyDescent="0.2">
      <c r="C114" s="33" t="str">
        <f>Source!H188</f>
        <v>Итого по разделу</v>
      </c>
      <c r="D114" s="33"/>
      <c r="E114" s="33"/>
      <c r="F114" s="33"/>
      <c r="G114" s="33"/>
      <c r="H114" s="33"/>
      <c r="I114" s="33"/>
      <c r="J114" s="34">
        <f>IF(Source!F188=0, "", Source!F188)</f>
        <v>1843.84</v>
      </c>
      <c r="K114" s="34"/>
    </row>
    <row r="116" spans="1:38" ht="15" x14ac:dyDescent="0.25">
      <c r="A116" s="31" t="str">
        <f>CONCATENATE("Итого по локальной смете: ",IF(Source!G190&lt;&gt;"Новая локальная смета", Source!G190, ""))</f>
        <v>Итого по локальной смете: Прокладка кабеля 20 кВ в коллекторе "ПС Сити 2"</v>
      </c>
      <c r="B116" s="31"/>
      <c r="C116" s="31"/>
      <c r="D116" s="31"/>
      <c r="E116" s="31"/>
      <c r="F116" s="31"/>
      <c r="G116" s="31"/>
      <c r="H116" s="32">
        <f>SUM(O19:O115)</f>
        <v>1512034.28</v>
      </c>
      <c r="I116" s="35"/>
      <c r="J116" s="32">
        <f>SUM(P19:P115)</f>
        <v>10193070.540000001</v>
      </c>
      <c r="K116" s="35"/>
      <c r="AL116" s="26" t="str">
        <f>CONCATENATE("Итого по локальной смете: ",IF(Source!G190&lt;&gt;"Новая локальная смета", Source!G190, ""))</f>
        <v>Итого по локальной смете: Прокладка кабеля 20 кВ в коллекторе "ПС Сити 2"</v>
      </c>
    </row>
    <row r="117" spans="1:38" hidden="1" x14ac:dyDescent="0.2">
      <c r="A117" t="s">
        <v>546</v>
      </c>
      <c r="I117">
        <f>SUM(AC19:AC116)</f>
        <v>0</v>
      </c>
      <c r="J117">
        <f>SUM(AD19:AD116)</f>
        <v>0</v>
      </c>
    </row>
    <row r="118" spans="1:38" hidden="1" x14ac:dyDescent="0.2">
      <c r="A118" t="s">
        <v>547</v>
      </c>
      <c r="I118">
        <f>SUM(AE19:AE117)</f>
        <v>0</v>
      </c>
      <c r="J118">
        <f>SUM(AF19:AF117)</f>
        <v>0</v>
      </c>
    </row>
    <row r="119" spans="1:38" ht="14.25" x14ac:dyDescent="0.2">
      <c r="C119" s="33" t="str">
        <f>Source!H219</f>
        <v>Строительные работы</v>
      </c>
      <c r="D119" s="33"/>
      <c r="E119" s="33"/>
      <c r="F119" s="33"/>
      <c r="G119" s="33"/>
      <c r="H119" s="33"/>
      <c r="I119" s="33"/>
      <c r="J119" s="34">
        <f>IF(Source!F219=0, "", Source!F219)</f>
        <v>1741.32</v>
      </c>
      <c r="K119" s="34"/>
    </row>
    <row r="120" spans="1:38" ht="14.25" x14ac:dyDescent="0.2">
      <c r="C120" s="33" t="str">
        <f>Source!H220</f>
        <v>Монтажные работы</v>
      </c>
      <c r="D120" s="33"/>
      <c r="E120" s="33"/>
      <c r="F120" s="33"/>
      <c r="G120" s="33"/>
      <c r="H120" s="33"/>
      <c r="I120" s="33"/>
      <c r="J120" s="34">
        <f>IF(Source!F220=0, "", Source!F220)</f>
        <v>10189485.380000001</v>
      </c>
      <c r="K120" s="34"/>
    </row>
    <row r="121" spans="1:38" ht="14.25" x14ac:dyDescent="0.2">
      <c r="C121" s="33" t="str">
        <f>Source!H221</f>
        <v>Временные здания и сооружения 1,5%</v>
      </c>
      <c r="D121" s="33"/>
      <c r="E121" s="33"/>
      <c r="F121" s="33"/>
      <c r="G121" s="33"/>
      <c r="H121" s="33"/>
      <c r="I121" s="33"/>
      <c r="J121" s="34">
        <f>IF(Source!F221=0, "", Source!F221)</f>
        <v>152868.4</v>
      </c>
      <c r="K121" s="34"/>
    </row>
    <row r="122" spans="1:38" ht="14.25" x14ac:dyDescent="0.2">
      <c r="C122" s="33" t="str">
        <f>Source!H222</f>
        <v>Прочие</v>
      </c>
      <c r="D122" s="33"/>
      <c r="E122" s="33"/>
      <c r="F122" s="33"/>
      <c r="G122" s="33"/>
      <c r="H122" s="33"/>
      <c r="I122" s="33"/>
      <c r="J122" s="34">
        <f>IF(Source!F222=0, "", Source!F222)</f>
        <v>1843.84</v>
      </c>
      <c r="K122" s="34"/>
    </row>
    <row r="123" spans="1:38" ht="14.25" x14ac:dyDescent="0.2">
      <c r="C123" s="33" t="str">
        <f>Source!H223</f>
        <v>Итого</v>
      </c>
      <c r="D123" s="33"/>
      <c r="E123" s="33"/>
      <c r="F123" s="33"/>
      <c r="G123" s="33"/>
      <c r="H123" s="33"/>
      <c r="I123" s="33"/>
      <c r="J123" s="34">
        <f>IF(Source!F223=0, "", Source!F223)</f>
        <v>10345938.939999999</v>
      </c>
      <c r="K123" s="34"/>
    </row>
    <row r="124" spans="1:38" ht="14.25" x14ac:dyDescent="0.2">
      <c r="C124" s="33" t="str">
        <f>Source!H224</f>
        <v>НДС-20%</v>
      </c>
      <c r="D124" s="33"/>
      <c r="E124" s="33"/>
      <c r="F124" s="33"/>
      <c r="G124" s="33"/>
      <c r="H124" s="33"/>
      <c r="I124" s="33"/>
      <c r="J124" s="34">
        <f>IF(Source!F224=0, "", Source!F224)</f>
        <v>2069187.79</v>
      </c>
      <c r="K124" s="34"/>
    </row>
    <row r="125" spans="1:38" s="28" customFormat="1" ht="15" x14ac:dyDescent="0.25">
      <c r="C125" s="31" t="str">
        <f>Source!H225</f>
        <v>Всего по смете  с НДС</v>
      </c>
      <c r="D125" s="31"/>
      <c r="E125" s="31"/>
      <c r="F125" s="31"/>
      <c r="G125" s="31"/>
      <c r="H125" s="31"/>
      <c r="I125" s="31"/>
      <c r="J125" s="32">
        <f>IF(Source!F225=0, "", Source!F225)</f>
        <v>12415126.73</v>
      </c>
      <c r="K125" s="32"/>
    </row>
    <row r="127" spans="1:38" ht="14.25" x14ac:dyDescent="0.2">
      <c r="A127" s="29" t="s">
        <v>556</v>
      </c>
      <c r="B127" s="29"/>
      <c r="C127" s="27" t="s">
        <v>560</v>
      </c>
      <c r="D127" s="27"/>
      <c r="E127" s="27"/>
      <c r="F127" s="27"/>
      <c r="G127" s="27"/>
      <c r="H127" s="10" t="s">
        <v>561</v>
      </c>
      <c r="I127" s="10"/>
      <c r="J127" s="10"/>
      <c r="K127" s="10"/>
    </row>
    <row r="128" spans="1:38" ht="14.25" x14ac:dyDescent="0.2">
      <c r="A128" s="10"/>
      <c r="B128" s="10"/>
      <c r="C128" s="30" t="s">
        <v>557</v>
      </c>
      <c r="D128" s="30"/>
      <c r="E128" s="30"/>
      <c r="F128" s="30"/>
      <c r="G128" s="30"/>
      <c r="H128" s="10"/>
      <c r="I128" s="10"/>
      <c r="J128" s="10"/>
      <c r="K128" s="10"/>
    </row>
    <row r="129" spans="1:11" ht="14.25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</row>
    <row r="130" spans="1:11" ht="14.25" x14ac:dyDescent="0.2">
      <c r="A130" s="29" t="s">
        <v>558</v>
      </c>
      <c r="B130" s="29"/>
      <c r="C130" s="27" t="str">
        <f>IF(Source!AE12&lt;&gt;"", Source!AE12," ")</f>
        <v xml:space="preserve"> </v>
      </c>
      <c r="D130" s="27"/>
      <c r="E130" s="27"/>
      <c r="F130" s="27"/>
      <c r="G130" s="27"/>
      <c r="H130" s="10" t="str">
        <f>IF(Source!AD12&lt;&gt;"", Source!AD12," ")</f>
        <v xml:space="preserve"> </v>
      </c>
      <c r="I130" s="10"/>
      <c r="J130" s="10"/>
      <c r="K130" s="10"/>
    </row>
    <row r="131" spans="1:11" ht="14.25" x14ac:dyDescent="0.2">
      <c r="A131" s="10"/>
      <c r="B131" s="10"/>
      <c r="C131" s="30" t="s">
        <v>557</v>
      </c>
      <c r="D131" s="30"/>
      <c r="E131" s="30"/>
      <c r="F131" s="30"/>
      <c r="G131" s="30"/>
      <c r="H131" s="10"/>
      <c r="I131" s="10"/>
      <c r="J131" s="10"/>
      <c r="K131" s="10"/>
    </row>
  </sheetData>
  <mergeCells count="78">
    <mergeCell ref="A12:K12"/>
    <mergeCell ref="A3:K3"/>
    <mergeCell ref="A4:K4"/>
    <mergeCell ref="A6:K6"/>
    <mergeCell ref="A7:K7"/>
    <mergeCell ref="A9:K9"/>
    <mergeCell ref="A11:K11"/>
    <mergeCell ref="A33:K33"/>
    <mergeCell ref="F15:H15"/>
    <mergeCell ref="A16:K16"/>
    <mergeCell ref="A20:K20"/>
    <mergeCell ref="J26:K26"/>
    <mergeCell ref="H26:I26"/>
    <mergeCell ref="J28:K28"/>
    <mergeCell ref="H28:I28"/>
    <mergeCell ref="A28:G28"/>
    <mergeCell ref="C31:I31"/>
    <mergeCell ref="J31:K31"/>
    <mergeCell ref="J43:K43"/>
    <mergeCell ref="H43:I43"/>
    <mergeCell ref="J45:K45"/>
    <mergeCell ref="H45:I45"/>
    <mergeCell ref="J47:K47"/>
    <mergeCell ref="H47:I47"/>
    <mergeCell ref="J57:K57"/>
    <mergeCell ref="H57:I57"/>
    <mergeCell ref="J59:K59"/>
    <mergeCell ref="H59:I59"/>
    <mergeCell ref="J68:K68"/>
    <mergeCell ref="H68:I68"/>
    <mergeCell ref="J78:K78"/>
    <mergeCell ref="H78:I78"/>
    <mergeCell ref="J80:K80"/>
    <mergeCell ref="H80:I80"/>
    <mergeCell ref="J82:K82"/>
    <mergeCell ref="H82:I82"/>
    <mergeCell ref="A103:K103"/>
    <mergeCell ref="J84:K84"/>
    <mergeCell ref="H84:I84"/>
    <mergeCell ref="J94:K94"/>
    <mergeCell ref="H94:I94"/>
    <mergeCell ref="J96:K96"/>
    <mergeCell ref="H96:I96"/>
    <mergeCell ref="J98:K98"/>
    <mergeCell ref="H98:I98"/>
    <mergeCell ref="A98:G98"/>
    <mergeCell ref="C101:I101"/>
    <mergeCell ref="J101:K101"/>
    <mergeCell ref="J106:K106"/>
    <mergeCell ref="H106:I106"/>
    <mergeCell ref="J109:K109"/>
    <mergeCell ref="H109:I109"/>
    <mergeCell ref="J111:K111"/>
    <mergeCell ref="H111:I111"/>
    <mergeCell ref="A111:G111"/>
    <mergeCell ref="C114:I114"/>
    <mergeCell ref="J114:K114"/>
    <mergeCell ref="J116:K116"/>
    <mergeCell ref="H116:I116"/>
    <mergeCell ref="A116:G116"/>
    <mergeCell ref="C119:I119"/>
    <mergeCell ref="J119:K119"/>
    <mergeCell ref="C120:I120"/>
    <mergeCell ref="J120:K120"/>
    <mergeCell ref="C121:I121"/>
    <mergeCell ref="J121:K121"/>
    <mergeCell ref="J125:K125"/>
    <mergeCell ref="C122:I122"/>
    <mergeCell ref="J122:K122"/>
    <mergeCell ref="C123:I123"/>
    <mergeCell ref="J123:K123"/>
    <mergeCell ref="C124:I124"/>
    <mergeCell ref="J124:K124"/>
    <mergeCell ref="A127:B127"/>
    <mergeCell ref="C128:G128"/>
    <mergeCell ref="A130:B130"/>
    <mergeCell ref="C131:G131"/>
    <mergeCell ref="C125:I125"/>
  </mergeCells>
  <pageMargins left="0.4" right="0.2" top="0.4" bottom="0.4" header="0.2" footer="0.2"/>
  <pageSetup paperSize="9" scale="64" fitToHeight="0" orientation="portrait" r:id="rId1"/>
  <headerFooter>
    <oddHeader>&amp;L&amp;8ООО "Инженерные коммуникации СТОУН"  Доп. раб. место  MCCS-0028578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67"/>
  <sheetViews>
    <sheetView workbookViewId="0">
      <selection activeCell="F21" sqref="F2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28578</v>
      </c>
      <c r="M1">
        <v>10</v>
      </c>
      <c r="N1">
        <v>11</v>
      </c>
      <c r="O1">
        <v>0</v>
      </c>
      <c r="P1">
        <v>0</v>
      </c>
      <c r="Q1">
        <v>3</v>
      </c>
    </row>
    <row r="12" spans="1:133" x14ac:dyDescent="0.2">
      <c r="A12" s="1">
        <v>1</v>
      </c>
      <c r="B12" s="1">
        <v>262</v>
      </c>
      <c r="C12" s="1">
        <v>0</v>
      </c>
      <c r="D12" s="1">
        <f>ROW(A227)</f>
        <v>227</v>
      </c>
      <c r="E12" s="1">
        <v>0</v>
      </c>
      <c r="F12" s="1" t="s">
        <v>4</v>
      </c>
      <c r="G12" s="1" t="s">
        <v>559</v>
      </c>
      <c r="H12" s="1" t="s">
        <v>6</v>
      </c>
      <c r="I12" s="1">
        <v>0</v>
      </c>
      <c r="J12" s="1" t="s">
        <v>7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8</v>
      </c>
      <c r="AI12" s="1" t="s">
        <v>9</v>
      </c>
      <c r="AJ12" s="1" t="s">
        <v>10</v>
      </c>
      <c r="AK12" s="1"/>
      <c r="AL12" s="1" t="s">
        <v>11</v>
      </c>
      <c r="AM12" s="1" t="s">
        <v>9</v>
      </c>
      <c r="AN12" s="1" t="s">
        <v>12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10</v>
      </c>
      <c r="AY12" s="1" t="s">
        <v>12</v>
      </c>
      <c r="AZ12" s="1" t="s">
        <v>6</v>
      </c>
      <c r="BA12" s="1"/>
      <c r="BB12" s="1"/>
      <c r="BC12" s="1"/>
      <c r="BD12" s="1"/>
      <c r="BE12" s="1"/>
      <c r="BF12" s="1"/>
      <c r="BG12" s="1"/>
      <c r="BH12" s="1" t="s">
        <v>13</v>
      </c>
      <c r="BI12" s="1" t="s">
        <v>14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15</v>
      </c>
      <c r="BZ12" s="1" t="s">
        <v>16</v>
      </c>
      <c r="CA12" s="1" t="s">
        <v>17</v>
      </c>
      <c r="CB12" s="1" t="s">
        <v>17</v>
      </c>
      <c r="CC12" s="1" t="s">
        <v>17</v>
      </c>
      <c r="CD12" s="1" t="s">
        <v>17</v>
      </c>
      <c r="CE12" s="1" t="s">
        <v>18</v>
      </c>
      <c r="CF12" s="1">
        <v>0</v>
      </c>
      <c r="CG12" s="1">
        <v>0</v>
      </c>
      <c r="CH12" s="1">
        <v>8</v>
      </c>
      <c r="CI12" s="1" t="s">
        <v>6</v>
      </c>
      <c r="CJ12" s="1" t="s">
        <v>6</v>
      </c>
      <c r="CK12" s="1">
        <v>53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B227</f>
        <v>262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5 коллектор  Строительство РП-1, 2КЛ-10кВ от ПС "Павелецкая"_(Копия)_(Копия)</v>
      </c>
      <c r="G18" s="2" t="str">
        <f t="shared" si="0"/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H18" s="2"/>
      <c r="I18" s="2"/>
      <c r="J18" s="2"/>
      <c r="K18" s="2"/>
      <c r="L18" s="2"/>
      <c r="M18" s="2"/>
      <c r="N18" s="2"/>
      <c r="O18" s="2">
        <f t="shared" ref="O18:AT18" si="1">O227</f>
        <v>8801475.4399999995</v>
      </c>
      <c r="P18" s="2">
        <f t="shared" si="1"/>
        <v>7644945.7400000002</v>
      </c>
      <c r="Q18" s="2">
        <f t="shared" si="1"/>
        <v>248817.05</v>
      </c>
      <c r="R18" s="2">
        <f t="shared" si="1"/>
        <v>117510.76</v>
      </c>
      <c r="S18" s="2">
        <f t="shared" si="1"/>
        <v>907712.65</v>
      </c>
      <c r="T18" s="2">
        <f t="shared" si="1"/>
        <v>0</v>
      </c>
      <c r="U18" s="2">
        <f t="shared" si="1"/>
        <v>3538.4040961799992</v>
      </c>
      <c r="V18" s="2">
        <f t="shared" si="1"/>
        <v>0</v>
      </c>
      <c r="W18" s="2">
        <f t="shared" si="1"/>
        <v>0</v>
      </c>
      <c r="X18" s="2">
        <f t="shared" si="1"/>
        <v>816803.05</v>
      </c>
      <c r="Y18" s="2">
        <f t="shared" si="1"/>
        <v>390300.15999999997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10193070.539999999</v>
      </c>
      <c r="AS18" s="2">
        <f t="shared" si="1"/>
        <v>280564.13</v>
      </c>
      <c r="AT18" s="2">
        <f t="shared" si="1"/>
        <v>9910662.5700000003</v>
      </c>
      <c r="AU18" s="2">
        <f t="shared" ref="AU18:BZ18" si="2">AU227</f>
        <v>1843.84</v>
      </c>
      <c r="AV18" s="2">
        <f t="shared" si="2"/>
        <v>7644945.7400000002</v>
      </c>
      <c r="AW18" s="2">
        <f t="shared" si="2"/>
        <v>7644945.7400000002</v>
      </c>
      <c r="AX18" s="2">
        <f t="shared" si="2"/>
        <v>0</v>
      </c>
      <c r="AY18" s="2">
        <f t="shared" si="2"/>
        <v>7644945.7400000002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CA227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DG227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EM227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FS227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ROW(A190)</f>
        <v>190</v>
      </c>
      <c r="E20" s="1"/>
      <c r="F20" s="1">
        <v>3</v>
      </c>
      <c r="G20" s="1" t="s">
        <v>20</v>
      </c>
      <c r="H20" s="1" t="s">
        <v>6</v>
      </c>
      <c r="I20" s="1">
        <v>0</v>
      </c>
      <c r="J20" s="1" t="s">
        <v>7</v>
      </c>
      <c r="K20" s="1">
        <v>-1</v>
      </c>
      <c r="L20" s="1" t="s">
        <v>6</v>
      </c>
      <c r="M20" s="1"/>
      <c r="N20" s="1"/>
      <c r="O20" s="1"/>
      <c r="P20" s="1"/>
      <c r="Q20" s="1"/>
      <c r="R20" s="1"/>
      <c r="S20" s="1"/>
      <c r="T20" s="1"/>
      <c r="U20" s="1" t="s">
        <v>6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21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</row>
    <row r="22" spans="1:245" x14ac:dyDescent="0.2">
      <c r="A22" s="2">
        <v>52</v>
      </c>
      <c r="B22" s="2">
        <f t="shared" ref="B22:G22" si="7">B190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>
        <f t="shared" si="7"/>
        <v>3</v>
      </c>
      <c r="G22" s="2" t="str">
        <f t="shared" si="7"/>
        <v>Прокладка кабеля 20 кВ в коллекторе "ПС Сити 2"</v>
      </c>
      <c r="H22" s="2"/>
      <c r="I22" s="2"/>
      <c r="J22" s="2"/>
      <c r="K22" s="2"/>
      <c r="L22" s="2"/>
      <c r="M22" s="2"/>
      <c r="N22" s="2"/>
      <c r="O22" s="2">
        <f t="shared" ref="O22:AT22" si="8">O190</f>
        <v>8801475.4399999995</v>
      </c>
      <c r="P22" s="2">
        <f t="shared" si="8"/>
        <v>7644945.7400000002</v>
      </c>
      <c r="Q22" s="2">
        <f t="shared" si="8"/>
        <v>248817.05</v>
      </c>
      <c r="R22" s="2">
        <f t="shared" si="8"/>
        <v>117510.76</v>
      </c>
      <c r="S22" s="2">
        <f t="shared" si="8"/>
        <v>907712.65</v>
      </c>
      <c r="T22" s="2">
        <f t="shared" si="8"/>
        <v>0</v>
      </c>
      <c r="U22" s="2">
        <f t="shared" si="8"/>
        <v>3538.4040961799992</v>
      </c>
      <c r="V22" s="2">
        <f t="shared" si="8"/>
        <v>0</v>
      </c>
      <c r="W22" s="2">
        <f t="shared" si="8"/>
        <v>0</v>
      </c>
      <c r="X22" s="2">
        <f t="shared" si="8"/>
        <v>816803.05</v>
      </c>
      <c r="Y22" s="2">
        <f t="shared" si="8"/>
        <v>390300.15999999997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10193070.539999999</v>
      </c>
      <c r="AS22" s="2">
        <f t="shared" si="8"/>
        <v>280564.13</v>
      </c>
      <c r="AT22" s="2">
        <f t="shared" si="8"/>
        <v>9910662.5700000003</v>
      </c>
      <c r="AU22" s="2">
        <f t="shared" ref="AU22:BZ22" si="9">AU190</f>
        <v>1843.84</v>
      </c>
      <c r="AV22" s="2">
        <f t="shared" si="9"/>
        <v>7644945.7400000002</v>
      </c>
      <c r="AW22" s="2">
        <f t="shared" si="9"/>
        <v>7644945.7400000002</v>
      </c>
      <c r="AX22" s="2">
        <f t="shared" si="9"/>
        <v>0</v>
      </c>
      <c r="AY22" s="2">
        <f t="shared" si="9"/>
        <v>7644945.7400000002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CA190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DG190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EM190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FS190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ROW(A55)</f>
        <v>55</v>
      </c>
      <c r="E24" s="1"/>
      <c r="F24" s="1" t="s">
        <v>22</v>
      </c>
      <c r="G24" s="1" t="s">
        <v>23</v>
      </c>
      <c r="H24" s="1" t="s">
        <v>6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6</v>
      </c>
      <c r="V24" s="1">
        <v>0</v>
      </c>
      <c r="W24" s="1"/>
      <c r="X24" s="1"/>
      <c r="Y24" s="1"/>
      <c r="Z24" s="1"/>
      <c r="AA24" s="1"/>
      <c r="AB24" s="1" t="s">
        <v>6</v>
      </c>
      <c r="AC24" s="1" t="s">
        <v>6</v>
      </c>
      <c r="AD24" s="1" t="s">
        <v>6</v>
      </c>
      <c r="AE24" s="1" t="s">
        <v>6</v>
      </c>
      <c r="AF24" s="1" t="s">
        <v>6</v>
      </c>
      <c r="AG24" s="1" t="s">
        <v>6</v>
      </c>
      <c r="AH24" s="1"/>
      <c r="AI24" s="1"/>
      <c r="AJ24" s="1"/>
      <c r="AK24" s="1"/>
      <c r="AL24" s="1"/>
      <c r="AM24" s="1"/>
      <c r="AN24" s="1"/>
      <c r="AO24" s="1"/>
      <c r="AP24" s="1" t="s">
        <v>6</v>
      </c>
      <c r="AQ24" s="1" t="s">
        <v>6</v>
      </c>
      <c r="AR24" s="1" t="s">
        <v>6</v>
      </c>
      <c r="AS24" s="1"/>
      <c r="AT24" s="1"/>
      <c r="AU24" s="1"/>
      <c r="AV24" s="1"/>
      <c r="AW24" s="1"/>
      <c r="AX24" s="1"/>
      <c r="AY24" s="1"/>
      <c r="AZ24" s="1" t="s">
        <v>6</v>
      </c>
      <c r="BA24" s="1"/>
      <c r="BB24" s="1" t="s">
        <v>6</v>
      </c>
      <c r="BC24" s="1" t="s">
        <v>6</v>
      </c>
      <c r="BD24" s="1" t="s">
        <v>6</v>
      </c>
      <c r="BE24" s="1" t="s">
        <v>6</v>
      </c>
      <c r="BF24" s="1" t="s">
        <v>6</v>
      </c>
      <c r="BG24" s="1" t="s">
        <v>6</v>
      </c>
      <c r="BH24" s="1" t="s">
        <v>6</v>
      </c>
      <c r="BI24" s="1" t="s">
        <v>6</v>
      </c>
      <c r="BJ24" s="1" t="s">
        <v>6</v>
      </c>
      <c r="BK24" s="1" t="s">
        <v>6</v>
      </c>
      <c r="BL24" s="1" t="s">
        <v>6</v>
      </c>
      <c r="BM24" s="1" t="s">
        <v>6</v>
      </c>
      <c r="BN24" s="1" t="s">
        <v>6</v>
      </c>
      <c r="BO24" s="1" t="s">
        <v>6</v>
      </c>
      <c r="BP24" s="1" t="s">
        <v>6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B55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O55</f>
        <v>813.7</v>
      </c>
      <c r="P26" s="2">
        <f t="shared" si="15"/>
        <v>0</v>
      </c>
      <c r="Q26" s="2">
        <f t="shared" si="15"/>
        <v>0</v>
      </c>
      <c r="R26" s="2">
        <f t="shared" si="15"/>
        <v>0</v>
      </c>
      <c r="S26" s="2">
        <f t="shared" si="15"/>
        <v>813.7</v>
      </c>
      <c r="T26" s="2">
        <f t="shared" si="15"/>
        <v>0</v>
      </c>
      <c r="U26" s="2">
        <f t="shared" si="15"/>
        <v>4.0261337999999993</v>
      </c>
      <c r="V26" s="2">
        <f t="shared" si="15"/>
        <v>0</v>
      </c>
      <c r="W26" s="2">
        <f t="shared" si="15"/>
        <v>0</v>
      </c>
      <c r="X26" s="2">
        <f t="shared" si="15"/>
        <v>594</v>
      </c>
      <c r="Y26" s="2">
        <f t="shared" si="15"/>
        <v>333.62</v>
      </c>
      <c r="Z26" s="2">
        <f t="shared" si="15"/>
        <v>0</v>
      </c>
      <c r="AA26" s="2">
        <f t="shared" si="15"/>
        <v>0</v>
      </c>
      <c r="AB26" s="2">
        <f t="shared" si="15"/>
        <v>813.7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813.7</v>
      </c>
      <c r="AG26" s="2">
        <f t="shared" si="15"/>
        <v>0</v>
      </c>
      <c r="AH26" s="2">
        <f t="shared" si="15"/>
        <v>4.0261337999999993</v>
      </c>
      <c r="AI26" s="2">
        <f t="shared" si="15"/>
        <v>0</v>
      </c>
      <c r="AJ26" s="2">
        <f t="shared" si="15"/>
        <v>0</v>
      </c>
      <c r="AK26" s="2">
        <f t="shared" si="15"/>
        <v>594</v>
      </c>
      <c r="AL26" s="2">
        <f t="shared" si="15"/>
        <v>333.62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1741.32</v>
      </c>
      <c r="AS26" s="2">
        <f t="shared" si="15"/>
        <v>1741.32</v>
      </c>
      <c r="AT26" s="2">
        <f t="shared" si="15"/>
        <v>0</v>
      </c>
      <c r="AU26" s="2">
        <f t="shared" ref="AU26:BZ26" si="16">AU55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CA55</f>
        <v>1741.32</v>
      </c>
      <c r="CB26" s="2">
        <f t="shared" si="17"/>
        <v>1741.32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DG55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EM55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FS55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ROW(SmtRes!A3)</f>
        <v>3</v>
      </c>
      <c r="D28">
        <f>ROW(EtalonRes!A3)</f>
        <v>3</v>
      </c>
      <c r="E28" t="s">
        <v>24</v>
      </c>
      <c r="F28" t="s">
        <v>25</v>
      </c>
      <c r="G28" t="s">
        <v>26</v>
      </c>
      <c r="H28" t="s">
        <v>27</v>
      </c>
      <c r="I28">
        <v>0</v>
      </c>
      <c r="J28">
        <v>0</v>
      </c>
      <c r="O28">
        <f t="shared" ref="O28:O53" si="21">ROUND(CP28,2)</f>
        <v>0</v>
      </c>
      <c r="P28">
        <f t="shared" ref="P28:P53" si="22">ROUND((ROUND((AC28*AW28*I28),2)*BC28),2)</f>
        <v>0</v>
      </c>
      <c r="Q28">
        <f>(ROUND((ROUND((((ET28*1.15))*AV28*I28),2)*BB28),2)+ROUND((ROUND(((AE28-((EU28*1.15)))*AV28*I28),2)*BS28),2))</f>
        <v>0</v>
      </c>
      <c r="R28">
        <f t="shared" ref="R28:R53" si="23">ROUND((ROUND((AE28*AV28*I28),2)*BS28),2)</f>
        <v>0</v>
      </c>
      <c r="S28">
        <f t="shared" ref="S28:S53" si="24">ROUND((ROUND((AF28*AV28*I28),2)*BA28),2)</f>
        <v>0</v>
      </c>
      <c r="T28">
        <f t="shared" ref="T28:T53" si="25">ROUND(CU28*I28,2)</f>
        <v>0</v>
      </c>
      <c r="U28">
        <f t="shared" ref="U28:U53" si="26">CV28*I28</f>
        <v>0</v>
      </c>
      <c r="V28">
        <f t="shared" ref="V28:V53" si="27">CW28*I28</f>
        <v>0</v>
      </c>
      <c r="W28">
        <f t="shared" ref="W28:W53" si="28">ROUND(CX28*I28,2)</f>
        <v>0</v>
      </c>
      <c r="X28">
        <f t="shared" ref="X28:X53" si="29">ROUND(CY28,2)</f>
        <v>0</v>
      </c>
      <c r="Y28">
        <f t="shared" ref="Y28:Y53" si="30">ROUND(CZ28,2)</f>
        <v>0</v>
      </c>
      <c r="AA28">
        <v>44176454</v>
      </c>
      <c r="AB28">
        <f t="shared" ref="AB28:AB53" si="31">ROUND((AC28+AD28+AF28),6)</f>
        <v>8400.9110000000001</v>
      </c>
      <c r="AC28">
        <f t="shared" ref="AC28:AC53" si="32">ROUND((ES28),6)</f>
        <v>0</v>
      </c>
      <c r="AD28">
        <f>ROUND(((((ET28*1.15))-((EU28*1.15)))+AE28),6)</f>
        <v>5513.1</v>
      </c>
      <c r="AE28">
        <f>ROUND(((EU28*1.15)),6)</f>
        <v>1542.15</v>
      </c>
      <c r="AF28">
        <f>ROUND(((EV28*1.15)),6)</f>
        <v>2887.8110000000001</v>
      </c>
      <c r="AG28">
        <f t="shared" ref="AG28:AG53" si="33">ROUND((AP28),6)</f>
        <v>0</v>
      </c>
      <c r="AH28">
        <f>((EW28*1.15))</f>
        <v>236.89999999999998</v>
      </c>
      <c r="AI28">
        <f>((EX28*1.15))</f>
        <v>0</v>
      </c>
      <c r="AJ28">
        <f t="shared" ref="AJ28:AJ53" si="34">(AS28)</f>
        <v>0</v>
      </c>
      <c r="AK28">
        <v>7305.14</v>
      </c>
      <c r="AL28">
        <v>0</v>
      </c>
      <c r="AM28">
        <v>4794</v>
      </c>
      <c r="AN28">
        <v>1341</v>
      </c>
      <c r="AO28">
        <v>2511.14</v>
      </c>
      <c r="AP28">
        <v>0</v>
      </c>
      <c r="AQ28">
        <v>206</v>
      </c>
      <c r="AR28">
        <v>0</v>
      </c>
      <c r="AS28">
        <v>0</v>
      </c>
      <c r="AT28">
        <v>73</v>
      </c>
      <c r="AU28">
        <v>41</v>
      </c>
      <c r="AV28">
        <v>1.0469999999999999</v>
      </c>
      <c r="AW28">
        <v>1.002</v>
      </c>
      <c r="AZ28">
        <v>1</v>
      </c>
      <c r="BA28">
        <v>21.43</v>
      </c>
      <c r="BB28">
        <v>9.08</v>
      </c>
      <c r="BC28">
        <v>1</v>
      </c>
      <c r="BD28" t="s">
        <v>6</v>
      </c>
      <c r="BE28" t="s">
        <v>6</v>
      </c>
      <c r="BF28" t="s">
        <v>6</v>
      </c>
      <c r="BG28" t="s">
        <v>6</v>
      </c>
      <c r="BH28">
        <v>0</v>
      </c>
      <c r="BI28">
        <v>1</v>
      </c>
      <c r="BJ28" t="s">
        <v>28</v>
      </c>
      <c r="BM28">
        <v>682</v>
      </c>
      <c r="BN28">
        <v>0</v>
      </c>
      <c r="BO28" t="s">
        <v>25</v>
      </c>
      <c r="BP28">
        <v>1</v>
      </c>
      <c r="BQ28">
        <v>60</v>
      </c>
      <c r="BR28">
        <v>0</v>
      </c>
      <c r="BS28">
        <v>21.43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6</v>
      </c>
      <c r="BZ28">
        <v>73</v>
      </c>
      <c r="CA28">
        <v>41</v>
      </c>
      <c r="CE28">
        <v>30</v>
      </c>
      <c r="CF28">
        <v>0</v>
      </c>
      <c r="CG28">
        <v>0</v>
      </c>
      <c r="CM28">
        <v>0</v>
      </c>
      <c r="CN28" t="s">
        <v>515</v>
      </c>
      <c r="CO28">
        <v>0</v>
      </c>
      <c r="CP28">
        <f t="shared" ref="CP28:CP53" si="35">(P28+Q28+S28)</f>
        <v>0</v>
      </c>
      <c r="CQ28">
        <f t="shared" ref="CQ28:CQ53" si="36">ROUND((ROUND((AC28*AW28*1),2)*BC28),2)</f>
        <v>0</v>
      </c>
      <c r="CR28">
        <f>(ROUND((ROUND((((ET28*1.15))*AV28*1),2)*BB28),2)+ROUND((ROUND(((AE28-((EU28*1.15)))*AV28*1),2)*BS28),2))</f>
        <v>52411.76</v>
      </c>
      <c r="CS28">
        <f t="shared" ref="CS28:CS53" si="37">ROUND((ROUND((AE28*AV28*1),2)*BS28),2)</f>
        <v>34601.519999999997</v>
      </c>
      <c r="CT28">
        <f t="shared" ref="CT28:CT53" si="38">ROUND((ROUND((AF28*AV28*1),2)*BA28),2)</f>
        <v>64794.46</v>
      </c>
      <c r="CU28">
        <f t="shared" ref="CU28:CU53" si="39">AG28</f>
        <v>0</v>
      </c>
      <c r="CV28">
        <f t="shared" ref="CV28:CV53" si="40">(AH28*AV28)</f>
        <v>248.03429999999997</v>
      </c>
      <c r="CW28">
        <f t="shared" ref="CW28:CW53" si="41">AI28</f>
        <v>0</v>
      </c>
      <c r="CX28">
        <f t="shared" ref="CX28:CX53" si="42">AJ28</f>
        <v>0</v>
      </c>
      <c r="CY28">
        <f t="shared" ref="CY28:CY53" si="43">S28*(BZ28/100)</f>
        <v>0</v>
      </c>
      <c r="CZ28">
        <f t="shared" ref="CZ28:CZ53" si="44">S28*(CA28/100)</f>
        <v>0</v>
      </c>
      <c r="DC28" t="s">
        <v>6</v>
      </c>
      <c r="DD28" t="s">
        <v>6</v>
      </c>
      <c r="DE28" t="s">
        <v>29</v>
      </c>
      <c r="DF28" t="s">
        <v>29</v>
      </c>
      <c r="DG28" t="s">
        <v>29</v>
      </c>
      <c r="DH28" t="s">
        <v>6</v>
      </c>
      <c r="DI28" t="s">
        <v>29</v>
      </c>
      <c r="DJ28" t="s">
        <v>29</v>
      </c>
      <c r="DK28" t="s">
        <v>6</v>
      </c>
      <c r="DL28" t="s">
        <v>6</v>
      </c>
      <c r="DM28" t="s">
        <v>6</v>
      </c>
      <c r="DN28">
        <v>91</v>
      </c>
      <c r="DO28">
        <v>70</v>
      </c>
      <c r="DP28">
        <v>1.0469999999999999</v>
      </c>
      <c r="DQ28">
        <v>1.002</v>
      </c>
      <c r="DU28">
        <v>1013</v>
      </c>
      <c r="DV28" t="s">
        <v>27</v>
      </c>
      <c r="DW28" t="s">
        <v>27</v>
      </c>
      <c r="DX28">
        <v>1</v>
      </c>
      <c r="EE28">
        <v>44064501</v>
      </c>
      <c r="EF28">
        <v>60</v>
      </c>
      <c r="EG28" t="s">
        <v>30</v>
      </c>
      <c r="EH28">
        <v>0</v>
      </c>
      <c r="EI28" t="s">
        <v>6</v>
      </c>
      <c r="EJ28">
        <v>1</v>
      </c>
      <c r="EK28">
        <v>682</v>
      </c>
      <c r="EL28" t="s">
        <v>31</v>
      </c>
      <c r="EM28" t="s">
        <v>32</v>
      </c>
      <c r="EO28" t="s">
        <v>33</v>
      </c>
      <c r="EQ28">
        <v>131072</v>
      </c>
      <c r="ER28">
        <v>7305.14</v>
      </c>
      <c r="ES28">
        <v>0</v>
      </c>
      <c r="ET28">
        <v>4794</v>
      </c>
      <c r="EU28">
        <v>1341</v>
      </c>
      <c r="EV28">
        <v>2511.14</v>
      </c>
      <c r="EW28">
        <v>206</v>
      </c>
      <c r="EX28">
        <v>0</v>
      </c>
      <c r="EY28">
        <v>0</v>
      </c>
      <c r="FQ28">
        <v>0</v>
      </c>
      <c r="FR28">
        <f t="shared" ref="FR28:FR53" si="45">ROUND(IF(AND(BH28=3,BI28=3),P28,0),2)</f>
        <v>0</v>
      </c>
      <c r="FS28">
        <v>0</v>
      </c>
      <c r="FX28">
        <v>91</v>
      </c>
      <c r="FY28">
        <v>70</v>
      </c>
      <c r="GA28" t="s">
        <v>6</v>
      </c>
      <c r="GD28">
        <v>0</v>
      </c>
      <c r="GF28">
        <v>878765690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53" si="46">ROUND(IF(AND(BH28=3,BI28=3,FS28&lt;&gt;0),P28,0),2)</f>
        <v>0</v>
      </c>
      <c r="GM28">
        <f t="shared" ref="GM28:GM53" si="47">ROUND(O28+X28+Y28+GK28,2)+GX28</f>
        <v>0</v>
      </c>
      <c r="GN28">
        <f t="shared" ref="GN28:GN53" si="48">IF(OR(BI28=0,BI28=1),ROUND(O28+X28+Y28+GK28,2),0)</f>
        <v>0</v>
      </c>
      <c r="GO28">
        <f t="shared" ref="GO28:GO53" si="49">IF(BI28=2,ROUND(O28+X28+Y28+GK28,2),0)</f>
        <v>0</v>
      </c>
      <c r="GP28">
        <f t="shared" ref="GP28:GP53" si="50">IF(BI28=4,ROUND(O28+X28+Y28+GK28,2)+GX28,0)</f>
        <v>0</v>
      </c>
      <c r="GR28">
        <v>0</v>
      </c>
      <c r="GS28">
        <v>0</v>
      </c>
      <c r="GT28">
        <v>0</v>
      </c>
      <c r="GU28" t="s">
        <v>6</v>
      </c>
      <c r="GV28">
        <f t="shared" ref="GV28:GV53" si="51">ROUND((GT28),6)</f>
        <v>0</v>
      </c>
      <c r="GW28">
        <v>1</v>
      </c>
      <c r="GX28">
        <f t="shared" ref="GX28:GX53" si="52">ROUND(HC28*I28,2)</f>
        <v>0</v>
      </c>
      <c r="HA28">
        <v>0</v>
      </c>
      <c r="HB28">
        <v>0</v>
      </c>
      <c r="HC28">
        <f t="shared" ref="HC28:HC53" si="53">GV28*GW28</f>
        <v>0</v>
      </c>
      <c r="IK28">
        <v>0</v>
      </c>
    </row>
    <row r="29" spans="1:245" x14ac:dyDescent="0.2">
      <c r="A29">
        <v>17</v>
      </c>
      <c r="B29">
        <v>1</v>
      </c>
      <c r="C29">
        <f>ROW(SmtRes!A4)</f>
        <v>4</v>
      </c>
      <c r="D29">
        <f>ROW(EtalonRes!A4)</f>
        <v>4</v>
      </c>
      <c r="E29" t="s">
        <v>34</v>
      </c>
      <c r="F29" t="s">
        <v>35</v>
      </c>
      <c r="G29" t="s">
        <v>36</v>
      </c>
      <c r="H29" t="s">
        <v>37</v>
      </c>
      <c r="I29">
        <f>ROUND(I103+I108*100*0.021,9)</f>
        <v>3.77</v>
      </c>
      <c r="J29">
        <v>0</v>
      </c>
      <c r="O29">
        <f t="shared" si="21"/>
        <v>813.7</v>
      </c>
      <c r="P29">
        <f t="shared" si="22"/>
        <v>0</v>
      </c>
      <c r="Q29">
        <f>(ROUND((ROUND(((ET29)*AV29*I29),2)*BB29),2)+ROUND((ROUND(((AE29-(EU29))*AV29*I29),2)*BS29),2))</f>
        <v>0</v>
      </c>
      <c r="R29">
        <f t="shared" si="23"/>
        <v>0</v>
      </c>
      <c r="S29">
        <f t="shared" si="24"/>
        <v>813.7</v>
      </c>
      <c r="T29">
        <f t="shared" si="25"/>
        <v>0</v>
      </c>
      <c r="U29">
        <f t="shared" si="26"/>
        <v>4.0261337999999993</v>
      </c>
      <c r="V29">
        <f t="shared" si="27"/>
        <v>0</v>
      </c>
      <c r="W29">
        <f t="shared" si="28"/>
        <v>0</v>
      </c>
      <c r="X29">
        <f t="shared" si="29"/>
        <v>594</v>
      </c>
      <c r="Y29">
        <f t="shared" si="30"/>
        <v>333.62</v>
      </c>
      <c r="AA29">
        <v>44176454</v>
      </c>
      <c r="AB29">
        <f t="shared" si="31"/>
        <v>9.6199999999999992</v>
      </c>
      <c r="AC29">
        <f t="shared" si="32"/>
        <v>0</v>
      </c>
      <c r="AD29">
        <f>ROUND((((ET29)-(EU29))+AE29),6)</f>
        <v>0</v>
      </c>
      <c r="AE29">
        <f>ROUND((EU29),6)</f>
        <v>0</v>
      </c>
      <c r="AF29">
        <f>ROUND((EV29),6)</f>
        <v>9.6199999999999992</v>
      </c>
      <c r="AG29">
        <f t="shared" si="33"/>
        <v>0</v>
      </c>
      <c r="AH29">
        <f>(EW29)</f>
        <v>1.02</v>
      </c>
      <c r="AI29">
        <f>(EX29)</f>
        <v>0</v>
      </c>
      <c r="AJ29">
        <f t="shared" si="34"/>
        <v>0</v>
      </c>
      <c r="AK29">
        <v>9.6199999999999992</v>
      </c>
      <c r="AL29">
        <v>0</v>
      </c>
      <c r="AM29">
        <v>0</v>
      </c>
      <c r="AN29">
        <v>0</v>
      </c>
      <c r="AO29">
        <v>9.6199999999999992</v>
      </c>
      <c r="AP29">
        <v>0</v>
      </c>
      <c r="AQ29">
        <v>1.02</v>
      </c>
      <c r="AR29">
        <v>0</v>
      </c>
      <c r="AS29">
        <v>0</v>
      </c>
      <c r="AT29">
        <v>73</v>
      </c>
      <c r="AU29">
        <v>41</v>
      </c>
      <c r="AV29">
        <v>1.0469999999999999</v>
      </c>
      <c r="AW29">
        <v>1.002</v>
      </c>
      <c r="AZ29">
        <v>1</v>
      </c>
      <c r="BA29">
        <v>21.43</v>
      </c>
      <c r="BB29">
        <v>1</v>
      </c>
      <c r="BC29">
        <v>1</v>
      </c>
      <c r="BD29" t="s">
        <v>6</v>
      </c>
      <c r="BE29" t="s">
        <v>6</v>
      </c>
      <c r="BF29" t="s">
        <v>6</v>
      </c>
      <c r="BG29" t="s">
        <v>6</v>
      </c>
      <c r="BH29">
        <v>0</v>
      </c>
      <c r="BI29">
        <v>1</v>
      </c>
      <c r="BJ29" t="s">
        <v>38</v>
      </c>
      <c r="BM29">
        <v>682</v>
      </c>
      <c r="BN29">
        <v>0</v>
      </c>
      <c r="BO29" t="s">
        <v>35</v>
      </c>
      <c r="BP29">
        <v>1</v>
      </c>
      <c r="BQ29">
        <v>60</v>
      </c>
      <c r="BR29">
        <v>0</v>
      </c>
      <c r="BS29">
        <v>21.43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6</v>
      </c>
      <c r="BZ29">
        <v>73</v>
      </c>
      <c r="CA29">
        <v>41</v>
      </c>
      <c r="CE29">
        <v>30</v>
      </c>
      <c r="CF29">
        <v>0</v>
      </c>
      <c r="CG29">
        <v>0</v>
      </c>
      <c r="CM29">
        <v>0</v>
      </c>
      <c r="CN29" t="s">
        <v>6</v>
      </c>
      <c r="CO29">
        <v>0</v>
      </c>
      <c r="CP29">
        <f t="shared" si="35"/>
        <v>813.7</v>
      </c>
      <c r="CQ29">
        <f t="shared" si="36"/>
        <v>0</v>
      </c>
      <c r="CR29">
        <f>(ROUND((ROUND(((ET29)*AV29*1),2)*BB29),2)+ROUND((ROUND(((AE29-(EU29))*AV29*1),2)*BS29),2))</f>
        <v>0</v>
      </c>
      <c r="CS29">
        <f t="shared" si="37"/>
        <v>0</v>
      </c>
      <c r="CT29">
        <f t="shared" si="38"/>
        <v>215.8</v>
      </c>
      <c r="CU29">
        <f t="shared" si="39"/>
        <v>0</v>
      </c>
      <c r="CV29">
        <f t="shared" si="40"/>
        <v>1.0679399999999999</v>
      </c>
      <c r="CW29">
        <f t="shared" si="41"/>
        <v>0</v>
      </c>
      <c r="CX29">
        <f t="shared" si="42"/>
        <v>0</v>
      </c>
      <c r="CY29">
        <f t="shared" si="43"/>
        <v>594.00099999999998</v>
      </c>
      <c r="CZ29">
        <f t="shared" si="44"/>
        <v>333.61700000000002</v>
      </c>
      <c r="DC29" t="s">
        <v>6</v>
      </c>
      <c r="DD29" t="s">
        <v>6</v>
      </c>
      <c r="DE29" t="s">
        <v>6</v>
      </c>
      <c r="DF29" t="s">
        <v>6</v>
      </c>
      <c r="DG29" t="s">
        <v>6</v>
      </c>
      <c r="DH29" t="s">
        <v>6</v>
      </c>
      <c r="DI29" t="s">
        <v>6</v>
      </c>
      <c r="DJ29" t="s">
        <v>6</v>
      </c>
      <c r="DK29" t="s">
        <v>6</v>
      </c>
      <c r="DL29" t="s">
        <v>6</v>
      </c>
      <c r="DM29" t="s">
        <v>6</v>
      </c>
      <c r="DN29">
        <v>91</v>
      </c>
      <c r="DO29">
        <v>70</v>
      </c>
      <c r="DP29">
        <v>1.0469999999999999</v>
      </c>
      <c r="DQ29">
        <v>1.002</v>
      </c>
      <c r="DU29">
        <v>1013</v>
      </c>
      <c r="DV29" t="s">
        <v>37</v>
      </c>
      <c r="DW29" t="s">
        <v>37</v>
      </c>
      <c r="DX29">
        <v>1</v>
      </c>
      <c r="EE29">
        <v>44064501</v>
      </c>
      <c r="EF29">
        <v>60</v>
      </c>
      <c r="EG29" t="s">
        <v>30</v>
      </c>
      <c r="EH29">
        <v>0</v>
      </c>
      <c r="EI29" t="s">
        <v>6</v>
      </c>
      <c r="EJ29">
        <v>1</v>
      </c>
      <c r="EK29">
        <v>682</v>
      </c>
      <c r="EL29" t="s">
        <v>31</v>
      </c>
      <c r="EM29" t="s">
        <v>32</v>
      </c>
      <c r="EO29" t="s">
        <v>39</v>
      </c>
      <c r="EQ29">
        <v>131072</v>
      </c>
      <c r="ER29">
        <v>9.6199999999999992</v>
      </c>
      <c r="ES29">
        <v>0</v>
      </c>
      <c r="ET29">
        <v>0</v>
      </c>
      <c r="EU29">
        <v>0</v>
      </c>
      <c r="EV29">
        <v>9.6199999999999992</v>
      </c>
      <c r="EW29">
        <v>1.02</v>
      </c>
      <c r="EX29">
        <v>0</v>
      </c>
      <c r="EY29">
        <v>0</v>
      </c>
      <c r="FQ29">
        <v>0</v>
      </c>
      <c r="FR29">
        <f t="shared" si="45"/>
        <v>0</v>
      </c>
      <c r="FS29">
        <v>0</v>
      </c>
      <c r="FX29">
        <v>91</v>
      </c>
      <c r="FY29">
        <v>70</v>
      </c>
      <c r="GA29" t="s">
        <v>6</v>
      </c>
      <c r="GD29">
        <v>0</v>
      </c>
      <c r="GF29">
        <v>903638064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46"/>
        <v>0</v>
      </c>
      <c r="GM29">
        <f t="shared" si="47"/>
        <v>1741.32</v>
      </c>
      <c r="GN29">
        <f t="shared" si="48"/>
        <v>1741.32</v>
      </c>
      <c r="GO29">
        <f t="shared" si="49"/>
        <v>0</v>
      </c>
      <c r="GP29">
        <f t="shared" si="50"/>
        <v>0</v>
      </c>
      <c r="GR29">
        <v>0</v>
      </c>
      <c r="GS29">
        <v>0</v>
      </c>
      <c r="GT29">
        <v>0</v>
      </c>
      <c r="GU29" t="s">
        <v>6</v>
      </c>
      <c r="GV29">
        <f t="shared" si="51"/>
        <v>0</v>
      </c>
      <c r="GW29">
        <v>1</v>
      </c>
      <c r="GX29">
        <f t="shared" si="52"/>
        <v>0</v>
      </c>
      <c r="HA29">
        <v>0</v>
      </c>
      <c r="HB29">
        <v>0</v>
      </c>
      <c r="HC29">
        <f t="shared" si="53"/>
        <v>0</v>
      </c>
      <c r="IK29">
        <v>0</v>
      </c>
    </row>
    <row r="30" spans="1:245" x14ac:dyDescent="0.2">
      <c r="A30">
        <v>17</v>
      </c>
      <c r="B30">
        <v>1</v>
      </c>
      <c r="C30">
        <f>ROW(SmtRes!A10)</f>
        <v>10</v>
      </c>
      <c r="D30">
        <f>ROW(EtalonRes!A8)</f>
        <v>8</v>
      </c>
      <c r="E30" t="s">
        <v>40</v>
      </c>
      <c r="F30" t="s">
        <v>41</v>
      </c>
      <c r="G30" t="s">
        <v>42</v>
      </c>
      <c r="H30" t="s">
        <v>43</v>
      </c>
      <c r="I30">
        <v>0</v>
      </c>
      <c r="J30">
        <v>0</v>
      </c>
      <c r="O30">
        <f t="shared" si="21"/>
        <v>0</v>
      </c>
      <c r="P30">
        <f t="shared" si="22"/>
        <v>0</v>
      </c>
      <c r="Q30">
        <f>(ROUND((ROUND((((ET30*1.15*1.2))*AV30*I30),2)*BB30),2)+ROUND((ROUND(((AE30-((EU30*1.15*1.2)))*AV30*I30),2)*BS30),2))</f>
        <v>0</v>
      </c>
      <c r="R30">
        <f t="shared" si="23"/>
        <v>0</v>
      </c>
      <c r="S30">
        <f t="shared" si="24"/>
        <v>0</v>
      </c>
      <c r="T30">
        <f t="shared" si="25"/>
        <v>0</v>
      </c>
      <c r="U30">
        <f t="shared" si="26"/>
        <v>0</v>
      </c>
      <c r="V30">
        <f t="shared" si="27"/>
        <v>0</v>
      </c>
      <c r="W30">
        <f t="shared" si="28"/>
        <v>0</v>
      </c>
      <c r="X30">
        <f t="shared" si="29"/>
        <v>0</v>
      </c>
      <c r="Y30">
        <f t="shared" si="30"/>
        <v>0</v>
      </c>
      <c r="AA30">
        <v>44176454</v>
      </c>
      <c r="AB30">
        <f t="shared" si="31"/>
        <v>21775.829600000001</v>
      </c>
      <c r="AC30">
        <f t="shared" si="32"/>
        <v>19554.14</v>
      </c>
      <c r="AD30">
        <f>ROUND(((((ET30*1.15*1.2))-((EU30*1.15*1.2)))+AE30),6)</f>
        <v>0</v>
      </c>
      <c r="AE30">
        <f>ROUND(((EU30*1.15*1.2)),6)</f>
        <v>0</v>
      </c>
      <c r="AF30">
        <f>ROUND(((EV30*1.15*1.2)),6)</f>
        <v>2221.6896000000002</v>
      </c>
      <c r="AG30">
        <f t="shared" si="33"/>
        <v>0</v>
      </c>
      <c r="AH30">
        <f>((EW30*1.15*1.2))</f>
        <v>198.72</v>
      </c>
      <c r="AI30">
        <f>((EX30*1.15*1.2))</f>
        <v>0</v>
      </c>
      <c r="AJ30">
        <f t="shared" si="34"/>
        <v>0</v>
      </c>
      <c r="AK30">
        <v>21164.06</v>
      </c>
      <c r="AL30">
        <v>19554.14</v>
      </c>
      <c r="AM30">
        <v>0</v>
      </c>
      <c r="AN30">
        <v>0</v>
      </c>
      <c r="AO30">
        <v>1609.92</v>
      </c>
      <c r="AP30">
        <v>0</v>
      </c>
      <c r="AQ30">
        <v>144</v>
      </c>
      <c r="AR30">
        <v>0</v>
      </c>
      <c r="AS30">
        <v>0</v>
      </c>
      <c r="AT30">
        <v>90</v>
      </c>
      <c r="AU30">
        <v>41</v>
      </c>
      <c r="AV30">
        <v>1.0669999999999999</v>
      </c>
      <c r="AW30">
        <v>1.081</v>
      </c>
      <c r="AZ30">
        <v>1</v>
      </c>
      <c r="BA30">
        <v>21.43</v>
      </c>
      <c r="BB30">
        <v>1</v>
      </c>
      <c r="BC30">
        <v>4.3</v>
      </c>
      <c r="BD30" t="s">
        <v>6</v>
      </c>
      <c r="BE30" t="s">
        <v>6</v>
      </c>
      <c r="BF30" t="s">
        <v>6</v>
      </c>
      <c r="BG30" t="s">
        <v>6</v>
      </c>
      <c r="BH30">
        <v>0</v>
      </c>
      <c r="BI30">
        <v>1</v>
      </c>
      <c r="BJ30" t="s">
        <v>44</v>
      </c>
      <c r="BM30">
        <v>242</v>
      </c>
      <c r="BN30">
        <v>0</v>
      </c>
      <c r="BO30" t="s">
        <v>41</v>
      </c>
      <c r="BP30">
        <v>1</v>
      </c>
      <c r="BQ30">
        <v>30</v>
      </c>
      <c r="BR30">
        <v>0</v>
      </c>
      <c r="BS30">
        <v>21.43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6</v>
      </c>
      <c r="BZ30">
        <v>90</v>
      </c>
      <c r="CA30">
        <v>41</v>
      </c>
      <c r="CE30">
        <v>30</v>
      </c>
      <c r="CF30">
        <v>0</v>
      </c>
      <c r="CG30">
        <v>0</v>
      </c>
      <c r="CM30">
        <v>0</v>
      </c>
      <c r="CN30" t="s">
        <v>516</v>
      </c>
      <c r="CO30">
        <v>0</v>
      </c>
      <c r="CP30">
        <f t="shared" si="35"/>
        <v>0</v>
      </c>
      <c r="CQ30">
        <f t="shared" si="36"/>
        <v>90893.53</v>
      </c>
      <c r="CR30">
        <f>(ROUND((ROUND((((ET30*1.15*1.2))*AV30*1),2)*BB30),2)+ROUND((ROUND(((AE30-((EU30*1.15*1.2)))*AV30*1),2)*BS30),2))</f>
        <v>0</v>
      </c>
      <c r="CS30">
        <f t="shared" si="37"/>
        <v>0</v>
      </c>
      <c r="CT30">
        <f t="shared" si="38"/>
        <v>50800.67</v>
      </c>
      <c r="CU30">
        <f t="shared" si="39"/>
        <v>0</v>
      </c>
      <c r="CV30">
        <f t="shared" si="40"/>
        <v>212.03423999999998</v>
      </c>
      <c r="CW30">
        <f t="shared" si="41"/>
        <v>0</v>
      </c>
      <c r="CX30">
        <f t="shared" si="42"/>
        <v>0</v>
      </c>
      <c r="CY30">
        <f t="shared" si="43"/>
        <v>0</v>
      </c>
      <c r="CZ30">
        <f t="shared" si="44"/>
        <v>0</v>
      </c>
      <c r="DC30" t="s">
        <v>6</v>
      </c>
      <c r="DD30" t="s">
        <v>6</v>
      </c>
      <c r="DE30" t="s">
        <v>45</v>
      </c>
      <c r="DF30" t="s">
        <v>45</v>
      </c>
      <c r="DG30" t="s">
        <v>45</v>
      </c>
      <c r="DH30" t="s">
        <v>6</v>
      </c>
      <c r="DI30" t="s">
        <v>45</v>
      </c>
      <c r="DJ30" t="s">
        <v>45</v>
      </c>
      <c r="DK30" t="s">
        <v>6</v>
      </c>
      <c r="DL30" t="s">
        <v>6</v>
      </c>
      <c r="DM30" t="s">
        <v>6</v>
      </c>
      <c r="DN30">
        <v>112</v>
      </c>
      <c r="DO30">
        <v>70</v>
      </c>
      <c r="DP30">
        <v>1.0669999999999999</v>
      </c>
      <c r="DQ30">
        <v>1.081</v>
      </c>
      <c r="DU30">
        <v>1013</v>
      </c>
      <c r="DV30" t="s">
        <v>43</v>
      </c>
      <c r="DW30" t="s">
        <v>43</v>
      </c>
      <c r="DX30">
        <v>1</v>
      </c>
      <c r="EE30">
        <v>44064061</v>
      </c>
      <c r="EF30">
        <v>30</v>
      </c>
      <c r="EG30" t="s">
        <v>23</v>
      </c>
      <c r="EH30">
        <v>0</v>
      </c>
      <c r="EI30" t="s">
        <v>6</v>
      </c>
      <c r="EJ30">
        <v>1</v>
      </c>
      <c r="EK30">
        <v>242</v>
      </c>
      <c r="EL30" t="s">
        <v>46</v>
      </c>
      <c r="EM30" t="s">
        <v>47</v>
      </c>
      <c r="EO30" t="s">
        <v>48</v>
      </c>
      <c r="EQ30">
        <v>131072</v>
      </c>
      <c r="ER30">
        <v>21164.06</v>
      </c>
      <c r="ES30">
        <v>19554.14</v>
      </c>
      <c r="ET30">
        <v>0</v>
      </c>
      <c r="EU30">
        <v>0</v>
      </c>
      <c r="EV30">
        <v>1609.92</v>
      </c>
      <c r="EW30">
        <v>144</v>
      </c>
      <c r="EX30">
        <v>0</v>
      </c>
      <c r="EY30">
        <v>0</v>
      </c>
      <c r="FQ30">
        <v>0</v>
      </c>
      <c r="FR30">
        <f t="shared" si="45"/>
        <v>0</v>
      </c>
      <c r="FS30">
        <v>0</v>
      </c>
      <c r="FX30">
        <v>112</v>
      </c>
      <c r="FY30">
        <v>70</v>
      </c>
      <c r="GA30" t="s">
        <v>6</v>
      </c>
      <c r="GD30">
        <v>0</v>
      </c>
      <c r="GF30">
        <v>171850759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46"/>
        <v>0</v>
      </c>
      <c r="GM30">
        <f t="shared" si="47"/>
        <v>0</v>
      </c>
      <c r="GN30">
        <f t="shared" si="48"/>
        <v>0</v>
      </c>
      <c r="GO30">
        <f t="shared" si="49"/>
        <v>0</v>
      </c>
      <c r="GP30">
        <f t="shared" si="50"/>
        <v>0</v>
      </c>
      <c r="GR30">
        <v>0</v>
      </c>
      <c r="GS30">
        <v>0</v>
      </c>
      <c r="GT30">
        <v>0</v>
      </c>
      <c r="GU30" t="s">
        <v>6</v>
      </c>
      <c r="GV30">
        <f t="shared" si="51"/>
        <v>0</v>
      </c>
      <c r="GW30">
        <v>1</v>
      </c>
      <c r="GX30">
        <f t="shared" si="52"/>
        <v>0</v>
      </c>
      <c r="HA30">
        <v>0</v>
      </c>
      <c r="HB30">
        <v>0</v>
      </c>
      <c r="HC30">
        <f t="shared" si="53"/>
        <v>0</v>
      </c>
      <c r="IK30">
        <v>0</v>
      </c>
    </row>
    <row r="31" spans="1:245" x14ac:dyDescent="0.2">
      <c r="A31">
        <v>18</v>
      </c>
      <c r="B31">
        <v>1</v>
      </c>
      <c r="C31">
        <v>8</v>
      </c>
      <c r="E31" t="s">
        <v>49</v>
      </c>
      <c r="F31" t="s">
        <v>50</v>
      </c>
      <c r="G31" t="s">
        <v>51</v>
      </c>
      <c r="H31" t="s">
        <v>52</v>
      </c>
      <c r="I31">
        <f>I30*J31</f>
        <v>0</v>
      </c>
      <c r="J31">
        <v>1000</v>
      </c>
      <c r="O31">
        <f t="shared" si="21"/>
        <v>0</v>
      </c>
      <c r="P31">
        <f t="shared" si="22"/>
        <v>0</v>
      </c>
      <c r="Q31">
        <f>(ROUND((ROUND(((ET31)*AV31*I31),2)*BB31),2)+ROUND((ROUND(((AE31-(EU31))*AV31*I31),2)*BS31),2))</f>
        <v>0</v>
      </c>
      <c r="R31">
        <f t="shared" si="23"/>
        <v>0</v>
      </c>
      <c r="S31">
        <f t="shared" si="24"/>
        <v>0</v>
      </c>
      <c r="T31">
        <f t="shared" si="25"/>
        <v>0</v>
      </c>
      <c r="U31">
        <f t="shared" si="26"/>
        <v>0</v>
      </c>
      <c r="V31">
        <f t="shared" si="27"/>
        <v>0</v>
      </c>
      <c r="W31">
        <f t="shared" si="28"/>
        <v>0</v>
      </c>
      <c r="X31">
        <f t="shared" si="29"/>
        <v>0</v>
      </c>
      <c r="Y31">
        <f t="shared" si="30"/>
        <v>0</v>
      </c>
      <c r="AA31">
        <v>44176454</v>
      </c>
      <c r="AB31">
        <f t="shared" si="31"/>
        <v>24.4</v>
      </c>
      <c r="AC31">
        <f t="shared" si="32"/>
        <v>24.4</v>
      </c>
      <c r="AD31">
        <f>ROUND((((ET31)-(EU31))+AE31),6)</f>
        <v>0</v>
      </c>
      <c r="AE31">
        <f>ROUND((EU31),6)</f>
        <v>0</v>
      </c>
      <c r="AF31">
        <f>ROUND((EV31),6)</f>
        <v>0</v>
      </c>
      <c r="AG31">
        <f t="shared" si="33"/>
        <v>0</v>
      </c>
      <c r="AH31">
        <f>(EW31)</f>
        <v>0</v>
      </c>
      <c r="AI31">
        <f>(EX31)</f>
        <v>0</v>
      </c>
      <c r="AJ31">
        <f t="shared" si="34"/>
        <v>0</v>
      </c>
      <c r="AK31">
        <v>24.4</v>
      </c>
      <c r="AL31">
        <v>24.4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1.081</v>
      </c>
      <c r="AZ31">
        <v>1</v>
      </c>
      <c r="BA31">
        <v>1</v>
      </c>
      <c r="BB31">
        <v>1</v>
      </c>
      <c r="BC31">
        <v>5.19</v>
      </c>
      <c r="BD31" t="s">
        <v>6</v>
      </c>
      <c r="BE31" t="s">
        <v>6</v>
      </c>
      <c r="BF31" t="s">
        <v>6</v>
      </c>
      <c r="BG31" t="s">
        <v>6</v>
      </c>
      <c r="BH31">
        <v>3</v>
      </c>
      <c r="BI31">
        <v>1</v>
      </c>
      <c r="BJ31" t="s">
        <v>53</v>
      </c>
      <c r="BM31">
        <v>242</v>
      </c>
      <c r="BN31">
        <v>0</v>
      </c>
      <c r="BO31" t="s">
        <v>50</v>
      </c>
      <c r="BP31">
        <v>1</v>
      </c>
      <c r="BQ31">
        <v>30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6</v>
      </c>
      <c r="BZ31">
        <v>0</v>
      </c>
      <c r="CA31">
        <v>0</v>
      </c>
      <c r="CE31">
        <v>30</v>
      </c>
      <c r="CF31">
        <v>0</v>
      </c>
      <c r="CG31">
        <v>0</v>
      </c>
      <c r="CM31">
        <v>0</v>
      </c>
      <c r="CN31" t="s">
        <v>6</v>
      </c>
      <c r="CO31">
        <v>0</v>
      </c>
      <c r="CP31">
        <f t="shared" si="35"/>
        <v>0</v>
      </c>
      <c r="CQ31">
        <f t="shared" si="36"/>
        <v>136.91</v>
      </c>
      <c r="CR31">
        <f>(ROUND((ROUND(((ET31)*AV31*1),2)*BB31),2)+ROUND((ROUND(((AE31-(EU31))*AV31*1),2)*BS31),2))</f>
        <v>0</v>
      </c>
      <c r="CS31">
        <f t="shared" si="37"/>
        <v>0</v>
      </c>
      <c r="CT31">
        <f t="shared" si="38"/>
        <v>0</v>
      </c>
      <c r="CU31">
        <f t="shared" si="39"/>
        <v>0</v>
      </c>
      <c r="CV31">
        <f t="shared" si="40"/>
        <v>0</v>
      </c>
      <c r="CW31">
        <f t="shared" si="41"/>
        <v>0</v>
      </c>
      <c r="CX31">
        <f t="shared" si="42"/>
        <v>0</v>
      </c>
      <c r="CY31">
        <f t="shared" si="43"/>
        <v>0</v>
      </c>
      <c r="CZ31">
        <f t="shared" si="44"/>
        <v>0</v>
      </c>
      <c r="DC31" t="s">
        <v>6</v>
      </c>
      <c r="DD31" t="s">
        <v>6</v>
      </c>
      <c r="DE31" t="s">
        <v>6</v>
      </c>
      <c r="DF31" t="s">
        <v>6</v>
      </c>
      <c r="DG31" t="s">
        <v>6</v>
      </c>
      <c r="DH31" t="s">
        <v>6</v>
      </c>
      <c r="DI31" t="s">
        <v>6</v>
      </c>
      <c r="DJ31" t="s">
        <v>6</v>
      </c>
      <c r="DK31" t="s">
        <v>6</v>
      </c>
      <c r="DL31" t="s">
        <v>6</v>
      </c>
      <c r="DM31" t="s">
        <v>6</v>
      </c>
      <c r="DN31">
        <v>112</v>
      </c>
      <c r="DO31">
        <v>70</v>
      </c>
      <c r="DP31">
        <v>1.0669999999999999</v>
      </c>
      <c r="DQ31">
        <v>1.081</v>
      </c>
      <c r="DU31">
        <v>1003</v>
      </c>
      <c r="DV31" t="s">
        <v>52</v>
      </c>
      <c r="DW31" t="s">
        <v>52</v>
      </c>
      <c r="DX31">
        <v>1</v>
      </c>
      <c r="EE31">
        <v>44064061</v>
      </c>
      <c r="EF31">
        <v>30</v>
      </c>
      <c r="EG31" t="s">
        <v>23</v>
      </c>
      <c r="EH31">
        <v>0</v>
      </c>
      <c r="EI31" t="s">
        <v>6</v>
      </c>
      <c r="EJ31">
        <v>1</v>
      </c>
      <c r="EK31">
        <v>242</v>
      </c>
      <c r="EL31" t="s">
        <v>46</v>
      </c>
      <c r="EM31" t="s">
        <v>47</v>
      </c>
      <c r="EO31" t="s">
        <v>6</v>
      </c>
      <c r="EQ31">
        <v>0</v>
      </c>
      <c r="ER31">
        <v>24.4</v>
      </c>
      <c r="ES31">
        <v>24.4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45"/>
        <v>0</v>
      </c>
      <c r="FS31">
        <v>0</v>
      </c>
      <c r="FX31">
        <v>112</v>
      </c>
      <c r="FY31">
        <v>70</v>
      </c>
      <c r="GA31" t="s">
        <v>6</v>
      </c>
      <c r="GD31">
        <v>0</v>
      </c>
      <c r="GF31">
        <v>-1397492615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 t="shared" si="46"/>
        <v>0</v>
      </c>
      <c r="GM31">
        <f t="shared" si="47"/>
        <v>0</v>
      </c>
      <c r="GN31">
        <f t="shared" si="48"/>
        <v>0</v>
      </c>
      <c r="GO31">
        <f t="shared" si="49"/>
        <v>0</v>
      </c>
      <c r="GP31">
        <f t="shared" si="50"/>
        <v>0</v>
      </c>
      <c r="GR31">
        <v>0</v>
      </c>
      <c r="GS31">
        <v>0</v>
      </c>
      <c r="GT31">
        <v>0</v>
      </c>
      <c r="GU31" t="s">
        <v>6</v>
      </c>
      <c r="GV31">
        <f t="shared" si="51"/>
        <v>0</v>
      </c>
      <c r="GW31">
        <v>1</v>
      </c>
      <c r="GX31">
        <f t="shared" si="52"/>
        <v>0</v>
      </c>
      <c r="HA31">
        <v>0</v>
      </c>
      <c r="HB31">
        <v>0</v>
      </c>
      <c r="HC31">
        <f t="shared" si="53"/>
        <v>0</v>
      </c>
      <c r="IK31">
        <v>0</v>
      </c>
    </row>
    <row r="32" spans="1:245" x14ac:dyDescent="0.2">
      <c r="A32">
        <v>18</v>
      </c>
      <c r="B32">
        <v>1</v>
      </c>
      <c r="C32">
        <v>6</v>
      </c>
      <c r="E32" t="s">
        <v>54</v>
      </c>
      <c r="F32" t="s">
        <v>55</v>
      </c>
      <c r="G32" t="s">
        <v>56</v>
      </c>
      <c r="H32" t="s">
        <v>52</v>
      </c>
      <c r="I32">
        <f>I30*J32</f>
        <v>0</v>
      </c>
      <c r="J32">
        <v>-990</v>
      </c>
      <c r="O32">
        <f t="shared" si="21"/>
        <v>0</v>
      </c>
      <c r="P32">
        <f t="shared" si="22"/>
        <v>0</v>
      </c>
      <c r="Q32">
        <f>(ROUND((ROUND(((ET32)*AV32*I32),2)*BB32),2)+ROUND((ROUND(((AE32-(EU32))*AV32*I32),2)*BS32),2))</f>
        <v>0</v>
      </c>
      <c r="R32">
        <f t="shared" si="23"/>
        <v>0</v>
      </c>
      <c r="S32">
        <f t="shared" si="24"/>
        <v>0</v>
      </c>
      <c r="T32">
        <f t="shared" si="25"/>
        <v>0</v>
      </c>
      <c r="U32">
        <f t="shared" si="26"/>
        <v>0</v>
      </c>
      <c r="V32">
        <f t="shared" si="27"/>
        <v>0</v>
      </c>
      <c r="W32">
        <f t="shared" si="28"/>
        <v>0</v>
      </c>
      <c r="X32">
        <f t="shared" si="29"/>
        <v>0</v>
      </c>
      <c r="Y32">
        <f t="shared" si="30"/>
        <v>0</v>
      </c>
      <c r="AA32">
        <v>44176454</v>
      </c>
      <c r="AB32">
        <f t="shared" si="31"/>
        <v>15.01</v>
      </c>
      <c r="AC32">
        <f t="shared" si="32"/>
        <v>15.01</v>
      </c>
      <c r="AD32">
        <f>ROUND((((ET32)-(EU32))+AE32),6)</f>
        <v>0</v>
      </c>
      <c r="AE32">
        <f>ROUND((EU32),6)</f>
        <v>0</v>
      </c>
      <c r="AF32">
        <f>ROUND((EV32),6)</f>
        <v>0</v>
      </c>
      <c r="AG32">
        <f t="shared" si="33"/>
        <v>0</v>
      </c>
      <c r="AH32">
        <f>(EW32)</f>
        <v>0</v>
      </c>
      <c r="AI32">
        <f>(EX32)</f>
        <v>0</v>
      </c>
      <c r="AJ32">
        <f t="shared" si="34"/>
        <v>0</v>
      </c>
      <c r="AK32">
        <v>15.01</v>
      </c>
      <c r="AL32">
        <v>15.01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1.081</v>
      </c>
      <c r="AZ32">
        <v>1</v>
      </c>
      <c r="BA32">
        <v>1</v>
      </c>
      <c r="BB32">
        <v>1</v>
      </c>
      <c r="BC32">
        <v>5.26</v>
      </c>
      <c r="BD32" t="s">
        <v>6</v>
      </c>
      <c r="BE32" t="s">
        <v>6</v>
      </c>
      <c r="BF32" t="s">
        <v>6</v>
      </c>
      <c r="BG32" t="s">
        <v>6</v>
      </c>
      <c r="BH32">
        <v>3</v>
      </c>
      <c r="BI32">
        <v>1</v>
      </c>
      <c r="BJ32" t="s">
        <v>57</v>
      </c>
      <c r="BM32">
        <v>242</v>
      </c>
      <c r="BN32">
        <v>0</v>
      </c>
      <c r="BO32" t="s">
        <v>55</v>
      </c>
      <c r="BP32">
        <v>1</v>
      </c>
      <c r="BQ32">
        <v>30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0</v>
      </c>
      <c r="CA32">
        <v>0</v>
      </c>
      <c r="CE32">
        <v>30</v>
      </c>
      <c r="CF32">
        <v>0</v>
      </c>
      <c r="CG32">
        <v>0</v>
      </c>
      <c r="CM32">
        <v>0</v>
      </c>
      <c r="CN32" t="s">
        <v>6</v>
      </c>
      <c r="CO32">
        <v>0</v>
      </c>
      <c r="CP32">
        <f t="shared" si="35"/>
        <v>0</v>
      </c>
      <c r="CQ32">
        <f t="shared" si="36"/>
        <v>85.37</v>
      </c>
      <c r="CR32">
        <f>(ROUND((ROUND(((ET32)*AV32*1),2)*BB32),2)+ROUND((ROUND(((AE32-(EU32))*AV32*1),2)*BS32),2))</f>
        <v>0</v>
      </c>
      <c r="CS32">
        <f t="shared" si="37"/>
        <v>0</v>
      </c>
      <c r="CT32">
        <f t="shared" si="38"/>
        <v>0</v>
      </c>
      <c r="CU32">
        <f t="shared" si="39"/>
        <v>0</v>
      </c>
      <c r="CV32">
        <f t="shared" si="40"/>
        <v>0</v>
      </c>
      <c r="CW32">
        <f t="shared" si="41"/>
        <v>0</v>
      </c>
      <c r="CX32">
        <f t="shared" si="42"/>
        <v>0</v>
      </c>
      <c r="CY32">
        <f t="shared" si="43"/>
        <v>0</v>
      </c>
      <c r="CZ32">
        <f t="shared" si="44"/>
        <v>0</v>
      </c>
      <c r="DC32" t="s">
        <v>6</v>
      </c>
      <c r="DD32" t="s">
        <v>6</v>
      </c>
      <c r="DE32" t="s">
        <v>6</v>
      </c>
      <c r="DF32" t="s">
        <v>6</v>
      </c>
      <c r="DG32" t="s">
        <v>6</v>
      </c>
      <c r="DH32" t="s">
        <v>6</v>
      </c>
      <c r="DI32" t="s">
        <v>6</v>
      </c>
      <c r="DJ32" t="s">
        <v>6</v>
      </c>
      <c r="DK32" t="s">
        <v>6</v>
      </c>
      <c r="DL32" t="s">
        <v>6</v>
      </c>
      <c r="DM32" t="s">
        <v>6</v>
      </c>
      <c r="DN32">
        <v>112</v>
      </c>
      <c r="DO32">
        <v>70</v>
      </c>
      <c r="DP32">
        <v>1.0669999999999999</v>
      </c>
      <c r="DQ32">
        <v>1.081</v>
      </c>
      <c r="DU32">
        <v>1003</v>
      </c>
      <c r="DV32" t="s">
        <v>52</v>
      </c>
      <c r="DW32" t="s">
        <v>52</v>
      </c>
      <c r="DX32">
        <v>1</v>
      </c>
      <c r="EE32">
        <v>44064061</v>
      </c>
      <c r="EF32">
        <v>30</v>
      </c>
      <c r="EG32" t="s">
        <v>23</v>
      </c>
      <c r="EH32">
        <v>0</v>
      </c>
      <c r="EI32" t="s">
        <v>6</v>
      </c>
      <c r="EJ32">
        <v>1</v>
      </c>
      <c r="EK32">
        <v>242</v>
      </c>
      <c r="EL32" t="s">
        <v>46</v>
      </c>
      <c r="EM32" t="s">
        <v>47</v>
      </c>
      <c r="EO32" t="s">
        <v>6</v>
      </c>
      <c r="EQ32">
        <v>0</v>
      </c>
      <c r="ER32">
        <v>15.01</v>
      </c>
      <c r="ES32">
        <v>15.01</v>
      </c>
      <c r="ET32">
        <v>0</v>
      </c>
      <c r="EU32">
        <v>0</v>
      </c>
      <c r="EV32">
        <v>0</v>
      </c>
      <c r="EW32">
        <v>0</v>
      </c>
      <c r="EX32">
        <v>0</v>
      </c>
      <c r="FQ32">
        <v>0</v>
      </c>
      <c r="FR32">
        <f t="shared" si="45"/>
        <v>0</v>
      </c>
      <c r="FS32">
        <v>0</v>
      </c>
      <c r="FX32">
        <v>112</v>
      </c>
      <c r="FY32">
        <v>70</v>
      </c>
      <c r="GA32" t="s">
        <v>6</v>
      </c>
      <c r="GD32">
        <v>0</v>
      </c>
      <c r="GF32">
        <v>-828904142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46"/>
        <v>0</v>
      </c>
      <c r="GM32">
        <f t="shared" si="47"/>
        <v>0</v>
      </c>
      <c r="GN32">
        <f t="shared" si="48"/>
        <v>0</v>
      </c>
      <c r="GO32">
        <f t="shared" si="49"/>
        <v>0</v>
      </c>
      <c r="GP32">
        <f t="shared" si="50"/>
        <v>0</v>
      </c>
      <c r="GR32">
        <v>0</v>
      </c>
      <c r="GS32">
        <v>0</v>
      </c>
      <c r="GT32">
        <v>0</v>
      </c>
      <c r="GU32" t="s">
        <v>6</v>
      </c>
      <c r="GV32">
        <f t="shared" si="51"/>
        <v>0</v>
      </c>
      <c r="GW32">
        <v>1</v>
      </c>
      <c r="GX32">
        <f t="shared" si="52"/>
        <v>0</v>
      </c>
      <c r="HA32">
        <v>0</v>
      </c>
      <c r="HB32">
        <v>0</v>
      </c>
      <c r="HC32">
        <f t="shared" si="53"/>
        <v>0</v>
      </c>
      <c r="IK32">
        <v>0</v>
      </c>
    </row>
    <row r="33" spans="1:245" x14ac:dyDescent="0.2">
      <c r="A33">
        <v>17</v>
      </c>
      <c r="B33">
        <v>1</v>
      </c>
      <c r="C33">
        <f>ROW(SmtRes!A18)</f>
        <v>18</v>
      </c>
      <c r="D33">
        <f>ROW(EtalonRes!A16)</f>
        <v>16</v>
      </c>
      <c r="E33" t="s">
        <v>58</v>
      </c>
      <c r="F33" t="s">
        <v>59</v>
      </c>
      <c r="G33" t="s">
        <v>60</v>
      </c>
      <c r="H33" t="s">
        <v>61</v>
      </c>
      <c r="I33">
        <v>0</v>
      </c>
      <c r="J33">
        <v>0</v>
      </c>
      <c r="O33">
        <f t="shared" si="21"/>
        <v>0</v>
      </c>
      <c r="P33">
        <f t="shared" si="22"/>
        <v>0</v>
      </c>
      <c r="Q33">
        <f>(ROUND((ROUND((((ET33*1.15))*AV33*I33),2)*BB33),2)+ROUND((ROUND(((AE33-((EU33*1.15)))*AV33*I33),2)*BS33),2))</f>
        <v>0</v>
      </c>
      <c r="R33">
        <f t="shared" si="23"/>
        <v>0</v>
      </c>
      <c r="S33">
        <f t="shared" si="24"/>
        <v>0</v>
      </c>
      <c r="T33">
        <f t="shared" si="25"/>
        <v>0</v>
      </c>
      <c r="U33">
        <f t="shared" si="26"/>
        <v>0</v>
      </c>
      <c r="V33">
        <f t="shared" si="27"/>
        <v>0</v>
      </c>
      <c r="W33">
        <f t="shared" si="28"/>
        <v>0</v>
      </c>
      <c r="X33">
        <f t="shared" si="29"/>
        <v>0</v>
      </c>
      <c r="Y33">
        <f t="shared" si="30"/>
        <v>0</v>
      </c>
      <c r="AA33">
        <v>44176454</v>
      </c>
      <c r="AB33">
        <f t="shared" si="31"/>
        <v>1368.1565000000001</v>
      </c>
      <c r="AC33">
        <f t="shared" si="32"/>
        <v>95.21</v>
      </c>
      <c r="AD33">
        <f>ROUND(((((ET33*1.15))-((EU33*1.15)))+AE33),6)</f>
        <v>316.1465</v>
      </c>
      <c r="AE33">
        <f>ROUND(((EU33*1.15)),6)</f>
        <v>78.430000000000007</v>
      </c>
      <c r="AF33">
        <f>ROUND(((EV33*1.15)),6)</f>
        <v>956.8</v>
      </c>
      <c r="AG33">
        <f t="shared" si="33"/>
        <v>0</v>
      </c>
      <c r="AH33">
        <f>((EW33*1.15))</f>
        <v>74.75</v>
      </c>
      <c r="AI33">
        <f>((EX33*1.15))</f>
        <v>0</v>
      </c>
      <c r="AJ33">
        <f t="shared" si="34"/>
        <v>0</v>
      </c>
      <c r="AK33">
        <v>1202.1199999999999</v>
      </c>
      <c r="AL33">
        <v>95.21</v>
      </c>
      <c r="AM33">
        <v>274.91000000000003</v>
      </c>
      <c r="AN33">
        <v>68.2</v>
      </c>
      <c r="AO33">
        <v>832</v>
      </c>
      <c r="AP33">
        <v>0</v>
      </c>
      <c r="AQ33">
        <v>65</v>
      </c>
      <c r="AR33">
        <v>0</v>
      </c>
      <c r="AS33">
        <v>0</v>
      </c>
      <c r="AT33">
        <v>88</v>
      </c>
      <c r="AU33">
        <v>42</v>
      </c>
      <c r="AV33">
        <v>1.0249999999999999</v>
      </c>
      <c r="AW33">
        <v>1</v>
      </c>
      <c r="AZ33">
        <v>1</v>
      </c>
      <c r="BA33">
        <v>21.43</v>
      </c>
      <c r="BB33">
        <v>9.0399999999999991</v>
      </c>
      <c r="BC33">
        <v>17.13</v>
      </c>
      <c r="BD33" t="s">
        <v>6</v>
      </c>
      <c r="BE33" t="s">
        <v>6</v>
      </c>
      <c r="BF33" t="s">
        <v>6</v>
      </c>
      <c r="BG33" t="s">
        <v>6</v>
      </c>
      <c r="BH33">
        <v>0</v>
      </c>
      <c r="BI33">
        <v>1</v>
      </c>
      <c r="BJ33" t="s">
        <v>62</v>
      </c>
      <c r="BM33">
        <v>115</v>
      </c>
      <c r="BN33">
        <v>0</v>
      </c>
      <c r="BO33" t="s">
        <v>59</v>
      </c>
      <c r="BP33">
        <v>1</v>
      </c>
      <c r="BQ33">
        <v>30</v>
      </c>
      <c r="BR33">
        <v>0</v>
      </c>
      <c r="BS33">
        <v>21.43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6</v>
      </c>
      <c r="BZ33">
        <v>88</v>
      </c>
      <c r="CA33">
        <v>42</v>
      </c>
      <c r="CE33">
        <v>30</v>
      </c>
      <c r="CF33">
        <v>0</v>
      </c>
      <c r="CG33">
        <v>0</v>
      </c>
      <c r="CM33">
        <v>0</v>
      </c>
      <c r="CN33" t="s">
        <v>63</v>
      </c>
      <c r="CO33">
        <v>0</v>
      </c>
      <c r="CP33">
        <f t="shared" si="35"/>
        <v>0</v>
      </c>
      <c r="CQ33">
        <f t="shared" si="36"/>
        <v>1630.95</v>
      </c>
      <c r="CR33">
        <f>(ROUND((ROUND((((ET33*1.15))*AV33*1),2)*BB33),2)+ROUND((ROUND(((AE33-((EU33*1.15)))*AV33*1),2)*BS33),2))</f>
        <v>2929.41</v>
      </c>
      <c r="CS33">
        <f t="shared" si="37"/>
        <v>1722.76</v>
      </c>
      <c r="CT33">
        <f t="shared" si="38"/>
        <v>21016.83</v>
      </c>
      <c r="CU33">
        <f t="shared" si="39"/>
        <v>0</v>
      </c>
      <c r="CV33">
        <f t="shared" si="40"/>
        <v>76.618749999999991</v>
      </c>
      <c r="CW33">
        <f t="shared" si="41"/>
        <v>0</v>
      </c>
      <c r="CX33">
        <f t="shared" si="42"/>
        <v>0</v>
      </c>
      <c r="CY33">
        <f t="shared" si="43"/>
        <v>0</v>
      </c>
      <c r="CZ33">
        <f t="shared" si="44"/>
        <v>0</v>
      </c>
      <c r="DC33" t="s">
        <v>6</v>
      </c>
      <c r="DD33" t="s">
        <v>6</v>
      </c>
      <c r="DE33" t="s">
        <v>29</v>
      </c>
      <c r="DF33" t="s">
        <v>29</v>
      </c>
      <c r="DG33" t="s">
        <v>29</v>
      </c>
      <c r="DH33" t="s">
        <v>6</v>
      </c>
      <c r="DI33" t="s">
        <v>29</v>
      </c>
      <c r="DJ33" t="s">
        <v>29</v>
      </c>
      <c r="DK33" t="s">
        <v>6</v>
      </c>
      <c r="DL33" t="s">
        <v>6</v>
      </c>
      <c r="DM33" t="s">
        <v>6</v>
      </c>
      <c r="DN33">
        <v>120</v>
      </c>
      <c r="DO33">
        <v>84</v>
      </c>
      <c r="DP33">
        <v>1.0249999999999999</v>
      </c>
      <c r="DQ33">
        <v>1</v>
      </c>
      <c r="DU33">
        <v>1013</v>
      </c>
      <c r="DV33" t="s">
        <v>61</v>
      </c>
      <c r="DW33" t="s">
        <v>61</v>
      </c>
      <c r="DX33">
        <v>1</v>
      </c>
      <c r="EE33">
        <v>44063934</v>
      </c>
      <c r="EF33">
        <v>30</v>
      </c>
      <c r="EG33" t="s">
        <v>23</v>
      </c>
      <c r="EH33">
        <v>0</v>
      </c>
      <c r="EI33" t="s">
        <v>6</v>
      </c>
      <c r="EJ33">
        <v>1</v>
      </c>
      <c r="EK33">
        <v>115</v>
      </c>
      <c r="EL33" t="s">
        <v>64</v>
      </c>
      <c r="EM33" t="s">
        <v>65</v>
      </c>
      <c r="EO33" t="s">
        <v>66</v>
      </c>
      <c r="EQ33">
        <v>131072</v>
      </c>
      <c r="ER33">
        <v>1202.1199999999999</v>
      </c>
      <c r="ES33">
        <v>95.21</v>
      </c>
      <c r="ET33">
        <v>274.91000000000003</v>
      </c>
      <c r="EU33">
        <v>68.2</v>
      </c>
      <c r="EV33">
        <v>832</v>
      </c>
      <c r="EW33">
        <v>65</v>
      </c>
      <c r="EX33">
        <v>0</v>
      </c>
      <c r="EY33">
        <v>0</v>
      </c>
      <c r="FQ33">
        <v>0</v>
      </c>
      <c r="FR33">
        <f t="shared" si="45"/>
        <v>0</v>
      </c>
      <c r="FS33">
        <v>0</v>
      </c>
      <c r="FX33">
        <v>120</v>
      </c>
      <c r="FY33">
        <v>84</v>
      </c>
      <c r="GA33" t="s">
        <v>6</v>
      </c>
      <c r="GD33">
        <v>0</v>
      </c>
      <c r="GF33">
        <v>1614396027</v>
      </c>
      <c r="GG33">
        <v>2</v>
      </c>
      <c r="GH33">
        <v>1</v>
      </c>
      <c r="GI33">
        <v>2</v>
      </c>
      <c r="GJ33">
        <v>0</v>
      </c>
      <c r="GK33">
        <f>ROUND(R33*(R12)/100,2)</f>
        <v>0</v>
      </c>
      <c r="GL33">
        <f t="shared" si="46"/>
        <v>0</v>
      </c>
      <c r="GM33">
        <f t="shared" si="47"/>
        <v>0</v>
      </c>
      <c r="GN33">
        <f t="shared" si="48"/>
        <v>0</v>
      </c>
      <c r="GO33">
        <f t="shared" si="49"/>
        <v>0</v>
      </c>
      <c r="GP33">
        <f t="shared" si="50"/>
        <v>0</v>
      </c>
      <c r="GR33">
        <v>0</v>
      </c>
      <c r="GS33">
        <v>0</v>
      </c>
      <c r="GT33">
        <v>0</v>
      </c>
      <c r="GU33" t="s">
        <v>6</v>
      </c>
      <c r="GV33">
        <f t="shared" si="51"/>
        <v>0</v>
      </c>
      <c r="GW33">
        <v>1</v>
      </c>
      <c r="GX33">
        <f t="shared" si="52"/>
        <v>0</v>
      </c>
      <c r="HA33">
        <v>0</v>
      </c>
      <c r="HB33">
        <v>0</v>
      </c>
      <c r="HC33">
        <f t="shared" si="53"/>
        <v>0</v>
      </c>
      <c r="IK33">
        <v>0</v>
      </c>
    </row>
    <row r="34" spans="1:245" x14ac:dyDescent="0.2">
      <c r="A34">
        <v>18</v>
      </c>
      <c r="B34">
        <v>1</v>
      </c>
      <c r="C34">
        <v>15</v>
      </c>
      <c r="E34" t="s">
        <v>67</v>
      </c>
      <c r="F34" t="s">
        <v>68</v>
      </c>
      <c r="G34" t="s">
        <v>69</v>
      </c>
      <c r="H34" t="s">
        <v>70</v>
      </c>
      <c r="I34">
        <f>I33*J34</f>
        <v>0</v>
      </c>
      <c r="J34">
        <v>8.4000000000000005E-2</v>
      </c>
      <c r="O34">
        <f t="shared" si="21"/>
        <v>0</v>
      </c>
      <c r="P34">
        <f t="shared" si="22"/>
        <v>0</v>
      </c>
      <c r="Q34">
        <f>(ROUND((ROUND(((ET34)*AV34*I34),2)*BB34),2)+ROUND((ROUND(((AE34-(EU34))*AV34*I34),2)*BS34),2))</f>
        <v>0</v>
      </c>
      <c r="R34">
        <f t="shared" si="23"/>
        <v>0</v>
      </c>
      <c r="S34">
        <f t="shared" si="24"/>
        <v>0</v>
      </c>
      <c r="T34">
        <f t="shared" si="25"/>
        <v>0</v>
      </c>
      <c r="U34">
        <f t="shared" si="26"/>
        <v>0</v>
      </c>
      <c r="V34">
        <f t="shared" si="27"/>
        <v>0</v>
      </c>
      <c r="W34">
        <f t="shared" si="28"/>
        <v>0</v>
      </c>
      <c r="X34">
        <f t="shared" si="29"/>
        <v>0</v>
      </c>
      <c r="Y34">
        <f t="shared" si="30"/>
        <v>0</v>
      </c>
      <c r="AA34">
        <v>44176454</v>
      </c>
      <c r="AB34">
        <f t="shared" si="31"/>
        <v>7.07</v>
      </c>
      <c r="AC34">
        <f t="shared" si="32"/>
        <v>7.07</v>
      </c>
      <c r="AD34">
        <f>ROUND((((ET34)-(EU34))+AE34),6)</f>
        <v>0</v>
      </c>
      <c r="AE34">
        <f t="shared" ref="AE34:AF36" si="54">ROUND((EU34),6)</f>
        <v>0</v>
      </c>
      <c r="AF34">
        <f t="shared" si="54"/>
        <v>0</v>
      </c>
      <c r="AG34">
        <f t="shared" si="33"/>
        <v>0</v>
      </c>
      <c r="AH34">
        <f t="shared" ref="AH34:AI36" si="55">(EW34)</f>
        <v>0</v>
      </c>
      <c r="AI34">
        <f t="shared" si="55"/>
        <v>0</v>
      </c>
      <c r="AJ34">
        <f t="shared" si="34"/>
        <v>0</v>
      </c>
      <c r="AK34">
        <v>7.07</v>
      </c>
      <c r="AL34">
        <v>7.07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4.5599999999999996</v>
      </c>
      <c r="BD34" t="s">
        <v>6</v>
      </c>
      <c r="BE34" t="s">
        <v>6</v>
      </c>
      <c r="BF34" t="s">
        <v>6</v>
      </c>
      <c r="BG34" t="s">
        <v>6</v>
      </c>
      <c r="BH34">
        <v>3</v>
      </c>
      <c r="BI34">
        <v>1</v>
      </c>
      <c r="BJ34" t="s">
        <v>71</v>
      </c>
      <c r="BM34">
        <v>115</v>
      </c>
      <c r="BN34">
        <v>0</v>
      </c>
      <c r="BO34" t="s">
        <v>68</v>
      </c>
      <c r="BP34">
        <v>1</v>
      </c>
      <c r="BQ34">
        <v>30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6</v>
      </c>
      <c r="BZ34">
        <v>0</v>
      </c>
      <c r="CA34">
        <v>0</v>
      </c>
      <c r="CE34">
        <v>30</v>
      </c>
      <c r="CF34">
        <v>0</v>
      </c>
      <c r="CG34">
        <v>0</v>
      </c>
      <c r="CM34">
        <v>0</v>
      </c>
      <c r="CN34" t="s">
        <v>6</v>
      </c>
      <c r="CO34">
        <v>0</v>
      </c>
      <c r="CP34">
        <f t="shared" si="35"/>
        <v>0</v>
      </c>
      <c r="CQ34">
        <f t="shared" si="36"/>
        <v>32.24</v>
      </c>
      <c r="CR34">
        <f>(ROUND((ROUND(((ET34)*AV34*1),2)*BB34),2)+ROUND((ROUND(((AE34-(EU34))*AV34*1),2)*BS34),2))</f>
        <v>0</v>
      </c>
      <c r="CS34">
        <f t="shared" si="37"/>
        <v>0</v>
      </c>
      <c r="CT34">
        <f t="shared" si="38"/>
        <v>0</v>
      </c>
      <c r="CU34">
        <f t="shared" si="39"/>
        <v>0</v>
      </c>
      <c r="CV34">
        <f t="shared" si="40"/>
        <v>0</v>
      </c>
      <c r="CW34">
        <f t="shared" si="41"/>
        <v>0</v>
      </c>
      <c r="CX34">
        <f t="shared" si="42"/>
        <v>0</v>
      </c>
      <c r="CY34">
        <f t="shared" si="43"/>
        <v>0</v>
      </c>
      <c r="CZ34">
        <f t="shared" si="44"/>
        <v>0</v>
      </c>
      <c r="DC34" t="s">
        <v>6</v>
      </c>
      <c r="DD34" t="s">
        <v>6</v>
      </c>
      <c r="DE34" t="s">
        <v>6</v>
      </c>
      <c r="DF34" t="s">
        <v>6</v>
      </c>
      <c r="DG34" t="s">
        <v>6</v>
      </c>
      <c r="DH34" t="s">
        <v>6</v>
      </c>
      <c r="DI34" t="s">
        <v>6</v>
      </c>
      <c r="DJ34" t="s">
        <v>6</v>
      </c>
      <c r="DK34" t="s">
        <v>6</v>
      </c>
      <c r="DL34" t="s">
        <v>6</v>
      </c>
      <c r="DM34" t="s">
        <v>6</v>
      </c>
      <c r="DN34">
        <v>120</v>
      </c>
      <c r="DO34">
        <v>84</v>
      </c>
      <c r="DP34">
        <v>1.0249999999999999</v>
      </c>
      <c r="DQ34">
        <v>1</v>
      </c>
      <c r="DU34">
        <v>1007</v>
      </c>
      <c r="DV34" t="s">
        <v>70</v>
      </c>
      <c r="DW34" t="s">
        <v>70</v>
      </c>
      <c r="DX34">
        <v>1</v>
      </c>
      <c r="EE34">
        <v>44063934</v>
      </c>
      <c r="EF34">
        <v>30</v>
      </c>
      <c r="EG34" t="s">
        <v>23</v>
      </c>
      <c r="EH34">
        <v>0</v>
      </c>
      <c r="EI34" t="s">
        <v>6</v>
      </c>
      <c r="EJ34">
        <v>1</v>
      </c>
      <c r="EK34">
        <v>115</v>
      </c>
      <c r="EL34" t="s">
        <v>64</v>
      </c>
      <c r="EM34" t="s">
        <v>65</v>
      </c>
      <c r="EO34" t="s">
        <v>6</v>
      </c>
      <c r="EQ34">
        <v>0</v>
      </c>
      <c r="ER34">
        <v>7.07</v>
      </c>
      <c r="ES34">
        <v>7.07</v>
      </c>
      <c r="ET34">
        <v>0</v>
      </c>
      <c r="EU34">
        <v>0</v>
      </c>
      <c r="EV34">
        <v>0</v>
      </c>
      <c r="EW34">
        <v>0</v>
      </c>
      <c r="EX34">
        <v>0</v>
      </c>
      <c r="FQ34">
        <v>0</v>
      </c>
      <c r="FR34">
        <f t="shared" si="45"/>
        <v>0</v>
      </c>
      <c r="FS34">
        <v>0</v>
      </c>
      <c r="FX34">
        <v>120</v>
      </c>
      <c r="FY34">
        <v>84</v>
      </c>
      <c r="GA34" t="s">
        <v>6</v>
      </c>
      <c r="GD34">
        <v>0</v>
      </c>
      <c r="GF34">
        <v>-862991314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46"/>
        <v>0</v>
      </c>
      <c r="GM34">
        <f t="shared" si="47"/>
        <v>0</v>
      </c>
      <c r="GN34">
        <f t="shared" si="48"/>
        <v>0</v>
      </c>
      <c r="GO34">
        <f t="shared" si="49"/>
        <v>0</v>
      </c>
      <c r="GP34">
        <f t="shared" si="50"/>
        <v>0</v>
      </c>
      <c r="GR34">
        <v>0</v>
      </c>
      <c r="GS34">
        <v>0</v>
      </c>
      <c r="GT34">
        <v>0</v>
      </c>
      <c r="GU34" t="s">
        <v>6</v>
      </c>
      <c r="GV34">
        <f t="shared" si="51"/>
        <v>0</v>
      </c>
      <c r="GW34">
        <v>1</v>
      </c>
      <c r="GX34">
        <f t="shared" si="52"/>
        <v>0</v>
      </c>
      <c r="HA34">
        <v>0</v>
      </c>
      <c r="HB34">
        <v>0</v>
      </c>
      <c r="HC34">
        <f t="shared" si="53"/>
        <v>0</v>
      </c>
      <c r="IK34">
        <v>0</v>
      </c>
    </row>
    <row r="35" spans="1:245" x14ac:dyDescent="0.2">
      <c r="A35">
        <v>18</v>
      </c>
      <c r="B35">
        <v>1</v>
      </c>
      <c r="C35">
        <v>17</v>
      </c>
      <c r="E35" t="s">
        <v>72</v>
      </c>
      <c r="F35" t="s">
        <v>73</v>
      </c>
      <c r="G35" t="s">
        <v>74</v>
      </c>
      <c r="H35" t="s">
        <v>75</v>
      </c>
      <c r="I35">
        <f>I33*J35</f>
        <v>0</v>
      </c>
      <c r="J35">
        <v>0.48</v>
      </c>
      <c r="O35">
        <f t="shared" si="21"/>
        <v>0</v>
      </c>
      <c r="P35">
        <f t="shared" si="22"/>
        <v>0</v>
      </c>
      <c r="Q35">
        <f>(ROUND((ROUND(((ET35)*AV35*I35),2)*BB35),2)+ROUND((ROUND(((AE35-(EU35))*AV35*I35),2)*BS35),2))</f>
        <v>0</v>
      </c>
      <c r="R35">
        <f t="shared" si="23"/>
        <v>0</v>
      </c>
      <c r="S35">
        <f t="shared" si="24"/>
        <v>0</v>
      </c>
      <c r="T35">
        <f t="shared" si="25"/>
        <v>0</v>
      </c>
      <c r="U35">
        <f t="shared" si="26"/>
        <v>0</v>
      </c>
      <c r="V35">
        <f t="shared" si="27"/>
        <v>0</v>
      </c>
      <c r="W35">
        <f t="shared" si="28"/>
        <v>0</v>
      </c>
      <c r="X35">
        <f t="shared" si="29"/>
        <v>0</v>
      </c>
      <c r="Y35">
        <f t="shared" si="30"/>
        <v>0</v>
      </c>
      <c r="AA35">
        <v>44176454</v>
      </c>
      <c r="AB35">
        <f t="shared" si="31"/>
        <v>1517.68</v>
      </c>
      <c r="AC35">
        <f t="shared" si="32"/>
        <v>1517.68</v>
      </c>
      <c r="AD35">
        <f>ROUND((((ET35)-(EU35))+AE35),6)</f>
        <v>0</v>
      </c>
      <c r="AE35">
        <f t="shared" si="54"/>
        <v>0</v>
      </c>
      <c r="AF35">
        <f t="shared" si="54"/>
        <v>0</v>
      </c>
      <c r="AG35">
        <f t="shared" si="33"/>
        <v>0</v>
      </c>
      <c r="AH35">
        <f t="shared" si="55"/>
        <v>0</v>
      </c>
      <c r="AI35">
        <f t="shared" si="55"/>
        <v>0</v>
      </c>
      <c r="AJ35">
        <f t="shared" si="34"/>
        <v>0</v>
      </c>
      <c r="AK35">
        <v>1517.68</v>
      </c>
      <c r="AL35">
        <v>1517.68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3.12</v>
      </c>
      <c r="BD35" t="s">
        <v>6</v>
      </c>
      <c r="BE35" t="s">
        <v>6</v>
      </c>
      <c r="BF35" t="s">
        <v>6</v>
      </c>
      <c r="BG35" t="s">
        <v>6</v>
      </c>
      <c r="BH35">
        <v>3</v>
      </c>
      <c r="BI35">
        <v>1</v>
      </c>
      <c r="BJ35" t="s">
        <v>76</v>
      </c>
      <c r="BM35">
        <v>115</v>
      </c>
      <c r="BN35">
        <v>0</v>
      </c>
      <c r="BO35" t="s">
        <v>73</v>
      </c>
      <c r="BP35">
        <v>1</v>
      </c>
      <c r="BQ35">
        <v>30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6</v>
      </c>
      <c r="BZ35">
        <v>0</v>
      </c>
      <c r="CA35">
        <v>0</v>
      </c>
      <c r="CE35">
        <v>30</v>
      </c>
      <c r="CF35">
        <v>0</v>
      </c>
      <c r="CG35">
        <v>0</v>
      </c>
      <c r="CM35">
        <v>0</v>
      </c>
      <c r="CN35" t="s">
        <v>6</v>
      </c>
      <c r="CO35">
        <v>0</v>
      </c>
      <c r="CP35">
        <f t="shared" si="35"/>
        <v>0</v>
      </c>
      <c r="CQ35">
        <f t="shared" si="36"/>
        <v>4735.16</v>
      </c>
      <c r="CR35">
        <f>(ROUND((ROUND(((ET35)*AV35*1),2)*BB35),2)+ROUND((ROUND(((AE35-(EU35))*AV35*1),2)*BS35),2))</f>
        <v>0</v>
      </c>
      <c r="CS35">
        <f t="shared" si="37"/>
        <v>0</v>
      </c>
      <c r="CT35">
        <f t="shared" si="38"/>
        <v>0</v>
      </c>
      <c r="CU35">
        <f t="shared" si="39"/>
        <v>0</v>
      </c>
      <c r="CV35">
        <f t="shared" si="40"/>
        <v>0</v>
      </c>
      <c r="CW35">
        <f t="shared" si="41"/>
        <v>0</v>
      </c>
      <c r="CX35">
        <f t="shared" si="42"/>
        <v>0</v>
      </c>
      <c r="CY35">
        <f t="shared" si="43"/>
        <v>0</v>
      </c>
      <c r="CZ35">
        <f t="shared" si="44"/>
        <v>0</v>
      </c>
      <c r="DC35" t="s">
        <v>6</v>
      </c>
      <c r="DD35" t="s">
        <v>6</v>
      </c>
      <c r="DE35" t="s">
        <v>6</v>
      </c>
      <c r="DF35" t="s">
        <v>6</v>
      </c>
      <c r="DG35" t="s">
        <v>6</v>
      </c>
      <c r="DH35" t="s">
        <v>6</v>
      </c>
      <c r="DI35" t="s">
        <v>6</v>
      </c>
      <c r="DJ35" t="s">
        <v>6</v>
      </c>
      <c r="DK35" t="s">
        <v>6</v>
      </c>
      <c r="DL35" t="s">
        <v>6</v>
      </c>
      <c r="DM35" t="s">
        <v>6</v>
      </c>
      <c r="DN35">
        <v>120</v>
      </c>
      <c r="DO35">
        <v>84</v>
      </c>
      <c r="DP35">
        <v>1.0249999999999999</v>
      </c>
      <c r="DQ35">
        <v>1</v>
      </c>
      <c r="DU35">
        <v>1009</v>
      </c>
      <c r="DV35" t="s">
        <v>75</v>
      </c>
      <c r="DW35" t="s">
        <v>75</v>
      </c>
      <c r="DX35">
        <v>1000</v>
      </c>
      <c r="EE35">
        <v>44063934</v>
      </c>
      <c r="EF35">
        <v>30</v>
      </c>
      <c r="EG35" t="s">
        <v>23</v>
      </c>
      <c r="EH35">
        <v>0</v>
      </c>
      <c r="EI35" t="s">
        <v>6</v>
      </c>
      <c r="EJ35">
        <v>1</v>
      </c>
      <c r="EK35">
        <v>115</v>
      </c>
      <c r="EL35" t="s">
        <v>64</v>
      </c>
      <c r="EM35" t="s">
        <v>65</v>
      </c>
      <c r="EO35" t="s">
        <v>6</v>
      </c>
      <c r="EQ35">
        <v>0</v>
      </c>
      <c r="ER35">
        <v>1517.68</v>
      </c>
      <c r="ES35">
        <v>1517.68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45"/>
        <v>0</v>
      </c>
      <c r="FS35">
        <v>0</v>
      </c>
      <c r="FX35">
        <v>120</v>
      </c>
      <c r="FY35">
        <v>84</v>
      </c>
      <c r="GA35" t="s">
        <v>6</v>
      </c>
      <c r="GD35">
        <v>0</v>
      </c>
      <c r="GF35">
        <v>-364773001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46"/>
        <v>0</v>
      </c>
      <c r="GM35">
        <f t="shared" si="47"/>
        <v>0</v>
      </c>
      <c r="GN35">
        <f t="shared" si="48"/>
        <v>0</v>
      </c>
      <c r="GO35">
        <f t="shared" si="49"/>
        <v>0</v>
      </c>
      <c r="GP35">
        <f t="shared" si="50"/>
        <v>0</v>
      </c>
      <c r="GR35">
        <v>0</v>
      </c>
      <c r="GS35">
        <v>0</v>
      </c>
      <c r="GT35">
        <v>0</v>
      </c>
      <c r="GU35" t="s">
        <v>6</v>
      </c>
      <c r="GV35">
        <f t="shared" si="51"/>
        <v>0</v>
      </c>
      <c r="GW35">
        <v>1</v>
      </c>
      <c r="GX35">
        <f t="shared" si="52"/>
        <v>0</v>
      </c>
      <c r="HA35">
        <v>0</v>
      </c>
      <c r="HB35">
        <v>0</v>
      </c>
      <c r="HC35">
        <f t="shared" si="53"/>
        <v>0</v>
      </c>
      <c r="IK35">
        <v>0</v>
      </c>
    </row>
    <row r="36" spans="1:245" x14ac:dyDescent="0.2">
      <c r="A36">
        <v>18</v>
      </c>
      <c r="B36">
        <v>1</v>
      </c>
      <c r="C36">
        <v>16</v>
      </c>
      <c r="E36" t="s">
        <v>77</v>
      </c>
      <c r="F36" t="s">
        <v>78</v>
      </c>
      <c r="G36" t="s">
        <v>79</v>
      </c>
      <c r="H36" t="s">
        <v>70</v>
      </c>
      <c r="I36">
        <f>I33*J36</f>
        <v>0</v>
      </c>
      <c r="J36">
        <v>1.208</v>
      </c>
      <c r="O36">
        <f t="shared" si="21"/>
        <v>0</v>
      </c>
      <c r="P36">
        <f t="shared" si="22"/>
        <v>0</v>
      </c>
      <c r="Q36">
        <f>(ROUND((ROUND(((ET36)*AV36*I36),2)*BB36),2)+ROUND((ROUND(((AE36-(EU36))*AV36*I36),2)*BS36),2))</f>
        <v>0</v>
      </c>
      <c r="R36">
        <f t="shared" si="23"/>
        <v>0</v>
      </c>
      <c r="S36">
        <f t="shared" si="24"/>
        <v>0</v>
      </c>
      <c r="T36">
        <f t="shared" si="25"/>
        <v>0</v>
      </c>
      <c r="U36">
        <f t="shared" si="26"/>
        <v>0</v>
      </c>
      <c r="V36">
        <f t="shared" si="27"/>
        <v>0</v>
      </c>
      <c r="W36">
        <f t="shared" si="28"/>
        <v>0</v>
      </c>
      <c r="X36">
        <f t="shared" si="29"/>
        <v>0</v>
      </c>
      <c r="Y36">
        <f t="shared" si="30"/>
        <v>0</v>
      </c>
      <c r="AA36">
        <v>44176454</v>
      </c>
      <c r="AB36">
        <f t="shared" si="31"/>
        <v>475.68</v>
      </c>
      <c r="AC36">
        <f t="shared" si="32"/>
        <v>475.68</v>
      </c>
      <c r="AD36">
        <f>ROUND((((ET36)-(EU36))+AE36),6)</f>
        <v>0</v>
      </c>
      <c r="AE36">
        <f t="shared" si="54"/>
        <v>0</v>
      </c>
      <c r="AF36">
        <f t="shared" si="54"/>
        <v>0</v>
      </c>
      <c r="AG36">
        <f t="shared" si="33"/>
        <v>0</v>
      </c>
      <c r="AH36">
        <f t="shared" si="55"/>
        <v>0</v>
      </c>
      <c r="AI36">
        <f t="shared" si="55"/>
        <v>0</v>
      </c>
      <c r="AJ36">
        <f t="shared" si="34"/>
        <v>0</v>
      </c>
      <c r="AK36">
        <v>475.68</v>
      </c>
      <c r="AL36">
        <v>475.68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6.21</v>
      </c>
      <c r="BD36" t="s">
        <v>6</v>
      </c>
      <c r="BE36" t="s">
        <v>6</v>
      </c>
      <c r="BF36" t="s">
        <v>6</v>
      </c>
      <c r="BG36" t="s">
        <v>6</v>
      </c>
      <c r="BH36">
        <v>3</v>
      </c>
      <c r="BI36">
        <v>1</v>
      </c>
      <c r="BJ36" t="s">
        <v>80</v>
      </c>
      <c r="BM36">
        <v>115</v>
      </c>
      <c r="BN36">
        <v>0</v>
      </c>
      <c r="BO36" t="s">
        <v>78</v>
      </c>
      <c r="BP36">
        <v>1</v>
      </c>
      <c r="BQ36">
        <v>30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6</v>
      </c>
      <c r="BZ36">
        <v>0</v>
      </c>
      <c r="CA36">
        <v>0</v>
      </c>
      <c r="CE36">
        <v>30</v>
      </c>
      <c r="CF36">
        <v>0</v>
      </c>
      <c r="CG36">
        <v>0</v>
      </c>
      <c r="CM36">
        <v>0</v>
      </c>
      <c r="CN36" t="s">
        <v>6</v>
      </c>
      <c r="CO36">
        <v>0</v>
      </c>
      <c r="CP36">
        <f t="shared" si="35"/>
        <v>0</v>
      </c>
      <c r="CQ36">
        <f t="shared" si="36"/>
        <v>2953.97</v>
      </c>
      <c r="CR36">
        <f>(ROUND((ROUND(((ET36)*AV36*1),2)*BB36),2)+ROUND((ROUND(((AE36-(EU36))*AV36*1),2)*BS36),2))</f>
        <v>0</v>
      </c>
      <c r="CS36">
        <f t="shared" si="37"/>
        <v>0</v>
      </c>
      <c r="CT36">
        <f t="shared" si="38"/>
        <v>0</v>
      </c>
      <c r="CU36">
        <f t="shared" si="39"/>
        <v>0</v>
      </c>
      <c r="CV36">
        <f t="shared" si="40"/>
        <v>0</v>
      </c>
      <c r="CW36">
        <f t="shared" si="41"/>
        <v>0</v>
      </c>
      <c r="CX36">
        <f t="shared" si="42"/>
        <v>0</v>
      </c>
      <c r="CY36">
        <f t="shared" si="43"/>
        <v>0</v>
      </c>
      <c r="CZ36">
        <f t="shared" si="44"/>
        <v>0</v>
      </c>
      <c r="DC36" t="s">
        <v>6</v>
      </c>
      <c r="DD36" t="s">
        <v>6</v>
      </c>
      <c r="DE36" t="s">
        <v>6</v>
      </c>
      <c r="DF36" t="s">
        <v>6</v>
      </c>
      <c r="DG36" t="s">
        <v>6</v>
      </c>
      <c r="DH36" t="s">
        <v>6</v>
      </c>
      <c r="DI36" t="s">
        <v>6</v>
      </c>
      <c r="DJ36" t="s">
        <v>6</v>
      </c>
      <c r="DK36" t="s">
        <v>6</v>
      </c>
      <c r="DL36" t="s">
        <v>6</v>
      </c>
      <c r="DM36" t="s">
        <v>6</v>
      </c>
      <c r="DN36">
        <v>120</v>
      </c>
      <c r="DO36">
        <v>84</v>
      </c>
      <c r="DP36">
        <v>1.0249999999999999</v>
      </c>
      <c r="DQ36">
        <v>1</v>
      </c>
      <c r="DU36">
        <v>1007</v>
      </c>
      <c r="DV36" t="s">
        <v>70</v>
      </c>
      <c r="DW36" t="s">
        <v>70</v>
      </c>
      <c r="DX36">
        <v>1</v>
      </c>
      <c r="EE36">
        <v>44063934</v>
      </c>
      <c r="EF36">
        <v>30</v>
      </c>
      <c r="EG36" t="s">
        <v>23</v>
      </c>
      <c r="EH36">
        <v>0</v>
      </c>
      <c r="EI36" t="s">
        <v>6</v>
      </c>
      <c r="EJ36">
        <v>1</v>
      </c>
      <c r="EK36">
        <v>115</v>
      </c>
      <c r="EL36" t="s">
        <v>64</v>
      </c>
      <c r="EM36" t="s">
        <v>65</v>
      </c>
      <c r="EO36" t="s">
        <v>6</v>
      </c>
      <c r="EQ36">
        <v>0</v>
      </c>
      <c r="ER36">
        <v>475.68</v>
      </c>
      <c r="ES36">
        <v>475.68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45"/>
        <v>0</v>
      </c>
      <c r="FS36">
        <v>0</v>
      </c>
      <c r="FX36">
        <v>120</v>
      </c>
      <c r="FY36">
        <v>84</v>
      </c>
      <c r="GA36" t="s">
        <v>6</v>
      </c>
      <c r="GD36">
        <v>0</v>
      </c>
      <c r="GF36">
        <v>1242656201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46"/>
        <v>0</v>
      </c>
      <c r="GM36">
        <f t="shared" si="47"/>
        <v>0</v>
      </c>
      <c r="GN36">
        <f t="shared" si="48"/>
        <v>0</v>
      </c>
      <c r="GO36">
        <f t="shared" si="49"/>
        <v>0</v>
      </c>
      <c r="GP36">
        <f t="shared" si="50"/>
        <v>0</v>
      </c>
      <c r="GR36">
        <v>0</v>
      </c>
      <c r="GS36">
        <v>0</v>
      </c>
      <c r="GT36">
        <v>0</v>
      </c>
      <c r="GU36" t="s">
        <v>6</v>
      </c>
      <c r="GV36">
        <f t="shared" si="51"/>
        <v>0</v>
      </c>
      <c r="GW36">
        <v>1</v>
      </c>
      <c r="GX36">
        <f t="shared" si="52"/>
        <v>0</v>
      </c>
      <c r="HA36">
        <v>0</v>
      </c>
      <c r="HB36">
        <v>0</v>
      </c>
      <c r="HC36">
        <f t="shared" si="53"/>
        <v>0</v>
      </c>
      <c r="IK36">
        <v>0</v>
      </c>
    </row>
    <row r="37" spans="1:245" x14ac:dyDescent="0.2">
      <c r="A37">
        <v>17</v>
      </c>
      <c r="B37">
        <v>1</v>
      </c>
      <c r="C37">
        <f>ROW(SmtRes!A22)</f>
        <v>22</v>
      </c>
      <c r="D37">
        <f>ROW(EtalonRes!A20)</f>
        <v>20</v>
      </c>
      <c r="E37" t="s">
        <v>81</v>
      </c>
      <c r="F37" t="s">
        <v>82</v>
      </c>
      <c r="G37" t="s">
        <v>83</v>
      </c>
      <c r="H37" t="s">
        <v>84</v>
      </c>
      <c r="I37">
        <v>0</v>
      </c>
      <c r="J37">
        <v>0</v>
      </c>
      <c r="O37">
        <f t="shared" si="21"/>
        <v>0</v>
      </c>
      <c r="P37">
        <f t="shared" si="22"/>
        <v>0</v>
      </c>
      <c r="Q37">
        <f>(ROUND((ROUND((((ET37*1.15))*AV37*I37),2)*BB37),2)+ROUND((ROUND(((AE37-((EU37*1.15)))*AV37*I37),2)*BS37),2))</f>
        <v>0</v>
      </c>
      <c r="R37">
        <f t="shared" si="23"/>
        <v>0</v>
      </c>
      <c r="S37">
        <f t="shared" si="24"/>
        <v>0</v>
      </c>
      <c r="T37">
        <f t="shared" si="25"/>
        <v>0</v>
      </c>
      <c r="U37">
        <f t="shared" si="26"/>
        <v>0</v>
      </c>
      <c r="V37">
        <f t="shared" si="27"/>
        <v>0</v>
      </c>
      <c r="W37">
        <f t="shared" si="28"/>
        <v>0</v>
      </c>
      <c r="X37">
        <f t="shared" si="29"/>
        <v>0</v>
      </c>
      <c r="Y37">
        <f t="shared" si="30"/>
        <v>0</v>
      </c>
      <c r="AA37">
        <v>44176454</v>
      </c>
      <c r="AB37">
        <f t="shared" si="31"/>
        <v>669.88</v>
      </c>
      <c r="AC37">
        <f t="shared" si="32"/>
        <v>27.72</v>
      </c>
      <c r="AD37">
        <f>ROUND(((((ET37*1.15))-((EU37*1.15)))+AE37),6)</f>
        <v>81.983500000000006</v>
      </c>
      <c r="AE37">
        <f>ROUND(((EU37*1.15)),6)</f>
        <v>15.352499999999999</v>
      </c>
      <c r="AF37">
        <f>ROUND(((EV37*1.15)),6)</f>
        <v>560.17650000000003</v>
      </c>
      <c r="AG37">
        <f t="shared" si="33"/>
        <v>0</v>
      </c>
      <c r="AH37">
        <f>((EW37*1.15))</f>
        <v>44.849999999999994</v>
      </c>
      <c r="AI37">
        <f>((EX37*1.15))</f>
        <v>0</v>
      </c>
      <c r="AJ37">
        <f t="shared" si="34"/>
        <v>0</v>
      </c>
      <c r="AK37">
        <v>586.12</v>
      </c>
      <c r="AL37">
        <v>27.72</v>
      </c>
      <c r="AM37">
        <v>71.290000000000006</v>
      </c>
      <c r="AN37">
        <v>13.35</v>
      </c>
      <c r="AO37">
        <v>487.11</v>
      </c>
      <c r="AP37">
        <v>0</v>
      </c>
      <c r="AQ37">
        <v>39</v>
      </c>
      <c r="AR37">
        <v>0</v>
      </c>
      <c r="AS37">
        <v>0</v>
      </c>
      <c r="AT37">
        <v>85</v>
      </c>
      <c r="AU37">
        <v>41</v>
      </c>
      <c r="AV37">
        <v>1.0469999999999999</v>
      </c>
      <c r="AW37">
        <v>1.0680000000000001</v>
      </c>
      <c r="AZ37">
        <v>1</v>
      </c>
      <c r="BA37">
        <v>21.43</v>
      </c>
      <c r="BB37">
        <v>8.2899999999999991</v>
      </c>
      <c r="BC37">
        <v>5.36</v>
      </c>
      <c r="BD37" t="s">
        <v>6</v>
      </c>
      <c r="BE37" t="s">
        <v>6</v>
      </c>
      <c r="BF37" t="s">
        <v>6</v>
      </c>
      <c r="BG37" t="s">
        <v>6</v>
      </c>
      <c r="BH37">
        <v>0</v>
      </c>
      <c r="BI37">
        <v>1</v>
      </c>
      <c r="BJ37" t="s">
        <v>85</v>
      </c>
      <c r="BM37">
        <v>65</v>
      </c>
      <c r="BN37">
        <v>0</v>
      </c>
      <c r="BO37" t="s">
        <v>82</v>
      </c>
      <c r="BP37">
        <v>1</v>
      </c>
      <c r="BQ37">
        <v>30</v>
      </c>
      <c r="BR37">
        <v>0</v>
      </c>
      <c r="BS37">
        <v>21.43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6</v>
      </c>
      <c r="BZ37">
        <v>85</v>
      </c>
      <c r="CA37">
        <v>41</v>
      </c>
      <c r="CE37">
        <v>30</v>
      </c>
      <c r="CF37">
        <v>0</v>
      </c>
      <c r="CG37">
        <v>0</v>
      </c>
      <c r="CM37">
        <v>0</v>
      </c>
      <c r="CN37" t="s">
        <v>63</v>
      </c>
      <c r="CO37">
        <v>0</v>
      </c>
      <c r="CP37">
        <f t="shared" si="35"/>
        <v>0</v>
      </c>
      <c r="CQ37">
        <f t="shared" si="36"/>
        <v>158.66</v>
      </c>
      <c r="CR37">
        <f>(ROUND((ROUND((((ET37*1.15))*AV37*1),2)*BB37),2)+ROUND((ROUND(((AE37-((EU37*1.15)))*AV37*1),2)*BS37),2))</f>
        <v>711.61</v>
      </c>
      <c r="CS37">
        <f t="shared" si="37"/>
        <v>344.38</v>
      </c>
      <c r="CT37">
        <f t="shared" si="38"/>
        <v>12568.7</v>
      </c>
      <c r="CU37">
        <f t="shared" si="39"/>
        <v>0</v>
      </c>
      <c r="CV37">
        <f t="shared" si="40"/>
        <v>46.95794999999999</v>
      </c>
      <c r="CW37">
        <f t="shared" si="41"/>
        <v>0</v>
      </c>
      <c r="CX37">
        <f t="shared" si="42"/>
        <v>0</v>
      </c>
      <c r="CY37">
        <f t="shared" si="43"/>
        <v>0</v>
      </c>
      <c r="CZ37">
        <f t="shared" si="44"/>
        <v>0</v>
      </c>
      <c r="DC37" t="s">
        <v>6</v>
      </c>
      <c r="DD37" t="s">
        <v>6</v>
      </c>
      <c r="DE37" t="s">
        <v>29</v>
      </c>
      <c r="DF37" t="s">
        <v>29</v>
      </c>
      <c r="DG37" t="s">
        <v>29</v>
      </c>
      <c r="DH37" t="s">
        <v>6</v>
      </c>
      <c r="DI37" t="s">
        <v>29</v>
      </c>
      <c r="DJ37" t="s">
        <v>29</v>
      </c>
      <c r="DK37" t="s">
        <v>6</v>
      </c>
      <c r="DL37" t="s">
        <v>6</v>
      </c>
      <c r="DM37" t="s">
        <v>6</v>
      </c>
      <c r="DN37">
        <v>105</v>
      </c>
      <c r="DO37">
        <v>77</v>
      </c>
      <c r="DP37">
        <v>1.0469999999999999</v>
      </c>
      <c r="DQ37">
        <v>1.0680000000000001</v>
      </c>
      <c r="DU37">
        <v>1005</v>
      </c>
      <c r="DV37" t="s">
        <v>84</v>
      </c>
      <c r="DW37" t="s">
        <v>84</v>
      </c>
      <c r="DX37">
        <v>100</v>
      </c>
      <c r="EE37">
        <v>44063830</v>
      </c>
      <c r="EF37">
        <v>30</v>
      </c>
      <c r="EG37" t="s">
        <v>23</v>
      </c>
      <c r="EH37">
        <v>0</v>
      </c>
      <c r="EI37" t="s">
        <v>6</v>
      </c>
      <c r="EJ37">
        <v>1</v>
      </c>
      <c r="EK37">
        <v>65</v>
      </c>
      <c r="EL37" t="s">
        <v>86</v>
      </c>
      <c r="EM37" t="s">
        <v>87</v>
      </c>
      <c r="EO37" t="s">
        <v>66</v>
      </c>
      <c r="EQ37">
        <v>131072</v>
      </c>
      <c r="ER37">
        <v>586.12</v>
      </c>
      <c r="ES37">
        <v>27.72</v>
      </c>
      <c r="ET37">
        <v>71.290000000000006</v>
      </c>
      <c r="EU37">
        <v>13.35</v>
      </c>
      <c r="EV37">
        <v>487.11</v>
      </c>
      <c r="EW37">
        <v>39</v>
      </c>
      <c r="EX37">
        <v>0</v>
      </c>
      <c r="EY37">
        <v>0</v>
      </c>
      <c r="FQ37">
        <v>0</v>
      </c>
      <c r="FR37">
        <f t="shared" si="45"/>
        <v>0</v>
      </c>
      <c r="FS37">
        <v>0</v>
      </c>
      <c r="FX37">
        <v>105</v>
      </c>
      <c r="FY37">
        <v>77</v>
      </c>
      <c r="GA37" t="s">
        <v>6</v>
      </c>
      <c r="GD37">
        <v>0</v>
      </c>
      <c r="GF37">
        <v>-1458127369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46"/>
        <v>0</v>
      </c>
      <c r="GM37">
        <f t="shared" si="47"/>
        <v>0</v>
      </c>
      <c r="GN37">
        <f t="shared" si="48"/>
        <v>0</v>
      </c>
      <c r="GO37">
        <f t="shared" si="49"/>
        <v>0</v>
      </c>
      <c r="GP37">
        <f t="shared" si="50"/>
        <v>0</v>
      </c>
      <c r="GR37">
        <v>0</v>
      </c>
      <c r="GS37">
        <v>0</v>
      </c>
      <c r="GT37">
        <v>0</v>
      </c>
      <c r="GU37" t="s">
        <v>6</v>
      </c>
      <c r="GV37">
        <f t="shared" si="51"/>
        <v>0</v>
      </c>
      <c r="GW37">
        <v>1</v>
      </c>
      <c r="GX37">
        <f t="shared" si="52"/>
        <v>0</v>
      </c>
      <c r="HA37">
        <v>0</v>
      </c>
      <c r="HB37">
        <v>0</v>
      </c>
      <c r="HC37">
        <f t="shared" si="53"/>
        <v>0</v>
      </c>
      <c r="IK37">
        <v>0</v>
      </c>
    </row>
    <row r="38" spans="1:245" x14ac:dyDescent="0.2">
      <c r="A38">
        <v>18</v>
      </c>
      <c r="B38">
        <v>1</v>
      </c>
      <c r="C38">
        <v>21</v>
      </c>
      <c r="E38" t="s">
        <v>88</v>
      </c>
      <c r="F38" t="s">
        <v>89</v>
      </c>
      <c r="G38" t="s">
        <v>90</v>
      </c>
      <c r="H38" t="s">
        <v>75</v>
      </c>
      <c r="I38">
        <f>I37*J38</f>
        <v>0</v>
      </c>
      <c r="J38">
        <v>0.24</v>
      </c>
      <c r="O38">
        <f t="shared" si="21"/>
        <v>0</v>
      </c>
      <c r="P38">
        <f t="shared" si="22"/>
        <v>0</v>
      </c>
      <c r="Q38">
        <f>(ROUND((ROUND(((ET38)*AV38*I38),2)*BB38),2)+ROUND((ROUND(((AE38-(EU38))*AV38*I38),2)*BS38),2))</f>
        <v>0</v>
      </c>
      <c r="R38">
        <f t="shared" si="23"/>
        <v>0</v>
      </c>
      <c r="S38">
        <f t="shared" si="24"/>
        <v>0</v>
      </c>
      <c r="T38">
        <f t="shared" si="25"/>
        <v>0</v>
      </c>
      <c r="U38">
        <f t="shared" si="26"/>
        <v>0</v>
      </c>
      <c r="V38">
        <f t="shared" si="27"/>
        <v>0</v>
      </c>
      <c r="W38">
        <f t="shared" si="28"/>
        <v>0</v>
      </c>
      <c r="X38">
        <f t="shared" si="29"/>
        <v>0</v>
      </c>
      <c r="Y38">
        <f t="shared" si="30"/>
        <v>0</v>
      </c>
      <c r="AA38">
        <v>44176454</v>
      </c>
      <c r="AB38">
        <f t="shared" si="31"/>
        <v>11626.84</v>
      </c>
      <c r="AC38">
        <f t="shared" si="32"/>
        <v>11626.84</v>
      </c>
      <c r="AD38">
        <f>ROUND((((ET38)-(EU38))+AE38),6)</f>
        <v>0</v>
      </c>
      <c r="AE38">
        <f>ROUND((EU38),6)</f>
        <v>0</v>
      </c>
      <c r="AF38">
        <f>ROUND((EV38),6)</f>
        <v>0</v>
      </c>
      <c r="AG38">
        <f t="shared" si="33"/>
        <v>0</v>
      </c>
      <c r="AH38">
        <f>(EW38)</f>
        <v>0</v>
      </c>
      <c r="AI38">
        <f>(EX38)</f>
        <v>0</v>
      </c>
      <c r="AJ38">
        <f t="shared" si="34"/>
        <v>0</v>
      </c>
      <c r="AK38">
        <v>11626.84</v>
      </c>
      <c r="AL38">
        <v>11626.84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1.0680000000000001</v>
      </c>
      <c r="AZ38">
        <v>1</v>
      </c>
      <c r="BA38">
        <v>1</v>
      </c>
      <c r="BB38">
        <v>1</v>
      </c>
      <c r="BC38">
        <v>1.88</v>
      </c>
      <c r="BD38" t="s">
        <v>6</v>
      </c>
      <c r="BE38" t="s">
        <v>6</v>
      </c>
      <c r="BF38" t="s">
        <v>6</v>
      </c>
      <c r="BG38" t="s">
        <v>6</v>
      </c>
      <c r="BH38">
        <v>3</v>
      </c>
      <c r="BI38">
        <v>1</v>
      </c>
      <c r="BJ38" t="s">
        <v>91</v>
      </c>
      <c r="BM38">
        <v>65</v>
      </c>
      <c r="BN38">
        <v>0</v>
      </c>
      <c r="BO38" t="s">
        <v>89</v>
      </c>
      <c r="BP38">
        <v>1</v>
      </c>
      <c r="BQ38">
        <v>30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6</v>
      </c>
      <c r="BZ38">
        <v>0</v>
      </c>
      <c r="CA38">
        <v>0</v>
      </c>
      <c r="CE38">
        <v>30</v>
      </c>
      <c r="CF38">
        <v>0</v>
      </c>
      <c r="CG38">
        <v>0</v>
      </c>
      <c r="CM38">
        <v>0</v>
      </c>
      <c r="CN38" t="s">
        <v>6</v>
      </c>
      <c r="CO38">
        <v>0</v>
      </c>
      <c r="CP38">
        <f t="shared" si="35"/>
        <v>0</v>
      </c>
      <c r="CQ38">
        <f t="shared" si="36"/>
        <v>23344.84</v>
      </c>
      <c r="CR38">
        <f>(ROUND((ROUND(((ET38)*AV38*1),2)*BB38),2)+ROUND((ROUND(((AE38-(EU38))*AV38*1),2)*BS38),2))</f>
        <v>0</v>
      </c>
      <c r="CS38">
        <f t="shared" si="37"/>
        <v>0</v>
      </c>
      <c r="CT38">
        <f t="shared" si="38"/>
        <v>0</v>
      </c>
      <c r="CU38">
        <f t="shared" si="39"/>
        <v>0</v>
      </c>
      <c r="CV38">
        <f t="shared" si="40"/>
        <v>0</v>
      </c>
      <c r="CW38">
        <f t="shared" si="41"/>
        <v>0</v>
      </c>
      <c r="CX38">
        <f t="shared" si="42"/>
        <v>0</v>
      </c>
      <c r="CY38">
        <f t="shared" si="43"/>
        <v>0</v>
      </c>
      <c r="CZ38">
        <f t="shared" si="44"/>
        <v>0</v>
      </c>
      <c r="DC38" t="s">
        <v>6</v>
      </c>
      <c r="DD38" t="s">
        <v>6</v>
      </c>
      <c r="DE38" t="s">
        <v>6</v>
      </c>
      <c r="DF38" t="s">
        <v>6</v>
      </c>
      <c r="DG38" t="s">
        <v>6</v>
      </c>
      <c r="DH38" t="s">
        <v>6</v>
      </c>
      <c r="DI38" t="s">
        <v>6</v>
      </c>
      <c r="DJ38" t="s">
        <v>6</v>
      </c>
      <c r="DK38" t="s">
        <v>6</v>
      </c>
      <c r="DL38" t="s">
        <v>6</v>
      </c>
      <c r="DM38" t="s">
        <v>6</v>
      </c>
      <c r="DN38">
        <v>105</v>
      </c>
      <c r="DO38">
        <v>77</v>
      </c>
      <c r="DP38">
        <v>1.0469999999999999</v>
      </c>
      <c r="DQ38">
        <v>1.0680000000000001</v>
      </c>
      <c r="DU38">
        <v>1009</v>
      </c>
      <c r="DV38" t="s">
        <v>75</v>
      </c>
      <c r="DW38" t="s">
        <v>75</v>
      </c>
      <c r="DX38">
        <v>1000</v>
      </c>
      <c r="EE38">
        <v>44063830</v>
      </c>
      <c r="EF38">
        <v>30</v>
      </c>
      <c r="EG38" t="s">
        <v>23</v>
      </c>
      <c r="EH38">
        <v>0</v>
      </c>
      <c r="EI38" t="s">
        <v>6</v>
      </c>
      <c r="EJ38">
        <v>1</v>
      </c>
      <c r="EK38">
        <v>65</v>
      </c>
      <c r="EL38" t="s">
        <v>86</v>
      </c>
      <c r="EM38" t="s">
        <v>87</v>
      </c>
      <c r="EO38" t="s">
        <v>6</v>
      </c>
      <c r="EQ38">
        <v>0</v>
      </c>
      <c r="ER38">
        <v>11626.84</v>
      </c>
      <c r="ES38">
        <v>11626.84</v>
      </c>
      <c r="ET38">
        <v>0</v>
      </c>
      <c r="EU38">
        <v>0</v>
      </c>
      <c r="EV38">
        <v>0</v>
      </c>
      <c r="EW38">
        <v>0</v>
      </c>
      <c r="EX38">
        <v>0</v>
      </c>
      <c r="FQ38">
        <v>0</v>
      </c>
      <c r="FR38">
        <f t="shared" si="45"/>
        <v>0</v>
      </c>
      <c r="FS38">
        <v>0</v>
      </c>
      <c r="FX38">
        <v>105</v>
      </c>
      <c r="FY38">
        <v>77</v>
      </c>
      <c r="GA38" t="s">
        <v>6</v>
      </c>
      <c r="GD38">
        <v>0</v>
      </c>
      <c r="GF38">
        <v>-359297595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46"/>
        <v>0</v>
      </c>
      <c r="GM38">
        <f t="shared" si="47"/>
        <v>0</v>
      </c>
      <c r="GN38">
        <f t="shared" si="48"/>
        <v>0</v>
      </c>
      <c r="GO38">
        <f t="shared" si="49"/>
        <v>0</v>
      </c>
      <c r="GP38">
        <f t="shared" si="50"/>
        <v>0</v>
      </c>
      <c r="GR38">
        <v>0</v>
      </c>
      <c r="GS38">
        <v>0</v>
      </c>
      <c r="GT38">
        <v>0</v>
      </c>
      <c r="GU38" t="s">
        <v>6</v>
      </c>
      <c r="GV38">
        <f t="shared" si="51"/>
        <v>0</v>
      </c>
      <c r="GW38">
        <v>1</v>
      </c>
      <c r="GX38">
        <f t="shared" si="52"/>
        <v>0</v>
      </c>
      <c r="HA38">
        <v>0</v>
      </c>
      <c r="HB38">
        <v>0</v>
      </c>
      <c r="HC38">
        <f t="shared" si="53"/>
        <v>0</v>
      </c>
      <c r="IK38">
        <v>0</v>
      </c>
    </row>
    <row r="39" spans="1:245" x14ac:dyDescent="0.2">
      <c r="A39">
        <v>17</v>
      </c>
      <c r="B39">
        <v>1</v>
      </c>
      <c r="C39">
        <f>ROW(SmtRes!A26)</f>
        <v>26</v>
      </c>
      <c r="D39">
        <f>ROW(EtalonRes!A24)</f>
        <v>24</v>
      </c>
      <c r="E39" t="s">
        <v>19</v>
      </c>
      <c r="F39" t="s">
        <v>41</v>
      </c>
      <c r="G39" t="s">
        <v>92</v>
      </c>
      <c r="H39" t="s">
        <v>43</v>
      </c>
      <c r="I39">
        <v>0</v>
      </c>
      <c r="J39">
        <v>0</v>
      </c>
      <c r="O39">
        <f t="shared" si="21"/>
        <v>0</v>
      </c>
      <c r="P39">
        <f t="shared" si="22"/>
        <v>0</v>
      </c>
      <c r="Q39">
        <f>(ROUND((ROUND(((((ET39*1.15)*1.2))*AV39*I39),2)*BB39),2)+ROUND((ROUND(((AE39-(((EU39*1.15)*1.2)))*AV39*I39),2)*BS39),2))</f>
        <v>0</v>
      </c>
      <c r="R39">
        <f t="shared" si="23"/>
        <v>0</v>
      </c>
      <c r="S39">
        <f t="shared" si="24"/>
        <v>0</v>
      </c>
      <c r="T39">
        <f t="shared" si="25"/>
        <v>0</v>
      </c>
      <c r="U39">
        <f t="shared" si="26"/>
        <v>0</v>
      </c>
      <c r="V39">
        <f t="shared" si="27"/>
        <v>0</v>
      </c>
      <c r="W39">
        <f t="shared" si="28"/>
        <v>0</v>
      </c>
      <c r="X39">
        <f t="shared" si="29"/>
        <v>0</v>
      </c>
      <c r="Y39">
        <f t="shared" si="30"/>
        <v>0</v>
      </c>
      <c r="AA39">
        <v>44176454</v>
      </c>
      <c r="AB39">
        <f t="shared" si="31"/>
        <v>21775.829600000001</v>
      </c>
      <c r="AC39">
        <f t="shared" si="32"/>
        <v>19554.14</v>
      </c>
      <c r="AD39">
        <f>ROUND((((((ET39*1.15)*1.2))-(((EU39*1.15)*1.2)))+AE39),6)</f>
        <v>0</v>
      </c>
      <c r="AE39">
        <f>ROUND((((EU39*1.15)*1.2)),6)</f>
        <v>0</v>
      </c>
      <c r="AF39">
        <f>ROUND((((EV39*1.15)*1.2)),6)</f>
        <v>2221.6896000000002</v>
      </c>
      <c r="AG39">
        <f t="shared" si="33"/>
        <v>0</v>
      </c>
      <c r="AH39">
        <f>(((EW39*1.15)*1.2))</f>
        <v>198.72</v>
      </c>
      <c r="AI39">
        <f>(((EX39*1.15)*1.2))</f>
        <v>0</v>
      </c>
      <c r="AJ39">
        <f t="shared" si="34"/>
        <v>0</v>
      </c>
      <c r="AK39">
        <v>21164.06</v>
      </c>
      <c r="AL39">
        <v>19554.14</v>
      </c>
      <c r="AM39">
        <v>0</v>
      </c>
      <c r="AN39">
        <v>0</v>
      </c>
      <c r="AO39">
        <v>1609.92</v>
      </c>
      <c r="AP39">
        <v>0</v>
      </c>
      <c r="AQ39">
        <v>144</v>
      </c>
      <c r="AR39">
        <v>0</v>
      </c>
      <c r="AS39">
        <v>0</v>
      </c>
      <c r="AT39">
        <v>90</v>
      </c>
      <c r="AU39">
        <v>41</v>
      </c>
      <c r="AV39">
        <v>1.0669999999999999</v>
      </c>
      <c r="AW39">
        <v>1.081</v>
      </c>
      <c r="AZ39">
        <v>1</v>
      </c>
      <c r="BA39">
        <v>21.43</v>
      </c>
      <c r="BB39">
        <v>1</v>
      </c>
      <c r="BC39">
        <v>4.3</v>
      </c>
      <c r="BD39" t="s">
        <v>6</v>
      </c>
      <c r="BE39" t="s">
        <v>6</v>
      </c>
      <c r="BF39" t="s">
        <v>6</v>
      </c>
      <c r="BG39" t="s">
        <v>6</v>
      </c>
      <c r="BH39">
        <v>0</v>
      </c>
      <c r="BI39">
        <v>1</v>
      </c>
      <c r="BJ39" t="s">
        <v>44</v>
      </c>
      <c r="BM39">
        <v>242</v>
      </c>
      <c r="BN39">
        <v>0</v>
      </c>
      <c r="BO39" t="s">
        <v>41</v>
      </c>
      <c r="BP39">
        <v>1</v>
      </c>
      <c r="BQ39">
        <v>30</v>
      </c>
      <c r="BR39">
        <v>0</v>
      </c>
      <c r="BS39">
        <v>21.43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6</v>
      </c>
      <c r="BZ39">
        <v>90</v>
      </c>
      <c r="CA39">
        <v>41</v>
      </c>
      <c r="CE39">
        <v>30</v>
      </c>
      <c r="CF39">
        <v>0</v>
      </c>
      <c r="CG39">
        <v>0</v>
      </c>
      <c r="CM39">
        <v>0</v>
      </c>
      <c r="CN39" t="s">
        <v>517</v>
      </c>
      <c r="CO39">
        <v>0</v>
      </c>
      <c r="CP39">
        <f t="shared" si="35"/>
        <v>0</v>
      </c>
      <c r="CQ39">
        <f t="shared" si="36"/>
        <v>90893.53</v>
      </c>
      <c r="CR39">
        <f>(ROUND((ROUND(((((ET39*1.15)*1.2))*AV39*1),2)*BB39),2)+ROUND((ROUND(((AE39-(((EU39*1.15)*1.2)))*AV39*1),2)*BS39),2))</f>
        <v>0</v>
      </c>
      <c r="CS39">
        <f t="shared" si="37"/>
        <v>0</v>
      </c>
      <c r="CT39">
        <f t="shared" si="38"/>
        <v>50800.67</v>
      </c>
      <c r="CU39">
        <f t="shared" si="39"/>
        <v>0</v>
      </c>
      <c r="CV39">
        <f t="shared" si="40"/>
        <v>212.03423999999998</v>
      </c>
      <c r="CW39">
        <f t="shared" si="41"/>
        <v>0</v>
      </c>
      <c r="CX39">
        <f t="shared" si="42"/>
        <v>0</v>
      </c>
      <c r="CY39">
        <f t="shared" si="43"/>
        <v>0</v>
      </c>
      <c r="CZ39">
        <f t="shared" si="44"/>
        <v>0</v>
      </c>
      <c r="DC39" t="s">
        <v>6</v>
      </c>
      <c r="DD39" t="s">
        <v>6</v>
      </c>
      <c r="DE39" t="s">
        <v>93</v>
      </c>
      <c r="DF39" t="s">
        <v>93</v>
      </c>
      <c r="DG39" t="s">
        <v>93</v>
      </c>
      <c r="DH39" t="s">
        <v>6</v>
      </c>
      <c r="DI39" t="s">
        <v>93</v>
      </c>
      <c r="DJ39" t="s">
        <v>93</v>
      </c>
      <c r="DK39" t="s">
        <v>6</v>
      </c>
      <c r="DL39" t="s">
        <v>6</v>
      </c>
      <c r="DM39" t="s">
        <v>6</v>
      </c>
      <c r="DN39">
        <v>112</v>
      </c>
      <c r="DO39">
        <v>70</v>
      </c>
      <c r="DP39">
        <v>1.0669999999999999</v>
      </c>
      <c r="DQ39">
        <v>1.081</v>
      </c>
      <c r="DU39">
        <v>1013</v>
      </c>
      <c r="DV39" t="s">
        <v>43</v>
      </c>
      <c r="DW39" t="s">
        <v>43</v>
      </c>
      <c r="DX39">
        <v>1</v>
      </c>
      <c r="EE39">
        <v>44064061</v>
      </c>
      <c r="EF39">
        <v>30</v>
      </c>
      <c r="EG39" t="s">
        <v>23</v>
      </c>
      <c r="EH39">
        <v>0</v>
      </c>
      <c r="EI39" t="s">
        <v>6</v>
      </c>
      <c r="EJ39">
        <v>1</v>
      </c>
      <c r="EK39">
        <v>242</v>
      </c>
      <c r="EL39" t="s">
        <v>46</v>
      </c>
      <c r="EM39" t="s">
        <v>47</v>
      </c>
      <c r="EO39" t="s">
        <v>94</v>
      </c>
      <c r="EQ39">
        <v>131072</v>
      </c>
      <c r="ER39">
        <v>21164.06</v>
      </c>
      <c r="ES39">
        <v>19554.14</v>
      </c>
      <c r="ET39">
        <v>0</v>
      </c>
      <c r="EU39">
        <v>0</v>
      </c>
      <c r="EV39">
        <v>1609.92</v>
      </c>
      <c r="EW39">
        <v>144</v>
      </c>
      <c r="EX39">
        <v>0</v>
      </c>
      <c r="EY39">
        <v>0</v>
      </c>
      <c r="FQ39">
        <v>0</v>
      </c>
      <c r="FR39">
        <f t="shared" si="45"/>
        <v>0</v>
      </c>
      <c r="FS39">
        <v>0</v>
      </c>
      <c r="FX39">
        <v>112</v>
      </c>
      <c r="FY39">
        <v>70</v>
      </c>
      <c r="GA39" t="s">
        <v>6</v>
      </c>
      <c r="GD39">
        <v>0</v>
      </c>
      <c r="GF39">
        <v>985801947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46"/>
        <v>0</v>
      </c>
      <c r="GM39">
        <f t="shared" si="47"/>
        <v>0</v>
      </c>
      <c r="GN39">
        <f t="shared" si="48"/>
        <v>0</v>
      </c>
      <c r="GO39">
        <f t="shared" si="49"/>
        <v>0</v>
      </c>
      <c r="GP39">
        <f t="shared" si="50"/>
        <v>0</v>
      </c>
      <c r="GR39">
        <v>0</v>
      </c>
      <c r="GS39">
        <v>0</v>
      </c>
      <c r="GT39">
        <v>0</v>
      </c>
      <c r="GU39" t="s">
        <v>6</v>
      </c>
      <c r="GV39">
        <f t="shared" si="51"/>
        <v>0</v>
      </c>
      <c r="GW39">
        <v>1</v>
      </c>
      <c r="GX39">
        <f t="shared" si="52"/>
        <v>0</v>
      </c>
      <c r="HA39">
        <v>0</v>
      </c>
      <c r="HB39">
        <v>0</v>
      </c>
      <c r="HC39">
        <f t="shared" si="53"/>
        <v>0</v>
      </c>
      <c r="IK39">
        <v>0</v>
      </c>
    </row>
    <row r="40" spans="1:245" x14ac:dyDescent="0.2">
      <c r="A40">
        <v>17</v>
      </c>
      <c r="B40">
        <v>1</v>
      </c>
      <c r="C40">
        <f>ROW(SmtRes!A31)</f>
        <v>31</v>
      </c>
      <c r="D40">
        <f>ROW(EtalonRes!A29)</f>
        <v>29</v>
      </c>
      <c r="E40" t="s">
        <v>95</v>
      </c>
      <c r="F40" t="s">
        <v>96</v>
      </c>
      <c r="G40" t="s">
        <v>97</v>
      </c>
      <c r="H40" t="s">
        <v>27</v>
      </c>
      <c r="I40">
        <v>0</v>
      </c>
      <c r="J40">
        <v>0</v>
      </c>
      <c r="O40">
        <f t="shared" si="21"/>
        <v>0</v>
      </c>
      <c r="P40">
        <f t="shared" si="22"/>
        <v>0</v>
      </c>
      <c r="Q40">
        <f>(ROUND((ROUND((((ET40*1.15))*AV40*I40),2)*BB40),2)+ROUND((ROUND(((AE40-((EU40*1.15)))*AV40*I40),2)*BS40),2))</f>
        <v>0</v>
      </c>
      <c r="R40">
        <f t="shared" si="23"/>
        <v>0</v>
      </c>
      <c r="S40">
        <f t="shared" si="24"/>
        <v>0</v>
      </c>
      <c r="T40">
        <f t="shared" si="25"/>
        <v>0</v>
      </c>
      <c r="U40">
        <f t="shared" si="26"/>
        <v>0</v>
      </c>
      <c r="V40">
        <f t="shared" si="27"/>
        <v>0</v>
      </c>
      <c r="W40">
        <f t="shared" si="28"/>
        <v>0</v>
      </c>
      <c r="X40">
        <f t="shared" si="29"/>
        <v>0</v>
      </c>
      <c r="Y40">
        <f t="shared" si="30"/>
        <v>0</v>
      </c>
      <c r="AA40">
        <v>44176454</v>
      </c>
      <c r="AB40">
        <f t="shared" si="31"/>
        <v>1618.665</v>
      </c>
      <c r="AC40">
        <f t="shared" si="32"/>
        <v>277.42</v>
      </c>
      <c r="AD40">
        <f>ROUND(((((ET40*1.15))-((EU40*1.15)))+AE40),6)</f>
        <v>0</v>
      </c>
      <c r="AE40">
        <f>ROUND(((EU40*1.15)),6)</f>
        <v>0</v>
      </c>
      <c r="AF40">
        <f>ROUND(((EV40*1.15)),6)</f>
        <v>1341.2449999999999</v>
      </c>
      <c r="AG40">
        <f t="shared" si="33"/>
        <v>0</v>
      </c>
      <c r="AH40">
        <f>((EW40*1.15))</f>
        <v>125.35</v>
      </c>
      <c r="AI40">
        <f>((EX40*1.15))</f>
        <v>0</v>
      </c>
      <c r="AJ40">
        <f t="shared" si="34"/>
        <v>0</v>
      </c>
      <c r="AK40">
        <v>1443.72</v>
      </c>
      <c r="AL40">
        <v>277.42</v>
      </c>
      <c r="AM40">
        <v>0</v>
      </c>
      <c r="AN40">
        <v>0</v>
      </c>
      <c r="AO40">
        <v>1166.3</v>
      </c>
      <c r="AP40">
        <v>0</v>
      </c>
      <c r="AQ40">
        <v>109</v>
      </c>
      <c r="AR40">
        <v>0</v>
      </c>
      <c r="AS40">
        <v>0</v>
      </c>
      <c r="AT40">
        <v>73</v>
      </c>
      <c r="AU40">
        <v>41</v>
      </c>
      <c r="AV40">
        <v>1.0469999999999999</v>
      </c>
      <c r="AW40">
        <v>1.002</v>
      </c>
      <c r="AZ40">
        <v>1</v>
      </c>
      <c r="BA40">
        <v>21.43</v>
      </c>
      <c r="BB40">
        <v>1</v>
      </c>
      <c r="BC40">
        <v>2.99</v>
      </c>
      <c r="BD40" t="s">
        <v>6</v>
      </c>
      <c r="BE40" t="s">
        <v>6</v>
      </c>
      <c r="BF40" t="s">
        <v>6</v>
      </c>
      <c r="BG40" t="s">
        <v>6</v>
      </c>
      <c r="BH40">
        <v>0</v>
      </c>
      <c r="BI40">
        <v>1</v>
      </c>
      <c r="BJ40" t="s">
        <v>98</v>
      </c>
      <c r="BM40">
        <v>682</v>
      </c>
      <c r="BN40">
        <v>0</v>
      </c>
      <c r="BO40" t="s">
        <v>96</v>
      </c>
      <c r="BP40">
        <v>1</v>
      </c>
      <c r="BQ40">
        <v>60</v>
      </c>
      <c r="BR40">
        <v>0</v>
      </c>
      <c r="BS40">
        <v>21.43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6</v>
      </c>
      <c r="BZ40">
        <v>73</v>
      </c>
      <c r="CA40">
        <v>41</v>
      </c>
      <c r="CE40">
        <v>30</v>
      </c>
      <c r="CF40">
        <v>0</v>
      </c>
      <c r="CG40">
        <v>0</v>
      </c>
      <c r="CM40">
        <v>0</v>
      </c>
      <c r="CN40" t="s">
        <v>6</v>
      </c>
      <c r="CO40">
        <v>0</v>
      </c>
      <c r="CP40">
        <f t="shared" si="35"/>
        <v>0</v>
      </c>
      <c r="CQ40">
        <f t="shared" si="36"/>
        <v>831.13</v>
      </c>
      <c r="CR40">
        <f>(ROUND((ROUND((((ET40*1.15))*AV40*1),2)*BB40),2)+ROUND((ROUND(((AE40-((EU40*1.15)))*AV40*1),2)*BS40),2))</f>
        <v>0</v>
      </c>
      <c r="CS40">
        <f t="shared" si="37"/>
        <v>0</v>
      </c>
      <c r="CT40">
        <f t="shared" si="38"/>
        <v>30093.72</v>
      </c>
      <c r="CU40">
        <f t="shared" si="39"/>
        <v>0</v>
      </c>
      <c r="CV40">
        <f t="shared" si="40"/>
        <v>131.24144999999999</v>
      </c>
      <c r="CW40">
        <f t="shared" si="41"/>
        <v>0</v>
      </c>
      <c r="CX40">
        <f t="shared" si="42"/>
        <v>0</v>
      </c>
      <c r="CY40">
        <f t="shared" si="43"/>
        <v>0</v>
      </c>
      <c r="CZ40">
        <f t="shared" si="44"/>
        <v>0</v>
      </c>
      <c r="DC40" t="s">
        <v>6</v>
      </c>
      <c r="DD40" t="s">
        <v>6</v>
      </c>
      <c r="DE40" t="s">
        <v>99</v>
      </c>
      <c r="DF40" t="s">
        <v>99</v>
      </c>
      <c r="DG40" t="s">
        <v>99</v>
      </c>
      <c r="DH40" t="s">
        <v>6</v>
      </c>
      <c r="DI40" t="s">
        <v>99</v>
      </c>
      <c r="DJ40" t="s">
        <v>99</v>
      </c>
      <c r="DK40" t="s">
        <v>6</v>
      </c>
      <c r="DL40" t="s">
        <v>6</v>
      </c>
      <c r="DM40" t="s">
        <v>6</v>
      </c>
      <c r="DN40">
        <v>91</v>
      </c>
      <c r="DO40">
        <v>70</v>
      </c>
      <c r="DP40">
        <v>1.0469999999999999</v>
      </c>
      <c r="DQ40">
        <v>1.002</v>
      </c>
      <c r="DU40">
        <v>1013</v>
      </c>
      <c r="DV40" t="s">
        <v>27</v>
      </c>
      <c r="DW40" t="s">
        <v>27</v>
      </c>
      <c r="DX40">
        <v>1</v>
      </c>
      <c r="EE40">
        <v>44064501</v>
      </c>
      <c r="EF40">
        <v>60</v>
      </c>
      <c r="EG40" t="s">
        <v>30</v>
      </c>
      <c r="EH40">
        <v>0</v>
      </c>
      <c r="EI40" t="s">
        <v>6</v>
      </c>
      <c r="EJ40">
        <v>1</v>
      </c>
      <c r="EK40">
        <v>682</v>
      </c>
      <c r="EL40" t="s">
        <v>31</v>
      </c>
      <c r="EM40" t="s">
        <v>32</v>
      </c>
      <c r="EO40" t="s">
        <v>6</v>
      </c>
      <c r="EQ40">
        <v>131072</v>
      </c>
      <c r="ER40">
        <v>1443.72</v>
      </c>
      <c r="ES40">
        <v>277.42</v>
      </c>
      <c r="ET40">
        <v>0</v>
      </c>
      <c r="EU40">
        <v>0</v>
      </c>
      <c r="EV40">
        <v>1166.3</v>
      </c>
      <c r="EW40">
        <v>109</v>
      </c>
      <c r="EX40">
        <v>0</v>
      </c>
      <c r="EY40">
        <v>0</v>
      </c>
      <c r="FQ40">
        <v>0</v>
      </c>
      <c r="FR40">
        <f t="shared" si="45"/>
        <v>0</v>
      </c>
      <c r="FS40">
        <v>0</v>
      </c>
      <c r="FX40">
        <v>91</v>
      </c>
      <c r="FY40">
        <v>70</v>
      </c>
      <c r="GA40" t="s">
        <v>6</v>
      </c>
      <c r="GD40">
        <v>0</v>
      </c>
      <c r="GF40">
        <v>279344823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46"/>
        <v>0</v>
      </c>
      <c r="GM40">
        <f t="shared" si="47"/>
        <v>0</v>
      </c>
      <c r="GN40">
        <f t="shared" si="48"/>
        <v>0</v>
      </c>
      <c r="GO40">
        <f t="shared" si="49"/>
        <v>0</v>
      </c>
      <c r="GP40">
        <f t="shared" si="50"/>
        <v>0</v>
      </c>
      <c r="GR40">
        <v>0</v>
      </c>
      <c r="GS40">
        <v>0</v>
      </c>
      <c r="GT40">
        <v>0</v>
      </c>
      <c r="GU40" t="s">
        <v>6</v>
      </c>
      <c r="GV40">
        <f t="shared" si="51"/>
        <v>0</v>
      </c>
      <c r="GW40">
        <v>1</v>
      </c>
      <c r="GX40">
        <f t="shared" si="52"/>
        <v>0</v>
      </c>
      <c r="HA40">
        <v>0</v>
      </c>
      <c r="HB40">
        <v>0</v>
      </c>
      <c r="HC40">
        <f t="shared" si="53"/>
        <v>0</v>
      </c>
      <c r="IK40">
        <v>0</v>
      </c>
    </row>
    <row r="41" spans="1:245" x14ac:dyDescent="0.2">
      <c r="A41">
        <v>18</v>
      </c>
      <c r="B41">
        <v>1</v>
      </c>
      <c r="C41">
        <v>31</v>
      </c>
      <c r="E41" t="s">
        <v>100</v>
      </c>
      <c r="F41" t="s">
        <v>101</v>
      </c>
      <c r="G41" t="s">
        <v>102</v>
      </c>
      <c r="H41" t="s">
        <v>70</v>
      </c>
      <c r="I41">
        <f>I40*J41</f>
        <v>0</v>
      </c>
      <c r="J41">
        <v>0.312</v>
      </c>
      <c r="O41">
        <f t="shared" si="21"/>
        <v>0</v>
      </c>
      <c r="P41">
        <f t="shared" si="22"/>
        <v>0</v>
      </c>
      <c r="Q41">
        <f>(ROUND((ROUND(((ET41)*AV41*I41),2)*BB41),2)+ROUND((ROUND(((AE41-(EU41))*AV41*I41),2)*BS41),2))</f>
        <v>0</v>
      </c>
      <c r="R41">
        <f t="shared" si="23"/>
        <v>0</v>
      </c>
      <c r="S41">
        <f t="shared" si="24"/>
        <v>0</v>
      </c>
      <c r="T41">
        <f t="shared" si="25"/>
        <v>0</v>
      </c>
      <c r="U41">
        <f t="shared" si="26"/>
        <v>0</v>
      </c>
      <c r="V41">
        <f t="shared" si="27"/>
        <v>0</v>
      </c>
      <c r="W41">
        <f t="shared" si="28"/>
        <v>0</v>
      </c>
      <c r="X41">
        <f t="shared" si="29"/>
        <v>0</v>
      </c>
      <c r="Y41">
        <f t="shared" si="30"/>
        <v>0</v>
      </c>
      <c r="AA41">
        <v>44176454</v>
      </c>
      <c r="AB41">
        <f t="shared" si="31"/>
        <v>517.14</v>
      </c>
      <c r="AC41">
        <f t="shared" si="32"/>
        <v>517.14</v>
      </c>
      <c r="AD41">
        <f>ROUND((((ET41)-(EU41))+AE41),6)</f>
        <v>0</v>
      </c>
      <c r="AE41">
        <f>ROUND((EU41),6)</f>
        <v>0</v>
      </c>
      <c r="AF41">
        <f>ROUND((EV41),6)</f>
        <v>0</v>
      </c>
      <c r="AG41">
        <f t="shared" si="33"/>
        <v>0</v>
      </c>
      <c r="AH41">
        <f>(EW41)</f>
        <v>0</v>
      </c>
      <c r="AI41">
        <f>(EX41)</f>
        <v>0</v>
      </c>
      <c r="AJ41">
        <f t="shared" si="34"/>
        <v>0</v>
      </c>
      <c r="AK41">
        <v>517.14</v>
      </c>
      <c r="AL41">
        <v>517.14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1.002</v>
      </c>
      <c r="AZ41">
        <v>1</v>
      </c>
      <c r="BA41">
        <v>1</v>
      </c>
      <c r="BB41">
        <v>1</v>
      </c>
      <c r="BC41">
        <v>7.45</v>
      </c>
      <c r="BD41" t="s">
        <v>6</v>
      </c>
      <c r="BE41" t="s">
        <v>6</v>
      </c>
      <c r="BF41" t="s">
        <v>6</v>
      </c>
      <c r="BG41" t="s">
        <v>6</v>
      </c>
      <c r="BH41">
        <v>3</v>
      </c>
      <c r="BI41">
        <v>1</v>
      </c>
      <c r="BJ41" t="s">
        <v>103</v>
      </c>
      <c r="BM41">
        <v>682</v>
      </c>
      <c r="BN41">
        <v>0</v>
      </c>
      <c r="BO41" t="s">
        <v>101</v>
      </c>
      <c r="BP41">
        <v>1</v>
      </c>
      <c r="BQ41">
        <v>60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6</v>
      </c>
      <c r="BZ41">
        <v>0</v>
      </c>
      <c r="CA41">
        <v>0</v>
      </c>
      <c r="CE41">
        <v>30</v>
      </c>
      <c r="CF41">
        <v>0</v>
      </c>
      <c r="CG41">
        <v>0</v>
      </c>
      <c r="CM41">
        <v>0</v>
      </c>
      <c r="CN41" t="s">
        <v>6</v>
      </c>
      <c r="CO41">
        <v>0</v>
      </c>
      <c r="CP41">
        <f t="shared" si="35"/>
        <v>0</v>
      </c>
      <c r="CQ41">
        <f t="shared" si="36"/>
        <v>3860.37</v>
      </c>
      <c r="CR41">
        <f>(ROUND((ROUND(((ET41)*AV41*1),2)*BB41),2)+ROUND((ROUND(((AE41-(EU41))*AV41*1),2)*BS41),2))</f>
        <v>0</v>
      </c>
      <c r="CS41">
        <f t="shared" si="37"/>
        <v>0</v>
      </c>
      <c r="CT41">
        <f t="shared" si="38"/>
        <v>0</v>
      </c>
      <c r="CU41">
        <f t="shared" si="39"/>
        <v>0</v>
      </c>
      <c r="CV41">
        <f t="shared" si="40"/>
        <v>0</v>
      </c>
      <c r="CW41">
        <f t="shared" si="41"/>
        <v>0</v>
      </c>
      <c r="CX41">
        <f t="shared" si="42"/>
        <v>0</v>
      </c>
      <c r="CY41">
        <f t="shared" si="43"/>
        <v>0</v>
      </c>
      <c r="CZ41">
        <f t="shared" si="44"/>
        <v>0</v>
      </c>
      <c r="DC41" t="s">
        <v>6</v>
      </c>
      <c r="DD41" t="s">
        <v>6</v>
      </c>
      <c r="DE41" t="s">
        <v>6</v>
      </c>
      <c r="DF41" t="s">
        <v>6</v>
      </c>
      <c r="DG41" t="s">
        <v>6</v>
      </c>
      <c r="DH41" t="s">
        <v>6</v>
      </c>
      <c r="DI41" t="s">
        <v>6</v>
      </c>
      <c r="DJ41" t="s">
        <v>6</v>
      </c>
      <c r="DK41" t="s">
        <v>6</v>
      </c>
      <c r="DL41" t="s">
        <v>6</v>
      </c>
      <c r="DM41" t="s">
        <v>6</v>
      </c>
      <c r="DN41">
        <v>91</v>
      </c>
      <c r="DO41">
        <v>70</v>
      </c>
      <c r="DP41">
        <v>1.0469999999999999</v>
      </c>
      <c r="DQ41">
        <v>1.002</v>
      </c>
      <c r="DU41">
        <v>1007</v>
      </c>
      <c r="DV41" t="s">
        <v>70</v>
      </c>
      <c r="DW41" t="s">
        <v>70</v>
      </c>
      <c r="DX41">
        <v>1</v>
      </c>
      <c r="EE41">
        <v>44064501</v>
      </c>
      <c r="EF41">
        <v>60</v>
      </c>
      <c r="EG41" t="s">
        <v>30</v>
      </c>
      <c r="EH41">
        <v>0</v>
      </c>
      <c r="EI41" t="s">
        <v>6</v>
      </c>
      <c r="EJ41">
        <v>1</v>
      </c>
      <c r="EK41">
        <v>682</v>
      </c>
      <c r="EL41" t="s">
        <v>31</v>
      </c>
      <c r="EM41" t="s">
        <v>32</v>
      </c>
      <c r="EO41" t="s">
        <v>6</v>
      </c>
      <c r="EQ41">
        <v>0</v>
      </c>
      <c r="ER41">
        <v>517.14</v>
      </c>
      <c r="ES41">
        <v>517.14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45"/>
        <v>0</v>
      </c>
      <c r="FS41">
        <v>0</v>
      </c>
      <c r="FX41">
        <v>91</v>
      </c>
      <c r="FY41">
        <v>70</v>
      </c>
      <c r="GA41" t="s">
        <v>6</v>
      </c>
      <c r="GD41">
        <v>0</v>
      </c>
      <c r="GF41">
        <v>191691657</v>
      </c>
      <c r="GG41">
        <v>2</v>
      </c>
      <c r="GH41">
        <v>0</v>
      </c>
      <c r="GI41">
        <v>2</v>
      </c>
      <c r="GJ41">
        <v>0</v>
      </c>
      <c r="GK41">
        <f>ROUND(R41*(R12)/100,2)</f>
        <v>0</v>
      </c>
      <c r="GL41">
        <f t="shared" si="46"/>
        <v>0</v>
      </c>
      <c r="GM41">
        <f t="shared" si="47"/>
        <v>0</v>
      </c>
      <c r="GN41">
        <f t="shared" si="48"/>
        <v>0</v>
      </c>
      <c r="GO41">
        <f t="shared" si="49"/>
        <v>0</v>
      </c>
      <c r="GP41">
        <f t="shared" si="50"/>
        <v>0</v>
      </c>
      <c r="GR41">
        <v>0</v>
      </c>
      <c r="GS41">
        <v>0</v>
      </c>
      <c r="GT41">
        <v>0</v>
      </c>
      <c r="GU41" t="s">
        <v>6</v>
      </c>
      <c r="GV41">
        <f t="shared" si="51"/>
        <v>0</v>
      </c>
      <c r="GW41">
        <v>1</v>
      </c>
      <c r="GX41">
        <f t="shared" si="52"/>
        <v>0</v>
      </c>
      <c r="HA41">
        <v>0</v>
      </c>
      <c r="HB41">
        <v>0</v>
      </c>
      <c r="HC41">
        <f t="shared" si="53"/>
        <v>0</v>
      </c>
      <c r="IK41">
        <v>0</v>
      </c>
    </row>
    <row r="42" spans="1:245" x14ac:dyDescent="0.2">
      <c r="A42">
        <v>17</v>
      </c>
      <c r="B42">
        <v>1</v>
      </c>
      <c r="C42">
        <f>ROW(SmtRes!A33)</f>
        <v>33</v>
      </c>
      <c r="D42">
        <f>ROW(EtalonRes!A31)</f>
        <v>31</v>
      </c>
      <c r="E42" t="s">
        <v>104</v>
      </c>
      <c r="F42" t="s">
        <v>105</v>
      </c>
      <c r="G42" t="s">
        <v>106</v>
      </c>
      <c r="H42" t="s">
        <v>107</v>
      </c>
      <c r="I42">
        <v>0</v>
      </c>
      <c r="J42">
        <v>0</v>
      </c>
      <c r="O42">
        <f t="shared" si="21"/>
        <v>0</v>
      </c>
      <c r="P42">
        <f t="shared" si="22"/>
        <v>0</v>
      </c>
      <c r="Q42">
        <f>(ROUND((ROUND((((ET42*1.15))*AV42*I42),2)*BB42),2)+ROUND((ROUND(((AE42-((EU42*1.15)))*AV42*I42),2)*BS42),2))</f>
        <v>0</v>
      </c>
      <c r="R42">
        <f t="shared" si="23"/>
        <v>0</v>
      </c>
      <c r="S42">
        <f t="shared" si="24"/>
        <v>0</v>
      </c>
      <c r="T42">
        <f t="shared" si="25"/>
        <v>0</v>
      </c>
      <c r="U42">
        <f t="shared" si="26"/>
        <v>0</v>
      </c>
      <c r="V42">
        <f t="shared" si="27"/>
        <v>0</v>
      </c>
      <c r="W42">
        <f t="shared" si="28"/>
        <v>0</v>
      </c>
      <c r="X42">
        <f t="shared" si="29"/>
        <v>0</v>
      </c>
      <c r="Y42">
        <f t="shared" si="30"/>
        <v>0</v>
      </c>
      <c r="AA42">
        <v>44176454</v>
      </c>
      <c r="AB42">
        <f t="shared" si="31"/>
        <v>40.664000000000001</v>
      </c>
      <c r="AC42">
        <f t="shared" si="32"/>
        <v>0</v>
      </c>
      <c r="AD42">
        <f>ROUND(((((ET42*1.15))-((EU42*1.15)))+AE42),6)</f>
        <v>0</v>
      </c>
      <c r="AE42">
        <f>ROUND(((EU42*1.15)),6)</f>
        <v>0</v>
      </c>
      <c r="AF42">
        <f>ROUND(((EV42*1.15)),6)</f>
        <v>40.664000000000001</v>
      </c>
      <c r="AG42">
        <f t="shared" si="33"/>
        <v>0</v>
      </c>
      <c r="AH42">
        <f>((EW42*1.15))</f>
        <v>3.4959999999999996</v>
      </c>
      <c r="AI42">
        <f>((EX42*1.15))</f>
        <v>0</v>
      </c>
      <c r="AJ42">
        <f t="shared" si="34"/>
        <v>0</v>
      </c>
      <c r="AK42">
        <v>35.36</v>
      </c>
      <c r="AL42">
        <v>0</v>
      </c>
      <c r="AM42">
        <v>0</v>
      </c>
      <c r="AN42">
        <v>0</v>
      </c>
      <c r="AO42">
        <v>35.36</v>
      </c>
      <c r="AP42">
        <v>0</v>
      </c>
      <c r="AQ42">
        <v>3.04</v>
      </c>
      <c r="AR42">
        <v>0</v>
      </c>
      <c r="AS42">
        <v>0</v>
      </c>
      <c r="AT42">
        <v>85</v>
      </c>
      <c r="AU42">
        <v>41</v>
      </c>
      <c r="AV42">
        <v>1.0469999999999999</v>
      </c>
      <c r="AW42">
        <v>1</v>
      </c>
      <c r="AZ42">
        <v>1</v>
      </c>
      <c r="BA42">
        <v>21.43</v>
      </c>
      <c r="BB42">
        <v>1</v>
      </c>
      <c r="BC42">
        <v>1</v>
      </c>
      <c r="BD42" t="s">
        <v>6</v>
      </c>
      <c r="BE42" t="s">
        <v>6</v>
      </c>
      <c r="BF42" t="s">
        <v>6</v>
      </c>
      <c r="BG42" t="s">
        <v>6</v>
      </c>
      <c r="BH42">
        <v>0</v>
      </c>
      <c r="BI42">
        <v>1</v>
      </c>
      <c r="BJ42" t="s">
        <v>108</v>
      </c>
      <c r="BM42">
        <v>99</v>
      </c>
      <c r="BN42">
        <v>0</v>
      </c>
      <c r="BO42" t="s">
        <v>105</v>
      </c>
      <c r="BP42">
        <v>1</v>
      </c>
      <c r="BQ42">
        <v>30</v>
      </c>
      <c r="BR42">
        <v>0</v>
      </c>
      <c r="BS42">
        <v>21.43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6</v>
      </c>
      <c r="BZ42">
        <v>85</v>
      </c>
      <c r="CA42">
        <v>41</v>
      </c>
      <c r="CE42">
        <v>30</v>
      </c>
      <c r="CF42">
        <v>0</v>
      </c>
      <c r="CG42">
        <v>0</v>
      </c>
      <c r="CM42">
        <v>0</v>
      </c>
      <c r="CN42" t="s">
        <v>63</v>
      </c>
      <c r="CO42">
        <v>0</v>
      </c>
      <c r="CP42">
        <f t="shared" si="35"/>
        <v>0</v>
      </c>
      <c r="CQ42">
        <f t="shared" si="36"/>
        <v>0</v>
      </c>
      <c r="CR42">
        <f>(ROUND((ROUND((((ET42*1.15))*AV42*1),2)*BB42),2)+ROUND((ROUND(((AE42-((EU42*1.15)))*AV42*1),2)*BS42),2))</f>
        <v>0</v>
      </c>
      <c r="CS42">
        <f t="shared" si="37"/>
        <v>0</v>
      </c>
      <c r="CT42">
        <f t="shared" si="38"/>
        <v>912.49</v>
      </c>
      <c r="CU42">
        <f t="shared" si="39"/>
        <v>0</v>
      </c>
      <c r="CV42">
        <f t="shared" si="40"/>
        <v>3.6603119999999993</v>
      </c>
      <c r="CW42">
        <f t="shared" si="41"/>
        <v>0</v>
      </c>
      <c r="CX42">
        <f t="shared" si="42"/>
        <v>0</v>
      </c>
      <c r="CY42">
        <f t="shared" si="43"/>
        <v>0</v>
      </c>
      <c r="CZ42">
        <f t="shared" si="44"/>
        <v>0</v>
      </c>
      <c r="DC42" t="s">
        <v>6</v>
      </c>
      <c r="DD42" t="s">
        <v>6</v>
      </c>
      <c r="DE42" t="s">
        <v>29</v>
      </c>
      <c r="DF42" t="s">
        <v>29</v>
      </c>
      <c r="DG42" t="s">
        <v>29</v>
      </c>
      <c r="DH42" t="s">
        <v>6</v>
      </c>
      <c r="DI42" t="s">
        <v>29</v>
      </c>
      <c r="DJ42" t="s">
        <v>29</v>
      </c>
      <c r="DK42" t="s">
        <v>6</v>
      </c>
      <c r="DL42" t="s">
        <v>6</v>
      </c>
      <c r="DM42" t="s">
        <v>6</v>
      </c>
      <c r="DN42">
        <v>105</v>
      </c>
      <c r="DO42">
        <v>77</v>
      </c>
      <c r="DP42">
        <v>1.0469999999999999</v>
      </c>
      <c r="DQ42">
        <v>1</v>
      </c>
      <c r="DU42">
        <v>1013</v>
      </c>
      <c r="DV42" t="s">
        <v>107</v>
      </c>
      <c r="DW42" t="s">
        <v>107</v>
      </c>
      <c r="DX42">
        <v>1</v>
      </c>
      <c r="EE42">
        <v>44063918</v>
      </c>
      <c r="EF42">
        <v>30</v>
      </c>
      <c r="EG42" t="s">
        <v>23</v>
      </c>
      <c r="EH42">
        <v>0</v>
      </c>
      <c r="EI42" t="s">
        <v>6</v>
      </c>
      <c r="EJ42">
        <v>1</v>
      </c>
      <c r="EK42">
        <v>99</v>
      </c>
      <c r="EL42" t="s">
        <v>109</v>
      </c>
      <c r="EM42" t="s">
        <v>110</v>
      </c>
      <c r="EO42" t="s">
        <v>66</v>
      </c>
      <c r="EQ42">
        <v>131072</v>
      </c>
      <c r="ER42">
        <v>35.36</v>
      </c>
      <c r="ES42">
        <v>0</v>
      </c>
      <c r="ET42">
        <v>0</v>
      </c>
      <c r="EU42">
        <v>0</v>
      </c>
      <c r="EV42">
        <v>35.36</v>
      </c>
      <c r="EW42">
        <v>3.04</v>
      </c>
      <c r="EX42">
        <v>0</v>
      </c>
      <c r="EY42">
        <v>0</v>
      </c>
      <c r="FQ42">
        <v>0</v>
      </c>
      <c r="FR42">
        <f t="shared" si="45"/>
        <v>0</v>
      </c>
      <c r="FS42">
        <v>0</v>
      </c>
      <c r="FX42">
        <v>105</v>
      </c>
      <c r="FY42">
        <v>77</v>
      </c>
      <c r="GA42" t="s">
        <v>6</v>
      </c>
      <c r="GD42">
        <v>0</v>
      </c>
      <c r="GF42">
        <v>-1331629090</v>
      </c>
      <c r="GG42">
        <v>2</v>
      </c>
      <c r="GH42">
        <v>1</v>
      </c>
      <c r="GI42">
        <v>2</v>
      </c>
      <c r="GJ42">
        <v>0</v>
      </c>
      <c r="GK42">
        <f>ROUND(R42*(R12)/100,2)</f>
        <v>0</v>
      </c>
      <c r="GL42">
        <f t="shared" si="46"/>
        <v>0</v>
      </c>
      <c r="GM42">
        <f t="shared" si="47"/>
        <v>0</v>
      </c>
      <c r="GN42">
        <f t="shared" si="48"/>
        <v>0</v>
      </c>
      <c r="GO42">
        <f t="shared" si="49"/>
        <v>0</v>
      </c>
      <c r="GP42">
        <f t="shared" si="50"/>
        <v>0</v>
      </c>
      <c r="GR42">
        <v>0</v>
      </c>
      <c r="GS42">
        <v>0</v>
      </c>
      <c r="GT42">
        <v>0</v>
      </c>
      <c r="GU42" t="s">
        <v>6</v>
      </c>
      <c r="GV42">
        <f t="shared" si="51"/>
        <v>0</v>
      </c>
      <c r="GW42">
        <v>1</v>
      </c>
      <c r="GX42">
        <f t="shared" si="52"/>
        <v>0</v>
      </c>
      <c r="HA42">
        <v>0</v>
      </c>
      <c r="HB42">
        <v>0</v>
      </c>
      <c r="HC42">
        <f t="shared" si="53"/>
        <v>0</v>
      </c>
      <c r="IK42">
        <v>0</v>
      </c>
    </row>
    <row r="43" spans="1:245" x14ac:dyDescent="0.2">
      <c r="A43">
        <v>18</v>
      </c>
      <c r="B43">
        <v>1</v>
      </c>
      <c r="C43">
        <v>33</v>
      </c>
      <c r="E43" t="s">
        <v>111</v>
      </c>
      <c r="F43" t="s">
        <v>112</v>
      </c>
      <c r="G43" t="s">
        <v>113</v>
      </c>
      <c r="H43" t="s">
        <v>75</v>
      </c>
      <c r="I43">
        <f>I42*J43</f>
        <v>0</v>
      </c>
      <c r="J43">
        <v>1.5E-3</v>
      </c>
      <c r="O43">
        <f t="shared" si="21"/>
        <v>0</v>
      </c>
      <c r="P43">
        <f t="shared" si="22"/>
        <v>0</v>
      </c>
      <c r="Q43">
        <f>(ROUND((ROUND(((ET43)*AV43*I43),2)*BB43),2)+ROUND((ROUND(((AE43-(EU43))*AV43*I43),2)*BS43),2))</f>
        <v>0</v>
      </c>
      <c r="R43">
        <f t="shared" si="23"/>
        <v>0</v>
      </c>
      <c r="S43">
        <f t="shared" si="24"/>
        <v>0</v>
      </c>
      <c r="T43">
        <f t="shared" si="25"/>
        <v>0</v>
      </c>
      <c r="U43">
        <f t="shared" si="26"/>
        <v>0</v>
      </c>
      <c r="V43">
        <f t="shared" si="27"/>
        <v>0</v>
      </c>
      <c r="W43">
        <f t="shared" si="28"/>
        <v>0</v>
      </c>
      <c r="X43">
        <f t="shared" si="29"/>
        <v>0</v>
      </c>
      <c r="Y43">
        <f t="shared" si="30"/>
        <v>0</v>
      </c>
      <c r="AA43">
        <v>44176454</v>
      </c>
      <c r="AB43">
        <f t="shared" si="31"/>
        <v>201954.73</v>
      </c>
      <c r="AC43">
        <f t="shared" si="32"/>
        <v>201954.73</v>
      </c>
      <c r="AD43">
        <f>ROUND((((ET43)-(EU43))+AE43),6)</f>
        <v>0</v>
      </c>
      <c r="AE43">
        <f>ROUND((EU43),6)</f>
        <v>0</v>
      </c>
      <c r="AF43">
        <f>ROUND((EV43),6)</f>
        <v>0</v>
      </c>
      <c r="AG43">
        <f t="shared" si="33"/>
        <v>0</v>
      </c>
      <c r="AH43">
        <f>(EW43)</f>
        <v>0</v>
      </c>
      <c r="AI43">
        <f>(EX43)</f>
        <v>0</v>
      </c>
      <c r="AJ43">
        <f t="shared" si="34"/>
        <v>0</v>
      </c>
      <c r="AK43">
        <v>201954.73</v>
      </c>
      <c r="AL43">
        <v>201954.73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1.27</v>
      </c>
      <c r="BD43" t="s">
        <v>6</v>
      </c>
      <c r="BE43" t="s">
        <v>6</v>
      </c>
      <c r="BF43" t="s">
        <v>6</v>
      </c>
      <c r="BG43" t="s">
        <v>6</v>
      </c>
      <c r="BH43">
        <v>3</v>
      </c>
      <c r="BI43">
        <v>1</v>
      </c>
      <c r="BJ43" t="s">
        <v>114</v>
      </c>
      <c r="BM43">
        <v>99</v>
      </c>
      <c r="BN43">
        <v>0</v>
      </c>
      <c r="BO43" t="s">
        <v>112</v>
      </c>
      <c r="BP43">
        <v>1</v>
      </c>
      <c r="BQ43">
        <v>30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6</v>
      </c>
      <c r="BZ43">
        <v>0</v>
      </c>
      <c r="CA43">
        <v>0</v>
      </c>
      <c r="CE43">
        <v>30</v>
      </c>
      <c r="CF43">
        <v>0</v>
      </c>
      <c r="CG43">
        <v>0</v>
      </c>
      <c r="CM43">
        <v>0</v>
      </c>
      <c r="CN43" t="s">
        <v>6</v>
      </c>
      <c r="CO43">
        <v>0</v>
      </c>
      <c r="CP43">
        <f t="shared" si="35"/>
        <v>0</v>
      </c>
      <c r="CQ43">
        <f t="shared" si="36"/>
        <v>256482.51</v>
      </c>
      <c r="CR43">
        <f>(ROUND((ROUND(((ET43)*AV43*1),2)*BB43),2)+ROUND((ROUND(((AE43-(EU43))*AV43*1),2)*BS43),2))</f>
        <v>0</v>
      </c>
      <c r="CS43">
        <f t="shared" si="37"/>
        <v>0</v>
      </c>
      <c r="CT43">
        <f t="shared" si="38"/>
        <v>0</v>
      </c>
      <c r="CU43">
        <f t="shared" si="39"/>
        <v>0</v>
      </c>
      <c r="CV43">
        <f t="shared" si="40"/>
        <v>0</v>
      </c>
      <c r="CW43">
        <f t="shared" si="41"/>
        <v>0</v>
      </c>
      <c r="CX43">
        <f t="shared" si="42"/>
        <v>0</v>
      </c>
      <c r="CY43">
        <f t="shared" si="43"/>
        <v>0</v>
      </c>
      <c r="CZ43">
        <f t="shared" si="44"/>
        <v>0</v>
      </c>
      <c r="DC43" t="s">
        <v>6</v>
      </c>
      <c r="DD43" t="s">
        <v>6</v>
      </c>
      <c r="DE43" t="s">
        <v>6</v>
      </c>
      <c r="DF43" t="s">
        <v>6</v>
      </c>
      <c r="DG43" t="s">
        <v>6</v>
      </c>
      <c r="DH43" t="s">
        <v>6</v>
      </c>
      <c r="DI43" t="s">
        <v>6</v>
      </c>
      <c r="DJ43" t="s">
        <v>6</v>
      </c>
      <c r="DK43" t="s">
        <v>6</v>
      </c>
      <c r="DL43" t="s">
        <v>6</v>
      </c>
      <c r="DM43" t="s">
        <v>6</v>
      </c>
      <c r="DN43">
        <v>105</v>
      </c>
      <c r="DO43">
        <v>77</v>
      </c>
      <c r="DP43">
        <v>1.0469999999999999</v>
      </c>
      <c r="DQ43">
        <v>1</v>
      </c>
      <c r="DU43">
        <v>1009</v>
      </c>
      <c r="DV43" t="s">
        <v>75</v>
      </c>
      <c r="DW43" t="s">
        <v>75</v>
      </c>
      <c r="DX43">
        <v>1000</v>
      </c>
      <c r="EE43">
        <v>44063918</v>
      </c>
      <c r="EF43">
        <v>30</v>
      </c>
      <c r="EG43" t="s">
        <v>23</v>
      </c>
      <c r="EH43">
        <v>0</v>
      </c>
      <c r="EI43" t="s">
        <v>6</v>
      </c>
      <c r="EJ43">
        <v>1</v>
      </c>
      <c r="EK43">
        <v>99</v>
      </c>
      <c r="EL43" t="s">
        <v>109</v>
      </c>
      <c r="EM43" t="s">
        <v>110</v>
      </c>
      <c r="EO43" t="s">
        <v>6</v>
      </c>
      <c r="EQ43">
        <v>0</v>
      </c>
      <c r="ER43">
        <v>201954.73</v>
      </c>
      <c r="ES43">
        <v>201954.73</v>
      </c>
      <c r="ET43">
        <v>0</v>
      </c>
      <c r="EU43">
        <v>0</v>
      </c>
      <c r="EV43">
        <v>0</v>
      </c>
      <c r="EW43">
        <v>0</v>
      </c>
      <c r="EX43">
        <v>0</v>
      </c>
      <c r="FQ43">
        <v>0</v>
      </c>
      <c r="FR43">
        <f t="shared" si="45"/>
        <v>0</v>
      </c>
      <c r="FS43">
        <v>0</v>
      </c>
      <c r="FX43">
        <v>105</v>
      </c>
      <c r="FY43">
        <v>77</v>
      </c>
      <c r="GA43" t="s">
        <v>6</v>
      </c>
      <c r="GD43">
        <v>0</v>
      </c>
      <c r="GF43">
        <v>1462922659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46"/>
        <v>0</v>
      </c>
      <c r="GM43">
        <f t="shared" si="47"/>
        <v>0</v>
      </c>
      <c r="GN43">
        <f t="shared" si="48"/>
        <v>0</v>
      </c>
      <c r="GO43">
        <f t="shared" si="49"/>
        <v>0</v>
      </c>
      <c r="GP43">
        <f t="shared" si="50"/>
        <v>0</v>
      </c>
      <c r="GR43">
        <v>0</v>
      </c>
      <c r="GS43">
        <v>0</v>
      </c>
      <c r="GT43">
        <v>0</v>
      </c>
      <c r="GU43" t="s">
        <v>6</v>
      </c>
      <c r="GV43">
        <f t="shared" si="51"/>
        <v>0</v>
      </c>
      <c r="GW43">
        <v>1</v>
      </c>
      <c r="GX43">
        <f t="shared" si="52"/>
        <v>0</v>
      </c>
      <c r="HA43">
        <v>0</v>
      </c>
      <c r="HB43">
        <v>0</v>
      </c>
      <c r="HC43">
        <f t="shared" si="53"/>
        <v>0</v>
      </c>
      <c r="IK43">
        <v>0</v>
      </c>
    </row>
    <row r="44" spans="1:245" x14ac:dyDescent="0.2">
      <c r="A44">
        <v>17</v>
      </c>
      <c r="B44">
        <v>1</v>
      </c>
      <c r="C44">
        <f>ROW(SmtRes!A42)</f>
        <v>42</v>
      </c>
      <c r="D44">
        <f>ROW(EtalonRes!A40)</f>
        <v>40</v>
      </c>
      <c r="E44" t="s">
        <v>115</v>
      </c>
      <c r="F44" t="s">
        <v>116</v>
      </c>
      <c r="G44" t="s">
        <v>117</v>
      </c>
      <c r="H44" t="s">
        <v>118</v>
      </c>
      <c r="I44">
        <v>0</v>
      </c>
      <c r="J44">
        <v>0</v>
      </c>
      <c r="O44">
        <f t="shared" si="21"/>
        <v>0</v>
      </c>
      <c r="P44">
        <f t="shared" si="22"/>
        <v>0</v>
      </c>
      <c r="Q44">
        <f>(ROUND((ROUND((((ET44*1.15))*AV44*I44),2)*BB44),2)+ROUND((ROUND(((AE44-((EU44*1.15)))*AV44*I44),2)*BS44),2))</f>
        <v>0</v>
      </c>
      <c r="R44">
        <f t="shared" si="23"/>
        <v>0</v>
      </c>
      <c r="S44">
        <f t="shared" si="24"/>
        <v>0</v>
      </c>
      <c r="T44">
        <f t="shared" si="25"/>
        <v>0</v>
      </c>
      <c r="U44">
        <f t="shared" si="26"/>
        <v>0</v>
      </c>
      <c r="V44">
        <f t="shared" si="27"/>
        <v>0</v>
      </c>
      <c r="W44">
        <f t="shared" si="28"/>
        <v>0</v>
      </c>
      <c r="X44">
        <f t="shared" si="29"/>
        <v>0</v>
      </c>
      <c r="Y44">
        <f t="shared" si="30"/>
        <v>0</v>
      </c>
      <c r="AA44">
        <v>44176454</v>
      </c>
      <c r="AB44">
        <f t="shared" si="31"/>
        <v>719.84900000000005</v>
      </c>
      <c r="AC44">
        <f t="shared" si="32"/>
        <v>22.42</v>
      </c>
      <c r="AD44">
        <f>ROUND(((((ET44*1.15))-((EU44*1.15)))+AE44),6)</f>
        <v>4.5999999999999999E-2</v>
      </c>
      <c r="AE44">
        <f>ROUND(((EU44*1.15)),6)</f>
        <v>0</v>
      </c>
      <c r="AF44">
        <f>ROUND(((EV44*1.15)),6)</f>
        <v>697.38300000000004</v>
      </c>
      <c r="AG44">
        <f t="shared" si="33"/>
        <v>0</v>
      </c>
      <c r="AH44">
        <f>((EW44*1.15))</f>
        <v>33.775500000000001</v>
      </c>
      <c r="AI44">
        <f>((EX44*1.15))</f>
        <v>0</v>
      </c>
      <c r="AJ44">
        <f t="shared" si="34"/>
        <v>0</v>
      </c>
      <c r="AK44">
        <v>628.88</v>
      </c>
      <c r="AL44">
        <v>22.42</v>
      </c>
      <c r="AM44">
        <v>0.04</v>
      </c>
      <c r="AN44">
        <v>0</v>
      </c>
      <c r="AO44">
        <v>606.41999999999996</v>
      </c>
      <c r="AP44">
        <v>0</v>
      </c>
      <c r="AQ44">
        <v>29.37</v>
      </c>
      <c r="AR44">
        <v>0</v>
      </c>
      <c r="AS44">
        <v>0</v>
      </c>
      <c r="AT44">
        <v>77</v>
      </c>
      <c r="AU44">
        <v>41</v>
      </c>
      <c r="AV44">
        <v>1.0469999999999999</v>
      </c>
      <c r="AW44">
        <v>1</v>
      </c>
      <c r="AZ44">
        <v>1</v>
      </c>
      <c r="BA44">
        <v>21.43</v>
      </c>
      <c r="BB44">
        <v>10.25</v>
      </c>
      <c r="BC44">
        <v>3.65</v>
      </c>
      <c r="BD44" t="s">
        <v>6</v>
      </c>
      <c r="BE44" t="s">
        <v>6</v>
      </c>
      <c r="BF44" t="s">
        <v>6</v>
      </c>
      <c r="BG44" t="s">
        <v>6</v>
      </c>
      <c r="BH44">
        <v>0</v>
      </c>
      <c r="BI44">
        <v>1</v>
      </c>
      <c r="BJ44" t="s">
        <v>119</v>
      </c>
      <c r="BM44">
        <v>633</v>
      </c>
      <c r="BN44">
        <v>0</v>
      </c>
      <c r="BO44" t="s">
        <v>116</v>
      </c>
      <c r="BP44">
        <v>1</v>
      </c>
      <c r="BQ44">
        <v>60</v>
      </c>
      <c r="BR44">
        <v>0</v>
      </c>
      <c r="BS44">
        <v>21.43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6</v>
      </c>
      <c r="BZ44">
        <v>77</v>
      </c>
      <c r="CA44">
        <v>41</v>
      </c>
      <c r="CE44">
        <v>30</v>
      </c>
      <c r="CF44">
        <v>0</v>
      </c>
      <c r="CG44">
        <v>0</v>
      </c>
      <c r="CM44">
        <v>0</v>
      </c>
      <c r="CN44" t="s">
        <v>515</v>
      </c>
      <c r="CO44">
        <v>0</v>
      </c>
      <c r="CP44">
        <f t="shared" si="35"/>
        <v>0</v>
      </c>
      <c r="CQ44">
        <f t="shared" si="36"/>
        <v>81.83</v>
      </c>
      <c r="CR44">
        <f>(ROUND((ROUND((((ET44*1.15))*AV44*1),2)*BB44),2)+ROUND((ROUND(((AE44-((EU44*1.15)))*AV44*1),2)*BS44),2))</f>
        <v>0.51</v>
      </c>
      <c r="CS44">
        <f t="shared" si="37"/>
        <v>0</v>
      </c>
      <c r="CT44">
        <f t="shared" si="38"/>
        <v>15647.33</v>
      </c>
      <c r="CU44">
        <f t="shared" si="39"/>
        <v>0</v>
      </c>
      <c r="CV44">
        <f t="shared" si="40"/>
        <v>35.362948500000002</v>
      </c>
      <c r="CW44">
        <f t="shared" si="41"/>
        <v>0</v>
      </c>
      <c r="CX44">
        <f t="shared" si="42"/>
        <v>0</v>
      </c>
      <c r="CY44">
        <f t="shared" si="43"/>
        <v>0</v>
      </c>
      <c r="CZ44">
        <f t="shared" si="44"/>
        <v>0</v>
      </c>
      <c r="DC44" t="s">
        <v>6</v>
      </c>
      <c r="DD44" t="s">
        <v>6</v>
      </c>
      <c r="DE44" t="s">
        <v>29</v>
      </c>
      <c r="DF44" t="s">
        <v>29</v>
      </c>
      <c r="DG44" t="s">
        <v>29</v>
      </c>
      <c r="DH44" t="s">
        <v>6</v>
      </c>
      <c r="DI44" t="s">
        <v>29</v>
      </c>
      <c r="DJ44" t="s">
        <v>29</v>
      </c>
      <c r="DK44" t="s">
        <v>6</v>
      </c>
      <c r="DL44" t="s">
        <v>6</v>
      </c>
      <c r="DM44" t="s">
        <v>6</v>
      </c>
      <c r="DN44">
        <v>114</v>
      </c>
      <c r="DO44">
        <v>67</v>
      </c>
      <c r="DP44">
        <v>1.0469999999999999</v>
      </c>
      <c r="DQ44">
        <v>1</v>
      </c>
      <c r="DU44">
        <v>1013</v>
      </c>
      <c r="DV44" t="s">
        <v>118</v>
      </c>
      <c r="DW44" t="s">
        <v>118</v>
      </c>
      <c r="DX44">
        <v>1</v>
      </c>
      <c r="EE44">
        <v>44064452</v>
      </c>
      <c r="EF44">
        <v>60</v>
      </c>
      <c r="EG44" t="s">
        <v>30</v>
      </c>
      <c r="EH44">
        <v>0</v>
      </c>
      <c r="EI44" t="s">
        <v>6</v>
      </c>
      <c r="EJ44">
        <v>1</v>
      </c>
      <c r="EK44">
        <v>633</v>
      </c>
      <c r="EL44" t="s">
        <v>120</v>
      </c>
      <c r="EM44" t="s">
        <v>121</v>
      </c>
      <c r="EO44" t="s">
        <v>33</v>
      </c>
      <c r="EQ44">
        <v>131072</v>
      </c>
      <c r="ER44">
        <v>628.88</v>
      </c>
      <c r="ES44">
        <v>22.42</v>
      </c>
      <c r="ET44">
        <v>0.04</v>
      </c>
      <c r="EU44">
        <v>0</v>
      </c>
      <c r="EV44">
        <v>606.41999999999996</v>
      </c>
      <c r="EW44">
        <v>29.37</v>
      </c>
      <c r="EX44">
        <v>0</v>
      </c>
      <c r="EY44">
        <v>0</v>
      </c>
      <c r="FQ44">
        <v>0</v>
      </c>
      <c r="FR44">
        <f t="shared" si="45"/>
        <v>0</v>
      </c>
      <c r="FS44">
        <v>0</v>
      </c>
      <c r="FX44">
        <v>114</v>
      </c>
      <c r="FY44">
        <v>67</v>
      </c>
      <c r="GA44" t="s">
        <v>6</v>
      </c>
      <c r="GD44">
        <v>0</v>
      </c>
      <c r="GF44">
        <v>422424734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46"/>
        <v>0</v>
      </c>
      <c r="GM44">
        <f t="shared" si="47"/>
        <v>0</v>
      </c>
      <c r="GN44">
        <f t="shared" si="48"/>
        <v>0</v>
      </c>
      <c r="GO44">
        <f t="shared" si="49"/>
        <v>0</v>
      </c>
      <c r="GP44">
        <f t="shared" si="50"/>
        <v>0</v>
      </c>
      <c r="GR44">
        <v>0</v>
      </c>
      <c r="GS44">
        <v>0</v>
      </c>
      <c r="GT44">
        <v>0</v>
      </c>
      <c r="GU44" t="s">
        <v>6</v>
      </c>
      <c r="GV44">
        <f t="shared" si="51"/>
        <v>0</v>
      </c>
      <c r="GW44">
        <v>1</v>
      </c>
      <c r="GX44">
        <f t="shared" si="52"/>
        <v>0</v>
      </c>
      <c r="HA44">
        <v>0</v>
      </c>
      <c r="HB44">
        <v>0</v>
      </c>
      <c r="HC44">
        <f t="shared" si="53"/>
        <v>0</v>
      </c>
      <c r="IK44">
        <v>0</v>
      </c>
    </row>
    <row r="45" spans="1:245" x14ac:dyDescent="0.2">
      <c r="A45">
        <v>17</v>
      </c>
      <c r="B45">
        <v>1</v>
      </c>
      <c r="C45">
        <f>ROW(SmtRes!A43)</f>
        <v>43</v>
      </c>
      <c r="D45">
        <f>ROW(EtalonRes!A41)</f>
        <v>41</v>
      </c>
      <c r="E45" t="s">
        <v>122</v>
      </c>
      <c r="F45" t="s">
        <v>123</v>
      </c>
      <c r="G45" t="s">
        <v>124</v>
      </c>
      <c r="H45" t="s">
        <v>125</v>
      </c>
      <c r="I45">
        <v>0</v>
      </c>
      <c r="J45">
        <v>0</v>
      </c>
      <c r="O45">
        <f t="shared" si="21"/>
        <v>0</v>
      </c>
      <c r="P45">
        <f t="shared" si="22"/>
        <v>0</v>
      </c>
      <c r="Q45">
        <f>(ROUND((ROUND((((ET45*1.15))*AV45*I45),2)*BB45),2)+ROUND((ROUND(((AE45-((EU45*1.15)))*AV45*I45),2)*BS45),2))</f>
        <v>0</v>
      </c>
      <c r="R45">
        <f t="shared" si="23"/>
        <v>0</v>
      </c>
      <c r="S45">
        <f t="shared" si="24"/>
        <v>0</v>
      </c>
      <c r="T45">
        <f t="shared" si="25"/>
        <v>0</v>
      </c>
      <c r="U45">
        <f t="shared" si="26"/>
        <v>0</v>
      </c>
      <c r="V45">
        <f t="shared" si="27"/>
        <v>0</v>
      </c>
      <c r="W45">
        <f t="shared" si="28"/>
        <v>0</v>
      </c>
      <c r="X45">
        <f t="shared" si="29"/>
        <v>0</v>
      </c>
      <c r="Y45">
        <f t="shared" si="30"/>
        <v>0</v>
      </c>
      <c r="AA45">
        <v>44176454</v>
      </c>
      <c r="AB45">
        <f t="shared" si="31"/>
        <v>0.70150000000000001</v>
      </c>
      <c r="AC45">
        <f t="shared" si="32"/>
        <v>0</v>
      </c>
      <c r="AD45">
        <f>ROUND(((((ET45*1.15))-((EU45*1.15)))+AE45),6)</f>
        <v>0</v>
      </c>
      <c r="AE45">
        <f>ROUND(((EU45*1.15)),6)</f>
        <v>0</v>
      </c>
      <c r="AF45">
        <f>ROUND(((EV45*1.15)),6)</f>
        <v>0.70150000000000001</v>
      </c>
      <c r="AG45">
        <f t="shared" si="33"/>
        <v>0</v>
      </c>
      <c r="AH45">
        <f>((EW45*1.15))</f>
        <v>5.7499999999999996E-2</v>
      </c>
      <c r="AI45">
        <f>((EX45*1.15))</f>
        <v>0</v>
      </c>
      <c r="AJ45">
        <f t="shared" si="34"/>
        <v>0</v>
      </c>
      <c r="AK45">
        <v>0.61</v>
      </c>
      <c r="AL45">
        <v>0</v>
      </c>
      <c r="AM45">
        <v>0</v>
      </c>
      <c r="AN45">
        <v>0</v>
      </c>
      <c r="AO45">
        <v>0.61</v>
      </c>
      <c r="AP45">
        <v>0</v>
      </c>
      <c r="AQ45">
        <v>0.05</v>
      </c>
      <c r="AR45">
        <v>0</v>
      </c>
      <c r="AS45">
        <v>0</v>
      </c>
      <c r="AT45">
        <v>92</v>
      </c>
      <c r="AU45">
        <v>41</v>
      </c>
      <c r="AV45">
        <v>1.0669999999999999</v>
      </c>
      <c r="AW45">
        <v>1.081</v>
      </c>
      <c r="AZ45">
        <v>1</v>
      </c>
      <c r="BA45">
        <v>21.43</v>
      </c>
      <c r="BB45">
        <v>1</v>
      </c>
      <c r="BC45">
        <v>1</v>
      </c>
      <c r="BD45" t="s">
        <v>6</v>
      </c>
      <c r="BE45" t="s">
        <v>6</v>
      </c>
      <c r="BF45" t="s">
        <v>6</v>
      </c>
      <c r="BG45" t="s">
        <v>6</v>
      </c>
      <c r="BH45">
        <v>0</v>
      </c>
      <c r="BI45">
        <v>1</v>
      </c>
      <c r="BJ45" t="s">
        <v>126</v>
      </c>
      <c r="BM45">
        <v>236</v>
      </c>
      <c r="BN45">
        <v>0</v>
      </c>
      <c r="BO45" t="s">
        <v>123</v>
      </c>
      <c r="BP45">
        <v>1</v>
      </c>
      <c r="BQ45">
        <v>30</v>
      </c>
      <c r="BR45">
        <v>0</v>
      </c>
      <c r="BS45">
        <v>21.43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6</v>
      </c>
      <c r="BZ45">
        <v>92</v>
      </c>
      <c r="CA45">
        <v>41</v>
      </c>
      <c r="CE45">
        <v>30</v>
      </c>
      <c r="CF45">
        <v>0</v>
      </c>
      <c r="CG45">
        <v>0</v>
      </c>
      <c r="CM45">
        <v>0</v>
      </c>
      <c r="CN45" t="s">
        <v>127</v>
      </c>
      <c r="CO45">
        <v>0</v>
      </c>
      <c r="CP45">
        <f t="shared" si="35"/>
        <v>0</v>
      </c>
      <c r="CQ45">
        <f t="shared" si="36"/>
        <v>0</v>
      </c>
      <c r="CR45">
        <f>(ROUND((ROUND((((ET45*1.15))*AV45*1),2)*BB45),2)+ROUND((ROUND(((AE45-((EU45*1.15)))*AV45*1),2)*BS45),2))</f>
        <v>0</v>
      </c>
      <c r="CS45">
        <f t="shared" si="37"/>
        <v>0</v>
      </c>
      <c r="CT45">
        <f t="shared" si="38"/>
        <v>16.07</v>
      </c>
      <c r="CU45">
        <f t="shared" si="39"/>
        <v>0</v>
      </c>
      <c r="CV45">
        <f t="shared" si="40"/>
        <v>6.135249999999999E-2</v>
      </c>
      <c r="CW45">
        <f t="shared" si="41"/>
        <v>0</v>
      </c>
      <c r="CX45">
        <f t="shared" si="42"/>
        <v>0</v>
      </c>
      <c r="CY45">
        <f t="shared" si="43"/>
        <v>0</v>
      </c>
      <c r="CZ45">
        <f t="shared" si="44"/>
        <v>0</v>
      </c>
      <c r="DC45" t="s">
        <v>6</v>
      </c>
      <c r="DD45" t="s">
        <v>6</v>
      </c>
      <c r="DE45" t="s">
        <v>29</v>
      </c>
      <c r="DF45" t="s">
        <v>29</v>
      </c>
      <c r="DG45" t="s">
        <v>29</v>
      </c>
      <c r="DH45" t="s">
        <v>6</v>
      </c>
      <c r="DI45" t="s">
        <v>29</v>
      </c>
      <c r="DJ45" t="s">
        <v>29</v>
      </c>
      <c r="DK45" t="s">
        <v>6</v>
      </c>
      <c r="DL45" t="s">
        <v>6</v>
      </c>
      <c r="DM45" t="s">
        <v>6</v>
      </c>
      <c r="DN45">
        <v>114</v>
      </c>
      <c r="DO45">
        <v>80</v>
      </c>
      <c r="DP45">
        <v>1.0669999999999999</v>
      </c>
      <c r="DQ45">
        <v>1.081</v>
      </c>
      <c r="DU45">
        <v>1013</v>
      </c>
      <c r="DV45" t="s">
        <v>125</v>
      </c>
      <c r="DW45" t="s">
        <v>125</v>
      </c>
      <c r="DX45">
        <v>1</v>
      </c>
      <c r="EE45">
        <v>44064055</v>
      </c>
      <c r="EF45">
        <v>30</v>
      </c>
      <c r="EG45" t="s">
        <v>23</v>
      </c>
      <c r="EH45">
        <v>0</v>
      </c>
      <c r="EI45" t="s">
        <v>6</v>
      </c>
      <c r="EJ45">
        <v>1</v>
      </c>
      <c r="EK45">
        <v>236</v>
      </c>
      <c r="EL45" t="s">
        <v>128</v>
      </c>
      <c r="EM45" t="s">
        <v>129</v>
      </c>
      <c r="EO45" t="s">
        <v>130</v>
      </c>
      <c r="EQ45">
        <v>131072</v>
      </c>
      <c r="ER45">
        <v>0.61</v>
      </c>
      <c r="ES45">
        <v>0</v>
      </c>
      <c r="ET45">
        <v>0</v>
      </c>
      <c r="EU45">
        <v>0</v>
      </c>
      <c r="EV45">
        <v>0.61</v>
      </c>
      <c r="EW45">
        <v>0.05</v>
      </c>
      <c r="EX45">
        <v>0</v>
      </c>
      <c r="EY45">
        <v>0</v>
      </c>
      <c r="FQ45">
        <v>0</v>
      </c>
      <c r="FR45">
        <f t="shared" si="45"/>
        <v>0</v>
      </c>
      <c r="FS45">
        <v>0</v>
      </c>
      <c r="FX45">
        <v>114</v>
      </c>
      <c r="FY45">
        <v>80</v>
      </c>
      <c r="GA45" t="s">
        <v>6</v>
      </c>
      <c r="GD45">
        <v>0</v>
      </c>
      <c r="GF45">
        <v>1223409048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46"/>
        <v>0</v>
      </c>
      <c r="GM45">
        <f t="shared" si="47"/>
        <v>0</v>
      </c>
      <c r="GN45">
        <f t="shared" si="48"/>
        <v>0</v>
      </c>
      <c r="GO45">
        <f t="shared" si="49"/>
        <v>0</v>
      </c>
      <c r="GP45">
        <f t="shared" si="50"/>
        <v>0</v>
      </c>
      <c r="GR45">
        <v>0</v>
      </c>
      <c r="GS45">
        <v>0</v>
      </c>
      <c r="GT45">
        <v>0</v>
      </c>
      <c r="GU45" t="s">
        <v>6</v>
      </c>
      <c r="GV45">
        <f t="shared" si="51"/>
        <v>0</v>
      </c>
      <c r="GW45">
        <v>1</v>
      </c>
      <c r="GX45">
        <f t="shared" si="52"/>
        <v>0</v>
      </c>
      <c r="HA45">
        <v>0</v>
      </c>
      <c r="HB45">
        <v>0</v>
      </c>
      <c r="HC45">
        <f t="shared" si="53"/>
        <v>0</v>
      </c>
      <c r="IK45">
        <v>0</v>
      </c>
    </row>
    <row r="46" spans="1:245" x14ac:dyDescent="0.2">
      <c r="A46">
        <v>17</v>
      </c>
      <c r="B46">
        <v>1</v>
      </c>
      <c r="C46">
        <f>ROW(SmtRes!A44)</f>
        <v>44</v>
      </c>
      <c r="D46">
        <f>ROW(EtalonRes!A42)</f>
        <v>42</v>
      </c>
      <c r="E46" t="s">
        <v>131</v>
      </c>
      <c r="F46" t="s">
        <v>132</v>
      </c>
      <c r="G46" t="s">
        <v>133</v>
      </c>
      <c r="H46" t="s">
        <v>125</v>
      </c>
      <c r="I46">
        <v>0</v>
      </c>
      <c r="J46">
        <v>0</v>
      </c>
      <c r="O46">
        <f t="shared" si="21"/>
        <v>0</v>
      </c>
      <c r="P46">
        <f t="shared" si="22"/>
        <v>0</v>
      </c>
      <c r="Q46">
        <f t="shared" ref="Q46:Q53" si="56">(ROUND((ROUND(((ET46)*AV46*I46),2)*BB46),2)+ROUND((ROUND(((AE46-(EU46))*AV46*I46),2)*BS46),2))</f>
        <v>0</v>
      </c>
      <c r="R46">
        <f t="shared" si="23"/>
        <v>0</v>
      </c>
      <c r="S46">
        <f t="shared" si="24"/>
        <v>0</v>
      </c>
      <c r="T46">
        <f t="shared" si="25"/>
        <v>0</v>
      </c>
      <c r="U46">
        <f t="shared" si="26"/>
        <v>0</v>
      </c>
      <c r="V46">
        <f t="shared" si="27"/>
        <v>0</v>
      </c>
      <c r="W46">
        <f t="shared" si="28"/>
        <v>0</v>
      </c>
      <c r="X46">
        <f t="shared" si="29"/>
        <v>0</v>
      </c>
      <c r="Y46">
        <f t="shared" si="30"/>
        <v>0</v>
      </c>
      <c r="AA46">
        <v>44176454</v>
      </c>
      <c r="AB46">
        <f t="shared" si="31"/>
        <v>2.0699999999999998</v>
      </c>
      <c r="AC46">
        <f t="shared" si="32"/>
        <v>0</v>
      </c>
      <c r="AD46">
        <f t="shared" ref="AD46:AD53" si="57">ROUND((((ET46)-(EU46))+AE46),6)</f>
        <v>0</v>
      </c>
      <c r="AE46">
        <f t="shared" ref="AE46:AF53" si="58">ROUND((EU46),6)</f>
        <v>0</v>
      </c>
      <c r="AF46">
        <f t="shared" si="58"/>
        <v>2.0699999999999998</v>
      </c>
      <c r="AG46">
        <f t="shared" si="33"/>
        <v>0</v>
      </c>
      <c r="AH46">
        <f t="shared" ref="AH46:AI53" si="59">(EW46)</f>
        <v>0.17</v>
      </c>
      <c r="AI46">
        <f t="shared" si="59"/>
        <v>0</v>
      </c>
      <c r="AJ46">
        <f t="shared" si="34"/>
        <v>0</v>
      </c>
      <c r="AK46">
        <v>2.0699999999999998</v>
      </c>
      <c r="AL46">
        <v>0</v>
      </c>
      <c r="AM46">
        <v>0</v>
      </c>
      <c r="AN46">
        <v>0</v>
      </c>
      <c r="AO46">
        <v>2.0699999999999998</v>
      </c>
      <c r="AP46">
        <v>0</v>
      </c>
      <c r="AQ46">
        <v>0.17</v>
      </c>
      <c r="AR46">
        <v>0</v>
      </c>
      <c r="AS46">
        <v>0</v>
      </c>
      <c r="AT46">
        <v>92</v>
      </c>
      <c r="AU46">
        <v>41</v>
      </c>
      <c r="AV46">
        <v>1.0669999999999999</v>
      </c>
      <c r="AW46">
        <v>1.081</v>
      </c>
      <c r="AZ46">
        <v>1</v>
      </c>
      <c r="BA46">
        <v>21.43</v>
      </c>
      <c r="BB46">
        <v>1</v>
      </c>
      <c r="BC46">
        <v>1</v>
      </c>
      <c r="BD46" t="s">
        <v>6</v>
      </c>
      <c r="BE46" t="s">
        <v>6</v>
      </c>
      <c r="BF46" t="s">
        <v>6</v>
      </c>
      <c r="BG46" t="s">
        <v>6</v>
      </c>
      <c r="BH46">
        <v>0</v>
      </c>
      <c r="BI46">
        <v>1</v>
      </c>
      <c r="BJ46" t="s">
        <v>134</v>
      </c>
      <c r="BM46">
        <v>236</v>
      </c>
      <c r="BN46">
        <v>0</v>
      </c>
      <c r="BO46" t="s">
        <v>132</v>
      </c>
      <c r="BP46">
        <v>1</v>
      </c>
      <c r="BQ46">
        <v>30</v>
      </c>
      <c r="BR46">
        <v>0</v>
      </c>
      <c r="BS46">
        <v>21.43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6</v>
      </c>
      <c r="BZ46">
        <v>92</v>
      </c>
      <c r="CA46">
        <v>41</v>
      </c>
      <c r="CE46">
        <v>30</v>
      </c>
      <c r="CF46">
        <v>0</v>
      </c>
      <c r="CG46">
        <v>0</v>
      </c>
      <c r="CM46">
        <v>0</v>
      </c>
      <c r="CN46" t="s">
        <v>6</v>
      </c>
      <c r="CO46">
        <v>0</v>
      </c>
      <c r="CP46">
        <f t="shared" si="35"/>
        <v>0</v>
      </c>
      <c r="CQ46">
        <f t="shared" si="36"/>
        <v>0</v>
      </c>
      <c r="CR46">
        <f t="shared" ref="CR46:CR53" si="60">(ROUND((ROUND(((ET46)*AV46*1),2)*BB46),2)+ROUND((ROUND(((AE46-(EU46))*AV46*1),2)*BS46),2))</f>
        <v>0</v>
      </c>
      <c r="CS46">
        <f t="shared" si="37"/>
        <v>0</v>
      </c>
      <c r="CT46">
        <f t="shared" si="38"/>
        <v>47.36</v>
      </c>
      <c r="CU46">
        <f t="shared" si="39"/>
        <v>0</v>
      </c>
      <c r="CV46">
        <f t="shared" si="40"/>
        <v>0.18139</v>
      </c>
      <c r="CW46">
        <f t="shared" si="41"/>
        <v>0</v>
      </c>
      <c r="CX46">
        <f t="shared" si="42"/>
        <v>0</v>
      </c>
      <c r="CY46">
        <f t="shared" si="43"/>
        <v>0</v>
      </c>
      <c r="CZ46">
        <f t="shared" si="44"/>
        <v>0</v>
      </c>
      <c r="DC46" t="s">
        <v>6</v>
      </c>
      <c r="DD46" t="s">
        <v>6</v>
      </c>
      <c r="DE46" t="s">
        <v>6</v>
      </c>
      <c r="DF46" t="s">
        <v>6</v>
      </c>
      <c r="DG46" t="s">
        <v>6</v>
      </c>
      <c r="DH46" t="s">
        <v>6</v>
      </c>
      <c r="DI46" t="s">
        <v>6</v>
      </c>
      <c r="DJ46" t="s">
        <v>6</v>
      </c>
      <c r="DK46" t="s">
        <v>6</v>
      </c>
      <c r="DL46" t="s">
        <v>6</v>
      </c>
      <c r="DM46" t="s">
        <v>6</v>
      </c>
      <c r="DN46">
        <v>114</v>
      </c>
      <c r="DO46">
        <v>80</v>
      </c>
      <c r="DP46">
        <v>1.0669999999999999</v>
      </c>
      <c r="DQ46">
        <v>1.081</v>
      </c>
      <c r="DU46">
        <v>1013</v>
      </c>
      <c r="DV46" t="s">
        <v>125</v>
      </c>
      <c r="DW46" t="s">
        <v>125</v>
      </c>
      <c r="DX46">
        <v>1</v>
      </c>
      <c r="EE46">
        <v>44064055</v>
      </c>
      <c r="EF46">
        <v>30</v>
      </c>
      <c r="EG46" t="s">
        <v>23</v>
      </c>
      <c r="EH46">
        <v>0</v>
      </c>
      <c r="EI46" t="s">
        <v>6</v>
      </c>
      <c r="EJ46">
        <v>1</v>
      </c>
      <c r="EK46">
        <v>236</v>
      </c>
      <c r="EL46" t="s">
        <v>128</v>
      </c>
      <c r="EM46" t="s">
        <v>129</v>
      </c>
      <c r="EO46" t="s">
        <v>6</v>
      </c>
      <c r="EQ46">
        <v>131072</v>
      </c>
      <c r="ER46">
        <v>2.0699999999999998</v>
      </c>
      <c r="ES46">
        <v>0</v>
      </c>
      <c r="ET46">
        <v>0</v>
      </c>
      <c r="EU46">
        <v>0</v>
      </c>
      <c r="EV46">
        <v>2.0699999999999998</v>
      </c>
      <c r="EW46">
        <v>0.17</v>
      </c>
      <c r="EX46">
        <v>0</v>
      </c>
      <c r="EY46">
        <v>0</v>
      </c>
      <c r="FQ46">
        <v>0</v>
      </c>
      <c r="FR46">
        <f t="shared" si="45"/>
        <v>0</v>
      </c>
      <c r="FS46">
        <v>0</v>
      </c>
      <c r="FX46">
        <v>114</v>
      </c>
      <c r="FY46">
        <v>80</v>
      </c>
      <c r="GA46" t="s">
        <v>6</v>
      </c>
      <c r="GD46">
        <v>0</v>
      </c>
      <c r="GF46">
        <v>1187392967</v>
      </c>
      <c r="GG46">
        <v>2</v>
      </c>
      <c r="GH46">
        <v>1</v>
      </c>
      <c r="GI46">
        <v>2</v>
      </c>
      <c r="GJ46">
        <v>0</v>
      </c>
      <c r="GK46">
        <f>ROUND(R46*(R12)/100,2)</f>
        <v>0</v>
      </c>
      <c r="GL46">
        <f t="shared" si="46"/>
        <v>0</v>
      </c>
      <c r="GM46">
        <f t="shared" si="47"/>
        <v>0</v>
      </c>
      <c r="GN46">
        <f t="shared" si="48"/>
        <v>0</v>
      </c>
      <c r="GO46">
        <f t="shared" si="49"/>
        <v>0</v>
      </c>
      <c r="GP46">
        <f t="shared" si="50"/>
        <v>0</v>
      </c>
      <c r="GR46">
        <v>0</v>
      </c>
      <c r="GS46">
        <v>0</v>
      </c>
      <c r="GT46">
        <v>0</v>
      </c>
      <c r="GU46" t="s">
        <v>6</v>
      </c>
      <c r="GV46">
        <f t="shared" si="51"/>
        <v>0</v>
      </c>
      <c r="GW46">
        <v>1</v>
      </c>
      <c r="GX46">
        <f t="shared" si="52"/>
        <v>0</v>
      </c>
      <c r="HA46">
        <v>0</v>
      </c>
      <c r="HB46">
        <v>0</v>
      </c>
      <c r="HC46">
        <f t="shared" si="53"/>
        <v>0</v>
      </c>
      <c r="IK46">
        <v>0</v>
      </c>
    </row>
    <row r="47" spans="1:245" x14ac:dyDescent="0.2">
      <c r="A47">
        <v>17</v>
      </c>
      <c r="B47">
        <v>1</v>
      </c>
      <c r="C47">
        <f>ROW(SmtRes!A57)</f>
        <v>57</v>
      </c>
      <c r="D47">
        <f>ROW(EtalonRes!A54)</f>
        <v>54</v>
      </c>
      <c r="E47" t="s">
        <v>135</v>
      </c>
      <c r="F47" t="s">
        <v>136</v>
      </c>
      <c r="G47" t="s">
        <v>137</v>
      </c>
      <c r="H47" t="s">
        <v>138</v>
      </c>
      <c r="I47">
        <v>0</v>
      </c>
      <c r="J47">
        <v>0</v>
      </c>
      <c r="O47">
        <f t="shared" si="21"/>
        <v>0</v>
      </c>
      <c r="P47">
        <f t="shared" si="22"/>
        <v>0</v>
      </c>
      <c r="Q47">
        <f t="shared" si="56"/>
        <v>0</v>
      </c>
      <c r="R47">
        <f t="shared" si="23"/>
        <v>0</v>
      </c>
      <c r="S47">
        <f t="shared" si="24"/>
        <v>0</v>
      </c>
      <c r="T47">
        <f t="shared" si="25"/>
        <v>0</v>
      </c>
      <c r="U47">
        <f t="shared" si="26"/>
        <v>0</v>
      </c>
      <c r="V47">
        <f t="shared" si="27"/>
        <v>0</v>
      </c>
      <c r="W47">
        <f t="shared" si="28"/>
        <v>0</v>
      </c>
      <c r="X47">
        <f t="shared" si="29"/>
        <v>0</v>
      </c>
      <c r="Y47">
        <f t="shared" si="30"/>
        <v>0</v>
      </c>
      <c r="AA47">
        <v>44176454</v>
      </c>
      <c r="AB47">
        <f t="shared" si="31"/>
        <v>1914.85</v>
      </c>
      <c r="AC47">
        <f t="shared" si="32"/>
        <v>136.63999999999999</v>
      </c>
      <c r="AD47">
        <f t="shared" si="57"/>
        <v>326.20999999999998</v>
      </c>
      <c r="AE47">
        <f t="shared" si="58"/>
        <v>32.53</v>
      </c>
      <c r="AF47">
        <f t="shared" si="58"/>
        <v>1452</v>
      </c>
      <c r="AG47">
        <f t="shared" si="33"/>
        <v>0</v>
      </c>
      <c r="AH47">
        <f t="shared" si="59"/>
        <v>110</v>
      </c>
      <c r="AI47">
        <f t="shared" si="59"/>
        <v>0</v>
      </c>
      <c r="AJ47">
        <f t="shared" si="34"/>
        <v>0</v>
      </c>
      <c r="AK47">
        <v>1914.85</v>
      </c>
      <c r="AL47">
        <v>136.63999999999999</v>
      </c>
      <c r="AM47">
        <v>326.20999999999998</v>
      </c>
      <c r="AN47">
        <v>32.53</v>
      </c>
      <c r="AO47">
        <v>1452</v>
      </c>
      <c r="AP47">
        <v>0</v>
      </c>
      <c r="AQ47">
        <v>110</v>
      </c>
      <c r="AR47">
        <v>0</v>
      </c>
      <c r="AS47">
        <v>0</v>
      </c>
      <c r="AT47">
        <v>70</v>
      </c>
      <c r="AU47">
        <v>50</v>
      </c>
      <c r="AV47">
        <v>1.087</v>
      </c>
      <c r="AW47">
        <v>1</v>
      </c>
      <c r="AZ47">
        <v>1</v>
      </c>
      <c r="BA47">
        <v>21.43</v>
      </c>
      <c r="BB47">
        <v>6.76</v>
      </c>
      <c r="BC47">
        <v>12.53</v>
      </c>
      <c r="BD47" t="s">
        <v>6</v>
      </c>
      <c r="BE47" t="s">
        <v>6</v>
      </c>
      <c r="BF47" t="s">
        <v>6</v>
      </c>
      <c r="BG47" t="s">
        <v>6</v>
      </c>
      <c r="BH47">
        <v>0</v>
      </c>
      <c r="BI47">
        <v>1</v>
      </c>
      <c r="BJ47" t="s">
        <v>139</v>
      </c>
      <c r="BM47">
        <v>80</v>
      </c>
      <c r="BN47">
        <v>0</v>
      </c>
      <c r="BO47" t="s">
        <v>136</v>
      </c>
      <c r="BP47">
        <v>1</v>
      </c>
      <c r="BQ47">
        <v>30</v>
      </c>
      <c r="BR47">
        <v>0</v>
      </c>
      <c r="BS47">
        <v>21.43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6</v>
      </c>
      <c r="BZ47">
        <v>70</v>
      </c>
      <c r="CA47">
        <v>50</v>
      </c>
      <c r="CE47">
        <v>30</v>
      </c>
      <c r="CF47">
        <v>0</v>
      </c>
      <c r="CG47">
        <v>0</v>
      </c>
      <c r="CM47">
        <v>0</v>
      </c>
      <c r="CN47" t="s">
        <v>6</v>
      </c>
      <c r="CO47">
        <v>0</v>
      </c>
      <c r="CP47">
        <f t="shared" si="35"/>
        <v>0</v>
      </c>
      <c r="CQ47">
        <f t="shared" si="36"/>
        <v>1712.1</v>
      </c>
      <c r="CR47">
        <f t="shared" si="60"/>
        <v>2397.0300000000002</v>
      </c>
      <c r="CS47">
        <f t="shared" si="37"/>
        <v>757.76</v>
      </c>
      <c r="CT47">
        <f t="shared" si="38"/>
        <v>33823.4</v>
      </c>
      <c r="CU47">
        <f t="shared" si="39"/>
        <v>0</v>
      </c>
      <c r="CV47">
        <f t="shared" si="40"/>
        <v>119.57</v>
      </c>
      <c r="CW47">
        <f t="shared" si="41"/>
        <v>0</v>
      </c>
      <c r="CX47">
        <f t="shared" si="42"/>
        <v>0</v>
      </c>
      <c r="CY47">
        <f t="shared" si="43"/>
        <v>0</v>
      </c>
      <c r="CZ47">
        <f t="shared" si="44"/>
        <v>0</v>
      </c>
      <c r="DC47" t="s">
        <v>6</v>
      </c>
      <c r="DD47" t="s">
        <v>6</v>
      </c>
      <c r="DE47" t="s">
        <v>6</v>
      </c>
      <c r="DF47" t="s">
        <v>6</v>
      </c>
      <c r="DG47" t="s">
        <v>6</v>
      </c>
      <c r="DH47" t="s">
        <v>6</v>
      </c>
      <c r="DI47" t="s">
        <v>6</v>
      </c>
      <c r="DJ47" t="s">
        <v>6</v>
      </c>
      <c r="DK47" t="s">
        <v>6</v>
      </c>
      <c r="DL47" t="s">
        <v>6</v>
      </c>
      <c r="DM47" t="s">
        <v>6</v>
      </c>
      <c r="DN47">
        <v>87</v>
      </c>
      <c r="DO47">
        <v>105</v>
      </c>
      <c r="DP47">
        <v>1.087</v>
      </c>
      <c r="DQ47">
        <v>1</v>
      </c>
      <c r="DU47">
        <v>1013</v>
      </c>
      <c r="DV47" t="s">
        <v>138</v>
      </c>
      <c r="DW47" t="s">
        <v>138</v>
      </c>
      <c r="DX47">
        <v>1</v>
      </c>
      <c r="EE47">
        <v>44063845</v>
      </c>
      <c r="EF47">
        <v>30</v>
      </c>
      <c r="EG47" t="s">
        <v>23</v>
      </c>
      <c r="EH47">
        <v>0</v>
      </c>
      <c r="EI47" t="s">
        <v>6</v>
      </c>
      <c r="EJ47">
        <v>1</v>
      </c>
      <c r="EK47">
        <v>80</v>
      </c>
      <c r="EL47" t="s">
        <v>140</v>
      </c>
      <c r="EM47" t="s">
        <v>141</v>
      </c>
      <c r="EO47" t="s">
        <v>6</v>
      </c>
      <c r="EQ47">
        <v>131072</v>
      </c>
      <c r="ER47">
        <v>1914.85</v>
      </c>
      <c r="ES47">
        <v>136.63999999999999</v>
      </c>
      <c r="ET47">
        <v>326.20999999999998</v>
      </c>
      <c r="EU47">
        <v>32.53</v>
      </c>
      <c r="EV47">
        <v>1452</v>
      </c>
      <c r="EW47">
        <v>110</v>
      </c>
      <c r="EX47">
        <v>0</v>
      </c>
      <c r="EY47">
        <v>0</v>
      </c>
      <c r="FQ47">
        <v>0</v>
      </c>
      <c r="FR47">
        <f t="shared" si="45"/>
        <v>0</v>
      </c>
      <c r="FS47">
        <v>0</v>
      </c>
      <c r="FX47">
        <v>87</v>
      </c>
      <c r="FY47">
        <v>105</v>
      </c>
      <c r="GA47" t="s">
        <v>6</v>
      </c>
      <c r="GD47">
        <v>0</v>
      </c>
      <c r="GF47">
        <v>-1412066449</v>
      </c>
      <c r="GG47">
        <v>2</v>
      </c>
      <c r="GH47">
        <v>1</v>
      </c>
      <c r="GI47">
        <v>2</v>
      </c>
      <c r="GJ47">
        <v>0</v>
      </c>
      <c r="GK47">
        <f>ROUND(R47*(R12)/100,2)</f>
        <v>0</v>
      </c>
      <c r="GL47">
        <f t="shared" si="46"/>
        <v>0</v>
      </c>
      <c r="GM47">
        <f t="shared" si="47"/>
        <v>0</v>
      </c>
      <c r="GN47">
        <f t="shared" si="48"/>
        <v>0</v>
      </c>
      <c r="GO47">
        <f t="shared" si="49"/>
        <v>0</v>
      </c>
      <c r="GP47">
        <f t="shared" si="50"/>
        <v>0</v>
      </c>
      <c r="GR47">
        <v>0</v>
      </c>
      <c r="GS47">
        <v>0</v>
      </c>
      <c r="GT47">
        <v>0</v>
      </c>
      <c r="GU47" t="s">
        <v>6</v>
      </c>
      <c r="GV47">
        <f t="shared" si="51"/>
        <v>0</v>
      </c>
      <c r="GW47">
        <v>1</v>
      </c>
      <c r="GX47">
        <f t="shared" si="52"/>
        <v>0</v>
      </c>
      <c r="HA47">
        <v>0</v>
      </c>
      <c r="HB47">
        <v>0</v>
      </c>
      <c r="HC47">
        <f t="shared" si="53"/>
        <v>0</v>
      </c>
      <c r="IK47">
        <v>0</v>
      </c>
    </row>
    <row r="48" spans="1:245" x14ac:dyDescent="0.2">
      <c r="A48">
        <v>18</v>
      </c>
      <c r="B48">
        <v>1</v>
      </c>
      <c r="C48">
        <v>57</v>
      </c>
      <c r="E48" t="s">
        <v>142</v>
      </c>
      <c r="F48" t="s">
        <v>143</v>
      </c>
      <c r="G48" t="s">
        <v>144</v>
      </c>
      <c r="H48" t="s">
        <v>70</v>
      </c>
      <c r="I48">
        <f>I47*J48</f>
        <v>0</v>
      </c>
      <c r="J48">
        <v>0.2</v>
      </c>
      <c r="O48">
        <f t="shared" si="21"/>
        <v>0</v>
      </c>
      <c r="P48">
        <f t="shared" si="22"/>
        <v>0</v>
      </c>
      <c r="Q48">
        <f t="shared" si="56"/>
        <v>0</v>
      </c>
      <c r="R48">
        <f t="shared" si="23"/>
        <v>0</v>
      </c>
      <c r="S48">
        <f t="shared" si="24"/>
        <v>0</v>
      </c>
      <c r="T48">
        <f t="shared" si="25"/>
        <v>0</v>
      </c>
      <c r="U48">
        <f t="shared" si="26"/>
        <v>0</v>
      </c>
      <c r="V48">
        <f t="shared" si="27"/>
        <v>0</v>
      </c>
      <c r="W48">
        <f t="shared" si="28"/>
        <v>0</v>
      </c>
      <c r="X48">
        <f t="shared" si="29"/>
        <v>0</v>
      </c>
      <c r="Y48">
        <f t="shared" si="30"/>
        <v>0</v>
      </c>
      <c r="AA48">
        <v>44176454</v>
      </c>
      <c r="AB48">
        <f t="shared" si="31"/>
        <v>5.67</v>
      </c>
      <c r="AC48">
        <f t="shared" si="32"/>
        <v>5.67</v>
      </c>
      <c r="AD48">
        <f t="shared" si="57"/>
        <v>0</v>
      </c>
      <c r="AE48">
        <f t="shared" si="58"/>
        <v>0</v>
      </c>
      <c r="AF48">
        <f t="shared" si="58"/>
        <v>0</v>
      </c>
      <c r="AG48">
        <f t="shared" si="33"/>
        <v>0</v>
      </c>
      <c r="AH48">
        <f t="shared" si="59"/>
        <v>0</v>
      </c>
      <c r="AI48">
        <f t="shared" si="59"/>
        <v>0</v>
      </c>
      <c r="AJ48">
        <f t="shared" si="34"/>
        <v>0</v>
      </c>
      <c r="AK48">
        <v>5.67</v>
      </c>
      <c r="AL48">
        <v>5.67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11.9</v>
      </c>
      <c r="BD48" t="s">
        <v>6</v>
      </c>
      <c r="BE48" t="s">
        <v>6</v>
      </c>
      <c r="BF48" t="s">
        <v>6</v>
      </c>
      <c r="BG48" t="s">
        <v>6</v>
      </c>
      <c r="BH48">
        <v>3</v>
      </c>
      <c r="BI48">
        <v>1</v>
      </c>
      <c r="BJ48" t="s">
        <v>145</v>
      </c>
      <c r="BM48">
        <v>80</v>
      </c>
      <c r="BN48">
        <v>0</v>
      </c>
      <c r="BO48" t="s">
        <v>143</v>
      </c>
      <c r="BP48">
        <v>1</v>
      </c>
      <c r="BQ48">
        <v>30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6</v>
      </c>
      <c r="BZ48">
        <v>0</v>
      </c>
      <c r="CA48">
        <v>0</v>
      </c>
      <c r="CE48">
        <v>30</v>
      </c>
      <c r="CF48">
        <v>0</v>
      </c>
      <c r="CG48">
        <v>0</v>
      </c>
      <c r="CM48">
        <v>0</v>
      </c>
      <c r="CN48" t="s">
        <v>6</v>
      </c>
      <c r="CO48">
        <v>0</v>
      </c>
      <c r="CP48">
        <f t="shared" si="35"/>
        <v>0</v>
      </c>
      <c r="CQ48">
        <f t="shared" si="36"/>
        <v>67.47</v>
      </c>
      <c r="CR48">
        <f t="shared" si="60"/>
        <v>0</v>
      </c>
      <c r="CS48">
        <f t="shared" si="37"/>
        <v>0</v>
      </c>
      <c r="CT48">
        <f t="shared" si="38"/>
        <v>0</v>
      </c>
      <c r="CU48">
        <f t="shared" si="39"/>
        <v>0</v>
      </c>
      <c r="CV48">
        <f t="shared" si="40"/>
        <v>0</v>
      </c>
      <c r="CW48">
        <f t="shared" si="41"/>
        <v>0</v>
      </c>
      <c r="CX48">
        <f t="shared" si="42"/>
        <v>0</v>
      </c>
      <c r="CY48">
        <f t="shared" si="43"/>
        <v>0</v>
      </c>
      <c r="CZ48">
        <f t="shared" si="44"/>
        <v>0</v>
      </c>
      <c r="DC48" t="s">
        <v>6</v>
      </c>
      <c r="DD48" t="s">
        <v>6</v>
      </c>
      <c r="DE48" t="s">
        <v>6</v>
      </c>
      <c r="DF48" t="s">
        <v>6</v>
      </c>
      <c r="DG48" t="s">
        <v>6</v>
      </c>
      <c r="DH48" t="s">
        <v>6</v>
      </c>
      <c r="DI48" t="s">
        <v>6</v>
      </c>
      <c r="DJ48" t="s">
        <v>6</v>
      </c>
      <c r="DK48" t="s">
        <v>6</v>
      </c>
      <c r="DL48" t="s">
        <v>6</v>
      </c>
      <c r="DM48" t="s">
        <v>6</v>
      </c>
      <c r="DN48">
        <v>87</v>
      </c>
      <c r="DO48">
        <v>105</v>
      </c>
      <c r="DP48">
        <v>1.087</v>
      </c>
      <c r="DQ48">
        <v>1</v>
      </c>
      <c r="DU48">
        <v>1007</v>
      </c>
      <c r="DV48" t="s">
        <v>70</v>
      </c>
      <c r="DW48" t="s">
        <v>70</v>
      </c>
      <c r="DX48">
        <v>1</v>
      </c>
      <c r="EE48">
        <v>44063845</v>
      </c>
      <c r="EF48">
        <v>30</v>
      </c>
      <c r="EG48" t="s">
        <v>23</v>
      </c>
      <c r="EH48">
        <v>0</v>
      </c>
      <c r="EI48" t="s">
        <v>6</v>
      </c>
      <c r="EJ48">
        <v>1</v>
      </c>
      <c r="EK48">
        <v>80</v>
      </c>
      <c r="EL48" t="s">
        <v>140</v>
      </c>
      <c r="EM48" t="s">
        <v>141</v>
      </c>
      <c r="EO48" t="s">
        <v>6</v>
      </c>
      <c r="EQ48">
        <v>0</v>
      </c>
      <c r="ER48">
        <v>5.67</v>
      </c>
      <c r="ES48">
        <v>5.67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45"/>
        <v>0</v>
      </c>
      <c r="FS48">
        <v>0</v>
      </c>
      <c r="FX48">
        <v>87</v>
      </c>
      <c r="FY48">
        <v>105</v>
      </c>
      <c r="GA48" t="s">
        <v>6</v>
      </c>
      <c r="GD48">
        <v>0</v>
      </c>
      <c r="GF48">
        <v>138241181</v>
      </c>
      <c r="GG48">
        <v>2</v>
      </c>
      <c r="GH48">
        <v>1</v>
      </c>
      <c r="GI48">
        <v>2</v>
      </c>
      <c r="GJ48">
        <v>0</v>
      </c>
      <c r="GK48">
        <f>ROUND(R48*(R12)/100,2)</f>
        <v>0</v>
      </c>
      <c r="GL48">
        <f t="shared" si="46"/>
        <v>0</v>
      </c>
      <c r="GM48">
        <f t="shared" si="47"/>
        <v>0</v>
      </c>
      <c r="GN48">
        <f t="shared" si="48"/>
        <v>0</v>
      </c>
      <c r="GO48">
        <f t="shared" si="49"/>
        <v>0</v>
      </c>
      <c r="GP48">
        <f t="shared" si="50"/>
        <v>0</v>
      </c>
      <c r="GR48">
        <v>0</v>
      </c>
      <c r="GS48">
        <v>0</v>
      </c>
      <c r="GT48">
        <v>0</v>
      </c>
      <c r="GU48" t="s">
        <v>6</v>
      </c>
      <c r="GV48">
        <f t="shared" si="51"/>
        <v>0</v>
      </c>
      <c r="GW48">
        <v>1</v>
      </c>
      <c r="GX48">
        <f t="shared" si="52"/>
        <v>0</v>
      </c>
      <c r="HA48">
        <v>0</v>
      </c>
      <c r="HB48">
        <v>0</v>
      </c>
      <c r="HC48">
        <f t="shared" si="53"/>
        <v>0</v>
      </c>
      <c r="IK48">
        <v>0</v>
      </c>
    </row>
    <row r="49" spans="1:245" x14ac:dyDescent="0.2">
      <c r="A49">
        <v>18</v>
      </c>
      <c r="B49">
        <v>1</v>
      </c>
      <c r="C49">
        <v>54</v>
      </c>
      <c r="E49" t="s">
        <v>146</v>
      </c>
      <c r="F49" t="s">
        <v>147</v>
      </c>
      <c r="G49" t="s">
        <v>148</v>
      </c>
      <c r="H49" t="s">
        <v>75</v>
      </c>
      <c r="I49">
        <f>I47*J49</f>
        <v>0</v>
      </c>
      <c r="J49">
        <v>0.786269</v>
      </c>
      <c r="O49">
        <f t="shared" si="21"/>
        <v>0</v>
      </c>
      <c r="P49">
        <f t="shared" si="22"/>
        <v>0</v>
      </c>
      <c r="Q49">
        <f t="shared" si="56"/>
        <v>0</v>
      </c>
      <c r="R49">
        <f t="shared" si="23"/>
        <v>0</v>
      </c>
      <c r="S49">
        <f t="shared" si="24"/>
        <v>0</v>
      </c>
      <c r="T49">
        <f t="shared" si="25"/>
        <v>0</v>
      </c>
      <c r="U49">
        <f t="shared" si="26"/>
        <v>0</v>
      </c>
      <c r="V49">
        <f t="shared" si="27"/>
        <v>0</v>
      </c>
      <c r="W49">
        <f t="shared" si="28"/>
        <v>0</v>
      </c>
      <c r="X49">
        <f t="shared" si="29"/>
        <v>0</v>
      </c>
      <c r="Y49">
        <f t="shared" si="30"/>
        <v>0</v>
      </c>
      <c r="AA49">
        <v>44176454</v>
      </c>
      <c r="AB49">
        <f t="shared" si="31"/>
        <v>7879.13</v>
      </c>
      <c r="AC49">
        <f t="shared" si="32"/>
        <v>7879.13</v>
      </c>
      <c r="AD49">
        <f t="shared" si="57"/>
        <v>0</v>
      </c>
      <c r="AE49">
        <f t="shared" si="58"/>
        <v>0</v>
      </c>
      <c r="AF49">
        <f t="shared" si="58"/>
        <v>0</v>
      </c>
      <c r="AG49">
        <f t="shared" si="33"/>
        <v>0</v>
      </c>
      <c r="AH49">
        <f t="shared" si="59"/>
        <v>0</v>
      </c>
      <c r="AI49">
        <f t="shared" si="59"/>
        <v>0</v>
      </c>
      <c r="AJ49">
        <f t="shared" si="34"/>
        <v>0</v>
      </c>
      <c r="AK49">
        <v>7879.13</v>
      </c>
      <c r="AL49">
        <v>7879.13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3.09</v>
      </c>
      <c r="BD49" t="s">
        <v>6</v>
      </c>
      <c r="BE49" t="s">
        <v>6</v>
      </c>
      <c r="BF49" t="s">
        <v>6</v>
      </c>
      <c r="BG49" t="s">
        <v>6</v>
      </c>
      <c r="BH49">
        <v>3</v>
      </c>
      <c r="BI49">
        <v>1</v>
      </c>
      <c r="BJ49" t="s">
        <v>149</v>
      </c>
      <c r="BM49">
        <v>80</v>
      </c>
      <c r="BN49">
        <v>0</v>
      </c>
      <c r="BO49" t="s">
        <v>147</v>
      </c>
      <c r="BP49">
        <v>1</v>
      </c>
      <c r="BQ49">
        <v>30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6</v>
      </c>
      <c r="BZ49">
        <v>0</v>
      </c>
      <c r="CA49">
        <v>0</v>
      </c>
      <c r="CE49">
        <v>30</v>
      </c>
      <c r="CF49">
        <v>0</v>
      </c>
      <c r="CG49">
        <v>0</v>
      </c>
      <c r="CM49">
        <v>0</v>
      </c>
      <c r="CN49" t="s">
        <v>6</v>
      </c>
      <c r="CO49">
        <v>0</v>
      </c>
      <c r="CP49">
        <f t="shared" si="35"/>
        <v>0</v>
      </c>
      <c r="CQ49">
        <f t="shared" si="36"/>
        <v>24346.51</v>
      </c>
      <c r="CR49">
        <f t="shared" si="60"/>
        <v>0</v>
      </c>
      <c r="CS49">
        <f t="shared" si="37"/>
        <v>0</v>
      </c>
      <c r="CT49">
        <f t="shared" si="38"/>
        <v>0</v>
      </c>
      <c r="CU49">
        <f t="shared" si="39"/>
        <v>0</v>
      </c>
      <c r="CV49">
        <f t="shared" si="40"/>
        <v>0</v>
      </c>
      <c r="CW49">
        <f t="shared" si="41"/>
        <v>0</v>
      </c>
      <c r="CX49">
        <f t="shared" si="42"/>
        <v>0</v>
      </c>
      <c r="CY49">
        <f t="shared" si="43"/>
        <v>0</v>
      </c>
      <c r="CZ49">
        <f t="shared" si="44"/>
        <v>0</v>
      </c>
      <c r="DC49" t="s">
        <v>6</v>
      </c>
      <c r="DD49" t="s">
        <v>6</v>
      </c>
      <c r="DE49" t="s">
        <v>6</v>
      </c>
      <c r="DF49" t="s">
        <v>6</v>
      </c>
      <c r="DG49" t="s">
        <v>6</v>
      </c>
      <c r="DH49" t="s">
        <v>6</v>
      </c>
      <c r="DI49" t="s">
        <v>6</v>
      </c>
      <c r="DJ49" t="s">
        <v>6</v>
      </c>
      <c r="DK49" t="s">
        <v>6</v>
      </c>
      <c r="DL49" t="s">
        <v>6</v>
      </c>
      <c r="DM49" t="s">
        <v>6</v>
      </c>
      <c r="DN49">
        <v>87</v>
      </c>
      <c r="DO49">
        <v>105</v>
      </c>
      <c r="DP49">
        <v>1.087</v>
      </c>
      <c r="DQ49">
        <v>1</v>
      </c>
      <c r="DU49">
        <v>1009</v>
      </c>
      <c r="DV49" t="s">
        <v>75</v>
      </c>
      <c r="DW49" t="s">
        <v>75</v>
      </c>
      <c r="DX49">
        <v>1000</v>
      </c>
      <c r="EE49">
        <v>44063845</v>
      </c>
      <c r="EF49">
        <v>30</v>
      </c>
      <c r="EG49" t="s">
        <v>23</v>
      </c>
      <c r="EH49">
        <v>0</v>
      </c>
      <c r="EI49" t="s">
        <v>6</v>
      </c>
      <c r="EJ49">
        <v>1</v>
      </c>
      <c r="EK49">
        <v>80</v>
      </c>
      <c r="EL49" t="s">
        <v>140</v>
      </c>
      <c r="EM49" t="s">
        <v>141</v>
      </c>
      <c r="EO49" t="s">
        <v>6</v>
      </c>
      <c r="EQ49">
        <v>0</v>
      </c>
      <c r="ER49">
        <v>7879.13</v>
      </c>
      <c r="ES49">
        <v>7879.13</v>
      </c>
      <c r="ET49">
        <v>0</v>
      </c>
      <c r="EU49">
        <v>0</v>
      </c>
      <c r="EV49">
        <v>0</v>
      </c>
      <c r="EW49">
        <v>0</v>
      </c>
      <c r="EX49">
        <v>0</v>
      </c>
      <c r="FQ49">
        <v>0</v>
      </c>
      <c r="FR49">
        <f t="shared" si="45"/>
        <v>0</v>
      </c>
      <c r="FS49">
        <v>0</v>
      </c>
      <c r="FX49">
        <v>87</v>
      </c>
      <c r="FY49">
        <v>105</v>
      </c>
      <c r="GA49" t="s">
        <v>6</v>
      </c>
      <c r="GD49">
        <v>0</v>
      </c>
      <c r="GF49">
        <v>-1357529113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46"/>
        <v>0</v>
      </c>
      <c r="GM49">
        <f t="shared" si="47"/>
        <v>0</v>
      </c>
      <c r="GN49">
        <f t="shared" si="48"/>
        <v>0</v>
      </c>
      <c r="GO49">
        <f t="shared" si="49"/>
        <v>0</v>
      </c>
      <c r="GP49">
        <f t="shared" si="50"/>
        <v>0</v>
      </c>
      <c r="GR49">
        <v>0</v>
      </c>
      <c r="GS49">
        <v>0</v>
      </c>
      <c r="GT49">
        <v>0</v>
      </c>
      <c r="GU49" t="s">
        <v>6</v>
      </c>
      <c r="GV49">
        <f t="shared" si="51"/>
        <v>0</v>
      </c>
      <c r="GW49">
        <v>1</v>
      </c>
      <c r="GX49">
        <f t="shared" si="52"/>
        <v>0</v>
      </c>
      <c r="HA49">
        <v>0</v>
      </c>
      <c r="HB49">
        <v>0</v>
      </c>
      <c r="HC49">
        <f t="shared" si="53"/>
        <v>0</v>
      </c>
      <c r="IK49">
        <v>0</v>
      </c>
    </row>
    <row r="50" spans="1:245" x14ac:dyDescent="0.2">
      <c r="A50">
        <v>18</v>
      </c>
      <c r="B50">
        <v>1</v>
      </c>
      <c r="C50">
        <v>53</v>
      </c>
      <c r="E50" t="s">
        <v>150</v>
      </c>
      <c r="F50" t="s">
        <v>151</v>
      </c>
      <c r="G50" t="s">
        <v>152</v>
      </c>
      <c r="H50" t="s">
        <v>75</v>
      </c>
      <c r="I50">
        <f>I47*J50</f>
        <v>0</v>
      </c>
      <c r="J50">
        <v>0.273731</v>
      </c>
      <c r="O50">
        <f t="shared" si="21"/>
        <v>0</v>
      </c>
      <c r="P50">
        <f t="shared" si="22"/>
        <v>0</v>
      </c>
      <c r="Q50">
        <f t="shared" si="56"/>
        <v>0</v>
      </c>
      <c r="R50">
        <f t="shared" si="23"/>
        <v>0</v>
      </c>
      <c r="S50">
        <f t="shared" si="24"/>
        <v>0</v>
      </c>
      <c r="T50">
        <f t="shared" si="25"/>
        <v>0</v>
      </c>
      <c r="U50">
        <f t="shared" si="26"/>
        <v>0</v>
      </c>
      <c r="V50">
        <f t="shared" si="27"/>
        <v>0</v>
      </c>
      <c r="W50">
        <f t="shared" si="28"/>
        <v>0</v>
      </c>
      <c r="X50">
        <f t="shared" si="29"/>
        <v>0</v>
      </c>
      <c r="Y50">
        <f t="shared" si="30"/>
        <v>0</v>
      </c>
      <c r="AA50">
        <v>44176454</v>
      </c>
      <c r="AB50">
        <f t="shared" si="31"/>
        <v>7254.88</v>
      </c>
      <c r="AC50">
        <f t="shared" si="32"/>
        <v>7254.88</v>
      </c>
      <c r="AD50">
        <f t="shared" si="57"/>
        <v>0</v>
      </c>
      <c r="AE50">
        <f t="shared" si="58"/>
        <v>0</v>
      </c>
      <c r="AF50">
        <f t="shared" si="58"/>
        <v>0</v>
      </c>
      <c r="AG50">
        <f t="shared" si="33"/>
        <v>0</v>
      </c>
      <c r="AH50">
        <f t="shared" si="59"/>
        <v>0</v>
      </c>
      <c r="AI50">
        <f t="shared" si="59"/>
        <v>0</v>
      </c>
      <c r="AJ50">
        <f t="shared" si="34"/>
        <v>0</v>
      </c>
      <c r="AK50">
        <v>7254.88</v>
      </c>
      <c r="AL50">
        <v>7254.88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5.8</v>
      </c>
      <c r="BD50" t="s">
        <v>6</v>
      </c>
      <c r="BE50" t="s">
        <v>6</v>
      </c>
      <c r="BF50" t="s">
        <v>6</v>
      </c>
      <c r="BG50" t="s">
        <v>6</v>
      </c>
      <c r="BH50">
        <v>3</v>
      </c>
      <c r="BI50">
        <v>1</v>
      </c>
      <c r="BJ50" t="s">
        <v>153</v>
      </c>
      <c r="BM50">
        <v>80</v>
      </c>
      <c r="BN50">
        <v>0</v>
      </c>
      <c r="BO50" t="s">
        <v>151</v>
      </c>
      <c r="BP50">
        <v>1</v>
      </c>
      <c r="BQ50">
        <v>30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6</v>
      </c>
      <c r="BZ50">
        <v>0</v>
      </c>
      <c r="CA50">
        <v>0</v>
      </c>
      <c r="CE50">
        <v>30</v>
      </c>
      <c r="CF50">
        <v>0</v>
      </c>
      <c r="CG50">
        <v>0</v>
      </c>
      <c r="CM50">
        <v>0</v>
      </c>
      <c r="CN50" t="s">
        <v>6</v>
      </c>
      <c r="CO50">
        <v>0</v>
      </c>
      <c r="CP50">
        <f t="shared" si="35"/>
        <v>0</v>
      </c>
      <c r="CQ50">
        <f t="shared" si="36"/>
        <v>42078.3</v>
      </c>
      <c r="CR50">
        <f t="shared" si="60"/>
        <v>0</v>
      </c>
      <c r="CS50">
        <f t="shared" si="37"/>
        <v>0</v>
      </c>
      <c r="CT50">
        <f t="shared" si="38"/>
        <v>0</v>
      </c>
      <c r="CU50">
        <f t="shared" si="39"/>
        <v>0</v>
      </c>
      <c r="CV50">
        <f t="shared" si="40"/>
        <v>0</v>
      </c>
      <c r="CW50">
        <f t="shared" si="41"/>
        <v>0</v>
      </c>
      <c r="CX50">
        <f t="shared" si="42"/>
        <v>0</v>
      </c>
      <c r="CY50">
        <f t="shared" si="43"/>
        <v>0</v>
      </c>
      <c r="CZ50">
        <f t="shared" si="44"/>
        <v>0</v>
      </c>
      <c r="DC50" t="s">
        <v>6</v>
      </c>
      <c r="DD50" t="s">
        <v>6</v>
      </c>
      <c r="DE50" t="s">
        <v>6</v>
      </c>
      <c r="DF50" t="s">
        <v>6</v>
      </c>
      <c r="DG50" t="s">
        <v>6</v>
      </c>
      <c r="DH50" t="s">
        <v>6</v>
      </c>
      <c r="DI50" t="s">
        <v>6</v>
      </c>
      <c r="DJ50" t="s">
        <v>6</v>
      </c>
      <c r="DK50" t="s">
        <v>6</v>
      </c>
      <c r="DL50" t="s">
        <v>6</v>
      </c>
      <c r="DM50" t="s">
        <v>6</v>
      </c>
      <c r="DN50">
        <v>87</v>
      </c>
      <c r="DO50">
        <v>105</v>
      </c>
      <c r="DP50">
        <v>1.087</v>
      </c>
      <c r="DQ50">
        <v>1</v>
      </c>
      <c r="DU50">
        <v>1009</v>
      </c>
      <c r="DV50" t="s">
        <v>75</v>
      </c>
      <c r="DW50" t="s">
        <v>75</v>
      </c>
      <c r="DX50">
        <v>1000</v>
      </c>
      <c r="EE50">
        <v>44063845</v>
      </c>
      <c r="EF50">
        <v>30</v>
      </c>
      <c r="EG50" t="s">
        <v>23</v>
      </c>
      <c r="EH50">
        <v>0</v>
      </c>
      <c r="EI50" t="s">
        <v>6</v>
      </c>
      <c r="EJ50">
        <v>1</v>
      </c>
      <c r="EK50">
        <v>80</v>
      </c>
      <c r="EL50" t="s">
        <v>140</v>
      </c>
      <c r="EM50" t="s">
        <v>141</v>
      </c>
      <c r="EO50" t="s">
        <v>6</v>
      </c>
      <c r="EQ50">
        <v>0</v>
      </c>
      <c r="ER50">
        <v>7254.88</v>
      </c>
      <c r="ES50">
        <v>7254.88</v>
      </c>
      <c r="ET50">
        <v>0</v>
      </c>
      <c r="EU50">
        <v>0</v>
      </c>
      <c r="EV50">
        <v>0</v>
      </c>
      <c r="EW50">
        <v>0</v>
      </c>
      <c r="EX50">
        <v>0</v>
      </c>
      <c r="FQ50">
        <v>0</v>
      </c>
      <c r="FR50">
        <f t="shared" si="45"/>
        <v>0</v>
      </c>
      <c r="FS50">
        <v>0</v>
      </c>
      <c r="FX50">
        <v>87</v>
      </c>
      <c r="FY50">
        <v>105</v>
      </c>
      <c r="GA50" t="s">
        <v>6</v>
      </c>
      <c r="GD50">
        <v>0</v>
      </c>
      <c r="GF50">
        <v>783842418</v>
      </c>
      <c r="GG50">
        <v>2</v>
      </c>
      <c r="GH50">
        <v>1</v>
      </c>
      <c r="GI50">
        <v>2</v>
      </c>
      <c r="GJ50">
        <v>0</v>
      </c>
      <c r="GK50">
        <f>ROUND(R50*(R12)/100,2)</f>
        <v>0</v>
      </c>
      <c r="GL50">
        <f t="shared" si="46"/>
        <v>0</v>
      </c>
      <c r="GM50">
        <f t="shared" si="47"/>
        <v>0</v>
      </c>
      <c r="GN50">
        <f t="shared" si="48"/>
        <v>0</v>
      </c>
      <c r="GO50">
        <f t="shared" si="49"/>
        <v>0</v>
      </c>
      <c r="GP50">
        <f t="shared" si="50"/>
        <v>0</v>
      </c>
      <c r="GR50">
        <v>0</v>
      </c>
      <c r="GS50">
        <v>0</v>
      </c>
      <c r="GT50">
        <v>0</v>
      </c>
      <c r="GU50" t="s">
        <v>6</v>
      </c>
      <c r="GV50">
        <f t="shared" si="51"/>
        <v>0</v>
      </c>
      <c r="GW50">
        <v>1</v>
      </c>
      <c r="GX50">
        <f t="shared" si="52"/>
        <v>0</v>
      </c>
      <c r="HA50">
        <v>0</v>
      </c>
      <c r="HB50">
        <v>0</v>
      </c>
      <c r="HC50">
        <f t="shared" si="53"/>
        <v>0</v>
      </c>
      <c r="IK50">
        <v>0</v>
      </c>
    </row>
    <row r="51" spans="1:245" x14ac:dyDescent="0.2">
      <c r="A51">
        <v>18</v>
      </c>
      <c r="B51">
        <v>1</v>
      </c>
      <c r="C51">
        <v>56</v>
      </c>
      <c r="E51" t="s">
        <v>154</v>
      </c>
      <c r="F51" t="s">
        <v>155</v>
      </c>
      <c r="G51" t="s">
        <v>156</v>
      </c>
      <c r="H51" t="s">
        <v>70</v>
      </c>
      <c r="I51">
        <f>I47*J51</f>
        <v>0</v>
      </c>
      <c r="J51">
        <v>0.6</v>
      </c>
      <c r="O51">
        <f t="shared" si="21"/>
        <v>0</v>
      </c>
      <c r="P51">
        <f t="shared" si="22"/>
        <v>0</v>
      </c>
      <c r="Q51">
        <f t="shared" si="56"/>
        <v>0</v>
      </c>
      <c r="R51">
        <f t="shared" si="23"/>
        <v>0</v>
      </c>
      <c r="S51">
        <f t="shared" si="24"/>
        <v>0</v>
      </c>
      <c r="T51">
        <f t="shared" si="25"/>
        <v>0</v>
      </c>
      <c r="U51">
        <f t="shared" si="26"/>
        <v>0</v>
      </c>
      <c r="V51">
        <f t="shared" si="27"/>
        <v>0</v>
      </c>
      <c r="W51">
        <f t="shared" si="28"/>
        <v>0</v>
      </c>
      <c r="X51">
        <f t="shared" si="29"/>
        <v>0</v>
      </c>
      <c r="Y51">
        <f t="shared" si="30"/>
        <v>0</v>
      </c>
      <c r="AA51">
        <v>44176454</v>
      </c>
      <c r="AB51">
        <f t="shared" si="31"/>
        <v>5.91</v>
      </c>
      <c r="AC51">
        <f t="shared" si="32"/>
        <v>5.91</v>
      </c>
      <c r="AD51">
        <f t="shared" si="57"/>
        <v>0</v>
      </c>
      <c r="AE51">
        <f t="shared" si="58"/>
        <v>0</v>
      </c>
      <c r="AF51">
        <f t="shared" si="58"/>
        <v>0</v>
      </c>
      <c r="AG51">
        <f t="shared" si="33"/>
        <v>0</v>
      </c>
      <c r="AH51">
        <f t="shared" si="59"/>
        <v>0</v>
      </c>
      <c r="AI51">
        <f t="shared" si="59"/>
        <v>0</v>
      </c>
      <c r="AJ51">
        <f t="shared" si="34"/>
        <v>0</v>
      </c>
      <c r="AK51">
        <v>5.91</v>
      </c>
      <c r="AL51">
        <v>5.91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8.14</v>
      </c>
      <c r="BD51" t="s">
        <v>6</v>
      </c>
      <c r="BE51" t="s">
        <v>6</v>
      </c>
      <c r="BF51" t="s">
        <v>6</v>
      </c>
      <c r="BG51" t="s">
        <v>6</v>
      </c>
      <c r="BH51">
        <v>3</v>
      </c>
      <c r="BI51">
        <v>1</v>
      </c>
      <c r="BJ51" t="s">
        <v>157</v>
      </c>
      <c r="BM51">
        <v>80</v>
      </c>
      <c r="BN51">
        <v>0</v>
      </c>
      <c r="BO51" t="s">
        <v>155</v>
      </c>
      <c r="BP51">
        <v>1</v>
      </c>
      <c r="BQ51">
        <v>30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6</v>
      </c>
      <c r="BZ51">
        <v>0</v>
      </c>
      <c r="CA51">
        <v>0</v>
      </c>
      <c r="CE51">
        <v>30</v>
      </c>
      <c r="CF51">
        <v>0</v>
      </c>
      <c r="CG51">
        <v>0</v>
      </c>
      <c r="CM51">
        <v>0</v>
      </c>
      <c r="CN51" t="s">
        <v>6</v>
      </c>
      <c r="CO51">
        <v>0</v>
      </c>
      <c r="CP51">
        <f t="shared" si="35"/>
        <v>0</v>
      </c>
      <c r="CQ51">
        <f t="shared" si="36"/>
        <v>48.11</v>
      </c>
      <c r="CR51">
        <f t="shared" si="60"/>
        <v>0</v>
      </c>
      <c r="CS51">
        <f t="shared" si="37"/>
        <v>0</v>
      </c>
      <c r="CT51">
        <f t="shared" si="38"/>
        <v>0</v>
      </c>
      <c r="CU51">
        <f t="shared" si="39"/>
        <v>0</v>
      </c>
      <c r="CV51">
        <f t="shared" si="40"/>
        <v>0</v>
      </c>
      <c r="CW51">
        <f t="shared" si="41"/>
        <v>0</v>
      </c>
      <c r="CX51">
        <f t="shared" si="42"/>
        <v>0</v>
      </c>
      <c r="CY51">
        <f t="shared" si="43"/>
        <v>0</v>
      </c>
      <c r="CZ51">
        <f t="shared" si="44"/>
        <v>0</v>
      </c>
      <c r="DC51" t="s">
        <v>6</v>
      </c>
      <c r="DD51" t="s">
        <v>6</v>
      </c>
      <c r="DE51" t="s">
        <v>6</v>
      </c>
      <c r="DF51" t="s">
        <v>6</v>
      </c>
      <c r="DG51" t="s">
        <v>6</v>
      </c>
      <c r="DH51" t="s">
        <v>6</v>
      </c>
      <c r="DI51" t="s">
        <v>6</v>
      </c>
      <c r="DJ51" t="s">
        <v>6</v>
      </c>
      <c r="DK51" t="s">
        <v>6</v>
      </c>
      <c r="DL51" t="s">
        <v>6</v>
      </c>
      <c r="DM51" t="s">
        <v>6</v>
      </c>
      <c r="DN51">
        <v>87</v>
      </c>
      <c r="DO51">
        <v>105</v>
      </c>
      <c r="DP51">
        <v>1.087</v>
      </c>
      <c r="DQ51">
        <v>1</v>
      </c>
      <c r="DU51">
        <v>1007</v>
      </c>
      <c r="DV51" t="s">
        <v>70</v>
      </c>
      <c r="DW51" t="s">
        <v>70</v>
      </c>
      <c r="DX51">
        <v>1</v>
      </c>
      <c r="EE51">
        <v>44063845</v>
      </c>
      <c r="EF51">
        <v>30</v>
      </c>
      <c r="EG51" t="s">
        <v>23</v>
      </c>
      <c r="EH51">
        <v>0</v>
      </c>
      <c r="EI51" t="s">
        <v>6</v>
      </c>
      <c r="EJ51">
        <v>1</v>
      </c>
      <c r="EK51">
        <v>80</v>
      </c>
      <c r="EL51" t="s">
        <v>140</v>
      </c>
      <c r="EM51" t="s">
        <v>141</v>
      </c>
      <c r="EO51" t="s">
        <v>6</v>
      </c>
      <c r="EQ51">
        <v>0</v>
      </c>
      <c r="ER51">
        <v>5.91</v>
      </c>
      <c r="ES51">
        <v>5.91</v>
      </c>
      <c r="ET51">
        <v>0</v>
      </c>
      <c r="EU51">
        <v>0</v>
      </c>
      <c r="EV51">
        <v>0</v>
      </c>
      <c r="EW51">
        <v>0</v>
      </c>
      <c r="EX51">
        <v>0</v>
      </c>
      <c r="FQ51">
        <v>0</v>
      </c>
      <c r="FR51">
        <f t="shared" si="45"/>
        <v>0</v>
      </c>
      <c r="FS51">
        <v>0</v>
      </c>
      <c r="FX51">
        <v>87</v>
      </c>
      <c r="FY51">
        <v>105</v>
      </c>
      <c r="GA51" t="s">
        <v>6</v>
      </c>
      <c r="GD51">
        <v>0</v>
      </c>
      <c r="GF51">
        <v>-1236741395</v>
      </c>
      <c r="GG51">
        <v>2</v>
      </c>
      <c r="GH51">
        <v>1</v>
      </c>
      <c r="GI51">
        <v>2</v>
      </c>
      <c r="GJ51">
        <v>0</v>
      </c>
      <c r="GK51">
        <f>ROUND(R51*(R12)/100,2)</f>
        <v>0</v>
      </c>
      <c r="GL51">
        <f t="shared" si="46"/>
        <v>0</v>
      </c>
      <c r="GM51">
        <f t="shared" si="47"/>
        <v>0</v>
      </c>
      <c r="GN51">
        <f t="shared" si="48"/>
        <v>0</v>
      </c>
      <c r="GO51">
        <f t="shared" si="49"/>
        <v>0</v>
      </c>
      <c r="GP51">
        <f t="shared" si="50"/>
        <v>0</v>
      </c>
      <c r="GR51">
        <v>0</v>
      </c>
      <c r="GS51">
        <v>0</v>
      </c>
      <c r="GT51">
        <v>0</v>
      </c>
      <c r="GU51" t="s">
        <v>6</v>
      </c>
      <c r="GV51">
        <f t="shared" si="51"/>
        <v>0</v>
      </c>
      <c r="GW51">
        <v>1</v>
      </c>
      <c r="GX51">
        <f t="shared" si="52"/>
        <v>0</v>
      </c>
      <c r="HA51">
        <v>0</v>
      </c>
      <c r="HB51">
        <v>0</v>
      </c>
      <c r="HC51">
        <f t="shared" si="53"/>
        <v>0</v>
      </c>
      <c r="IK51">
        <v>0</v>
      </c>
    </row>
    <row r="52" spans="1:245" x14ac:dyDescent="0.2">
      <c r="A52">
        <v>17</v>
      </c>
      <c r="B52">
        <v>1</v>
      </c>
      <c r="C52">
        <f>ROW(SmtRes!A62)</f>
        <v>62</v>
      </c>
      <c r="D52">
        <f>ROW(EtalonRes!A59)</f>
        <v>59</v>
      </c>
      <c r="E52" t="s">
        <v>158</v>
      </c>
      <c r="F52" t="s">
        <v>159</v>
      </c>
      <c r="G52" t="s">
        <v>160</v>
      </c>
      <c r="H52" t="s">
        <v>161</v>
      </c>
      <c r="I52">
        <v>0</v>
      </c>
      <c r="J52">
        <v>0</v>
      </c>
      <c r="O52">
        <f t="shared" si="21"/>
        <v>0</v>
      </c>
      <c r="P52">
        <f t="shared" si="22"/>
        <v>0</v>
      </c>
      <c r="Q52">
        <f t="shared" si="56"/>
        <v>0</v>
      </c>
      <c r="R52">
        <f t="shared" si="23"/>
        <v>0</v>
      </c>
      <c r="S52">
        <f t="shared" si="24"/>
        <v>0</v>
      </c>
      <c r="T52">
        <f t="shared" si="25"/>
        <v>0</v>
      </c>
      <c r="U52">
        <f t="shared" si="26"/>
        <v>0</v>
      </c>
      <c r="V52">
        <f t="shared" si="27"/>
        <v>0</v>
      </c>
      <c r="W52">
        <f t="shared" si="28"/>
        <v>0</v>
      </c>
      <c r="X52">
        <f t="shared" si="29"/>
        <v>0</v>
      </c>
      <c r="Y52">
        <f t="shared" si="30"/>
        <v>0</v>
      </c>
      <c r="AA52">
        <v>44176454</v>
      </c>
      <c r="AB52">
        <f t="shared" si="31"/>
        <v>66.88</v>
      </c>
      <c r="AC52">
        <f t="shared" si="32"/>
        <v>25.21</v>
      </c>
      <c r="AD52">
        <f t="shared" si="57"/>
        <v>12.75</v>
      </c>
      <c r="AE52">
        <f t="shared" si="58"/>
        <v>1.23</v>
      </c>
      <c r="AF52">
        <f t="shared" si="58"/>
        <v>28.92</v>
      </c>
      <c r="AG52">
        <f t="shared" si="33"/>
        <v>0</v>
      </c>
      <c r="AH52">
        <f t="shared" si="59"/>
        <v>2.4300000000000002</v>
      </c>
      <c r="AI52">
        <f t="shared" si="59"/>
        <v>0</v>
      </c>
      <c r="AJ52">
        <f t="shared" si="34"/>
        <v>0</v>
      </c>
      <c r="AK52">
        <v>66.88</v>
      </c>
      <c r="AL52">
        <v>25.21</v>
      </c>
      <c r="AM52">
        <v>12.75</v>
      </c>
      <c r="AN52">
        <v>1.23</v>
      </c>
      <c r="AO52">
        <v>28.92</v>
      </c>
      <c r="AP52">
        <v>0</v>
      </c>
      <c r="AQ52">
        <v>2.4300000000000002</v>
      </c>
      <c r="AR52">
        <v>0</v>
      </c>
      <c r="AS52">
        <v>0</v>
      </c>
      <c r="AT52">
        <v>85</v>
      </c>
      <c r="AU52">
        <v>41</v>
      </c>
      <c r="AV52">
        <v>1.0469999999999999</v>
      </c>
      <c r="AW52">
        <v>1</v>
      </c>
      <c r="AZ52">
        <v>1</v>
      </c>
      <c r="BA52">
        <v>21.43</v>
      </c>
      <c r="BB52">
        <v>5.77</v>
      </c>
      <c r="BC52">
        <v>13.43</v>
      </c>
      <c r="BD52" t="s">
        <v>6</v>
      </c>
      <c r="BE52" t="s">
        <v>6</v>
      </c>
      <c r="BF52" t="s">
        <v>6</v>
      </c>
      <c r="BG52" t="s">
        <v>6</v>
      </c>
      <c r="BH52">
        <v>0</v>
      </c>
      <c r="BI52">
        <v>1</v>
      </c>
      <c r="BJ52" t="s">
        <v>162</v>
      </c>
      <c r="BM52">
        <v>97</v>
      </c>
      <c r="BN52">
        <v>0</v>
      </c>
      <c r="BO52" t="s">
        <v>159</v>
      </c>
      <c r="BP52">
        <v>1</v>
      </c>
      <c r="BQ52">
        <v>30</v>
      </c>
      <c r="BR52">
        <v>0</v>
      </c>
      <c r="BS52">
        <v>21.43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6</v>
      </c>
      <c r="BZ52">
        <v>85</v>
      </c>
      <c r="CA52">
        <v>41</v>
      </c>
      <c r="CE52">
        <v>30</v>
      </c>
      <c r="CF52">
        <v>0</v>
      </c>
      <c r="CG52">
        <v>0</v>
      </c>
      <c r="CM52">
        <v>0</v>
      </c>
      <c r="CN52" t="s">
        <v>6</v>
      </c>
      <c r="CO52">
        <v>0</v>
      </c>
      <c r="CP52">
        <f t="shared" si="35"/>
        <v>0</v>
      </c>
      <c r="CQ52">
        <f t="shared" si="36"/>
        <v>338.57</v>
      </c>
      <c r="CR52">
        <f t="shared" si="60"/>
        <v>77.03</v>
      </c>
      <c r="CS52">
        <f t="shared" si="37"/>
        <v>27.64</v>
      </c>
      <c r="CT52">
        <f t="shared" si="38"/>
        <v>648.9</v>
      </c>
      <c r="CU52">
        <f t="shared" si="39"/>
        <v>0</v>
      </c>
      <c r="CV52">
        <f t="shared" si="40"/>
        <v>2.5442100000000001</v>
      </c>
      <c r="CW52">
        <f t="shared" si="41"/>
        <v>0</v>
      </c>
      <c r="CX52">
        <f t="shared" si="42"/>
        <v>0</v>
      </c>
      <c r="CY52">
        <f t="shared" si="43"/>
        <v>0</v>
      </c>
      <c r="CZ52">
        <f t="shared" si="44"/>
        <v>0</v>
      </c>
      <c r="DC52" t="s">
        <v>6</v>
      </c>
      <c r="DD52" t="s">
        <v>6</v>
      </c>
      <c r="DE52" t="s">
        <v>6</v>
      </c>
      <c r="DF52" t="s">
        <v>6</v>
      </c>
      <c r="DG52" t="s">
        <v>6</v>
      </c>
      <c r="DH52" t="s">
        <v>6</v>
      </c>
      <c r="DI52" t="s">
        <v>6</v>
      </c>
      <c r="DJ52" t="s">
        <v>6</v>
      </c>
      <c r="DK52" t="s">
        <v>6</v>
      </c>
      <c r="DL52" t="s">
        <v>6</v>
      </c>
      <c r="DM52" t="s">
        <v>6</v>
      </c>
      <c r="DN52">
        <v>105</v>
      </c>
      <c r="DO52">
        <v>77</v>
      </c>
      <c r="DP52">
        <v>1.0469999999999999</v>
      </c>
      <c r="DQ52">
        <v>1</v>
      </c>
      <c r="DU52">
        <v>1005</v>
      </c>
      <c r="DV52" t="s">
        <v>161</v>
      </c>
      <c r="DW52" t="s">
        <v>161</v>
      </c>
      <c r="DX52">
        <v>100</v>
      </c>
      <c r="EE52">
        <v>44063862</v>
      </c>
      <c r="EF52">
        <v>30</v>
      </c>
      <c r="EG52" t="s">
        <v>23</v>
      </c>
      <c r="EH52">
        <v>0</v>
      </c>
      <c r="EI52" t="s">
        <v>6</v>
      </c>
      <c r="EJ52">
        <v>1</v>
      </c>
      <c r="EK52">
        <v>97</v>
      </c>
      <c r="EL52" t="s">
        <v>163</v>
      </c>
      <c r="EM52" t="s">
        <v>164</v>
      </c>
      <c r="EO52" t="s">
        <v>6</v>
      </c>
      <c r="EQ52">
        <v>131072</v>
      </c>
      <c r="ER52">
        <v>66.88</v>
      </c>
      <c r="ES52">
        <v>25.21</v>
      </c>
      <c r="ET52">
        <v>12.75</v>
      </c>
      <c r="EU52">
        <v>1.23</v>
      </c>
      <c r="EV52">
        <v>28.92</v>
      </c>
      <c r="EW52">
        <v>2.4300000000000002</v>
      </c>
      <c r="EX52">
        <v>0</v>
      </c>
      <c r="EY52">
        <v>0</v>
      </c>
      <c r="FQ52">
        <v>0</v>
      </c>
      <c r="FR52">
        <f t="shared" si="45"/>
        <v>0</v>
      </c>
      <c r="FS52">
        <v>0</v>
      </c>
      <c r="FX52">
        <v>105</v>
      </c>
      <c r="FY52">
        <v>77</v>
      </c>
      <c r="GA52" t="s">
        <v>6</v>
      </c>
      <c r="GD52">
        <v>0</v>
      </c>
      <c r="GF52">
        <v>-2015616858</v>
      </c>
      <c r="GG52">
        <v>2</v>
      </c>
      <c r="GH52">
        <v>1</v>
      </c>
      <c r="GI52">
        <v>2</v>
      </c>
      <c r="GJ52">
        <v>0</v>
      </c>
      <c r="GK52">
        <f>ROUND(R52*(R12)/100,2)</f>
        <v>0</v>
      </c>
      <c r="GL52">
        <f t="shared" si="46"/>
        <v>0</v>
      </c>
      <c r="GM52">
        <f t="shared" si="47"/>
        <v>0</v>
      </c>
      <c r="GN52">
        <f t="shared" si="48"/>
        <v>0</v>
      </c>
      <c r="GO52">
        <f t="shared" si="49"/>
        <v>0</v>
      </c>
      <c r="GP52">
        <f t="shared" si="50"/>
        <v>0</v>
      </c>
      <c r="GR52">
        <v>0</v>
      </c>
      <c r="GS52">
        <v>0</v>
      </c>
      <c r="GT52">
        <v>0</v>
      </c>
      <c r="GU52" t="s">
        <v>6</v>
      </c>
      <c r="GV52">
        <f t="shared" si="51"/>
        <v>0</v>
      </c>
      <c r="GW52">
        <v>1</v>
      </c>
      <c r="GX52">
        <f t="shared" si="52"/>
        <v>0</v>
      </c>
      <c r="HA52">
        <v>0</v>
      </c>
      <c r="HB52">
        <v>0</v>
      </c>
      <c r="HC52">
        <f t="shared" si="53"/>
        <v>0</v>
      </c>
      <c r="IK52">
        <v>0</v>
      </c>
    </row>
    <row r="53" spans="1:245" x14ac:dyDescent="0.2">
      <c r="A53">
        <v>18</v>
      </c>
      <c r="B53">
        <v>1</v>
      </c>
      <c r="C53">
        <v>61</v>
      </c>
      <c r="E53" t="s">
        <v>165</v>
      </c>
      <c r="F53" t="s">
        <v>166</v>
      </c>
      <c r="G53" t="s">
        <v>167</v>
      </c>
      <c r="H53" t="s">
        <v>168</v>
      </c>
      <c r="I53">
        <f>I52*J53</f>
        <v>0</v>
      </c>
      <c r="J53">
        <v>19</v>
      </c>
      <c r="O53">
        <f t="shared" si="21"/>
        <v>0</v>
      </c>
      <c r="P53">
        <f t="shared" si="22"/>
        <v>0</v>
      </c>
      <c r="Q53">
        <f t="shared" si="56"/>
        <v>0</v>
      </c>
      <c r="R53">
        <f t="shared" si="23"/>
        <v>0</v>
      </c>
      <c r="S53">
        <f t="shared" si="24"/>
        <v>0</v>
      </c>
      <c r="T53">
        <f t="shared" si="25"/>
        <v>0</v>
      </c>
      <c r="U53">
        <f t="shared" si="26"/>
        <v>0</v>
      </c>
      <c r="V53">
        <f t="shared" si="27"/>
        <v>0</v>
      </c>
      <c r="W53">
        <f t="shared" si="28"/>
        <v>0</v>
      </c>
      <c r="X53">
        <f t="shared" si="29"/>
        <v>0</v>
      </c>
      <c r="Y53">
        <f t="shared" si="30"/>
        <v>0</v>
      </c>
      <c r="AA53">
        <v>44176454</v>
      </c>
      <c r="AB53">
        <f t="shared" si="31"/>
        <v>47.37</v>
      </c>
      <c r="AC53">
        <f t="shared" si="32"/>
        <v>47.37</v>
      </c>
      <c r="AD53">
        <f t="shared" si="57"/>
        <v>0</v>
      </c>
      <c r="AE53">
        <f t="shared" si="58"/>
        <v>0</v>
      </c>
      <c r="AF53">
        <f t="shared" si="58"/>
        <v>0</v>
      </c>
      <c r="AG53">
        <f t="shared" si="33"/>
        <v>0</v>
      </c>
      <c r="AH53">
        <f t="shared" si="59"/>
        <v>0</v>
      </c>
      <c r="AI53">
        <f t="shared" si="59"/>
        <v>0</v>
      </c>
      <c r="AJ53">
        <f t="shared" si="34"/>
        <v>0</v>
      </c>
      <c r="AK53">
        <v>47.37</v>
      </c>
      <c r="AL53">
        <v>47.37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3.06</v>
      </c>
      <c r="BD53" t="s">
        <v>6</v>
      </c>
      <c r="BE53" t="s">
        <v>6</v>
      </c>
      <c r="BF53" t="s">
        <v>6</v>
      </c>
      <c r="BG53" t="s">
        <v>6</v>
      </c>
      <c r="BH53">
        <v>3</v>
      </c>
      <c r="BI53">
        <v>1</v>
      </c>
      <c r="BJ53" t="s">
        <v>169</v>
      </c>
      <c r="BM53">
        <v>97</v>
      </c>
      <c r="BN53">
        <v>0</v>
      </c>
      <c r="BO53" t="s">
        <v>166</v>
      </c>
      <c r="BP53">
        <v>1</v>
      </c>
      <c r="BQ53">
        <v>30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6</v>
      </c>
      <c r="BZ53">
        <v>0</v>
      </c>
      <c r="CA53">
        <v>0</v>
      </c>
      <c r="CE53">
        <v>30</v>
      </c>
      <c r="CF53">
        <v>0</v>
      </c>
      <c r="CG53">
        <v>0</v>
      </c>
      <c r="CM53">
        <v>0</v>
      </c>
      <c r="CN53" t="s">
        <v>6</v>
      </c>
      <c r="CO53">
        <v>0</v>
      </c>
      <c r="CP53">
        <f t="shared" si="35"/>
        <v>0</v>
      </c>
      <c r="CQ53">
        <f t="shared" si="36"/>
        <v>144.94999999999999</v>
      </c>
      <c r="CR53">
        <f t="shared" si="60"/>
        <v>0</v>
      </c>
      <c r="CS53">
        <f t="shared" si="37"/>
        <v>0</v>
      </c>
      <c r="CT53">
        <f t="shared" si="38"/>
        <v>0</v>
      </c>
      <c r="CU53">
        <f t="shared" si="39"/>
        <v>0</v>
      </c>
      <c r="CV53">
        <f t="shared" si="40"/>
        <v>0</v>
      </c>
      <c r="CW53">
        <f t="shared" si="41"/>
        <v>0</v>
      </c>
      <c r="CX53">
        <f t="shared" si="42"/>
        <v>0</v>
      </c>
      <c r="CY53">
        <f t="shared" si="43"/>
        <v>0</v>
      </c>
      <c r="CZ53">
        <f t="shared" si="44"/>
        <v>0</v>
      </c>
      <c r="DC53" t="s">
        <v>6</v>
      </c>
      <c r="DD53" t="s">
        <v>6</v>
      </c>
      <c r="DE53" t="s">
        <v>6</v>
      </c>
      <c r="DF53" t="s">
        <v>6</v>
      </c>
      <c r="DG53" t="s">
        <v>6</v>
      </c>
      <c r="DH53" t="s">
        <v>6</v>
      </c>
      <c r="DI53" t="s">
        <v>6</v>
      </c>
      <c r="DJ53" t="s">
        <v>6</v>
      </c>
      <c r="DK53" t="s">
        <v>6</v>
      </c>
      <c r="DL53" t="s">
        <v>6</v>
      </c>
      <c r="DM53" t="s">
        <v>6</v>
      </c>
      <c r="DN53">
        <v>105</v>
      </c>
      <c r="DO53">
        <v>77</v>
      </c>
      <c r="DP53">
        <v>1.0469999999999999</v>
      </c>
      <c r="DQ53">
        <v>1</v>
      </c>
      <c r="DU53">
        <v>1009</v>
      </c>
      <c r="DV53" t="s">
        <v>168</v>
      </c>
      <c r="DW53" t="s">
        <v>168</v>
      </c>
      <c r="DX53">
        <v>1</v>
      </c>
      <c r="EE53">
        <v>44063862</v>
      </c>
      <c r="EF53">
        <v>30</v>
      </c>
      <c r="EG53" t="s">
        <v>23</v>
      </c>
      <c r="EH53">
        <v>0</v>
      </c>
      <c r="EI53" t="s">
        <v>6</v>
      </c>
      <c r="EJ53">
        <v>1</v>
      </c>
      <c r="EK53">
        <v>97</v>
      </c>
      <c r="EL53" t="s">
        <v>163</v>
      </c>
      <c r="EM53" t="s">
        <v>164</v>
      </c>
      <c r="EO53" t="s">
        <v>6</v>
      </c>
      <c r="EQ53">
        <v>0</v>
      </c>
      <c r="ER53">
        <v>47.37</v>
      </c>
      <c r="ES53">
        <v>47.37</v>
      </c>
      <c r="ET53">
        <v>0</v>
      </c>
      <c r="EU53">
        <v>0</v>
      </c>
      <c r="EV53">
        <v>0</v>
      </c>
      <c r="EW53">
        <v>0</v>
      </c>
      <c r="EX53">
        <v>0</v>
      </c>
      <c r="FQ53">
        <v>0</v>
      </c>
      <c r="FR53">
        <f t="shared" si="45"/>
        <v>0</v>
      </c>
      <c r="FS53">
        <v>0</v>
      </c>
      <c r="FX53">
        <v>105</v>
      </c>
      <c r="FY53">
        <v>77</v>
      </c>
      <c r="GA53" t="s">
        <v>6</v>
      </c>
      <c r="GD53">
        <v>0</v>
      </c>
      <c r="GF53">
        <v>941252930</v>
      </c>
      <c r="GG53">
        <v>2</v>
      </c>
      <c r="GH53">
        <v>1</v>
      </c>
      <c r="GI53">
        <v>2</v>
      </c>
      <c r="GJ53">
        <v>0</v>
      </c>
      <c r="GK53">
        <f>ROUND(R53*(R12)/100,2)</f>
        <v>0</v>
      </c>
      <c r="GL53">
        <f t="shared" si="46"/>
        <v>0</v>
      </c>
      <c r="GM53">
        <f t="shared" si="47"/>
        <v>0</v>
      </c>
      <c r="GN53">
        <f t="shared" si="48"/>
        <v>0</v>
      </c>
      <c r="GO53">
        <f t="shared" si="49"/>
        <v>0</v>
      </c>
      <c r="GP53">
        <f t="shared" si="50"/>
        <v>0</v>
      </c>
      <c r="GR53">
        <v>0</v>
      </c>
      <c r="GS53">
        <v>0</v>
      </c>
      <c r="GT53">
        <v>0</v>
      </c>
      <c r="GU53" t="s">
        <v>6</v>
      </c>
      <c r="GV53">
        <f t="shared" si="51"/>
        <v>0</v>
      </c>
      <c r="GW53">
        <v>1</v>
      </c>
      <c r="GX53">
        <f t="shared" si="52"/>
        <v>0</v>
      </c>
      <c r="HA53">
        <v>0</v>
      </c>
      <c r="HB53">
        <v>0</v>
      </c>
      <c r="HC53">
        <f t="shared" si="53"/>
        <v>0</v>
      </c>
      <c r="IK53">
        <v>0</v>
      </c>
    </row>
    <row r="55" spans="1:245" x14ac:dyDescent="0.2">
      <c r="A55" s="2">
        <v>51</v>
      </c>
      <c r="B55" s="2">
        <f>B24</f>
        <v>1</v>
      </c>
      <c r="C55" s="2">
        <f>A24</f>
        <v>4</v>
      </c>
      <c r="D55" s="2">
        <f>ROW(A24)</f>
        <v>24</v>
      </c>
      <c r="E55" s="2"/>
      <c r="F55" s="2" t="str">
        <f>IF(F24&lt;&gt;"",F24,"")</f>
        <v>Новый раздел</v>
      </c>
      <c r="G55" s="2" t="str">
        <f>IF(G24&lt;&gt;"",G24,"")</f>
        <v>Строительные работы</v>
      </c>
      <c r="H55" s="2">
        <v>0</v>
      </c>
      <c r="I55" s="2"/>
      <c r="J55" s="2"/>
      <c r="K55" s="2"/>
      <c r="L55" s="2"/>
      <c r="M55" s="2"/>
      <c r="N55" s="2"/>
      <c r="O55" s="2">
        <f t="shared" ref="O55:T55" si="61">ROUND(AB55,2)</f>
        <v>813.7</v>
      </c>
      <c r="P55" s="2">
        <f t="shared" si="61"/>
        <v>0</v>
      </c>
      <c r="Q55" s="2">
        <f t="shared" si="61"/>
        <v>0</v>
      </c>
      <c r="R55" s="2">
        <f t="shared" si="61"/>
        <v>0</v>
      </c>
      <c r="S55" s="2">
        <f t="shared" si="61"/>
        <v>813.7</v>
      </c>
      <c r="T55" s="2">
        <f t="shared" si="61"/>
        <v>0</v>
      </c>
      <c r="U55" s="2">
        <f>AH55</f>
        <v>4.0261337999999993</v>
      </c>
      <c r="V55" s="2">
        <f>AI55</f>
        <v>0</v>
      </c>
      <c r="W55" s="2">
        <f>ROUND(AJ55,2)</f>
        <v>0</v>
      </c>
      <c r="X55" s="2">
        <f>ROUND(AK55,2)</f>
        <v>594</v>
      </c>
      <c r="Y55" s="2">
        <f>ROUND(AL55,2)</f>
        <v>333.62</v>
      </c>
      <c r="Z55" s="2"/>
      <c r="AA55" s="2"/>
      <c r="AB55" s="2">
        <f>ROUND(SUMIF(AA28:AA53,"=44176454",O28:O53),2)</f>
        <v>813.7</v>
      </c>
      <c r="AC55" s="2">
        <f>ROUND(SUMIF(AA28:AA53,"=44176454",P28:P53),2)</f>
        <v>0</v>
      </c>
      <c r="AD55" s="2">
        <f>ROUND(SUMIF(AA28:AA53,"=44176454",Q28:Q53),2)</f>
        <v>0</v>
      </c>
      <c r="AE55" s="2">
        <f>ROUND(SUMIF(AA28:AA53,"=44176454",R28:R53),2)</f>
        <v>0</v>
      </c>
      <c r="AF55" s="2">
        <f>ROUND(SUMIF(AA28:AA53,"=44176454",S28:S53),2)</f>
        <v>813.7</v>
      </c>
      <c r="AG55" s="2">
        <f>ROUND(SUMIF(AA28:AA53,"=44176454",T28:T53),2)</f>
        <v>0</v>
      </c>
      <c r="AH55" s="2">
        <f>SUMIF(AA28:AA53,"=44176454",U28:U53)</f>
        <v>4.0261337999999993</v>
      </c>
      <c r="AI55" s="2">
        <f>SUMIF(AA28:AA53,"=44176454",V28:V53)</f>
        <v>0</v>
      </c>
      <c r="AJ55" s="2">
        <f>ROUND(SUMIF(AA28:AA53,"=44176454",W28:W53),2)</f>
        <v>0</v>
      </c>
      <c r="AK55" s="2">
        <f>ROUND(SUMIF(AA28:AA53,"=44176454",X28:X53),2)</f>
        <v>594</v>
      </c>
      <c r="AL55" s="2">
        <f>ROUND(SUMIF(AA28:AA53,"=44176454",Y28:Y53),2)</f>
        <v>333.62</v>
      </c>
      <c r="AM55" s="2"/>
      <c r="AN55" s="2"/>
      <c r="AO55" s="2">
        <f t="shared" ref="AO55:BD55" si="62">ROUND(BX55,2)</f>
        <v>0</v>
      </c>
      <c r="AP55" s="2">
        <f t="shared" si="62"/>
        <v>0</v>
      </c>
      <c r="AQ55" s="2">
        <f t="shared" si="62"/>
        <v>0</v>
      </c>
      <c r="AR55" s="2">
        <f t="shared" si="62"/>
        <v>1741.32</v>
      </c>
      <c r="AS55" s="2">
        <f t="shared" si="62"/>
        <v>1741.32</v>
      </c>
      <c r="AT55" s="2">
        <f t="shared" si="62"/>
        <v>0</v>
      </c>
      <c r="AU55" s="2">
        <f t="shared" si="62"/>
        <v>0</v>
      </c>
      <c r="AV55" s="2">
        <f t="shared" si="62"/>
        <v>0</v>
      </c>
      <c r="AW55" s="2">
        <f t="shared" si="62"/>
        <v>0</v>
      </c>
      <c r="AX55" s="2">
        <f t="shared" si="62"/>
        <v>0</v>
      </c>
      <c r="AY55" s="2">
        <f t="shared" si="62"/>
        <v>0</v>
      </c>
      <c r="AZ55" s="2">
        <f t="shared" si="62"/>
        <v>0</v>
      </c>
      <c r="BA55" s="2">
        <f t="shared" si="62"/>
        <v>0</v>
      </c>
      <c r="BB55" s="2">
        <f t="shared" si="62"/>
        <v>0</v>
      </c>
      <c r="BC55" s="2">
        <f t="shared" si="62"/>
        <v>0</v>
      </c>
      <c r="BD55" s="2">
        <f t="shared" si="62"/>
        <v>0</v>
      </c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>
        <f>ROUND(SUMIF(AA28:AA53,"=44176454",FQ28:FQ53),2)</f>
        <v>0</v>
      </c>
      <c r="BY55" s="2">
        <f>ROUND(SUMIF(AA28:AA53,"=44176454",FR28:FR53),2)</f>
        <v>0</v>
      </c>
      <c r="BZ55" s="2">
        <f>ROUND(SUMIF(AA28:AA53,"=44176454",GL28:GL53),2)</f>
        <v>0</v>
      </c>
      <c r="CA55" s="2">
        <f>ROUND(SUMIF(AA28:AA53,"=44176454",GM28:GM53),2)</f>
        <v>1741.32</v>
      </c>
      <c r="CB55" s="2">
        <f>ROUND(SUMIF(AA28:AA53,"=44176454",GN28:GN53),2)</f>
        <v>1741.32</v>
      </c>
      <c r="CC55" s="2">
        <f>ROUND(SUMIF(AA28:AA53,"=44176454",GO28:GO53),2)</f>
        <v>0</v>
      </c>
      <c r="CD55" s="2">
        <f>ROUND(SUMIF(AA28:AA53,"=44176454",GP28:GP53),2)</f>
        <v>0</v>
      </c>
      <c r="CE55" s="2">
        <f>AC55-BX55</f>
        <v>0</v>
      </c>
      <c r="CF55" s="2">
        <f>AC55-BY55</f>
        <v>0</v>
      </c>
      <c r="CG55" s="2">
        <f>BX55-BZ55</f>
        <v>0</v>
      </c>
      <c r="CH55" s="2">
        <f>AC55-BX55-BY55+BZ55</f>
        <v>0</v>
      </c>
      <c r="CI55" s="2">
        <f>BY55-BZ55</f>
        <v>0</v>
      </c>
      <c r="CJ55" s="2">
        <f>ROUND(SUMIF(AA28:AA53,"=44176454",GX28:GX53),2)</f>
        <v>0</v>
      </c>
      <c r="CK55" s="2">
        <f>ROUND(SUMIF(AA28:AA53,"=44176454",GY28:GY53),2)</f>
        <v>0</v>
      </c>
      <c r="CL55" s="2">
        <f>ROUND(SUMIF(AA28:AA53,"=44176454",GZ28:GZ53),2)</f>
        <v>0</v>
      </c>
      <c r="CM55" s="2">
        <f>ROUND(SUMIF(AA28:AA53,"=44176454",HD28:HD53),2)</f>
        <v>0</v>
      </c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>
        <v>0</v>
      </c>
    </row>
    <row r="57" spans="1:245" x14ac:dyDescent="0.2">
      <c r="A57" s="4">
        <v>50</v>
      </c>
      <c r="B57" s="4">
        <v>0</v>
      </c>
      <c r="C57" s="4">
        <v>0</v>
      </c>
      <c r="D57" s="4">
        <v>1</v>
      </c>
      <c r="E57" s="4">
        <v>201</v>
      </c>
      <c r="F57" s="4">
        <f>ROUND(Source!O55,O57)</f>
        <v>813.7</v>
      </c>
      <c r="G57" s="4" t="s">
        <v>170</v>
      </c>
      <c r="H57" s="4" t="s">
        <v>171</v>
      </c>
      <c r="I57" s="4"/>
      <c r="J57" s="4"/>
      <c r="K57" s="4">
        <v>201</v>
      </c>
      <c r="L57" s="4">
        <v>1</v>
      </c>
      <c r="M57" s="4">
        <v>3</v>
      </c>
      <c r="N57" s="4" t="s">
        <v>6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45" x14ac:dyDescent="0.2">
      <c r="A58" s="4">
        <v>50</v>
      </c>
      <c r="B58" s="4">
        <v>0</v>
      </c>
      <c r="C58" s="4">
        <v>0</v>
      </c>
      <c r="D58" s="4">
        <v>1</v>
      </c>
      <c r="E58" s="4">
        <v>202</v>
      </c>
      <c r="F58" s="4">
        <f>ROUND(Source!P55,O58)</f>
        <v>0</v>
      </c>
      <c r="G58" s="4" t="s">
        <v>172</v>
      </c>
      <c r="H58" s="4" t="s">
        <v>173</v>
      </c>
      <c r="I58" s="4"/>
      <c r="J58" s="4"/>
      <c r="K58" s="4">
        <v>202</v>
      </c>
      <c r="L58" s="4">
        <v>2</v>
      </c>
      <c r="M58" s="4">
        <v>3</v>
      </c>
      <c r="N58" s="4" t="s">
        <v>6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45" x14ac:dyDescent="0.2">
      <c r="A59" s="4">
        <v>50</v>
      </c>
      <c r="B59" s="4">
        <v>0</v>
      </c>
      <c r="C59" s="4">
        <v>0</v>
      </c>
      <c r="D59" s="4">
        <v>1</v>
      </c>
      <c r="E59" s="4">
        <v>222</v>
      </c>
      <c r="F59" s="4">
        <f>ROUND(Source!AO55,O59)</f>
        <v>0</v>
      </c>
      <c r="G59" s="4" t="s">
        <v>174</v>
      </c>
      <c r="H59" s="4" t="s">
        <v>175</v>
      </c>
      <c r="I59" s="4"/>
      <c r="J59" s="4"/>
      <c r="K59" s="4">
        <v>222</v>
      </c>
      <c r="L59" s="4">
        <v>3</v>
      </c>
      <c r="M59" s="4">
        <v>3</v>
      </c>
      <c r="N59" s="4" t="s">
        <v>6</v>
      </c>
      <c r="O59" s="4">
        <v>2</v>
      </c>
      <c r="P59" s="4"/>
      <c r="Q59" s="4"/>
      <c r="R59" s="4"/>
      <c r="S59" s="4"/>
      <c r="T59" s="4"/>
      <c r="U59" s="4"/>
      <c r="V59" s="4"/>
      <c r="W59" s="4"/>
    </row>
    <row r="60" spans="1:245" x14ac:dyDescent="0.2">
      <c r="A60" s="4">
        <v>50</v>
      </c>
      <c r="B60" s="4">
        <v>0</v>
      </c>
      <c r="C60" s="4">
        <v>0</v>
      </c>
      <c r="D60" s="4">
        <v>1</v>
      </c>
      <c r="E60" s="4">
        <v>225</v>
      </c>
      <c r="F60" s="4">
        <f>ROUND(Source!AV55,O60)</f>
        <v>0</v>
      </c>
      <c r="G60" s="4" t="s">
        <v>176</v>
      </c>
      <c r="H60" s="4" t="s">
        <v>177</v>
      </c>
      <c r="I60" s="4"/>
      <c r="J60" s="4"/>
      <c r="K60" s="4">
        <v>225</v>
      </c>
      <c r="L60" s="4">
        <v>4</v>
      </c>
      <c r="M60" s="4">
        <v>3</v>
      </c>
      <c r="N60" s="4" t="s">
        <v>6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45" x14ac:dyDescent="0.2">
      <c r="A61" s="4">
        <v>50</v>
      </c>
      <c r="B61" s="4">
        <v>0</v>
      </c>
      <c r="C61" s="4">
        <v>0</v>
      </c>
      <c r="D61" s="4">
        <v>1</v>
      </c>
      <c r="E61" s="4">
        <v>226</v>
      </c>
      <c r="F61" s="4">
        <f>ROUND(Source!AW55,O61)</f>
        <v>0</v>
      </c>
      <c r="G61" s="4" t="s">
        <v>178</v>
      </c>
      <c r="H61" s="4" t="s">
        <v>179</v>
      </c>
      <c r="I61" s="4"/>
      <c r="J61" s="4"/>
      <c r="K61" s="4">
        <v>226</v>
      </c>
      <c r="L61" s="4">
        <v>5</v>
      </c>
      <c r="M61" s="4">
        <v>3</v>
      </c>
      <c r="N61" s="4" t="s">
        <v>6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45" x14ac:dyDescent="0.2">
      <c r="A62" s="4">
        <v>50</v>
      </c>
      <c r="B62" s="4">
        <v>0</v>
      </c>
      <c r="C62" s="4">
        <v>0</v>
      </c>
      <c r="D62" s="4">
        <v>1</v>
      </c>
      <c r="E62" s="4">
        <v>227</v>
      </c>
      <c r="F62" s="4">
        <f>ROUND(Source!AX55,O62)</f>
        <v>0</v>
      </c>
      <c r="G62" s="4" t="s">
        <v>180</v>
      </c>
      <c r="H62" s="4" t="s">
        <v>181</v>
      </c>
      <c r="I62" s="4"/>
      <c r="J62" s="4"/>
      <c r="K62" s="4">
        <v>227</v>
      </c>
      <c r="L62" s="4">
        <v>6</v>
      </c>
      <c r="M62" s="4">
        <v>3</v>
      </c>
      <c r="N62" s="4" t="s">
        <v>6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45" x14ac:dyDescent="0.2">
      <c r="A63" s="4">
        <v>50</v>
      </c>
      <c r="B63" s="4">
        <v>0</v>
      </c>
      <c r="C63" s="4">
        <v>0</v>
      </c>
      <c r="D63" s="4">
        <v>1</v>
      </c>
      <c r="E63" s="4">
        <v>228</v>
      </c>
      <c r="F63" s="4">
        <f>ROUND(Source!AY55,O63)</f>
        <v>0</v>
      </c>
      <c r="G63" s="4" t="s">
        <v>182</v>
      </c>
      <c r="H63" s="4" t="s">
        <v>183</v>
      </c>
      <c r="I63" s="4"/>
      <c r="J63" s="4"/>
      <c r="K63" s="4">
        <v>228</v>
      </c>
      <c r="L63" s="4">
        <v>7</v>
      </c>
      <c r="M63" s="4">
        <v>3</v>
      </c>
      <c r="N63" s="4" t="s">
        <v>6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45" x14ac:dyDescent="0.2">
      <c r="A64" s="4">
        <v>50</v>
      </c>
      <c r="B64" s="4">
        <v>0</v>
      </c>
      <c r="C64" s="4">
        <v>0</v>
      </c>
      <c r="D64" s="4">
        <v>1</v>
      </c>
      <c r="E64" s="4">
        <v>216</v>
      </c>
      <c r="F64" s="4">
        <f>ROUND(Source!AP55,O64)</f>
        <v>0</v>
      </c>
      <c r="G64" s="4" t="s">
        <v>184</v>
      </c>
      <c r="H64" s="4" t="s">
        <v>185</v>
      </c>
      <c r="I64" s="4"/>
      <c r="J64" s="4"/>
      <c r="K64" s="4">
        <v>216</v>
      </c>
      <c r="L64" s="4">
        <v>8</v>
      </c>
      <c r="M64" s="4">
        <v>3</v>
      </c>
      <c r="N64" s="4" t="s">
        <v>6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23" x14ac:dyDescent="0.2">
      <c r="A65" s="4">
        <v>50</v>
      </c>
      <c r="B65" s="4">
        <v>0</v>
      </c>
      <c r="C65" s="4">
        <v>0</v>
      </c>
      <c r="D65" s="4">
        <v>1</v>
      </c>
      <c r="E65" s="4">
        <v>223</v>
      </c>
      <c r="F65" s="4">
        <f>ROUND(Source!AQ55,O65)</f>
        <v>0</v>
      </c>
      <c r="G65" s="4" t="s">
        <v>186</v>
      </c>
      <c r="H65" s="4" t="s">
        <v>187</v>
      </c>
      <c r="I65" s="4"/>
      <c r="J65" s="4"/>
      <c r="K65" s="4">
        <v>223</v>
      </c>
      <c r="L65" s="4">
        <v>9</v>
      </c>
      <c r="M65" s="4">
        <v>3</v>
      </c>
      <c r="N65" s="4" t="s">
        <v>6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23" x14ac:dyDescent="0.2">
      <c r="A66" s="4">
        <v>50</v>
      </c>
      <c r="B66" s="4">
        <v>0</v>
      </c>
      <c r="C66" s="4">
        <v>0</v>
      </c>
      <c r="D66" s="4">
        <v>1</v>
      </c>
      <c r="E66" s="4">
        <v>229</v>
      </c>
      <c r="F66" s="4">
        <f>ROUND(Source!AZ55,O66)</f>
        <v>0</v>
      </c>
      <c r="G66" s="4" t="s">
        <v>188</v>
      </c>
      <c r="H66" s="4" t="s">
        <v>189</v>
      </c>
      <c r="I66" s="4"/>
      <c r="J66" s="4"/>
      <c r="K66" s="4">
        <v>229</v>
      </c>
      <c r="L66" s="4">
        <v>10</v>
      </c>
      <c r="M66" s="4">
        <v>3</v>
      </c>
      <c r="N66" s="4" t="s">
        <v>6</v>
      </c>
      <c r="O66" s="4">
        <v>2</v>
      </c>
      <c r="P66" s="4"/>
      <c r="Q66" s="4"/>
      <c r="R66" s="4"/>
      <c r="S66" s="4"/>
      <c r="T66" s="4"/>
      <c r="U66" s="4"/>
      <c r="V66" s="4"/>
      <c r="W66" s="4"/>
    </row>
    <row r="67" spans="1:23" x14ac:dyDescent="0.2">
      <c r="A67" s="4">
        <v>50</v>
      </c>
      <c r="B67" s="4">
        <v>0</v>
      </c>
      <c r="C67" s="4">
        <v>0</v>
      </c>
      <c r="D67" s="4">
        <v>1</v>
      </c>
      <c r="E67" s="4">
        <v>203</v>
      </c>
      <c r="F67" s="4">
        <f>ROUND(Source!Q55,O67)</f>
        <v>0</v>
      </c>
      <c r="G67" s="4" t="s">
        <v>190</v>
      </c>
      <c r="H67" s="4" t="s">
        <v>191</v>
      </c>
      <c r="I67" s="4"/>
      <c r="J67" s="4"/>
      <c r="K67" s="4">
        <v>203</v>
      </c>
      <c r="L67" s="4">
        <v>11</v>
      </c>
      <c r="M67" s="4">
        <v>3</v>
      </c>
      <c r="N67" s="4" t="s">
        <v>6</v>
      </c>
      <c r="O67" s="4">
        <v>2</v>
      </c>
      <c r="P67" s="4"/>
      <c r="Q67" s="4"/>
      <c r="R67" s="4"/>
      <c r="S67" s="4"/>
      <c r="T67" s="4"/>
      <c r="U67" s="4"/>
      <c r="V67" s="4"/>
      <c r="W67" s="4"/>
    </row>
    <row r="68" spans="1:23" x14ac:dyDescent="0.2">
      <c r="A68" s="4">
        <v>50</v>
      </c>
      <c r="B68" s="4">
        <v>0</v>
      </c>
      <c r="C68" s="4">
        <v>0</v>
      </c>
      <c r="D68" s="4">
        <v>1</v>
      </c>
      <c r="E68" s="4">
        <v>231</v>
      </c>
      <c r="F68" s="4">
        <f>ROUND(Source!BB55,O68)</f>
        <v>0</v>
      </c>
      <c r="G68" s="4" t="s">
        <v>192</v>
      </c>
      <c r="H68" s="4" t="s">
        <v>193</v>
      </c>
      <c r="I68" s="4"/>
      <c r="J68" s="4"/>
      <c r="K68" s="4">
        <v>231</v>
      </c>
      <c r="L68" s="4">
        <v>12</v>
      </c>
      <c r="M68" s="4">
        <v>3</v>
      </c>
      <c r="N68" s="4" t="s">
        <v>6</v>
      </c>
      <c r="O68" s="4">
        <v>2</v>
      </c>
      <c r="P68" s="4"/>
      <c r="Q68" s="4"/>
      <c r="R68" s="4"/>
      <c r="S68" s="4"/>
      <c r="T68" s="4"/>
      <c r="U68" s="4"/>
      <c r="V68" s="4"/>
      <c r="W68" s="4"/>
    </row>
    <row r="69" spans="1:23" x14ac:dyDescent="0.2">
      <c r="A69" s="4">
        <v>50</v>
      </c>
      <c r="B69" s="4">
        <v>0</v>
      </c>
      <c r="C69" s="4">
        <v>0</v>
      </c>
      <c r="D69" s="4">
        <v>1</v>
      </c>
      <c r="E69" s="4">
        <v>204</v>
      </c>
      <c r="F69" s="4">
        <f>ROUND(Source!R55,O69)</f>
        <v>0</v>
      </c>
      <c r="G69" s="4" t="s">
        <v>194</v>
      </c>
      <c r="H69" s="4" t="s">
        <v>195</v>
      </c>
      <c r="I69" s="4"/>
      <c r="J69" s="4"/>
      <c r="K69" s="4">
        <v>204</v>
      </c>
      <c r="L69" s="4">
        <v>13</v>
      </c>
      <c r="M69" s="4">
        <v>3</v>
      </c>
      <c r="N69" s="4" t="s">
        <v>6</v>
      </c>
      <c r="O69" s="4">
        <v>2</v>
      </c>
      <c r="P69" s="4"/>
      <c r="Q69" s="4"/>
      <c r="R69" s="4"/>
      <c r="S69" s="4"/>
      <c r="T69" s="4"/>
      <c r="U69" s="4"/>
      <c r="V69" s="4"/>
      <c r="W69" s="4"/>
    </row>
    <row r="70" spans="1:23" x14ac:dyDescent="0.2">
      <c r="A70" s="4">
        <v>50</v>
      </c>
      <c r="B70" s="4">
        <v>0</v>
      </c>
      <c r="C70" s="4">
        <v>0</v>
      </c>
      <c r="D70" s="4">
        <v>1</v>
      </c>
      <c r="E70" s="4">
        <v>205</v>
      </c>
      <c r="F70" s="4">
        <f>ROUND(Source!S55,O70)</f>
        <v>813.7</v>
      </c>
      <c r="G70" s="4" t="s">
        <v>196</v>
      </c>
      <c r="H70" s="4" t="s">
        <v>197</v>
      </c>
      <c r="I70" s="4"/>
      <c r="J70" s="4"/>
      <c r="K70" s="4">
        <v>205</v>
      </c>
      <c r="L70" s="4">
        <v>14</v>
      </c>
      <c r="M70" s="4">
        <v>3</v>
      </c>
      <c r="N70" s="4" t="s">
        <v>6</v>
      </c>
      <c r="O70" s="4">
        <v>2</v>
      </c>
      <c r="P70" s="4"/>
      <c r="Q70" s="4"/>
      <c r="R70" s="4"/>
      <c r="S70" s="4"/>
      <c r="T70" s="4"/>
      <c r="U70" s="4"/>
      <c r="V70" s="4"/>
      <c r="W70" s="4"/>
    </row>
    <row r="71" spans="1:23" x14ac:dyDescent="0.2">
      <c r="A71" s="4">
        <v>50</v>
      </c>
      <c r="B71" s="4">
        <v>0</v>
      </c>
      <c r="C71" s="4">
        <v>0</v>
      </c>
      <c r="D71" s="4">
        <v>1</v>
      </c>
      <c r="E71" s="4">
        <v>232</v>
      </c>
      <c r="F71" s="4">
        <f>ROUND(Source!BC55,O71)</f>
        <v>0</v>
      </c>
      <c r="G71" s="4" t="s">
        <v>198</v>
      </c>
      <c r="H71" s="4" t="s">
        <v>199</v>
      </c>
      <c r="I71" s="4"/>
      <c r="J71" s="4"/>
      <c r="K71" s="4">
        <v>232</v>
      </c>
      <c r="L71" s="4">
        <v>15</v>
      </c>
      <c r="M71" s="4">
        <v>3</v>
      </c>
      <c r="N71" s="4" t="s">
        <v>6</v>
      </c>
      <c r="O71" s="4">
        <v>2</v>
      </c>
      <c r="P71" s="4"/>
      <c r="Q71" s="4"/>
      <c r="R71" s="4"/>
      <c r="S71" s="4"/>
      <c r="T71" s="4"/>
      <c r="U71" s="4"/>
      <c r="V71" s="4"/>
      <c r="W71" s="4"/>
    </row>
    <row r="72" spans="1:23" x14ac:dyDescent="0.2">
      <c r="A72" s="4">
        <v>50</v>
      </c>
      <c r="B72" s="4">
        <v>0</v>
      </c>
      <c r="C72" s="4">
        <v>0</v>
      </c>
      <c r="D72" s="4">
        <v>1</v>
      </c>
      <c r="E72" s="4">
        <v>214</v>
      </c>
      <c r="F72" s="4">
        <f>ROUND(Source!AS55,O72)</f>
        <v>1741.32</v>
      </c>
      <c r="G72" s="4" t="s">
        <v>200</v>
      </c>
      <c r="H72" s="4" t="s">
        <v>201</v>
      </c>
      <c r="I72" s="4"/>
      <c r="J72" s="4"/>
      <c r="K72" s="4">
        <v>214</v>
      </c>
      <c r="L72" s="4">
        <v>16</v>
      </c>
      <c r="M72" s="4">
        <v>3</v>
      </c>
      <c r="N72" s="4" t="s">
        <v>6</v>
      </c>
      <c r="O72" s="4">
        <v>2</v>
      </c>
      <c r="P72" s="4"/>
      <c r="Q72" s="4"/>
      <c r="R72" s="4"/>
      <c r="S72" s="4"/>
      <c r="T72" s="4"/>
      <c r="U72" s="4"/>
      <c r="V72" s="4"/>
      <c r="W72" s="4"/>
    </row>
    <row r="73" spans="1:23" x14ac:dyDescent="0.2">
      <c r="A73" s="4">
        <v>50</v>
      </c>
      <c r="B73" s="4">
        <v>0</v>
      </c>
      <c r="C73" s="4">
        <v>0</v>
      </c>
      <c r="D73" s="4">
        <v>1</v>
      </c>
      <c r="E73" s="4">
        <v>215</v>
      </c>
      <c r="F73" s="4">
        <f>ROUND(Source!AT55,O73)</f>
        <v>0</v>
      </c>
      <c r="G73" s="4" t="s">
        <v>202</v>
      </c>
      <c r="H73" s="4" t="s">
        <v>203</v>
      </c>
      <c r="I73" s="4"/>
      <c r="J73" s="4"/>
      <c r="K73" s="4">
        <v>215</v>
      </c>
      <c r="L73" s="4">
        <v>17</v>
      </c>
      <c r="M73" s="4">
        <v>3</v>
      </c>
      <c r="N73" s="4" t="s">
        <v>6</v>
      </c>
      <c r="O73" s="4">
        <v>2</v>
      </c>
      <c r="P73" s="4"/>
      <c r="Q73" s="4"/>
      <c r="R73" s="4"/>
      <c r="S73" s="4"/>
      <c r="T73" s="4"/>
      <c r="U73" s="4"/>
      <c r="V73" s="4"/>
      <c r="W73" s="4"/>
    </row>
    <row r="74" spans="1:23" x14ac:dyDescent="0.2">
      <c r="A74" s="4">
        <v>50</v>
      </c>
      <c r="B74" s="4">
        <v>0</v>
      </c>
      <c r="C74" s="4">
        <v>0</v>
      </c>
      <c r="D74" s="4">
        <v>1</v>
      </c>
      <c r="E74" s="4">
        <v>217</v>
      </c>
      <c r="F74" s="4">
        <f>ROUND(Source!AU55,O74)</f>
        <v>0</v>
      </c>
      <c r="G74" s="4" t="s">
        <v>204</v>
      </c>
      <c r="H74" s="4" t="s">
        <v>205</v>
      </c>
      <c r="I74" s="4"/>
      <c r="J74" s="4"/>
      <c r="K74" s="4">
        <v>217</v>
      </c>
      <c r="L74" s="4">
        <v>18</v>
      </c>
      <c r="M74" s="4">
        <v>3</v>
      </c>
      <c r="N74" s="4" t="s">
        <v>6</v>
      </c>
      <c r="O74" s="4">
        <v>2</v>
      </c>
      <c r="P74" s="4"/>
      <c r="Q74" s="4"/>
      <c r="R74" s="4"/>
      <c r="S74" s="4"/>
      <c r="T74" s="4"/>
      <c r="U74" s="4"/>
      <c r="V74" s="4"/>
      <c r="W74" s="4"/>
    </row>
    <row r="75" spans="1:23" x14ac:dyDescent="0.2">
      <c r="A75" s="4">
        <v>50</v>
      </c>
      <c r="B75" s="4">
        <v>0</v>
      </c>
      <c r="C75" s="4">
        <v>0</v>
      </c>
      <c r="D75" s="4">
        <v>1</v>
      </c>
      <c r="E75" s="4">
        <v>230</v>
      </c>
      <c r="F75" s="4">
        <f>ROUND(Source!BA55,O75)</f>
        <v>0</v>
      </c>
      <c r="G75" s="4" t="s">
        <v>206</v>
      </c>
      <c r="H75" s="4" t="s">
        <v>207</v>
      </c>
      <c r="I75" s="4"/>
      <c r="J75" s="4"/>
      <c r="K75" s="4">
        <v>230</v>
      </c>
      <c r="L75" s="4">
        <v>19</v>
      </c>
      <c r="M75" s="4">
        <v>3</v>
      </c>
      <c r="N75" s="4" t="s">
        <v>6</v>
      </c>
      <c r="O75" s="4">
        <v>2</v>
      </c>
      <c r="P75" s="4"/>
      <c r="Q75" s="4"/>
      <c r="R75" s="4"/>
      <c r="S75" s="4"/>
      <c r="T75" s="4"/>
      <c r="U75" s="4"/>
      <c r="V75" s="4"/>
      <c r="W75" s="4"/>
    </row>
    <row r="76" spans="1:23" x14ac:dyDescent="0.2">
      <c r="A76" s="4">
        <v>50</v>
      </c>
      <c r="B76" s="4">
        <v>0</v>
      </c>
      <c r="C76" s="4">
        <v>0</v>
      </c>
      <c r="D76" s="4">
        <v>1</v>
      </c>
      <c r="E76" s="4">
        <v>206</v>
      </c>
      <c r="F76" s="4">
        <f>ROUND(Source!T55,O76)</f>
        <v>0</v>
      </c>
      <c r="G76" s="4" t="s">
        <v>208</v>
      </c>
      <c r="H76" s="4" t="s">
        <v>209</v>
      </c>
      <c r="I76" s="4"/>
      <c r="J76" s="4"/>
      <c r="K76" s="4">
        <v>206</v>
      </c>
      <c r="L76" s="4">
        <v>20</v>
      </c>
      <c r="M76" s="4">
        <v>3</v>
      </c>
      <c r="N76" s="4" t="s">
        <v>6</v>
      </c>
      <c r="O76" s="4">
        <v>2</v>
      </c>
      <c r="P76" s="4"/>
      <c r="Q76" s="4"/>
      <c r="R76" s="4"/>
      <c r="S76" s="4"/>
      <c r="T76" s="4"/>
      <c r="U76" s="4"/>
      <c r="V76" s="4"/>
      <c r="W76" s="4"/>
    </row>
    <row r="77" spans="1:23" x14ac:dyDescent="0.2">
      <c r="A77" s="4">
        <v>50</v>
      </c>
      <c r="B77" s="4">
        <v>0</v>
      </c>
      <c r="C77" s="4">
        <v>0</v>
      </c>
      <c r="D77" s="4">
        <v>1</v>
      </c>
      <c r="E77" s="4">
        <v>207</v>
      </c>
      <c r="F77" s="4">
        <f>Source!U55</f>
        <v>4.0261337999999993</v>
      </c>
      <c r="G77" s="4" t="s">
        <v>210</v>
      </c>
      <c r="H77" s="4" t="s">
        <v>211</v>
      </c>
      <c r="I77" s="4"/>
      <c r="J77" s="4"/>
      <c r="K77" s="4">
        <v>207</v>
      </c>
      <c r="L77" s="4">
        <v>21</v>
      </c>
      <c r="M77" s="4">
        <v>3</v>
      </c>
      <c r="N77" s="4" t="s">
        <v>6</v>
      </c>
      <c r="O77" s="4">
        <v>-1</v>
      </c>
      <c r="P77" s="4"/>
      <c r="Q77" s="4"/>
      <c r="R77" s="4"/>
      <c r="S77" s="4"/>
      <c r="T77" s="4"/>
      <c r="U77" s="4"/>
      <c r="V77" s="4"/>
      <c r="W77" s="4"/>
    </row>
    <row r="78" spans="1:23" x14ac:dyDescent="0.2">
      <c r="A78" s="4">
        <v>50</v>
      </c>
      <c r="B78" s="4">
        <v>0</v>
      </c>
      <c r="C78" s="4">
        <v>0</v>
      </c>
      <c r="D78" s="4">
        <v>1</v>
      </c>
      <c r="E78" s="4">
        <v>208</v>
      </c>
      <c r="F78" s="4">
        <f>Source!V55</f>
        <v>0</v>
      </c>
      <c r="G78" s="4" t="s">
        <v>212</v>
      </c>
      <c r="H78" s="4" t="s">
        <v>213</v>
      </c>
      <c r="I78" s="4"/>
      <c r="J78" s="4"/>
      <c r="K78" s="4">
        <v>208</v>
      </c>
      <c r="L78" s="4">
        <v>22</v>
      </c>
      <c r="M78" s="4">
        <v>3</v>
      </c>
      <c r="N78" s="4" t="s">
        <v>6</v>
      </c>
      <c r="O78" s="4">
        <v>-1</v>
      </c>
      <c r="P78" s="4"/>
      <c r="Q78" s="4"/>
      <c r="R78" s="4"/>
      <c r="S78" s="4"/>
      <c r="T78" s="4"/>
      <c r="U78" s="4"/>
      <c r="V78" s="4"/>
      <c r="W78" s="4"/>
    </row>
    <row r="79" spans="1:23" x14ac:dyDescent="0.2">
      <c r="A79" s="4">
        <v>50</v>
      </c>
      <c r="B79" s="4">
        <v>0</v>
      </c>
      <c r="C79" s="4">
        <v>0</v>
      </c>
      <c r="D79" s="4">
        <v>1</v>
      </c>
      <c r="E79" s="4">
        <v>209</v>
      </c>
      <c r="F79" s="4">
        <f>ROUND(Source!W55,O79)</f>
        <v>0</v>
      </c>
      <c r="G79" s="4" t="s">
        <v>214</v>
      </c>
      <c r="H79" s="4" t="s">
        <v>215</v>
      </c>
      <c r="I79" s="4"/>
      <c r="J79" s="4"/>
      <c r="K79" s="4">
        <v>209</v>
      </c>
      <c r="L79" s="4">
        <v>23</v>
      </c>
      <c r="M79" s="4">
        <v>3</v>
      </c>
      <c r="N79" s="4" t="s">
        <v>6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0" spans="1:23" x14ac:dyDescent="0.2">
      <c r="A80" s="4">
        <v>50</v>
      </c>
      <c r="B80" s="4">
        <v>0</v>
      </c>
      <c r="C80" s="4">
        <v>0</v>
      </c>
      <c r="D80" s="4">
        <v>1</v>
      </c>
      <c r="E80" s="4">
        <v>233</v>
      </c>
      <c r="F80" s="4">
        <f>ROUND(Source!BD55,O80)</f>
        <v>0</v>
      </c>
      <c r="G80" s="4" t="s">
        <v>216</v>
      </c>
      <c r="H80" s="4" t="s">
        <v>217</v>
      </c>
      <c r="I80" s="4"/>
      <c r="J80" s="4"/>
      <c r="K80" s="4">
        <v>233</v>
      </c>
      <c r="L80" s="4">
        <v>24</v>
      </c>
      <c r="M80" s="4">
        <v>3</v>
      </c>
      <c r="N80" s="4" t="s">
        <v>6</v>
      </c>
      <c r="O80" s="4">
        <v>2</v>
      </c>
      <c r="P80" s="4"/>
      <c r="Q80" s="4"/>
      <c r="R80" s="4"/>
      <c r="S80" s="4"/>
      <c r="T80" s="4"/>
      <c r="U80" s="4"/>
      <c r="V80" s="4"/>
      <c r="W80" s="4"/>
    </row>
    <row r="81" spans="1:245" x14ac:dyDescent="0.2">
      <c r="A81" s="4">
        <v>50</v>
      </c>
      <c r="B81" s="4">
        <v>0</v>
      </c>
      <c r="C81" s="4">
        <v>0</v>
      </c>
      <c r="D81" s="4">
        <v>1</v>
      </c>
      <c r="E81" s="4">
        <v>210</v>
      </c>
      <c r="F81" s="4">
        <f>ROUND(Source!X55,O81)</f>
        <v>594</v>
      </c>
      <c r="G81" s="4" t="s">
        <v>218</v>
      </c>
      <c r="H81" s="4" t="s">
        <v>219</v>
      </c>
      <c r="I81" s="4"/>
      <c r="J81" s="4"/>
      <c r="K81" s="4">
        <v>210</v>
      </c>
      <c r="L81" s="4">
        <v>25</v>
      </c>
      <c r="M81" s="4">
        <v>3</v>
      </c>
      <c r="N81" s="4" t="s">
        <v>6</v>
      </c>
      <c r="O81" s="4">
        <v>2</v>
      </c>
      <c r="P81" s="4"/>
      <c r="Q81" s="4"/>
      <c r="R81" s="4"/>
      <c r="S81" s="4"/>
      <c r="T81" s="4"/>
      <c r="U81" s="4"/>
      <c r="V81" s="4"/>
      <c r="W81" s="4"/>
    </row>
    <row r="82" spans="1:245" x14ac:dyDescent="0.2">
      <c r="A82" s="4">
        <v>50</v>
      </c>
      <c r="B82" s="4">
        <v>0</v>
      </c>
      <c r="C82" s="4">
        <v>0</v>
      </c>
      <c r="D82" s="4">
        <v>1</v>
      </c>
      <c r="E82" s="4">
        <v>211</v>
      </c>
      <c r="F82" s="4">
        <f>ROUND(Source!Y55,O82)</f>
        <v>333.62</v>
      </c>
      <c r="G82" s="4" t="s">
        <v>220</v>
      </c>
      <c r="H82" s="4" t="s">
        <v>221</v>
      </c>
      <c r="I82" s="4"/>
      <c r="J82" s="4"/>
      <c r="K82" s="4">
        <v>211</v>
      </c>
      <c r="L82" s="4">
        <v>26</v>
      </c>
      <c r="M82" s="4">
        <v>3</v>
      </c>
      <c r="N82" s="4" t="s">
        <v>6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45" x14ac:dyDescent="0.2">
      <c r="A83" s="4">
        <v>50</v>
      </c>
      <c r="B83" s="4">
        <v>0</v>
      </c>
      <c r="C83" s="4">
        <v>0</v>
      </c>
      <c r="D83" s="4">
        <v>1</v>
      </c>
      <c r="E83" s="4">
        <v>224</v>
      </c>
      <c r="F83" s="4">
        <f>ROUND(Source!AR55,O83)</f>
        <v>1741.32</v>
      </c>
      <c r="G83" s="4" t="s">
        <v>222</v>
      </c>
      <c r="H83" s="4" t="s">
        <v>223</v>
      </c>
      <c r="I83" s="4"/>
      <c r="J83" s="4"/>
      <c r="K83" s="4">
        <v>224</v>
      </c>
      <c r="L83" s="4">
        <v>27</v>
      </c>
      <c r="M83" s="4">
        <v>3</v>
      </c>
      <c r="N83" s="4" t="s">
        <v>6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45" x14ac:dyDescent="0.2">
      <c r="A84" s="4">
        <v>50</v>
      </c>
      <c r="B84" s="4">
        <v>1</v>
      </c>
      <c r="C84" s="4">
        <v>0</v>
      </c>
      <c r="D84" s="4">
        <v>2</v>
      </c>
      <c r="E84" s="4">
        <v>0</v>
      </c>
      <c r="F84" s="4">
        <f>ROUND(F83,O84)</f>
        <v>1741.32</v>
      </c>
      <c r="G84" s="4" t="s">
        <v>224</v>
      </c>
      <c r="H84" s="4" t="s">
        <v>225</v>
      </c>
      <c r="I84" s="4"/>
      <c r="J84" s="4"/>
      <c r="K84" s="4">
        <v>212</v>
      </c>
      <c r="L84" s="4">
        <v>28</v>
      </c>
      <c r="M84" s="4">
        <v>0</v>
      </c>
      <c r="N84" s="4" t="s">
        <v>6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6" spans="1:245" x14ac:dyDescent="0.2">
      <c r="A86" s="1">
        <v>4</v>
      </c>
      <c r="B86" s="1">
        <v>1</v>
      </c>
      <c r="C86" s="1"/>
      <c r="D86" s="1">
        <f>ROW(A121)</f>
        <v>121</v>
      </c>
      <c r="E86" s="1"/>
      <c r="F86" s="1" t="s">
        <v>22</v>
      </c>
      <c r="G86" s="1" t="s">
        <v>226</v>
      </c>
      <c r="H86" s="1" t="s">
        <v>6</v>
      </c>
      <c r="I86" s="1">
        <v>0</v>
      </c>
      <c r="J86" s="1"/>
      <c r="K86" s="1">
        <v>0</v>
      </c>
      <c r="L86" s="1"/>
      <c r="M86" s="1"/>
      <c r="N86" s="1"/>
      <c r="O86" s="1"/>
      <c r="P86" s="1"/>
      <c r="Q86" s="1"/>
      <c r="R86" s="1"/>
      <c r="S86" s="1"/>
      <c r="T86" s="1"/>
      <c r="U86" s="1" t="s">
        <v>6</v>
      </c>
      <c r="V86" s="1">
        <v>0</v>
      </c>
      <c r="W86" s="1"/>
      <c r="X86" s="1"/>
      <c r="Y86" s="1"/>
      <c r="Z86" s="1"/>
      <c r="AA86" s="1"/>
      <c r="AB86" s="1" t="s">
        <v>6</v>
      </c>
      <c r="AC86" s="1" t="s">
        <v>6</v>
      </c>
      <c r="AD86" s="1" t="s">
        <v>6</v>
      </c>
      <c r="AE86" s="1" t="s">
        <v>6</v>
      </c>
      <c r="AF86" s="1" t="s">
        <v>6</v>
      </c>
      <c r="AG86" s="1" t="s">
        <v>6</v>
      </c>
      <c r="AH86" s="1"/>
      <c r="AI86" s="1"/>
      <c r="AJ86" s="1"/>
      <c r="AK86" s="1"/>
      <c r="AL86" s="1"/>
      <c r="AM86" s="1"/>
      <c r="AN86" s="1"/>
      <c r="AO86" s="1"/>
      <c r="AP86" s="1" t="s">
        <v>6</v>
      </c>
      <c r="AQ86" s="1" t="s">
        <v>6</v>
      </c>
      <c r="AR86" s="1" t="s">
        <v>6</v>
      </c>
      <c r="AS86" s="1"/>
      <c r="AT86" s="1"/>
      <c r="AU86" s="1"/>
      <c r="AV86" s="1"/>
      <c r="AW86" s="1"/>
      <c r="AX86" s="1"/>
      <c r="AY86" s="1"/>
      <c r="AZ86" s="1" t="s">
        <v>6</v>
      </c>
      <c r="BA86" s="1"/>
      <c r="BB86" s="1" t="s">
        <v>6</v>
      </c>
      <c r="BC86" s="1" t="s">
        <v>6</v>
      </c>
      <c r="BD86" s="1" t="s">
        <v>6</v>
      </c>
      <c r="BE86" s="1" t="s">
        <v>6</v>
      </c>
      <c r="BF86" s="1" t="s">
        <v>6</v>
      </c>
      <c r="BG86" s="1" t="s">
        <v>6</v>
      </c>
      <c r="BH86" s="1" t="s">
        <v>6</v>
      </c>
      <c r="BI86" s="1" t="s">
        <v>6</v>
      </c>
      <c r="BJ86" s="1" t="s">
        <v>6</v>
      </c>
      <c r="BK86" s="1" t="s">
        <v>6</v>
      </c>
      <c r="BL86" s="1" t="s">
        <v>6</v>
      </c>
      <c r="BM86" s="1" t="s">
        <v>6</v>
      </c>
      <c r="BN86" s="1" t="s">
        <v>6</v>
      </c>
      <c r="BO86" s="1" t="s">
        <v>6</v>
      </c>
      <c r="BP86" s="1" t="s">
        <v>6</v>
      </c>
      <c r="BQ86" s="1"/>
      <c r="BR86" s="1"/>
      <c r="BS86" s="1"/>
      <c r="BT86" s="1"/>
      <c r="BU86" s="1"/>
      <c r="BV86" s="1"/>
      <c r="BW86" s="1"/>
      <c r="BX86" s="1">
        <v>0</v>
      </c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>
        <v>0</v>
      </c>
    </row>
    <row r="88" spans="1:245" x14ac:dyDescent="0.2">
      <c r="A88" s="2">
        <v>52</v>
      </c>
      <c r="B88" s="2">
        <f t="shared" ref="B88:G88" si="63">B121</f>
        <v>1</v>
      </c>
      <c r="C88" s="2">
        <f t="shared" si="63"/>
        <v>4</v>
      </c>
      <c r="D88" s="2">
        <f t="shared" si="63"/>
        <v>86</v>
      </c>
      <c r="E88" s="2">
        <f t="shared" si="63"/>
        <v>0</v>
      </c>
      <c r="F88" s="2" t="str">
        <f t="shared" si="63"/>
        <v>Новый раздел</v>
      </c>
      <c r="G88" s="2" t="str">
        <f t="shared" si="63"/>
        <v>Монтажные работы</v>
      </c>
      <c r="H88" s="2"/>
      <c r="I88" s="2"/>
      <c r="J88" s="2"/>
      <c r="K88" s="2"/>
      <c r="L88" s="2"/>
      <c r="M88" s="2"/>
      <c r="N88" s="2"/>
      <c r="O88" s="2">
        <f t="shared" ref="O88:AT88" si="64">O121</f>
        <v>8798817.9000000004</v>
      </c>
      <c r="P88" s="2">
        <f t="shared" si="64"/>
        <v>7644945.7400000002</v>
      </c>
      <c r="Q88" s="2">
        <f t="shared" si="64"/>
        <v>246973.21</v>
      </c>
      <c r="R88" s="2">
        <f t="shared" si="64"/>
        <v>117510.76</v>
      </c>
      <c r="S88" s="2">
        <f t="shared" si="64"/>
        <v>906898.95</v>
      </c>
      <c r="T88" s="2">
        <f t="shared" si="64"/>
        <v>0</v>
      </c>
      <c r="U88" s="2">
        <f t="shared" si="64"/>
        <v>3534.3779623799992</v>
      </c>
      <c r="V88" s="2">
        <f t="shared" si="64"/>
        <v>0</v>
      </c>
      <c r="W88" s="2">
        <f t="shared" si="64"/>
        <v>0</v>
      </c>
      <c r="X88" s="2">
        <f t="shared" si="64"/>
        <v>816209.05</v>
      </c>
      <c r="Y88" s="2">
        <f t="shared" si="64"/>
        <v>389966.54</v>
      </c>
      <c r="Z88" s="2">
        <f t="shared" si="64"/>
        <v>0</v>
      </c>
      <c r="AA88" s="2">
        <f t="shared" si="64"/>
        <v>0</v>
      </c>
      <c r="AB88" s="2">
        <f t="shared" si="64"/>
        <v>8798817.9000000004</v>
      </c>
      <c r="AC88" s="2">
        <f t="shared" si="64"/>
        <v>7644945.7400000002</v>
      </c>
      <c r="AD88" s="2">
        <f t="shared" si="64"/>
        <v>246973.21</v>
      </c>
      <c r="AE88" s="2">
        <f t="shared" si="64"/>
        <v>117510.76</v>
      </c>
      <c r="AF88" s="2">
        <f t="shared" si="64"/>
        <v>906898.95</v>
      </c>
      <c r="AG88" s="2">
        <f t="shared" si="64"/>
        <v>0</v>
      </c>
      <c r="AH88" s="2">
        <f t="shared" si="64"/>
        <v>3534.3779623799992</v>
      </c>
      <c r="AI88" s="2">
        <f t="shared" si="64"/>
        <v>0</v>
      </c>
      <c r="AJ88" s="2">
        <f t="shared" si="64"/>
        <v>0</v>
      </c>
      <c r="AK88" s="2">
        <f t="shared" si="64"/>
        <v>816209.05</v>
      </c>
      <c r="AL88" s="2">
        <f t="shared" si="64"/>
        <v>389966.54</v>
      </c>
      <c r="AM88" s="2">
        <f t="shared" si="64"/>
        <v>0</v>
      </c>
      <c r="AN88" s="2">
        <f t="shared" si="64"/>
        <v>0</v>
      </c>
      <c r="AO88" s="2">
        <f t="shared" si="64"/>
        <v>0</v>
      </c>
      <c r="AP88" s="2">
        <f t="shared" si="64"/>
        <v>0</v>
      </c>
      <c r="AQ88" s="2">
        <f t="shared" si="64"/>
        <v>0</v>
      </c>
      <c r="AR88" s="2">
        <f t="shared" si="64"/>
        <v>10189485.380000001</v>
      </c>
      <c r="AS88" s="2">
        <f t="shared" si="64"/>
        <v>278822.81</v>
      </c>
      <c r="AT88" s="2">
        <f t="shared" si="64"/>
        <v>9910662.5700000003</v>
      </c>
      <c r="AU88" s="2">
        <f t="shared" ref="AU88:BZ88" si="65">AU121</f>
        <v>0</v>
      </c>
      <c r="AV88" s="2">
        <f t="shared" si="65"/>
        <v>7644945.7400000002</v>
      </c>
      <c r="AW88" s="2">
        <f t="shared" si="65"/>
        <v>7644945.7400000002</v>
      </c>
      <c r="AX88" s="2">
        <f t="shared" si="65"/>
        <v>0</v>
      </c>
      <c r="AY88" s="2">
        <f t="shared" si="65"/>
        <v>7644945.7400000002</v>
      </c>
      <c r="AZ88" s="2">
        <f t="shared" si="65"/>
        <v>0</v>
      </c>
      <c r="BA88" s="2">
        <f t="shared" si="65"/>
        <v>0</v>
      </c>
      <c r="BB88" s="2">
        <f t="shared" si="65"/>
        <v>0</v>
      </c>
      <c r="BC88" s="2">
        <f t="shared" si="65"/>
        <v>0</v>
      </c>
      <c r="BD88" s="2">
        <f t="shared" si="65"/>
        <v>0</v>
      </c>
      <c r="BE88" s="2">
        <f t="shared" si="65"/>
        <v>0</v>
      </c>
      <c r="BF88" s="2">
        <f t="shared" si="65"/>
        <v>0</v>
      </c>
      <c r="BG88" s="2">
        <f t="shared" si="65"/>
        <v>0</v>
      </c>
      <c r="BH88" s="2">
        <f t="shared" si="65"/>
        <v>0</v>
      </c>
      <c r="BI88" s="2">
        <f t="shared" si="65"/>
        <v>0</v>
      </c>
      <c r="BJ88" s="2">
        <f t="shared" si="65"/>
        <v>0</v>
      </c>
      <c r="BK88" s="2">
        <f t="shared" si="65"/>
        <v>0</v>
      </c>
      <c r="BL88" s="2">
        <f t="shared" si="65"/>
        <v>0</v>
      </c>
      <c r="BM88" s="2">
        <f t="shared" si="65"/>
        <v>0</v>
      </c>
      <c r="BN88" s="2">
        <f t="shared" si="65"/>
        <v>0</v>
      </c>
      <c r="BO88" s="2">
        <f t="shared" si="65"/>
        <v>0</v>
      </c>
      <c r="BP88" s="2">
        <f t="shared" si="65"/>
        <v>0</v>
      </c>
      <c r="BQ88" s="2">
        <f t="shared" si="65"/>
        <v>0</v>
      </c>
      <c r="BR88" s="2">
        <f t="shared" si="65"/>
        <v>0</v>
      </c>
      <c r="BS88" s="2">
        <f t="shared" si="65"/>
        <v>0</v>
      </c>
      <c r="BT88" s="2">
        <f t="shared" si="65"/>
        <v>0</v>
      </c>
      <c r="BU88" s="2">
        <f t="shared" si="65"/>
        <v>0</v>
      </c>
      <c r="BV88" s="2">
        <f t="shared" si="65"/>
        <v>0</v>
      </c>
      <c r="BW88" s="2">
        <f t="shared" si="65"/>
        <v>0</v>
      </c>
      <c r="BX88" s="2">
        <f t="shared" si="65"/>
        <v>0</v>
      </c>
      <c r="BY88" s="2">
        <f t="shared" si="65"/>
        <v>0</v>
      </c>
      <c r="BZ88" s="2">
        <f t="shared" si="65"/>
        <v>0</v>
      </c>
      <c r="CA88" s="2">
        <f t="shared" ref="CA88:DF88" si="66">CA121</f>
        <v>10189485.380000001</v>
      </c>
      <c r="CB88" s="2">
        <f t="shared" si="66"/>
        <v>278822.81</v>
      </c>
      <c r="CC88" s="2">
        <f t="shared" si="66"/>
        <v>9910662.5700000003</v>
      </c>
      <c r="CD88" s="2">
        <f t="shared" si="66"/>
        <v>0</v>
      </c>
      <c r="CE88" s="2">
        <f t="shared" si="66"/>
        <v>7644945.7400000002</v>
      </c>
      <c r="CF88" s="2">
        <f t="shared" si="66"/>
        <v>7644945.7400000002</v>
      </c>
      <c r="CG88" s="2">
        <f t="shared" si="66"/>
        <v>0</v>
      </c>
      <c r="CH88" s="2">
        <f t="shared" si="66"/>
        <v>7644945.7400000002</v>
      </c>
      <c r="CI88" s="2">
        <f t="shared" si="66"/>
        <v>0</v>
      </c>
      <c r="CJ88" s="2">
        <f t="shared" si="66"/>
        <v>0</v>
      </c>
      <c r="CK88" s="2">
        <f t="shared" si="66"/>
        <v>0</v>
      </c>
      <c r="CL88" s="2">
        <f t="shared" si="66"/>
        <v>0</v>
      </c>
      <c r="CM88" s="2">
        <f t="shared" si="66"/>
        <v>0</v>
      </c>
      <c r="CN88" s="2">
        <f t="shared" si="66"/>
        <v>0</v>
      </c>
      <c r="CO88" s="2">
        <f t="shared" si="66"/>
        <v>0</v>
      </c>
      <c r="CP88" s="2">
        <f t="shared" si="66"/>
        <v>0</v>
      </c>
      <c r="CQ88" s="2">
        <f t="shared" si="66"/>
        <v>0</v>
      </c>
      <c r="CR88" s="2">
        <f t="shared" si="66"/>
        <v>0</v>
      </c>
      <c r="CS88" s="2">
        <f t="shared" si="66"/>
        <v>0</v>
      </c>
      <c r="CT88" s="2">
        <f t="shared" si="66"/>
        <v>0</v>
      </c>
      <c r="CU88" s="2">
        <f t="shared" si="66"/>
        <v>0</v>
      </c>
      <c r="CV88" s="2">
        <f t="shared" si="66"/>
        <v>0</v>
      </c>
      <c r="CW88" s="2">
        <f t="shared" si="66"/>
        <v>0</v>
      </c>
      <c r="CX88" s="2">
        <f t="shared" si="66"/>
        <v>0</v>
      </c>
      <c r="CY88" s="2">
        <f t="shared" si="66"/>
        <v>0</v>
      </c>
      <c r="CZ88" s="2">
        <f t="shared" si="66"/>
        <v>0</v>
      </c>
      <c r="DA88" s="2">
        <f t="shared" si="66"/>
        <v>0</v>
      </c>
      <c r="DB88" s="2">
        <f t="shared" si="66"/>
        <v>0</v>
      </c>
      <c r="DC88" s="2">
        <f t="shared" si="66"/>
        <v>0</v>
      </c>
      <c r="DD88" s="2">
        <f t="shared" si="66"/>
        <v>0</v>
      </c>
      <c r="DE88" s="2">
        <f t="shared" si="66"/>
        <v>0</v>
      </c>
      <c r="DF88" s="2">
        <f t="shared" si="66"/>
        <v>0</v>
      </c>
      <c r="DG88" s="3">
        <f t="shared" ref="DG88:EL88" si="67">DG121</f>
        <v>0</v>
      </c>
      <c r="DH88" s="3">
        <f t="shared" si="67"/>
        <v>0</v>
      </c>
      <c r="DI88" s="3">
        <f t="shared" si="67"/>
        <v>0</v>
      </c>
      <c r="DJ88" s="3">
        <f t="shared" si="67"/>
        <v>0</v>
      </c>
      <c r="DK88" s="3">
        <f t="shared" si="67"/>
        <v>0</v>
      </c>
      <c r="DL88" s="3">
        <f t="shared" si="67"/>
        <v>0</v>
      </c>
      <c r="DM88" s="3">
        <f t="shared" si="67"/>
        <v>0</v>
      </c>
      <c r="DN88" s="3">
        <f t="shared" si="67"/>
        <v>0</v>
      </c>
      <c r="DO88" s="3">
        <f t="shared" si="67"/>
        <v>0</v>
      </c>
      <c r="DP88" s="3">
        <f t="shared" si="67"/>
        <v>0</v>
      </c>
      <c r="DQ88" s="3">
        <f t="shared" si="67"/>
        <v>0</v>
      </c>
      <c r="DR88" s="3">
        <f t="shared" si="67"/>
        <v>0</v>
      </c>
      <c r="DS88" s="3">
        <f t="shared" si="67"/>
        <v>0</v>
      </c>
      <c r="DT88" s="3">
        <f t="shared" si="67"/>
        <v>0</v>
      </c>
      <c r="DU88" s="3">
        <f t="shared" si="67"/>
        <v>0</v>
      </c>
      <c r="DV88" s="3">
        <f t="shared" si="67"/>
        <v>0</v>
      </c>
      <c r="DW88" s="3">
        <f t="shared" si="67"/>
        <v>0</v>
      </c>
      <c r="DX88" s="3">
        <f t="shared" si="67"/>
        <v>0</v>
      </c>
      <c r="DY88" s="3">
        <f t="shared" si="67"/>
        <v>0</v>
      </c>
      <c r="DZ88" s="3">
        <f t="shared" si="67"/>
        <v>0</v>
      </c>
      <c r="EA88" s="3">
        <f t="shared" si="67"/>
        <v>0</v>
      </c>
      <c r="EB88" s="3">
        <f t="shared" si="67"/>
        <v>0</v>
      </c>
      <c r="EC88" s="3">
        <f t="shared" si="67"/>
        <v>0</v>
      </c>
      <c r="ED88" s="3">
        <f t="shared" si="67"/>
        <v>0</v>
      </c>
      <c r="EE88" s="3">
        <f t="shared" si="67"/>
        <v>0</v>
      </c>
      <c r="EF88" s="3">
        <f t="shared" si="67"/>
        <v>0</v>
      </c>
      <c r="EG88" s="3">
        <f t="shared" si="67"/>
        <v>0</v>
      </c>
      <c r="EH88" s="3">
        <f t="shared" si="67"/>
        <v>0</v>
      </c>
      <c r="EI88" s="3">
        <f t="shared" si="67"/>
        <v>0</v>
      </c>
      <c r="EJ88" s="3">
        <f t="shared" si="67"/>
        <v>0</v>
      </c>
      <c r="EK88" s="3">
        <f t="shared" si="67"/>
        <v>0</v>
      </c>
      <c r="EL88" s="3">
        <f t="shared" si="67"/>
        <v>0</v>
      </c>
      <c r="EM88" s="3">
        <f t="shared" ref="EM88:FR88" si="68">EM121</f>
        <v>0</v>
      </c>
      <c r="EN88" s="3">
        <f t="shared" si="68"/>
        <v>0</v>
      </c>
      <c r="EO88" s="3">
        <f t="shared" si="68"/>
        <v>0</v>
      </c>
      <c r="EP88" s="3">
        <f t="shared" si="68"/>
        <v>0</v>
      </c>
      <c r="EQ88" s="3">
        <f t="shared" si="68"/>
        <v>0</v>
      </c>
      <c r="ER88" s="3">
        <f t="shared" si="68"/>
        <v>0</v>
      </c>
      <c r="ES88" s="3">
        <f t="shared" si="68"/>
        <v>0</v>
      </c>
      <c r="ET88" s="3">
        <f t="shared" si="68"/>
        <v>0</v>
      </c>
      <c r="EU88" s="3">
        <f t="shared" si="68"/>
        <v>0</v>
      </c>
      <c r="EV88" s="3">
        <f t="shared" si="68"/>
        <v>0</v>
      </c>
      <c r="EW88" s="3">
        <f t="shared" si="68"/>
        <v>0</v>
      </c>
      <c r="EX88" s="3">
        <f t="shared" si="68"/>
        <v>0</v>
      </c>
      <c r="EY88" s="3">
        <f t="shared" si="68"/>
        <v>0</v>
      </c>
      <c r="EZ88" s="3">
        <f t="shared" si="68"/>
        <v>0</v>
      </c>
      <c r="FA88" s="3">
        <f t="shared" si="68"/>
        <v>0</v>
      </c>
      <c r="FB88" s="3">
        <f t="shared" si="68"/>
        <v>0</v>
      </c>
      <c r="FC88" s="3">
        <f t="shared" si="68"/>
        <v>0</v>
      </c>
      <c r="FD88" s="3">
        <f t="shared" si="68"/>
        <v>0</v>
      </c>
      <c r="FE88" s="3">
        <f t="shared" si="68"/>
        <v>0</v>
      </c>
      <c r="FF88" s="3">
        <f t="shared" si="68"/>
        <v>0</v>
      </c>
      <c r="FG88" s="3">
        <f t="shared" si="68"/>
        <v>0</v>
      </c>
      <c r="FH88" s="3">
        <f t="shared" si="68"/>
        <v>0</v>
      </c>
      <c r="FI88" s="3">
        <f t="shared" si="68"/>
        <v>0</v>
      </c>
      <c r="FJ88" s="3">
        <f t="shared" si="68"/>
        <v>0</v>
      </c>
      <c r="FK88" s="3">
        <f t="shared" si="68"/>
        <v>0</v>
      </c>
      <c r="FL88" s="3">
        <f t="shared" si="68"/>
        <v>0</v>
      </c>
      <c r="FM88" s="3">
        <f t="shared" si="68"/>
        <v>0</v>
      </c>
      <c r="FN88" s="3">
        <f t="shared" si="68"/>
        <v>0</v>
      </c>
      <c r="FO88" s="3">
        <f t="shared" si="68"/>
        <v>0</v>
      </c>
      <c r="FP88" s="3">
        <f t="shared" si="68"/>
        <v>0</v>
      </c>
      <c r="FQ88" s="3">
        <f t="shared" si="68"/>
        <v>0</v>
      </c>
      <c r="FR88" s="3">
        <f t="shared" si="68"/>
        <v>0</v>
      </c>
      <c r="FS88" s="3">
        <f t="shared" ref="FS88:GX88" si="69">FS121</f>
        <v>0</v>
      </c>
      <c r="FT88" s="3">
        <f t="shared" si="69"/>
        <v>0</v>
      </c>
      <c r="FU88" s="3">
        <f t="shared" si="69"/>
        <v>0</v>
      </c>
      <c r="FV88" s="3">
        <f t="shared" si="69"/>
        <v>0</v>
      </c>
      <c r="FW88" s="3">
        <f t="shared" si="69"/>
        <v>0</v>
      </c>
      <c r="FX88" s="3">
        <f t="shared" si="69"/>
        <v>0</v>
      </c>
      <c r="FY88" s="3">
        <f t="shared" si="69"/>
        <v>0</v>
      </c>
      <c r="FZ88" s="3">
        <f t="shared" si="69"/>
        <v>0</v>
      </c>
      <c r="GA88" s="3">
        <f t="shared" si="69"/>
        <v>0</v>
      </c>
      <c r="GB88" s="3">
        <f t="shared" si="69"/>
        <v>0</v>
      </c>
      <c r="GC88" s="3">
        <f t="shared" si="69"/>
        <v>0</v>
      </c>
      <c r="GD88" s="3">
        <f t="shared" si="69"/>
        <v>0</v>
      </c>
      <c r="GE88" s="3">
        <f t="shared" si="69"/>
        <v>0</v>
      </c>
      <c r="GF88" s="3">
        <f t="shared" si="69"/>
        <v>0</v>
      </c>
      <c r="GG88" s="3">
        <f t="shared" si="69"/>
        <v>0</v>
      </c>
      <c r="GH88" s="3">
        <f t="shared" si="69"/>
        <v>0</v>
      </c>
      <c r="GI88" s="3">
        <f t="shared" si="69"/>
        <v>0</v>
      </c>
      <c r="GJ88" s="3">
        <f t="shared" si="69"/>
        <v>0</v>
      </c>
      <c r="GK88" s="3">
        <f t="shared" si="69"/>
        <v>0</v>
      </c>
      <c r="GL88" s="3">
        <f t="shared" si="69"/>
        <v>0</v>
      </c>
      <c r="GM88" s="3">
        <f t="shared" si="69"/>
        <v>0</v>
      </c>
      <c r="GN88" s="3">
        <f t="shared" si="69"/>
        <v>0</v>
      </c>
      <c r="GO88" s="3">
        <f t="shared" si="69"/>
        <v>0</v>
      </c>
      <c r="GP88" s="3">
        <f t="shared" si="69"/>
        <v>0</v>
      </c>
      <c r="GQ88" s="3">
        <f t="shared" si="69"/>
        <v>0</v>
      </c>
      <c r="GR88" s="3">
        <f t="shared" si="69"/>
        <v>0</v>
      </c>
      <c r="GS88" s="3">
        <f t="shared" si="69"/>
        <v>0</v>
      </c>
      <c r="GT88" s="3">
        <f t="shared" si="69"/>
        <v>0</v>
      </c>
      <c r="GU88" s="3">
        <f t="shared" si="69"/>
        <v>0</v>
      </c>
      <c r="GV88" s="3">
        <f t="shared" si="69"/>
        <v>0</v>
      </c>
      <c r="GW88" s="3">
        <f t="shared" si="69"/>
        <v>0</v>
      </c>
      <c r="GX88" s="3">
        <f t="shared" si="69"/>
        <v>0</v>
      </c>
    </row>
    <row r="90" spans="1:245" x14ac:dyDescent="0.2">
      <c r="A90">
        <v>17</v>
      </c>
      <c r="B90">
        <v>1</v>
      </c>
      <c r="D90">
        <f>ROW(EtalonRes!A60)</f>
        <v>60</v>
      </c>
      <c r="E90" t="s">
        <v>24</v>
      </c>
      <c r="F90" t="s">
        <v>227</v>
      </c>
      <c r="G90" t="s">
        <v>228</v>
      </c>
      <c r="H90" t="s">
        <v>118</v>
      </c>
      <c r="I90">
        <v>0</v>
      </c>
      <c r="J90">
        <v>0</v>
      </c>
      <c r="O90">
        <f t="shared" ref="O90:O119" si="70">ROUND(CP90,2)</f>
        <v>0</v>
      </c>
      <c r="P90">
        <f t="shared" ref="P90:P119" si="71">ROUND((ROUND((AC90*AW90*I90),2)*BC90),2)</f>
        <v>0</v>
      </c>
      <c r="Q90">
        <f>(ROUND((ROUND((((ET90*1.15*1.2*0.3))*AV90*I90),2)*BB90),2)+ROUND((ROUND(((AE90-((EU90*1.15*1.2*0.3)))*AV90*I90),2)*BS90),2))</f>
        <v>0</v>
      </c>
      <c r="R90">
        <f t="shared" ref="R90:R119" si="72">ROUND((ROUND((AE90*AV90*I90),2)*BS90),2)</f>
        <v>0</v>
      </c>
      <c r="S90">
        <f t="shared" ref="S90:S119" si="73">ROUND((ROUND((AF90*AV90*I90),2)*BA90),2)</f>
        <v>0</v>
      </c>
      <c r="T90">
        <f t="shared" ref="T90:T119" si="74">ROUND(CU90*I90,2)</f>
        <v>0</v>
      </c>
      <c r="U90">
        <f t="shared" ref="U90:U119" si="75">CV90*I90</f>
        <v>0</v>
      </c>
      <c r="V90">
        <f t="shared" ref="V90:V119" si="76">CW90*I90</f>
        <v>0</v>
      </c>
      <c r="W90">
        <f t="shared" ref="W90:W119" si="77">ROUND(CX90*I90,2)</f>
        <v>0</v>
      </c>
      <c r="X90">
        <f t="shared" ref="X90:X119" si="78">ROUND(CY90,2)</f>
        <v>0</v>
      </c>
      <c r="Y90">
        <f t="shared" ref="Y90:Y119" si="79">ROUND(CZ90,2)</f>
        <v>0</v>
      </c>
      <c r="AA90">
        <v>44176454</v>
      </c>
      <c r="AB90">
        <f t="shared" ref="AB90:AB119" si="80">ROUND((AC90+AD90+AF90),6)</f>
        <v>472.01382000000001</v>
      </c>
      <c r="AC90">
        <f>ROUND(((ES90*0)),6)</f>
        <v>0</v>
      </c>
      <c r="AD90">
        <f>ROUND(((((ET90*1.15*1.2*0.3))-((EU90*1.15*1.2*0.3)))+AE90),6)</f>
        <v>335.72088000000002</v>
      </c>
      <c r="AE90">
        <f>ROUND(((EU90*1.15*1.2*0.3)),6)</f>
        <v>56.014200000000002</v>
      </c>
      <c r="AF90">
        <f>ROUND(((EV90*1.15*1.2*0.3)),6)</f>
        <v>136.29293999999999</v>
      </c>
      <c r="AG90">
        <f t="shared" ref="AG90:AG119" si="81">ROUND((AP90),6)</f>
        <v>0</v>
      </c>
      <c r="AH90">
        <f>((EW90*1.15*1.2*0.3))</f>
        <v>11.053799999999999</v>
      </c>
      <c r="AI90">
        <f>((EX90*1.15*1.2*0.3))</f>
        <v>0</v>
      </c>
      <c r="AJ90">
        <f t="shared" ref="AJ90:AJ119" si="82">(AS90)</f>
        <v>0</v>
      </c>
      <c r="AK90">
        <v>1170.3699999999999</v>
      </c>
      <c r="AL90">
        <v>30.24</v>
      </c>
      <c r="AM90">
        <v>810.92</v>
      </c>
      <c r="AN90">
        <v>135.30000000000001</v>
      </c>
      <c r="AO90">
        <v>329.21</v>
      </c>
      <c r="AP90">
        <v>0</v>
      </c>
      <c r="AQ90">
        <v>26.7</v>
      </c>
      <c r="AR90">
        <v>0</v>
      </c>
      <c r="AS90">
        <v>0</v>
      </c>
      <c r="AT90">
        <v>90</v>
      </c>
      <c r="AU90">
        <v>43</v>
      </c>
      <c r="AV90">
        <v>1.0669999999999999</v>
      </c>
      <c r="AW90">
        <v>1.081</v>
      </c>
      <c r="AZ90">
        <v>1</v>
      </c>
      <c r="BA90">
        <v>21.43</v>
      </c>
      <c r="BB90">
        <v>7.96</v>
      </c>
      <c r="BC90">
        <v>5.36</v>
      </c>
      <c r="BD90" t="s">
        <v>6</v>
      </c>
      <c r="BE90" t="s">
        <v>6</v>
      </c>
      <c r="BF90" t="s">
        <v>6</v>
      </c>
      <c r="BG90" t="s">
        <v>6</v>
      </c>
      <c r="BH90">
        <v>0</v>
      </c>
      <c r="BI90">
        <v>2</v>
      </c>
      <c r="BJ90" t="s">
        <v>229</v>
      </c>
      <c r="BM90">
        <v>318</v>
      </c>
      <c r="BN90">
        <v>0</v>
      </c>
      <c r="BO90" t="s">
        <v>227</v>
      </c>
      <c r="BP90">
        <v>1</v>
      </c>
      <c r="BQ90">
        <v>40</v>
      </c>
      <c r="BR90">
        <v>0</v>
      </c>
      <c r="BS90">
        <v>21.43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6</v>
      </c>
      <c r="BZ90">
        <v>90</v>
      </c>
      <c r="CA90">
        <v>43</v>
      </c>
      <c r="CE90">
        <v>30</v>
      </c>
      <c r="CF90">
        <v>0</v>
      </c>
      <c r="CG90">
        <v>0</v>
      </c>
      <c r="CM90">
        <v>0</v>
      </c>
      <c r="CN90" t="s">
        <v>6</v>
      </c>
      <c r="CO90">
        <v>0</v>
      </c>
      <c r="CP90">
        <f t="shared" ref="CP90:CP119" si="83">(P90+Q90+S90)</f>
        <v>0</v>
      </c>
      <c r="CQ90">
        <f t="shared" ref="CQ90:CQ119" si="84">ROUND((ROUND((AC90*AW90*1),2)*BC90),2)</f>
        <v>0</v>
      </c>
      <c r="CR90">
        <f>(ROUND((ROUND((((ET90*1.15*1.2*0.3))*AV90*1),2)*BB90),2)+ROUND((ROUND(((AE90-((EU90*1.15*1.2*0.3)))*AV90*1),2)*BS90),2))</f>
        <v>2851.35</v>
      </c>
      <c r="CS90">
        <f t="shared" ref="CS90:CS119" si="85">ROUND((ROUND((AE90*AV90*1),2)*BS90),2)</f>
        <v>1280.8699999999999</v>
      </c>
      <c r="CT90">
        <f t="shared" ref="CT90:CT119" si="86">ROUND((ROUND((AF90*AV90*1),2)*BA90),2)</f>
        <v>3116.35</v>
      </c>
      <c r="CU90">
        <f t="shared" ref="CU90:CU119" si="87">AG90</f>
        <v>0</v>
      </c>
      <c r="CV90">
        <f t="shared" ref="CV90:CV119" si="88">(AH90*AV90)</f>
        <v>11.794404599999998</v>
      </c>
      <c r="CW90">
        <f t="shared" ref="CW90:CW119" si="89">AI90</f>
        <v>0</v>
      </c>
      <c r="CX90">
        <f t="shared" ref="CX90:CX119" si="90">AJ90</f>
        <v>0</v>
      </c>
      <c r="CY90">
        <f t="shared" ref="CY90:CY119" si="91">S90*(BZ90/100)</f>
        <v>0</v>
      </c>
      <c r="CZ90">
        <f t="shared" ref="CZ90:CZ119" si="92">S90*(CA90/100)</f>
        <v>0</v>
      </c>
      <c r="DC90" t="s">
        <v>6</v>
      </c>
      <c r="DD90" t="s">
        <v>230</v>
      </c>
      <c r="DE90" t="s">
        <v>231</v>
      </c>
      <c r="DF90" t="s">
        <v>231</v>
      </c>
      <c r="DG90" t="s">
        <v>231</v>
      </c>
      <c r="DH90" t="s">
        <v>6</v>
      </c>
      <c r="DI90" t="s">
        <v>231</v>
      </c>
      <c r="DJ90" t="s">
        <v>231</v>
      </c>
      <c r="DK90" t="s">
        <v>6</v>
      </c>
      <c r="DL90" t="s">
        <v>6</v>
      </c>
      <c r="DM90" t="s">
        <v>6</v>
      </c>
      <c r="DN90">
        <v>112</v>
      </c>
      <c r="DO90">
        <v>70</v>
      </c>
      <c r="DP90">
        <v>1.0669999999999999</v>
      </c>
      <c r="DQ90">
        <v>1.081</v>
      </c>
      <c r="DU90">
        <v>1013</v>
      </c>
      <c r="DV90" t="s">
        <v>118</v>
      </c>
      <c r="DW90" t="s">
        <v>118</v>
      </c>
      <c r="DX90">
        <v>1</v>
      </c>
      <c r="EE90">
        <v>44064137</v>
      </c>
      <c r="EF90">
        <v>40</v>
      </c>
      <c r="EG90" t="s">
        <v>232</v>
      </c>
      <c r="EH90">
        <v>0</v>
      </c>
      <c r="EI90" t="s">
        <v>6</v>
      </c>
      <c r="EJ90">
        <v>2</v>
      </c>
      <c r="EK90">
        <v>318</v>
      </c>
      <c r="EL90" t="s">
        <v>233</v>
      </c>
      <c r="EM90" t="s">
        <v>234</v>
      </c>
      <c r="EO90" t="s">
        <v>235</v>
      </c>
      <c r="EQ90">
        <v>131072</v>
      </c>
      <c r="ER90">
        <v>1170.3699999999999</v>
      </c>
      <c r="ES90">
        <v>30.24</v>
      </c>
      <c r="ET90">
        <v>810.92</v>
      </c>
      <c r="EU90">
        <v>135.30000000000001</v>
      </c>
      <c r="EV90">
        <v>329.21</v>
      </c>
      <c r="EW90">
        <v>26.7</v>
      </c>
      <c r="EX90">
        <v>0</v>
      </c>
      <c r="EY90">
        <v>0</v>
      </c>
      <c r="FQ90">
        <v>0</v>
      </c>
      <c r="FR90">
        <f t="shared" ref="FR90:FR119" si="93">ROUND(IF(AND(BH90=3,BI90=3),P90,0),2)</f>
        <v>0</v>
      </c>
      <c r="FS90">
        <v>0</v>
      </c>
      <c r="FX90">
        <v>112</v>
      </c>
      <c r="FY90">
        <v>70</v>
      </c>
      <c r="GA90" t="s">
        <v>6</v>
      </c>
      <c r="GD90">
        <v>0</v>
      </c>
      <c r="GF90">
        <v>-1202005904</v>
      </c>
      <c r="GG90">
        <v>2</v>
      </c>
      <c r="GH90">
        <v>1</v>
      </c>
      <c r="GI90">
        <v>2</v>
      </c>
      <c r="GJ90">
        <v>0</v>
      </c>
      <c r="GK90">
        <f>ROUND(R90*(R12)/100,2)</f>
        <v>0</v>
      </c>
      <c r="GL90">
        <f t="shared" ref="GL90:GL119" si="94">ROUND(IF(AND(BH90=3,BI90=3,FS90&lt;&gt;0),P90,0),2)</f>
        <v>0</v>
      </c>
      <c r="GM90">
        <f t="shared" ref="GM90:GM119" si="95">ROUND(O90+X90+Y90+GK90,2)+GX90</f>
        <v>0</v>
      </c>
      <c r="GN90">
        <f t="shared" ref="GN90:GN119" si="96">IF(OR(BI90=0,BI90=1),ROUND(O90+X90+Y90+GK90,2),0)</f>
        <v>0</v>
      </c>
      <c r="GO90">
        <f t="shared" ref="GO90:GO119" si="97">IF(BI90=2,ROUND(O90+X90+Y90+GK90,2),0)</f>
        <v>0</v>
      </c>
      <c r="GP90">
        <f t="shared" ref="GP90:GP119" si="98">IF(BI90=4,ROUND(O90+X90+Y90+GK90,2)+GX90,0)</f>
        <v>0</v>
      </c>
      <c r="GR90">
        <v>0</v>
      </c>
      <c r="GS90">
        <v>0</v>
      </c>
      <c r="GT90">
        <v>0</v>
      </c>
      <c r="GU90" t="s">
        <v>6</v>
      </c>
      <c r="GV90">
        <f t="shared" ref="GV90:GV119" si="99">ROUND((GT90),6)</f>
        <v>0</v>
      </c>
      <c r="GW90">
        <v>1</v>
      </c>
      <c r="GX90">
        <f t="shared" ref="GX90:GX119" si="100">ROUND(HC90*I90,2)</f>
        <v>0</v>
      </c>
      <c r="HA90">
        <v>0</v>
      </c>
      <c r="HB90">
        <v>0</v>
      </c>
      <c r="HC90">
        <f t="shared" ref="HC90:HC119" si="101">GV90*GW90</f>
        <v>0</v>
      </c>
      <c r="IK90">
        <v>0</v>
      </c>
    </row>
    <row r="91" spans="1:245" x14ac:dyDescent="0.2">
      <c r="A91">
        <v>17</v>
      </c>
      <c r="B91">
        <v>1</v>
      </c>
      <c r="D91">
        <f>ROW(EtalonRes!A62)</f>
        <v>62</v>
      </c>
      <c r="E91" t="s">
        <v>34</v>
      </c>
      <c r="F91" t="s">
        <v>236</v>
      </c>
      <c r="G91" t="s">
        <v>237</v>
      </c>
      <c r="H91" t="s">
        <v>238</v>
      </c>
      <c r="I91">
        <f>ROUND(840*2/100,9)</f>
        <v>16.8</v>
      </c>
      <c r="J91">
        <v>0</v>
      </c>
      <c r="O91">
        <f t="shared" si="70"/>
        <v>352032.15</v>
      </c>
      <c r="P91">
        <f t="shared" si="71"/>
        <v>16973.14</v>
      </c>
      <c r="Q91">
        <f>(ROUND((ROUND((((ET91*1.15))*AV91*I91),2)*BB91),2)+ROUND((ROUND(((AE91-((EU91*1.15)))*AV91*I91),2)*BS91),2))</f>
        <v>50284.1</v>
      </c>
      <c r="R91">
        <f t="shared" si="72"/>
        <v>25220.32</v>
      </c>
      <c r="S91">
        <f t="shared" si="73"/>
        <v>284774.90999999997</v>
      </c>
      <c r="T91">
        <f t="shared" si="74"/>
        <v>0</v>
      </c>
      <c r="U91">
        <f t="shared" si="75"/>
        <v>1094.7415247999998</v>
      </c>
      <c r="V91">
        <f t="shared" si="76"/>
        <v>0</v>
      </c>
      <c r="W91">
        <f t="shared" si="77"/>
        <v>0</v>
      </c>
      <c r="X91">
        <f t="shared" si="78"/>
        <v>256297.42</v>
      </c>
      <c r="Y91">
        <f t="shared" si="79"/>
        <v>122453.21</v>
      </c>
      <c r="AA91">
        <v>44176454</v>
      </c>
      <c r="AB91">
        <f t="shared" si="80"/>
        <v>1281.4845</v>
      </c>
      <c r="AC91">
        <f t="shared" ref="AC91:AC97" si="102">ROUND((ES91),6)</f>
        <v>188.49</v>
      </c>
      <c r="AD91">
        <f>ROUND(((((ET91*1.15))-((EU91*1.15)))+AE91),6)</f>
        <v>337.51350000000002</v>
      </c>
      <c r="AE91">
        <f>ROUND(((EU91*1.15)),6)</f>
        <v>66.906999999999996</v>
      </c>
      <c r="AF91">
        <f>ROUND(((EV91*1.15)),6)</f>
        <v>755.48099999999999</v>
      </c>
      <c r="AG91">
        <f t="shared" si="81"/>
        <v>0</v>
      </c>
      <c r="AH91">
        <f>((EW91*1.15))</f>
        <v>62.237999999999992</v>
      </c>
      <c r="AI91">
        <f>((EX91*1.15))</f>
        <v>0</v>
      </c>
      <c r="AJ91">
        <f t="shared" si="82"/>
        <v>0</v>
      </c>
      <c r="AK91">
        <v>1138.92</v>
      </c>
      <c r="AL91">
        <v>188.49</v>
      </c>
      <c r="AM91">
        <v>293.49</v>
      </c>
      <c r="AN91">
        <v>58.18</v>
      </c>
      <c r="AO91">
        <v>656.94</v>
      </c>
      <c r="AP91">
        <v>0</v>
      </c>
      <c r="AQ91">
        <v>54.12</v>
      </c>
      <c r="AR91">
        <v>0</v>
      </c>
      <c r="AS91">
        <v>0</v>
      </c>
      <c r="AT91">
        <v>90</v>
      </c>
      <c r="AU91">
        <v>43</v>
      </c>
      <c r="AV91">
        <v>1.0469999999999999</v>
      </c>
      <c r="AW91">
        <v>1</v>
      </c>
      <c r="AZ91">
        <v>1</v>
      </c>
      <c r="BA91">
        <v>21.43</v>
      </c>
      <c r="BB91">
        <v>8.4700000000000006</v>
      </c>
      <c r="BC91">
        <v>5.36</v>
      </c>
      <c r="BD91" t="s">
        <v>6</v>
      </c>
      <c r="BE91" t="s">
        <v>6</v>
      </c>
      <c r="BF91" t="s">
        <v>6</v>
      </c>
      <c r="BG91" t="s">
        <v>6</v>
      </c>
      <c r="BH91">
        <v>0</v>
      </c>
      <c r="BI91">
        <v>2</v>
      </c>
      <c r="BJ91" t="s">
        <v>239</v>
      </c>
      <c r="BM91">
        <v>1608</v>
      </c>
      <c r="BN91">
        <v>0</v>
      </c>
      <c r="BO91" t="s">
        <v>236</v>
      </c>
      <c r="BP91">
        <v>1</v>
      </c>
      <c r="BQ91">
        <v>40</v>
      </c>
      <c r="BR91">
        <v>0</v>
      </c>
      <c r="BS91">
        <v>21.43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6</v>
      </c>
      <c r="BZ91">
        <v>90</v>
      </c>
      <c r="CA91">
        <v>43</v>
      </c>
      <c r="CE91">
        <v>30</v>
      </c>
      <c r="CF91">
        <v>0</v>
      </c>
      <c r="CG91">
        <v>0</v>
      </c>
      <c r="CM91">
        <v>0</v>
      </c>
      <c r="CN91" t="s">
        <v>518</v>
      </c>
      <c r="CO91">
        <v>0</v>
      </c>
      <c r="CP91">
        <f t="shared" si="83"/>
        <v>352032.14999999997</v>
      </c>
      <c r="CQ91">
        <f t="shared" si="84"/>
        <v>1010.31</v>
      </c>
      <c r="CR91">
        <f>(ROUND((ROUND((((ET91*1.15))*AV91*1),2)*BB91),2)+ROUND((ROUND(((AE91-((EU91*1.15)))*AV91*1),2)*BS91),2))</f>
        <v>2993.13</v>
      </c>
      <c r="CS91">
        <f t="shared" si="85"/>
        <v>1501.17</v>
      </c>
      <c r="CT91">
        <f t="shared" si="86"/>
        <v>16950.919999999998</v>
      </c>
      <c r="CU91">
        <f t="shared" si="87"/>
        <v>0</v>
      </c>
      <c r="CV91">
        <f t="shared" si="88"/>
        <v>65.163185999999982</v>
      </c>
      <c r="CW91">
        <f t="shared" si="89"/>
        <v>0</v>
      </c>
      <c r="CX91">
        <f t="shared" si="90"/>
        <v>0</v>
      </c>
      <c r="CY91">
        <f t="shared" si="91"/>
        <v>256297.41899999999</v>
      </c>
      <c r="CZ91">
        <f t="shared" si="92"/>
        <v>122453.21129999998</v>
      </c>
      <c r="DC91" t="s">
        <v>6</v>
      </c>
      <c r="DD91" t="s">
        <v>6</v>
      </c>
      <c r="DE91" t="s">
        <v>99</v>
      </c>
      <c r="DF91" t="s">
        <v>99</v>
      </c>
      <c r="DG91" t="s">
        <v>240</v>
      </c>
      <c r="DH91" t="s">
        <v>6</v>
      </c>
      <c r="DI91" t="s">
        <v>240</v>
      </c>
      <c r="DJ91" t="s">
        <v>99</v>
      </c>
      <c r="DK91" t="s">
        <v>6</v>
      </c>
      <c r="DL91" t="s">
        <v>6</v>
      </c>
      <c r="DM91" t="s">
        <v>6</v>
      </c>
      <c r="DN91">
        <v>112</v>
      </c>
      <c r="DO91">
        <v>70</v>
      </c>
      <c r="DP91">
        <v>1.0669999999999999</v>
      </c>
      <c r="DQ91">
        <v>1.081</v>
      </c>
      <c r="DU91">
        <v>1003</v>
      </c>
      <c r="DV91" t="s">
        <v>238</v>
      </c>
      <c r="DW91" t="s">
        <v>238</v>
      </c>
      <c r="DX91">
        <v>100</v>
      </c>
      <c r="EE91">
        <v>44065427</v>
      </c>
      <c r="EF91">
        <v>40</v>
      </c>
      <c r="EG91" t="s">
        <v>232</v>
      </c>
      <c r="EH91">
        <v>0</v>
      </c>
      <c r="EI91" t="s">
        <v>6</v>
      </c>
      <c r="EJ91">
        <v>2</v>
      </c>
      <c r="EK91">
        <v>1608</v>
      </c>
      <c r="EL91" t="s">
        <v>241</v>
      </c>
      <c r="EM91" t="s">
        <v>242</v>
      </c>
      <c r="EO91" t="s">
        <v>243</v>
      </c>
      <c r="EQ91">
        <v>131072</v>
      </c>
      <c r="ER91">
        <v>1138.92</v>
      </c>
      <c r="ES91">
        <v>188.49</v>
      </c>
      <c r="ET91">
        <v>293.49</v>
      </c>
      <c r="EU91">
        <v>58.18</v>
      </c>
      <c r="EV91">
        <v>656.94</v>
      </c>
      <c r="EW91">
        <v>54.12</v>
      </c>
      <c r="EX91">
        <v>0</v>
      </c>
      <c r="EY91">
        <v>0</v>
      </c>
      <c r="FQ91">
        <v>0</v>
      </c>
      <c r="FR91">
        <f t="shared" si="93"/>
        <v>0</v>
      </c>
      <c r="FS91">
        <v>0</v>
      </c>
      <c r="FX91">
        <v>112</v>
      </c>
      <c r="FY91">
        <v>70</v>
      </c>
      <c r="GA91" t="s">
        <v>6</v>
      </c>
      <c r="GD91">
        <v>0</v>
      </c>
      <c r="GF91">
        <v>-1494825786</v>
      </c>
      <c r="GG91">
        <v>2</v>
      </c>
      <c r="GH91">
        <v>1</v>
      </c>
      <c r="GI91">
        <v>2</v>
      </c>
      <c r="GJ91">
        <v>0</v>
      </c>
      <c r="GK91">
        <f>ROUND(R91*(R12)/100,2)</f>
        <v>39595.9</v>
      </c>
      <c r="GL91">
        <f t="shared" si="94"/>
        <v>0</v>
      </c>
      <c r="GM91">
        <f t="shared" si="95"/>
        <v>770378.68</v>
      </c>
      <c r="GN91">
        <f t="shared" si="96"/>
        <v>0</v>
      </c>
      <c r="GO91">
        <f t="shared" si="97"/>
        <v>770378.68</v>
      </c>
      <c r="GP91">
        <f t="shared" si="98"/>
        <v>0</v>
      </c>
      <c r="GR91">
        <v>0</v>
      </c>
      <c r="GS91">
        <v>0</v>
      </c>
      <c r="GT91">
        <v>0</v>
      </c>
      <c r="GU91" t="s">
        <v>6</v>
      </c>
      <c r="GV91">
        <f t="shared" si="99"/>
        <v>0</v>
      </c>
      <c r="GW91">
        <v>1</v>
      </c>
      <c r="GX91">
        <f t="shared" si="100"/>
        <v>0</v>
      </c>
      <c r="HA91">
        <v>0</v>
      </c>
      <c r="HB91">
        <v>0</v>
      </c>
      <c r="HC91">
        <f t="shared" si="101"/>
        <v>0</v>
      </c>
      <c r="IK91">
        <v>0</v>
      </c>
    </row>
    <row r="92" spans="1:245" x14ac:dyDescent="0.2">
      <c r="A92">
        <v>17</v>
      </c>
      <c r="B92">
        <v>1</v>
      </c>
      <c r="D92">
        <f>ROW(EtalonRes!A63)</f>
        <v>63</v>
      </c>
      <c r="E92" t="s">
        <v>40</v>
      </c>
      <c r="F92" t="s">
        <v>244</v>
      </c>
      <c r="G92" t="s">
        <v>245</v>
      </c>
      <c r="H92" t="s">
        <v>118</v>
      </c>
      <c r="I92">
        <f>ROUND(0,9)</f>
        <v>0</v>
      </c>
      <c r="J92">
        <v>0</v>
      </c>
      <c r="O92">
        <f t="shared" si="70"/>
        <v>0</v>
      </c>
      <c r="P92">
        <f t="shared" si="71"/>
        <v>0</v>
      </c>
      <c r="Q92">
        <f>(ROUND((ROUND((((ET92*1.38))*AV92*I92),2)*BB92),2)+ROUND((ROUND(((AE92-((EU92*1.38)))*AV92*I92),2)*BS92),2))</f>
        <v>0</v>
      </c>
      <c r="R92">
        <f t="shared" si="72"/>
        <v>0</v>
      </c>
      <c r="S92">
        <f t="shared" si="73"/>
        <v>0</v>
      </c>
      <c r="T92">
        <f t="shared" si="74"/>
        <v>0</v>
      </c>
      <c r="U92">
        <f t="shared" si="75"/>
        <v>0</v>
      </c>
      <c r="V92">
        <f t="shared" si="76"/>
        <v>0</v>
      </c>
      <c r="W92">
        <f t="shared" si="77"/>
        <v>0</v>
      </c>
      <c r="X92">
        <f t="shared" si="78"/>
        <v>0</v>
      </c>
      <c r="Y92">
        <f t="shared" si="79"/>
        <v>0</v>
      </c>
      <c r="AA92">
        <v>44176454</v>
      </c>
      <c r="AB92">
        <f t="shared" si="80"/>
        <v>505.13760000000002</v>
      </c>
      <c r="AC92">
        <f t="shared" si="102"/>
        <v>35.909999999999997</v>
      </c>
      <c r="AD92">
        <f>ROUND(((((ET92*1.38))-((EU92*1.38)))+AE92),6)</f>
        <v>128.9196</v>
      </c>
      <c r="AE92">
        <f>ROUND(((EU92*1.38)),6)</f>
        <v>29.324999999999999</v>
      </c>
      <c r="AF92">
        <f>ROUND(((EV92*1.38)),6)</f>
        <v>340.30799999999999</v>
      </c>
      <c r="AG92">
        <f t="shared" si="81"/>
        <v>0</v>
      </c>
      <c r="AH92">
        <f>((EW92*1.38))</f>
        <v>27.599999999999998</v>
      </c>
      <c r="AI92">
        <f>((EX92*1.38))</f>
        <v>0</v>
      </c>
      <c r="AJ92">
        <f t="shared" si="82"/>
        <v>0</v>
      </c>
      <c r="AK92">
        <v>375.93</v>
      </c>
      <c r="AL92">
        <v>35.909999999999997</v>
      </c>
      <c r="AM92">
        <v>93.42</v>
      </c>
      <c r="AN92">
        <v>21.25</v>
      </c>
      <c r="AO92">
        <v>246.6</v>
      </c>
      <c r="AP92">
        <v>0</v>
      </c>
      <c r="AQ92">
        <v>20</v>
      </c>
      <c r="AR92">
        <v>0</v>
      </c>
      <c r="AS92">
        <v>0</v>
      </c>
      <c r="AT92">
        <v>90</v>
      </c>
      <c r="AU92">
        <v>43</v>
      </c>
      <c r="AV92">
        <v>1.0669999999999999</v>
      </c>
      <c r="AW92">
        <v>1.081</v>
      </c>
      <c r="AZ92">
        <v>1</v>
      </c>
      <c r="BA92">
        <v>21.43</v>
      </c>
      <c r="BB92">
        <v>8.94</v>
      </c>
      <c r="BC92">
        <v>5.36</v>
      </c>
      <c r="BD92" t="s">
        <v>6</v>
      </c>
      <c r="BE92" t="s">
        <v>6</v>
      </c>
      <c r="BF92" t="s">
        <v>6</v>
      </c>
      <c r="BG92" t="s">
        <v>6</v>
      </c>
      <c r="BH92">
        <v>0</v>
      </c>
      <c r="BI92">
        <v>2</v>
      </c>
      <c r="BJ92" t="s">
        <v>246</v>
      </c>
      <c r="BM92">
        <v>318</v>
      </c>
      <c r="BN92">
        <v>0</v>
      </c>
      <c r="BO92" t="s">
        <v>244</v>
      </c>
      <c r="BP92">
        <v>1</v>
      </c>
      <c r="BQ92">
        <v>40</v>
      </c>
      <c r="BR92">
        <v>0</v>
      </c>
      <c r="BS92">
        <v>21.43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6</v>
      </c>
      <c r="BZ92">
        <v>90</v>
      </c>
      <c r="CA92">
        <v>43</v>
      </c>
      <c r="CE92">
        <v>30</v>
      </c>
      <c r="CF92">
        <v>0</v>
      </c>
      <c r="CG92">
        <v>0</v>
      </c>
      <c r="CM92">
        <v>0</v>
      </c>
      <c r="CN92" t="s">
        <v>6</v>
      </c>
      <c r="CO92">
        <v>0</v>
      </c>
      <c r="CP92">
        <f t="shared" si="83"/>
        <v>0</v>
      </c>
      <c r="CQ92">
        <f t="shared" si="84"/>
        <v>208.08</v>
      </c>
      <c r="CR92">
        <f>(ROUND((ROUND((((ET92*1.38))*AV92*1),2)*BB92),2)+ROUND((ROUND(((AE92-((EU92*1.38)))*AV92*1),2)*BS92),2))</f>
        <v>1229.79</v>
      </c>
      <c r="CS92">
        <f t="shared" si="85"/>
        <v>670.54</v>
      </c>
      <c r="CT92">
        <f t="shared" si="86"/>
        <v>7781.45</v>
      </c>
      <c r="CU92">
        <f t="shared" si="87"/>
        <v>0</v>
      </c>
      <c r="CV92">
        <f t="shared" si="88"/>
        <v>29.449199999999998</v>
      </c>
      <c r="CW92">
        <f t="shared" si="89"/>
        <v>0</v>
      </c>
      <c r="CX92">
        <f t="shared" si="90"/>
        <v>0</v>
      </c>
      <c r="CY92">
        <f t="shared" si="91"/>
        <v>0</v>
      </c>
      <c r="CZ92">
        <f t="shared" si="92"/>
        <v>0</v>
      </c>
      <c r="DC92" t="s">
        <v>6</v>
      </c>
      <c r="DD92" t="s">
        <v>6</v>
      </c>
      <c r="DE92" t="s">
        <v>247</v>
      </c>
      <c r="DF92" t="s">
        <v>247</v>
      </c>
      <c r="DG92" t="s">
        <v>247</v>
      </c>
      <c r="DH92" t="s">
        <v>6</v>
      </c>
      <c r="DI92" t="s">
        <v>247</v>
      </c>
      <c r="DJ92" t="s">
        <v>247</v>
      </c>
      <c r="DK92" t="s">
        <v>6</v>
      </c>
      <c r="DL92" t="s">
        <v>6</v>
      </c>
      <c r="DM92" t="s">
        <v>6</v>
      </c>
      <c r="DN92">
        <v>112</v>
      </c>
      <c r="DO92">
        <v>70</v>
      </c>
      <c r="DP92">
        <v>1.0669999999999999</v>
      </c>
      <c r="DQ92">
        <v>1.081</v>
      </c>
      <c r="DU92">
        <v>1013</v>
      </c>
      <c r="DV92" t="s">
        <v>118</v>
      </c>
      <c r="DW92" t="s">
        <v>118</v>
      </c>
      <c r="DX92">
        <v>1</v>
      </c>
      <c r="EE92">
        <v>44064137</v>
      </c>
      <c r="EF92">
        <v>40</v>
      </c>
      <c r="EG92" t="s">
        <v>232</v>
      </c>
      <c r="EH92">
        <v>0</v>
      </c>
      <c r="EI92" t="s">
        <v>6</v>
      </c>
      <c r="EJ92">
        <v>2</v>
      </c>
      <c r="EK92">
        <v>318</v>
      </c>
      <c r="EL92" t="s">
        <v>233</v>
      </c>
      <c r="EM92" t="s">
        <v>234</v>
      </c>
      <c r="EO92" t="s">
        <v>6</v>
      </c>
      <c r="EQ92">
        <v>131072</v>
      </c>
      <c r="ER92">
        <v>375.93</v>
      </c>
      <c r="ES92">
        <v>35.909999999999997</v>
      </c>
      <c r="ET92">
        <v>93.42</v>
      </c>
      <c r="EU92">
        <v>21.25</v>
      </c>
      <c r="EV92">
        <v>246.6</v>
      </c>
      <c r="EW92">
        <v>20</v>
      </c>
      <c r="EX92">
        <v>0</v>
      </c>
      <c r="EY92">
        <v>0</v>
      </c>
      <c r="FQ92">
        <v>0</v>
      </c>
      <c r="FR92">
        <f t="shared" si="93"/>
        <v>0</v>
      </c>
      <c r="FS92">
        <v>0</v>
      </c>
      <c r="FX92">
        <v>112</v>
      </c>
      <c r="FY92">
        <v>70</v>
      </c>
      <c r="GA92" t="s">
        <v>6</v>
      </c>
      <c r="GD92">
        <v>0</v>
      </c>
      <c r="GF92">
        <v>-1910333819</v>
      </c>
      <c r="GG92">
        <v>2</v>
      </c>
      <c r="GH92">
        <v>1</v>
      </c>
      <c r="GI92">
        <v>2</v>
      </c>
      <c r="GJ92">
        <v>0</v>
      </c>
      <c r="GK92">
        <f>ROUND(R92*(R12)/100,2)</f>
        <v>0</v>
      </c>
      <c r="GL92">
        <f t="shared" si="94"/>
        <v>0</v>
      </c>
      <c r="GM92">
        <f t="shared" si="95"/>
        <v>0</v>
      </c>
      <c r="GN92">
        <f t="shared" si="96"/>
        <v>0</v>
      </c>
      <c r="GO92">
        <f t="shared" si="97"/>
        <v>0</v>
      </c>
      <c r="GP92">
        <f t="shared" si="98"/>
        <v>0</v>
      </c>
      <c r="GR92">
        <v>0</v>
      </c>
      <c r="GS92">
        <v>0</v>
      </c>
      <c r="GT92">
        <v>0</v>
      </c>
      <c r="GU92" t="s">
        <v>6</v>
      </c>
      <c r="GV92">
        <f t="shared" si="99"/>
        <v>0</v>
      </c>
      <c r="GW92">
        <v>1</v>
      </c>
      <c r="GX92">
        <f t="shared" si="100"/>
        <v>0</v>
      </c>
      <c r="HA92">
        <v>0</v>
      </c>
      <c r="HB92">
        <v>0</v>
      </c>
      <c r="HC92">
        <f t="shared" si="101"/>
        <v>0</v>
      </c>
      <c r="IK92">
        <v>0</v>
      </c>
    </row>
    <row r="93" spans="1:245" x14ac:dyDescent="0.2">
      <c r="A93">
        <v>17</v>
      </c>
      <c r="B93">
        <v>1</v>
      </c>
      <c r="E93" t="s">
        <v>58</v>
      </c>
      <c r="F93" t="s">
        <v>248</v>
      </c>
      <c r="G93" t="s">
        <v>249</v>
      </c>
      <c r="H93" t="s">
        <v>250</v>
      </c>
      <c r="I93">
        <f>ROUND(I91*1.02*3/10,9)</f>
        <v>5.1407999999999996</v>
      </c>
      <c r="J93">
        <v>0</v>
      </c>
      <c r="O93">
        <f t="shared" si="70"/>
        <v>5378178.3799999999</v>
      </c>
      <c r="P93">
        <f t="shared" si="71"/>
        <v>5378178.3799999999</v>
      </c>
      <c r="Q93">
        <f>(ROUND((ROUND(((ET93)*AV93*I93),2)*BB93),2)+ROUND((ROUND(((AE93-(EU93))*AV93*I93),2)*BS93),2))</f>
        <v>0</v>
      </c>
      <c r="R93">
        <f t="shared" si="72"/>
        <v>0</v>
      </c>
      <c r="S93">
        <f t="shared" si="73"/>
        <v>0</v>
      </c>
      <c r="T93">
        <f t="shared" si="74"/>
        <v>0</v>
      </c>
      <c r="U93">
        <f t="shared" si="75"/>
        <v>0</v>
      </c>
      <c r="V93">
        <f t="shared" si="76"/>
        <v>0</v>
      </c>
      <c r="W93">
        <f t="shared" si="77"/>
        <v>0</v>
      </c>
      <c r="X93">
        <f t="shared" si="78"/>
        <v>0</v>
      </c>
      <c r="Y93">
        <f t="shared" si="79"/>
        <v>0</v>
      </c>
      <c r="AA93">
        <v>44176454</v>
      </c>
      <c r="AB93">
        <f t="shared" si="80"/>
        <v>165011.89000000001</v>
      </c>
      <c r="AC93">
        <f t="shared" si="102"/>
        <v>165011.89000000001</v>
      </c>
      <c r="AD93">
        <f>ROUND((((ET93)-(EU93))+AE93),6)</f>
        <v>0</v>
      </c>
      <c r="AE93">
        <f>ROUND((EU93),6)</f>
        <v>0</v>
      </c>
      <c r="AF93">
        <f>ROUND((EV93),6)</f>
        <v>0</v>
      </c>
      <c r="AG93">
        <f t="shared" si="81"/>
        <v>0</v>
      </c>
      <c r="AH93">
        <f>(EW93)</f>
        <v>0</v>
      </c>
      <c r="AI93">
        <f>(EX93)</f>
        <v>0</v>
      </c>
      <c r="AJ93">
        <f t="shared" si="82"/>
        <v>0</v>
      </c>
      <c r="AK93">
        <v>165011.89000000001</v>
      </c>
      <c r="AL93">
        <v>165011.89000000001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6.34</v>
      </c>
      <c r="BD93" t="s">
        <v>6</v>
      </c>
      <c r="BE93" t="s">
        <v>6</v>
      </c>
      <c r="BF93" t="s">
        <v>6</v>
      </c>
      <c r="BG93" t="s">
        <v>6</v>
      </c>
      <c r="BH93">
        <v>3</v>
      </c>
      <c r="BI93">
        <v>2</v>
      </c>
      <c r="BJ93" t="s">
        <v>251</v>
      </c>
      <c r="BM93">
        <v>1618</v>
      </c>
      <c r="BN93">
        <v>0</v>
      </c>
      <c r="BO93" t="s">
        <v>248</v>
      </c>
      <c r="BP93">
        <v>1</v>
      </c>
      <c r="BQ93">
        <v>201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6</v>
      </c>
      <c r="BZ93">
        <v>0</v>
      </c>
      <c r="CA93">
        <v>0</v>
      </c>
      <c r="CE93">
        <v>30</v>
      </c>
      <c r="CF93">
        <v>0</v>
      </c>
      <c r="CG93">
        <v>0</v>
      </c>
      <c r="CM93">
        <v>0</v>
      </c>
      <c r="CN93" t="s">
        <v>6</v>
      </c>
      <c r="CO93">
        <v>0</v>
      </c>
      <c r="CP93">
        <f t="shared" si="83"/>
        <v>5378178.3799999999</v>
      </c>
      <c r="CQ93">
        <f t="shared" si="84"/>
        <v>1046175.38</v>
      </c>
      <c r="CR93">
        <f>(ROUND((ROUND(((ET93)*AV93*1),2)*BB93),2)+ROUND((ROUND(((AE93-(EU93))*AV93*1),2)*BS93),2))</f>
        <v>0</v>
      </c>
      <c r="CS93">
        <f t="shared" si="85"/>
        <v>0</v>
      </c>
      <c r="CT93">
        <f t="shared" si="86"/>
        <v>0</v>
      </c>
      <c r="CU93">
        <f t="shared" si="87"/>
        <v>0</v>
      </c>
      <c r="CV93">
        <f t="shared" si="88"/>
        <v>0</v>
      </c>
      <c r="CW93">
        <f t="shared" si="89"/>
        <v>0</v>
      </c>
      <c r="CX93">
        <f t="shared" si="90"/>
        <v>0</v>
      </c>
      <c r="CY93">
        <f t="shared" si="91"/>
        <v>0</v>
      </c>
      <c r="CZ93">
        <f t="shared" si="92"/>
        <v>0</v>
      </c>
      <c r="DC93" t="s">
        <v>6</v>
      </c>
      <c r="DD93" t="s">
        <v>6</v>
      </c>
      <c r="DE93" t="s">
        <v>6</v>
      </c>
      <c r="DF93" t="s">
        <v>6</v>
      </c>
      <c r="DG93" t="s">
        <v>6</v>
      </c>
      <c r="DH93" t="s">
        <v>6</v>
      </c>
      <c r="DI93" t="s">
        <v>6</v>
      </c>
      <c r="DJ93" t="s">
        <v>6</v>
      </c>
      <c r="DK93" t="s">
        <v>6</v>
      </c>
      <c r="DL93" t="s">
        <v>6</v>
      </c>
      <c r="DM93" t="s">
        <v>6</v>
      </c>
      <c r="DN93">
        <v>0</v>
      </c>
      <c r="DO93">
        <v>0</v>
      </c>
      <c r="DP93">
        <v>1</v>
      </c>
      <c r="DQ93">
        <v>1</v>
      </c>
      <c r="DU93">
        <v>1003</v>
      </c>
      <c r="DV93" t="s">
        <v>250</v>
      </c>
      <c r="DW93" t="s">
        <v>250</v>
      </c>
      <c r="DX93">
        <v>1000</v>
      </c>
      <c r="EE93">
        <v>44065437</v>
      </c>
      <c r="EF93">
        <v>201</v>
      </c>
      <c r="EG93" t="s">
        <v>252</v>
      </c>
      <c r="EH93">
        <v>0</v>
      </c>
      <c r="EI93" t="s">
        <v>6</v>
      </c>
      <c r="EJ93">
        <v>2</v>
      </c>
      <c r="EK93">
        <v>1618</v>
      </c>
      <c r="EL93" t="s">
        <v>253</v>
      </c>
      <c r="EM93" t="s">
        <v>254</v>
      </c>
      <c r="EO93" t="s">
        <v>6</v>
      </c>
      <c r="EQ93">
        <v>131072</v>
      </c>
      <c r="ER93">
        <v>165011.89000000001</v>
      </c>
      <c r="ES93">
        <v>165011.89000000001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FQ93">
        <v>0</v>
      </c>
      <c r="FR93">
        <f t="shared" si="93"/>
        <v>0</v>
      </c>
      <c r="FS93">
        <v>0</v>
      </c>
      <c r="FX93">
        <v>0</v>
      </c>
      <c r="FY93">
        <v>0</v>
      </c>
      <c r="GA93" t="s">
        <v>6</v>
      </c>
      <c r="GD93">
        <v>0</v>
      </c>
      <c r="GF93">
        <v>1350178207</v>
      </c>
      <c r="GG93">
        <v>2</v>
      </c>
      <c r="GH93">
        <v>1</v>
      </c>
      <c r="GI93">
        <v>2</v>
      </c>
      <c r="GJ93">
        <v>0</v>
      </c>
      <c r="GK93">
        <f>ROUND(R93*(R12)/100,2)</f>
        <v>0</v>
      </c>
      <c r="GL93">
        <f t="shared" si="94"/>
        <v>0</v>
      </c>
      <c r="GM93">
        <f t="shared" si="95"/>
        <v>5378178.3799999999</v>
      </c>
      <c r="GN93">
        <f t="shared" si="96"/>
        <v>0</v>
      </c>
      <c r="GO93">
        <f t="shared" si="97"/>
        <v>5378178.3799999999</v>
      </c>
      <c r="GP93">
        <f t="shared" si="98"/>
        <v>0</v>
      </c>
      <c r="GR93">
        <v>0</v>
      </c>
      <c r="GS93">
        <v>0</v>
      </c>
      <c r="GT93">
        <v>0</v>
      </c>
      <c r="GU93" t="s">
        <v>6</v>
      </c>
      <c r="GV93">
        <f t="shared" si="99"/>
        <v>0</v>
      </c>
      <c r="GW93">
        <v>1</v>
      </c>
      <c r="GX93">
        <f t="shared" si="100"/>
        <v>0</v>
      </c>
      <c r="HA93">
        <v>0</v>
      </c>
      <c r="HB93">
        <v>0</v>
      </c>
      <c r="HC93">
        <f t="shared" si="101"/>
        <v>0</v>
      </c>
      <c r="IK93">
        <v>0</v>
      </c>
    </row>
    <row r="94" spans="1:245" x14ac:dyDescent="0.2">
      <c r="A94">
        <v>17</v>
      </c>
      <c r="B94">
        <v>1</v>
      </c>
      <c r="D94">
        <f>ROW(EtalonRes!A65)</f>
        <v>65</v>
      </c>
      <c r="E94" t="s">
        <v>81</v>
      </c>
      <c r="F94" t="s">
        <v>236</v>
      </c>
      <c r="G94" t="s">
        <v>237</v>
      </c>
      <c r="H94" t="s">
        <v>238</v>
      </c>
      <c r="I94">
        <v>0</v>
      </c>
      <c r="J94">
        <v>0</v>
      </c>
      <c r="O94">
        <f t="shared" si="70"/>
        <v>0</v>
      </c>
      <c r="P94">
        <f t="shared" si="71"/>
        <v>0</v>
      </c>
      <c r="Q94">
        <f>(ROUND((ROUND((((ET94*1.15))*AV94*I94),2)*BB94),2)+ROUND((ROUND(((AE94-((EU94*1.15)))*AV94*I94),2)*BS94),2))</f>
        <v>0</v>
      </c>
      <c r="R94">
        <f t="shared" si="72"/>
        <v>0</v>
      </c>
      <c r="S94">
        <f t="shared" si="73"/>
        <v>0</v>
      </c>
      <c r="T94">
        <f t="shared" si="74"/>
        <v>0</v>
      </c>
      <c r="U94">
        <f t="shared" si="75"/>
        <v>0</v>
      </c>
      <c r="V94">
        <f t="shared" si="76"/>
        <v>0</v>
      </c>
      <c r="W94">
        <f t="shared" si="77"/>
        <v>0</v>
      </c>
      <c r="X94">
        <f t="shared" si="78"/>
        <v>0</v>
      </c>
      <c r="Y94">
        <f t="shared" si="79"/>
        <v>0</v>
      </c>
      <c r="AA94">
        <v>44176454</v>
      </c>
      <c r="AB94">
        <f t="shared" si="80"/>
        <v>1281.4845</v>
      </c>
      <c r="AC94">
        <f t="shared" si="102"/>
        <v>188.49</v>
      </c>
      <c r="AD94">
        <f>ROUND(((((ET94*1.15))-((EU94*1.15)))+AE94),6)</f>
        <v>337.51350000000002</v>
      </c>
      <c r="AE94">
        <f>ROUND(((EU94*1.15)),6)</f>
        <v>66.906999999999996</v>
      </c>
      <c r="AF94">
        <f>ROUND(((EV94*1.15)),6)</f>
        <v>755.48099999999999</v>
      </c>
      <c r="AG94">
        <f t="shared" si="81"/>
        <v>0</v>
      </c>
      <c r="AH94">
        <f>((EW94*1.15))</f>
        <v>62.237999999999992</v>
      </c>
      <c r="AI94">
        <f>((EX94*1.15))</f>
        <v>0</v>
      </c>
      <c r="AJ94">
        <f t="shared" si="82"/>
        <v>0</v>
      </c>
      <c r="AK94">
        <v>1138.92</v>
      </c>
      <c r="AL94">
        <v>188.49</v>
      </c>
      <c r="AM94">
        <v>293.49</v>
      </c>
      <c r="AN94">
        <v>58.18</v>
      </c>
      <c r="AO94">
        <v>656.94</v>
      </c>
      <c r="AP94">
        <v>0</v>
      </c>
      <c r="AQ94">
        <v>54.12</v>
      </c>
      <c r="AR94">
        <v>0</v>
      </c>
      <c r="AS94">
        <v>0</v>
      </c>
      <c r="AT94">
        <v>90</v>
      </c>
      <c r="AU94">
        <v>43</v>
      </c>
      <c r="AV94">
        <v>1.0469999999999999</v>
      </c>
      <c r="AW94">
        <v>1</v>
      </c>
      <c r="AZ94">
        <v>1</v>
      </c>
      <c r="BA94">
        <v>21.43</v>
      </c>
      <c r="BB94">
        <v>8.4700000000000006</v>
      </c>
      <c r="BC94">
        <v>5.36</v>
      </c>
      <c r="BD94" t="s">
        <v>6</v>
      </c>
      <c r="BE94" t="s">
        <v>6</v>
      </c>
      <c r="BF94" t="s">
        <v>6</v>
      </c>
      <c r="BG94" t="s">
        <v>6</v>
      </c>
      <c r="BH94">
        <v>0</v>
      </c>
      <c r="BI94">
        <v>2</v>
      </c>
      <c r="BJ94" t="s">
        <v>239</v>
      </c>
      <c r="BM94">
        <v>1608</v>
      </c>
      <c r="BN94">
        <v>0</v>
      </c>
      <c r="BO94" t="s">
        <v>236</v>
      </c>
      <c r="BP94">
        <v>1</v>
      </c>
      <c r="BQ94">
        <v>40</v>
      </c>
      <c r="BR94">
        <v>0</v>
      </c>
      <c r="BS94">
        <v>21.43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6</v>
      </c>
      <c r="BZ94">
        <v>90</v>
      </c>
      <c r="CA94">
        <v>43</v>
      </c>
      <c r="CE94">
        <v>30</v>
      </c>
      <c r="CF94">
        <v>0</v>
      </c>
      <c r="CG94">
        <v>0</v>
      </c>
      <c r="CM94">
        <v>0</v>
      </c>
      <c r="CN94" t="s">
        <v>518</v>
      </c>
      <c r="CO94">
        <v>0</v>
      </c>
      <c r="CP94">
        <f t="shared" si="83"/>
        <v>0</v>
      </c>
      <c r="CQ94">
        <f t="shared" si="84"/>
        <v>1010.31</v>
      </c>
      <c r="CR94">
        <f>(ROUND((ROUND((((ET94*1.15))*AV94*1),2)*BB94),2)+ROUND((ROUND(((AE94-((EU94*1.15)))*AV94*1),2)*BS94),2))</f>
        <v>2993.13</v>
      </c>
      <c r="CS94">
        <f t="shared" si="85"/>
        <v>1501.17</v>
      </c>
      <c r="CT94">
        <f t="shared" si="86"/>
        <v>16950.919999999998</v>
      </c>
      <c r="CU94">
        <f t="shared" si="87"/>
        <v>0</v>
      </c>
      <c r="CV94">
        <f t="shared" si="88"/>
        <v>65.163185999999982</v>
      </c>
      <c r="CW94">
        <f t="shared" si="89"/>
        <v>0</v>
      </c>
      <c r="CX94">
        <f t="shared" si="90"/>
        <v>0</v>
      </c>
      <c r="CY94">
        <f t="shared" si="91"/>
        <v>0</v>
      </c>
      <c r="CZ94">
        <f t="shared" si="92"/>
        <v>0</v>
      </c>
      <c r="DC94" t="s">
        <v>6</v>
      </c>
      <c r="DD94" t="s">
        <v>6</v>
      </c>
      <c r="DE94" t="s">
        <v>99</v>
      </c>
      <c r="DF94" t="s">
        <v>99</v>
      </c>
      <c r="DG94" t="s">
        <v>99</v>
      </c>
      <c r="DH94" t="s">
        <v>6</v>
      </c>
      <c r="DI94" t="s">
        <v>99</v>
      </c>
      <c r="DJ94" t="s">
        <v>99</v>
      </c>
      <c r="DK94" t="s">
        <v>6</v>
      </c>
      <c r="DL94" t="s">
        <v>6</v>
      </c>
      <c r="DM94" t="s">
        <v>6</v>
      </c>
      <c r="DN94">
        <v>112</v>
      </c>
      <c r="DO94">
        <v>70</v>
      </c>
      <c r="DP94">
        <v>1.0669999999999999</v>
      </c>
      <c r="DQ94">
        <v>1.081</v>
      </c>
      <c r="DU94">
        <v>1003</v>
      </c>
      <c r="DV94" t="s">
        <v>238</v>
      </c>
      <c r="DW94" t="s">
        <v>238</v>
      </c>
      <c r="DX94">
        <v>100</v>
      </c>
      <c r="EE94">
        <v>44065427</v>
      </c>
      <c r="EF94">
        <v>40</v>
      </c>
      <c r="EG94" t="s">
        <v>232</v>
      </c>
      <c r="EH94">
        <v>0</v>
      </c>
      <c r="EI94" t="s">
        <v>6</v>
      </c>
      <c r="EJ94">
        <v>2</v>
      </c>
      <c r="EK94">
        <v>1608</v>
      </c>
      <c r="EL94" t="s">
        <v>241</v>
      </c>
      <c r="EM94" t="s">
        <v>242</v>
      </c>
      <c r="EO94" t="s">
        <v>243</v>
      </c>
      <c r="EQ94">
        <v>131072</v>
      </c>
      <c r="ER94">
        <v>1138.92</v>
      </c>
      <c r="ES94">
        <v>188.49</v>
      </c>
      <c r="ET94">
        <v>293.49</v>
      </c>
      <c r="EU94">
        <v>58.18</v>
      </c>
      <c r="EV94">
        <v>656.94</v>
      </c>
      <c r="EW94">
        <v>54.12</v>
      </c>
      <c r="EX94">
        <v>0</v>
      </c>
      <c r="EY94">
        <v>0</v>
      </c>
      <c r="FQ94">
        <v>0</v>
      </c>
      <c r="FR94">
        <f t="shared" si="93"/>
        <v>0</v>
      </c>
      <c r="FS94">
        <v>0</v>
      </c>
      <c r="FX94">
        <v>112</v>
      </c>
      <c r="FY94">
        <v>70</v>
      </c>
      <c r="GA94" t="s">
        <v>6</v>
      </c>
      <c r="GD94">
        <v>0</v>
      </c>
      <c r="GF94">
        <v>-1494825786</v>
      </c>
      <c r="GG94">
        <v>2</v>
      </c>
      <c r="GH94">
        <v>1</v>
      </c>
      <c r="GI94">
        <v>2</v>
      </c>
      <c r="GJ94">
        <v>0</v>
      </c>
      <c r="GK94">
        <f>ROUND(R94*(R12)/100,2)</f>
        <v>0</v>
      </c>
      <c r="GL94">
        <f t="shared" si="94"/>
        <v>0</v>
      </c>
      <c r="GM94">
        <f t="shared" si="95"/>
        <v>0</v>
      </c>
      <c r="GN94">
        <f t="shared" si="96"/>
        <v>0</v>
      </c>
      <c r="GO94">
        <f t="shared" si="97"/>
        <v>0</v>
      </c>
      <c r="GP94">
        <f t="shared" si="98"/>
        <v>0</v>
      </c>
      <c r="GR94">
        <v>0</v>
      </c>
      <c r="GS94">
        <v>0</v>
      </c>
      <c r="GT94">
        <v>0</v>
      </c>
      <c r="GU94" t="s">
        <v>6</v>
      </c>
      <c r="GV94">
        <f t="shared" si="99"/>
        <v>0</v>
      </c>
      <c r="GW94">
        <v>1</v>
      </c>
      <c r="GX94">
        <f t="shared" si="100"/>
        <v>0</v>
      </c>
      <c r="HA94">
        <v>0</v>
      </c>
      <c r="HB94">
        <v>0</v>
      </c>
      <c r="HC94">
        <f t="shared" si="101"/>
        <v>0</v>
      </c>
      <c r="IK94">
        <v>0</v>
      </c>
    </row>
    <row r="95" spans="1:245" x14ac:dyDescent="0.2">
      <c r="A95">
        <v>17</v>
      </c>
      <c r="B95">
        <v>1</v>
      </c>
      <c r="E95" t="s">
        <v>19</v>
      </c>
      <c r="F95" t="s">
        <v>255</v>
      </c>
      <c r="G95" t="s">
        <v>256</v>
      </c>
      <c r="H95" t="s">
        <v>250</v>
      </c>
      <c r="I95">
        <f>ROUND(I94*3*1.02/10,9)</f>
        <v>0</v>
      </c>
      <c r="J95">
        <v>0</v>
      </c>
      <c r="O95">
        <f t="shared" si="70"/>
        <v>0</v>
      </c>
      <c r="P95">
        <f t="shared" si="71"/>
        <v>0</v>
      </c>
      <c r="Q95">
        <f t="shared" ref="Q95:Q100" si="103">(ROUND((ROUND(((ET95)*AV95*I95),2)*BB95),2)+ROUND((ROUND(((AE95-(EU95))*AV95*I95),2)*BS95),2))</f>
        <v>0</v>
      </c>
      <c r="R95">
        <f t="shared" si="72"/>
        <v>0</v>
      </c>
      <c r="S95">
        <f t="shared" si="73"/>
        <v>0</v>
      </c>
      <c r="T95">
        <f t="shared" si="74"/>
        <v>0</v>
      </c>
      <c r="U95">
        <f t="shared" si="75"/>
        <v>0</v>
      </c>
      <c r="V95">
        <f t="shared" si="76"/>
        <v>0</v>
      </c>
      <c r="W95">
        <f t="shared" si="77"/>
        <v>0</v>
      </c>
      <c r="X95">
        <f t="shared" si="78"/>
        <v>0</v>
      </c>
      <c r="Y95">
        <f t="shared" si="79"/>
        <v>0</v>
      </c>
      <c r="AA95">
        <v>44176454</v>
      </c>
      <c r="AB95">
        <f t="shared" si="80"/>
        <v>157963.69</v>
      </c>
      <c r="AC95">
        <f t="shared" si="102"/>
        <v>157963.69</v>
      </c>
      <c r="AD95">
        <f t="shared" ref="AD95:AD100" si="104">ROUND((((ET95)-(EU95))+AE95),6)</f>
        <v>0</v>
      </c>
      <c r="AE95">
        <f t="shared" ref="AE95:AF100" si="105">ROUND((EU95),6)</f>
        <v>0</v>
      </c>
      <c r="AF95">
        <f t="shared" si="105"/>
        <v>0</v>
      </c>
      <c r="AG95">
        <f t="shared" si="81"/>
        <v>0</v>
      </c>
      <c r="AH95">
        <f t="shared" ref="AH95:AI100" si="106">(EW95)</f>
        <v>0</v>
      </c>
      <c r="AI95">
        <f t="shared" si="106"/>
        <v>0</v>
      </c>
      <c r="AJ95">
        <f t="shared" si="82"/>
        <v>0</v>
      </c>
      <c r="AK95">
        <v>157963.69</v>
      </c>
      <c r="AL95">
        <v>157963.69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5.89</v>
      </c>
      <c r="BD95" t="s">
        <v>6</v>
      </c>
      <c r="BE95" t="s">
        <v>6</v>
      </c>
      <c r="BF95" t="s">
        <v>6</v>
      </c>
      <c r="BG95" t="s">
        <v>6</v>
      </c>
      <c r="BH95">
        <v>3</v>
      </c>
      <c r="BI95">
        <v>2</v>
      </c>
      <c r="BJ95" t="s">
        <v>257</v>
      </c>
      <c r="BM95">
        <v>1618</v>
      </c>
      <c r="BN95">
        <v>0</v>
      </c>
      <c r="BO95" t="s">
        <v>255</v>
      </c>
      <c r="BP95">
        <v>1</v>
      </c>
      <c r="BQ95">
        <v>201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6</v>
      </c>
      <c r="BZ95">
        <v>0</v>
      </c>
      <c r="CA95">
        <v>0</v>
      </c>
      <c r="CE95">
        <v>30</v>
      </c>
      <c r="CF95">
        <v>0</v>
      </c>
      <c r="CG95">
        <v>0</v>
      </c>
      <c r="CM95">
        <v>0</v>
      </c>
      <c r="CN95" t="s">
        <v>6</v>
      </c>
      <c r="CO95">
        <v>0</v>
      </c>
      <c r="CP95">
        <f t="shared" si="83"/>
        <v>0</v>
      </c>
      <c r="CQ95">
        <f t="shared" si="84"/>
        <v>930406.13</v>
      </c>
      <c r="CR95">
        <f t="shared" ref="CR95:CR100" si="107">(ROUND((ROUND(((ET95)*AV95*1),2)*BB95),2)+ROUND((ROUND(((AE95-(EU95))*AV95*1),2)*BS95),2))</f>
        <v>0</v>
      </c>
      <c r="CS95">
        <f t="shared" si="85"/>
        <v>0</v>
      </c>
      <c r="CT95">
        <f t="shared" si="86"/>
        <v>0</v>
      </c>
      <c r="CU95">
        <f t="shared" si="87"/>
        <v>0</v>
      </c>
      <c r="CV95">
        <f t="shared" si="88"/>
        <v>0</v>
      </c>
      <c r="CW95">
        <f t="shared" si="89"/>
        <v>0</v>
      </c>
      <c r="CX95">
        <f t="shared" si="90"/>
        <v>0</v>
      </c>
      <c r="CY95">
        <f t="shared" si="91"/>
        <v>0</v>
      </c>
      <c r="CZ95">
        <f t="shared" si="92"/>
        <v>0</v>
      </c>
      <c r="DC95" t="s">
        <v>6</v>
      </c>
      <c r="DD95" t="s">
        <v>6</v>
      </c>
      <c r="DE95" t="s">
        <v>6</v>
      </c>
      <c r="DF95" t="s">
        <v>6</v>
      </c>
      <c r="DG95" t="s">
        <v>6</v>
      </c>
      <c r="DH95" t="s">
        <v>6</v>
      </c>
      <c r="DI95" t="s">
        <v>6</v>
      </c>
      <c r="DJ95" t="s">
        <v>6</v>
      </c>
      <c r="DK95" t="s">
        <v>6</v>
      </c>
      <c r="DL95" t="s">
        <v>6</v>
      </c>
      <c r="DM95" t="s">
        <v>6</v>
      </c>
      <c r="DN95">
        <v>0</v>
      </c>
      <c r="DO95">
        <v>0</v>
      </c>
      <c r="DP95">
        <v>1</v>
      </c>
      <c r="DQ95">
        <v>1</v>
      </c>
      <c r="DU95">
        <v>1003</v>
      </c>
      <c r="DV95" t="s">
        <v>250</v>
      </c>
      <c r="DW95" t="s">
        <v>250</v>
      </c>
      <c r="DX95">
        <v>1000</v>
      </c>
      <c r="EE95">
        <v>44065437</v>
      </c>
      <c r="EF95">
        <v>201</v>
      </c>
      <c r="EG95" t="s">
        <v>252</v>
      </c>
      <c r="EH95">
        <v>0</v>
      </c>
      <c r="EI95" t="s">
        <v>6</v>
      </c>
      <c r="EJ95">
        <v>2</v>
      </c>
      <c r="EK95">
        <v>1618</v>
      </c>
      <c r="EL95" t="s">
        <v>253</v>
      </c>
      <c r="EM95" t="s">
        <v>254</v>
      </c>
      <c r="EO95" t="s">
        <v>6</v>
      </c>
      <c r="EQ95">
        <v>131072</v>
      </c>
      <c r="ER95">
        <v>157963.69</v>
      </c>
      <c r="ES95">
        <v>157963.69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FQ95">
        <v>0</v>
      </c>
      <c r="FR95">
        <f t="shared" si="93"/>
        <v>0</v>
      </c>
      <c r="FS95">
        <v>0</v>
      </c>
      <c r="FX95">
        <v>0</v>
      </c>
      <c r="FY95">
        <v>0</v>
      </c>
      <c r="GA95" t="s">
        <v>6</v>
      </c>
      <c r="GD95">
        <v>0</v>
      </c>
      <c r="GF95">
        <v>562246139</v>
      </c>
      <c r="GG95">
        <v>2</v>
      </c>
      <c r="GH95">
        <v>1</v>
      </c>
      <c r="GI95">
        <v>2</v>
      </c>
      <c r="GJ95">
        <v>0</v>
      </c>
      <c r="GK95">
        <f>ROUND(R95*(R12)/100,2)</f>
        <v>0</v>
      </c>
      <c r="GL95">
        <f t="shared" si="94"/>
        <v>0</v>
      </c>
      <c r="GM95">
        <f t="shared" si="95"/>
        <v>0</v>
      </c>
      <c r="GN95">
        <f t="shared" si="96"/>
        <v>0</v>
      </c>
      <c r="GO95">
        <f t="shared" si="97"/>
        <v>0</v>
      </c>
      <c r="GP95">
        <f t="shared" si="98"/>
        <v>0</v>
      </c>
      <c r="GR95">
        <v>0</v>
      </c>
      <c r="GS95">
        <v>0</v>
      </c>
      <c r="GT95">
        <v>0</v>
      </c>
      <c r="GU95" t="s">
        <v>6</v>
      </c>
      <c r="GV95">
        <f t="shared" si="99"/>
        <v>0</v>
      </c>
      <c r="GW95">
        <v>1</v>
      </c>
      <c r="GX95">
        <f t="shared" si="100"/>
        <v>0</v>
      </c>
      <c r="HA95">
        <v>0</v>
      </c>
      <c r="HB95">
        <v>0</v>
      </c>
      <c r="HC95">
        <f t="shared" si="101"/>
        <v>0</v>
      </c>
      <c r="IK95">
        <v>0</v>
      </c>
    </row>
    <row r="96" spans="1:245" x14ac:dyDescent="0.2">
      <c r="A96">
        <v>17</v>
      </c>
      <c r="B96">
        <v>1</v>
      </c>
      <c r="E96" t="s">
        <v>95</v>
      </c>
      <c r="F96" t="s">
        <v>258</v>
      </c>
      <c r="G96" t="s">
        <v>259</v>
      </c>
      <c r="H96" t="s">
        <v>250</v>
      </c>
      <c r="I96">
        <v>0</v>
      </c>
      <c r="J96">
        <v>0</v>
      </c>
      <c r="O96">
        <f t="shared" si="70"/>
        <v>0</v>
      </c>
      <c r="P96">
        <f t="shared" si="71"/>
        <v>0</v>
      </c>
      <c r="Q96">
        <f t="shared" si="103"/>
        <v>0</v>
      </c>
      <c r="R96">
        <f t="shared" si="72"/>
        <v>0</v>
      </c>
      <c r="S96">
        <f t="shared" si="73"/>
        <v>0</v>
      </c>
      <c r="T96">
        <f t="shared" si="74"/>
        <v>0</v>
      </c>
      <c r="U96">
        <f t="shared" si="75"/>
        <v>0</v>
      </c>
      <c r="V96">
        <f t="shared" si="76"/>
        <v>0</v>
      </c>
      <c r="W96">
        <f t="shared" si="77"/>
        <v>0</v>
      </c>
      <c r="X96">
        <f t="shared" si="78"/>
        <v>0</v>
      </c>
      <c r="Y96">
        <f t="shared" si="79"/>
        <v>0</v>
      </c>
      <c r="AA96">
        <v>44176454</v>
      </c>
      <c r="AB96">
        <f t="shared" si="80"/>
        <v>109225.28</v>
      </c>
      <c r="AC96">
        <f t="shared" si="102"/>
        <v>109225.28</v>
      </c>
      <c r="AD96">
        <f t="shared" si="104"/>
        <v>0</v>
      </c>
      <c r="AE96">
        <f t="shared" si="105"/>
        <v>0</v>
      </c>
      <c r="AF96">
        <f t="shared" si="105"/>
        <v>0</v>
      </c>
      <c r="AG96">
        <f t="shared" si="81"/>
        <v>0</v>
      </c>
      <c r="AH96">
        <f t="shared" si="106"/>
        <v>0</v>
      </c>
      <c r="AI96">
        <f t="shared" si="106"/>
        <v>0</v>
      </c>
      <c r="AJ96">
        <f t="shared" si="82"/>
        <v>0</v>
      </c>
      <c r="AK96">
        <v>109225.28</v>
      </c>
      <c r="AL96">
        <v>109225.28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5.38</v>
      </c>
      <c r="BD96" t="s">
        <v>6</v>
      </c>
      <c r="BE96" t="s">
        <v>6</v>
      </c>
      <c r="BF96" t="s">
        <v>6</v>
      </c>
      <c r="BG96" t="s">
        <v>6</v>
      </c>
      <c r="BH96">
        <v>3</v>
      </c>
      <c r="BI96">
        <v>2</v>
      </c>
      <c r="BJ96" t="s">
        <v>260</v>
      </c>
      <c r="BM96">
        <v>1618</v>
      </c>
      <c r="BN96">
        <v>0</v>
      </c>
      <c r="BO96" t="s">
        <v>258</v>
      </c>
      <c r="BP96">
        <v>1</v>
      </c>
      <c r="BQ96">
        <v>201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6</v>
      </c>
      <c r="BZ96">
        <v>0</v>
      </c>
      <c r="CA96">
        <v>0</v>
      </c>
      <c r="CE96">
        <v>30</v>
      </c>
      <c r="CF96">
        <v>0</v>
      </c>
      <c r="CG96">
        <v>0</v>
      </c>
      <c r="CM96">
        <v>0</v>
      </c>
      <c r="CN96" t="s">
        <v>6</v>
      </c>
      <c r="CO96">
        <v>0</v>
      </c>
      <c r="CP96">
        <f t="shared" si="83"/>
        <v>0</v>
      </c>
      <c r="CQ96">
        <f t="shared" si="84"/>
        <v>587632.01</v>
      </c>
      <c r="CR96">
        <f t="shared" si="107"/>
        <v>0</v>
      </c>
      <c r="CS96">
        <f t="shared" si="85"/>
        <v>0</v>
      </c>
      <c r="CT96">
        <f t="shared" si="86"/>
        <v>0</v>
      </c>
      <c r="CU96">
        <f t="shared" si="87"/>
        <v>0</v>
      </c>
      <c r="CV96">
        <f t="shared" si="88"/>
        <v>0</v>
      </c>
      <c r="CW96">
        <f t="shared" si="89"/>
        <v>0</v>
      </c>
      <c r="CX96">
        <f t="shared" si="90"/>
        <v>0</v>
      </c>
      <c r="CY96">
        <f t="shared" si="91"/>
        <v>0</v>
      </c>
      <c r="CZ96">
        <f t="shared" si="92"/>
        <v>0</v>
      </c>
      <c r="DC96" t="s">
        <v>6</v>
      </c>
      <c r="DD96" t="s">
        <v>6</v>
      </c>
      <c r="DE96" t="s">
        <v>6</v>
      </c>
      <c r="DF96" t="s">
        <v>6</v>
      </c>
      <c r="DG96" t="s">
        <v>6</v>
      </c>
      <c r="DH96" t="s">
        <v>6</v>
      </c>
      <c r="DI96" t="s">
        <v>6</v>
      </c>
      <c r="DJ96" t="s">
        <v>6</v>
      </c>
      <c r="DK96" t="s">
        <v>6</v>
      </c>
      <c r="DL96" t="s">
        <v>6</v>
      </c>
      <c r="DM96" t="s">
        <v>6</v>
      </c>
      <c r="DN96">
        <v>0</v>
      </c>
      <c r="DO96">
        <v>0</v>
      </c>
      <c r="DP96">
        <v>1</v>
      </c>
      <c r="DQ96">
        <v>1</v>
      </c>
      <c r="DU96">
        <v>1003</v>
      </c>
      <c r="DV96" t="s">
        <v>250</v>
      </c>
      <c r="DW96" t="s">
        <v>250</v>
      </c>
      <c r="DX96">
        <v>1000</v>
      </c>
      <c r="EE96">
        <v>44065437</v>
      </c>
      <c r="EF96">
        <v>201</v>
      </c>
      <c r="EG96" t="s">
        <v>252</v>
      </c>
      <c r="EH96">
        <v>0</v>
      </c>
      <c r="EI96" t="s">
        <v>6</v>
      </c>
      <c r="EJ96">
        <v>2</v>
      </c>
      <c r="EK96">
        <v>1618</v>
      </c>
      <c r="EL96" t="s">
        <v>253</v>
      </c>
      <c r="EM96" t="s">
        <v>254</v>
      </c>
      <c r="EO96" t="s">
        <v>6</v>
      </c>
      <c r="EQ96">
        <v>131072</v>
      </c>
      <c r="ER96">
        <v>109225.28</v>
      </c>
      <c r="ES96">
        <v>109225.28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FQ96">
        <v>0</v>
      </c>
      <c r="FR96">
        <f t="shared" si="93"/>
        <v>0</v>
      </c>
      <c r="FS96">
        <v>0</v>
      </c>
      <c r="FX96">
        <v>0</v>
      </c>
      <c r="FY96">
        <v>0</v>
      </c>
      <c r="GA96" t="s">
        <v>6</v>
      </c>
      <c r="GD96">
        <v>0</v>
      </c>
      <c r="GF96">
        <v>-589487655</v>
      </c>
      <c r="GG96">
        <v>2</v>
      </c>
      <c r="GH96">
        <v>0</v>
      </c>
      <c r="GI96">
        <v>2</v>
      </c>
      <c r="GJ96">
        <v>0</v>
      </c>
      <c r="GK96">
        <f>ROUND(R96*(R12)/100,2)</f>
        <v>0</v>
      </c>
      <c r="GL96">
        <f t="shared" si="94"/>
        <v>0</v>
      </c>
      <c r="GM96">
        <f t="shared" si="95"/>
        <v>0</v>
      </c>
      <c r="GN96">
        <f t="shared" si="96"/>
        <v>0</v>
      </c>
      <c r="GO96">
        <f t="shared" si="97"/>
        <v>0</v>
      </c>
      <c r="GP96">
        <f t="shared" si="98"/>
        <v>0</v>
      </c>
      <c r="GR96">
        <v>0</v>
      </c>
      <c r="GS96">
        <v>0</v>
      </c>
      <c r="GT96">
        <v>0</v>
      </c>
      <c r="GU96" t="s">
        <v>6</v>
      </c>
      <c r="GV96">
        <f t="shared" si="99"/>
        <v>0</v>
      </c>
      <c r="GW96">
        <v>1</v>
      </c>
      <c r="GX96">
        <f t="shared" si="100"/>
        <v>0</v>
      </c>
      <c r="HA96">
        <v>0</v>
      </c>
      <c r="HB96">
        <v>0</v>
      </c>
      <c r="HC96">
        <f t="shared" si="101"/>
        <v>0</v>
      </c>
      <c r="IK96">
        <v>0</v>
      </c>
    </row>
    <row r="97" spans="1:245" x14ac:dyDescent="0.2">
      <c r="A97">
        <v>17</v>
      </c>
      <c r="B97">
        <v>1</v>
      </c>
      <c r="E97" t="s">
        <v>131</v>
      </c>
      <c r="F97" t="s">
        <v>261</v>
      </c>
      <c r="G97" t="s">
        <v>262</v>
      </c>
      <c r="H97" t="s">
        <v>263</v>
      </c>
      <c r="I97">
        <v>0</v>
      </c>
      <c r="J97">
        <v>0</v>
      </c>
      <c r="O97">
        <f t="shared" si="70"/>
        <v>0</v>
      </c>
      <c r="P97">
        <f t="shared" si="71"/>
        <v>0</v>
      </c>
      <c r="Q97">
        <f t="shared" si="103"/>
        <v>0</v>
      </c>
      <c r="R97">
        <f t="shared" si="72"/>
        <v>0</v>
      </c>
      <c r="S97">
        <f t="shared" si="73"/>
        <v>0</v>
      </c>
      <c r="T97">
        <f t="shared" si="74"/>
        <v>0</v>
      </c>
      <c r="U97">
        <f t="shared" si="75"/>
        <v>0</v>
      </c>
      <c r="V97">
        <f t="shared" si="76"/>
        <v>0</v>
      </c>
      <c r="W97">
        <f t="shared" si="77"/>
        <v>0</v>
      </c>
      <c r="X97">
        <f t="shared" si="78"/>
        <v>0</v>
      </c>
      <c r="Y97">
        <f t="shared" si="79"/>
        <v>0</v>
      </c>
      <c r="AA97">
        <v>44176454</v>
      </c>
      <c r="AB97">
        <f t="shared" si="80"/>
        <v>21.9</v>
      </c>
      <c r="AC97">
        <f t="shared" si="102"/>
        <v>21.9</v>
      </c>
      <c r="AD97">
        <f t="shared" si="104"/>
        <v>0</v>
      </c>
      <c r="AE97">
        <f t="shared" si="105"/>
        <v>0</v>
      </c>
      <c r="AF97">
        <f t="shared" si="105"/>
        <v>0</v>
      </c>
      <c r="AG97">
        <f t="shared" si="81"/>
        <v>0</v>
      </c>
      <c r="AH97">
        <f t="shared" si="106"/>
        <v>0</v>
      </c>
      <c r="AI97">
        <f t="shared" si="106"/>
        <v>0</v>
      </c>
      <c r="AJ97">
        <f t="shared" si="82"/>
        <v>0</v>
      </c>
      <c r="AK97">
        <v>21.9</v>
      </c>
      <c r="AL97">
        <v>21.9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1</v>
      </c>
      <c r="AW97">
        <v>1</v>
      </c>
      <c r="AZ97">
        <v>1</v>
      </c>
      <c r="BA97">
        <v>1</v>
      </c>
      <c r="BB97">
        <v>1</v>
      </c>
      <c r="BC97">
        <v>7.17</v>
      </c>
      <c r="BD97" t="s">
        <v>6</v>
      </c>
      <c r="BE97" t="s">
        <v>6</v>
      </c>
      <c r="BF97" t="s">
        <v>6</v>
      </c>
      <c r="BG97" t="s">
        <v>6</v>
      </c>
      <c r="BH97">
        <v>3</v>
      </c>
      <c r="BI97">
        <v>1</v>
      </c>
      <c r="BJ97" t="s">
        <v>264</v>
      </c>
      <c r="BM97">
        <v>1617</v>
      </c>
      <c r="BN97">
        <v>0</v>
      </c>
      <c r="BO97" t="s">
        <v>261</v>
      </c>
      <c r="BP97">
        <v>1</v>
      </c>
      <c r="BQ97">
        <v>200</v>
      </c>
      <c r="BR97">
        <v>0</v>
      </c>
      <c r="BS97">
        <v>1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6</v>
      </c>
      <c r="BZ97">
        <v>0</v>
      </c>
      <c r="CA97">
        <v>0</v>
      </c>
      <c r="CE97">
        <v>30</v>
      </c>
      <c r="CF97">
        <v>0</v>
      </c>
      <c r="CG97">
        <v>0</v>
      </c>
      <c r="CM97">
        <v>0</v>
      </c>
      <c r="CN97" t="s">
        <v>6</v>
      </c>
      <c r="CO97">
        <v>0</v>
      </c>
      <c r="CP97">
        <f t="shared" si="83"/>
        <v>0</v>
      </c>
      <c r="CQ97">
        <f t="shared" si="84"/>
        <v>157.02000000000001</v>
      </c>
      <c r="CR97">
        <f t="shared" si="107"/>
        <v>0</v>
      </c>
      <c r="CS97">
        <f t="shared" si="85"/>
        <v>0</v>
      </c>
      <c r="CT97">
        <f t="shared" si="86"/>
        <v>0</v>
      </c>
      <c r="CU97">
        <f t="shared" si="87"/>
        <v>0</v>
      </c>
      <c r="CV97">
        <f t="shared" si="88"/>
        <v>0</v>
      </c>
      <c r="CW97">
        <f t="shared" si="89"/>
        <v>0</v>
      </c>
      <c r="CX97">
        <f t="shared" si="90"/>
        <v>0</v>
      </c>
      <c r="CY97">
        <f t="shared" si="91"/>
        <v>0</v>
      </c>
      <c r="CZ97">
        <f t="shared" si="92"/>
        <v>0</v>
      </c>
      <c r="DC97" t="s">
        <v>6</v>
      </c>
      <c r="DD97" t="s">
        <v>6</v>
      </c>
      <c r="DE97" t="s">
        <v>6</v>
      </c>
      <c r="DF97" t="s">
        <v>6</v>
      </c>
      <c r="DG97" t="s">
        <v>6</v>
      </c>
      <c r="DH97" t="s">
        <v>6</v>
      </c>
      <c r="DI97" t="s">
        <v>6</v>
      </c>
      <c r="DJ97" t="s">
        <v>6</v>
      </c>
      <c r="DK97" t="s">
        <v>6</v>
      </c>
      <c r="DL97" t="s">
        <v>6</v>
      </c>
      <c r="DM97" t="s">
        <v>6</v>
      </c>
      <c r="DN97">
        <v>0</v>
      </c>
      <c r="DO97">
        <v>0</v>
      </c>
      <c r="DP97">
        <v>1</v>
      </c>
      <c r="DQ97">
        <v>1</v>
      </c>
      <c r="DU97">
        <v>1010</v>
      </c>
      <c r="DV97" t="s">
        <v>263</v>
      </c>
      <c r="DW97" t="s">
        <v>263</v>
      </c>
      <c r="DX97">
        <v>1</v>
      </c>
      <c r="EE97">
        <v>44065436</v>
      </c>
      <c r="EF97">
        <v>200</v>
      </c>
      <c r="EG97" t="s">
        <v>265</v>
      </c>
      <c r="EH97">
        <v>0</v>
      </c>
      <c r="EI97" t="s">
        <v>6</v>
      </c>
      <c r="EJ97">
        <v>1</v>
      </c>
      <c r="EK97">
        <v>1617</v>
      </c>
      <c r="EL97" t="s">
        <v>266</v>
      </c>
      <c r="EM97" t="s">
        <v>267</v>
      </c>
      <c r="EO97" t="s">
        <v>6</v>
      </c>
      <c r="EQ97">
        <v>131072</v>
      </c>
      <c r="ER97">
        <v>21.9</v>
      </c>
      <c r="ES97">
        <v>21.9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FQ97">
        <v>0</v>
      </c>
      <c r="FR97">
        <f t="shared" si="93"/>
        <v>0</v>
      </c>
      <c r="FS97">
        <v>0</v>
      </c>
      <c r="FX97">
        <v>0</v>
      </c>
      <c r="FY97">
        <v>0</v>
      </c>
      <c r="GA97" t="s">
        <v>6</v>
      </c>
      <c r="GD97">
        <v>0</v>
      </c>
      <c r="GF97">
        <v>201101220</v>
      </c>
      <c r="GG97">
        <v>2</v>
      </c>
      <c r="GH97">
        <v>1</v>
      </c>
      <c r="GI97">
        <v>2</v>
      </c>
      <c r="GJ97">
        <v>0</v>
      </c>
      <c r="GK97">
        <f>ROUND(R97*(R12)/100,2)</f>
        <v>0</v>
      </c>
      <c r="GL97">
        <f t="shared" si="94"/>
        <v>0</v>
      </c>
      <c r="GM97">
        <f t="shared" si="95"/>
        <v>0</v>
      </c>
      <c r="GN97">
        <f t="shared" si="96"/>
        <v>0</v>
      </c>
      <c r="GO97">
        <f t="shared" si="97"/>
        <v>0</v>
      </c>
      <c r="GP97">
        <f t="shared" si="98"/>
        <v>0</v>
      </c>
      <c r="GR97">
        <v>0</v>
      </c>
      <c r="GS97">
        <v>0</v>
      </c>
      <c r="GT97">
        <v>0</v>
      </c>
      <c r="GU97" t="s">
        <v>6</v>
      </c>
      <c r="GV97">
        <f t="shared" si="99"/>
        <v>0</v>
      </c>
      <c r="GW97">
        <v>1</v>
      </c>
      <c r="GX97">
        <f t="shared" si="100"/>
        <v>0</v>
      </c>
      <c r="HA97">
        <v>0</v>
      </c>
      <c r="HB97">
        <v>0</v>
      </c>
      <c r="HC97">
        <f t="shared" si="101"/>
        <v>0</v>
      </c>
      <c r="IK97">
        <v>0</v>
      </c>
    </row>
    <row r="98" spans="1:245" x14ac:dyDescent="0.2">
      <c r="A98">
        <v>17</v>
      </c>
      <c r="B98">
        <v>1</v>
      </c>
      <c r="E98" t="s">
        <v>158</v>
      </c>
      <c r="F98" t="s">
        <v>268</v>
      </c>
      <c r="G98" t="s">
        <v>269</v>
      </c>
      <c r="H98" t="s">
        <v>270</v>
      </c>
      <c r="I98">
        <v>200</v>
      </c>
      <c r="J98">
        <v>0</v>
      </c>
      <c r="O98">
        <f t="shared" si="70"/>
        <v>20742.560000000001</v>
      </c>
      <c r="P98">
        <f t="shared" si="71"/>
        <v>20742.560000000001</v>
      </c>
      <c r="Q98">
        <f t="shared" si="103"/>
        <v>0</v>
      </c>
      <c r="R98">
        <f t="shared" si="72"/>
        <v>0</v>
      </c>
      <c r="S98">
        <f t="shared" si="73"/>
        <v>0</v>
      </c>
      <c r="T98">
        <f t="shared" si="74"/>
        <v>0</v>
      </c>
      <c r="U98">
        <f t="shared" si="75"/>
        <v>0</v>
      </c>
      <c r="V98">
        <f t="shared" si="76"/>
        <v>0</v>
      </c>
      <c r="W98">
        <f t="shared" si="77"/>
        <v>0</v>
      </c>
      <c r="X98">
        <f t="shared" si="78"/>
        <v>0</v>
      </c>
      <c r="Y98">
        <f t="shared" si="79"/>
        <v>0</v>
      </c>
      <c r="AA98">
        <v>44176454</v>
      </c>
      <c r="AB98">
        <f t="shared" si="80"/>
        <v>19.349399999999999</v>
      </c>
      <c r="AC98">
        <f>ROUND(((ES98*1.02)),6)</f>
        <v>19.349399999999999</v>
      </c>
      <c r="AD98">
        <f t="shared" si="104"/>
        <v>0</v>
      </c>
      <c r="AE98">
        <f t="shared" si="105"/>
        <v>0</v>
      </c>
      <c r="AF98">
        <f t="shared" si="105"/>
        <v>0</v>
      </c>
      <c r="AG98">
        <f t="shared" si="81"/>
        <v>0</v>
      </c>
      <c r="AH98">
        <f t="shared" si="106"/>
        <v>0</v>
      </c>
      <c r="AI98">
        <f t="shared" si="106"/>
        <v>0</v>
      </c>
      <c r="AJ98">
        <f t="shared" si="82"/>
        <v>0</v>
      </c>
      <c r="AK98">
        <v>18.97</v>
      </c>
      <c r="AL98">
        <v>18.97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5.36</v>
      </c>
      <c r="BD98" t="s">
        <v>6</v>
      </c>
      <c r="BE98" t="s">
        <v>6</v>
      </c>
      <c r="BF98" t="s">
        <v>6</v>
      </c>
      <c r="BG98" t="s">
        <v>6</v>
      </c>
      <c r="BH98">
        <v>3</v>
      </c>
      <c r="BI98">
        <v>1</v>
      </c>
      <c r="BJ98" t="s">
        <v>6</v>
      </c>
      <c r="BM98">
        <v>400002</v>
      </c>
      <c r="BN98">
        <v>0</v>
      </c>
      <c r="BO98" t="s">
        <v>6</v>
      </c>
      <c r="BP98">
        <v>0</v>
      </c>
      <c r="BQ98">
        <v>202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6</v>
      </c>
      <c r="BZ98">
        <v>0</v>
      </c>
      <c r="CA98">
        <v>0</v>
      </c>
      <c r="CE98">
        <v>30</v>
      </c>
      <c r="CF98">
        <v>0</v>
      </c>
      <c r="CG98">
        <v>0</v>
      </c>
      <c r="CM98">
        <v>0</v>
      </c>
      <c r="CN98" t="s">
        <v>6</v>
      </c>
      <c r="CO98">
        <v>0</v>
      </c>
      <c r="CP98">
        <f t="shared" si="83"/>
        <v>20742.560000000001</v>
      </c>
      <c r="CQ98">
        <f t="shared" si="84"/>
        <v>103.72</v>
      </c>
      <c r="CR98">
        <f t="shared" si="107"/>
        <v>0</v>
      </c>
      <c r="CS98">
        <f t="shared" si="85"/>
        <v>0</v>
      </c>
      <c r="CT98">
        <f t="shared" si="86"/>
        <v>0</v>
      </c>
      <c r="CU98">
        <f t="shared" si="87"/>
        <v>0</v>
      </c>
      <c r="CV98">
        <f t="shared" si="88"/>
        <v>0</v>
      </c>
      <c r="CW98">
        <f t="shared" si="89"/>
        <v>0</v>
      </c>
      <c r="CX98">
        <f t="shared" si="90"/>
        <v>0</v>
      </c>
      <c r="CY98">
        <f t="shared" si="91"/>
        <v>0</v>
      </c>
      <c r="CZ98">
        <f t="shared" si="92"/>
        <v>0</v>
      </c>
      <c r="DC98" t="s">
        <v>6</v>
      </c>
      <c r="DD98" t="s">
        <v>271</v>
      </c>
      <c r="DE98" t="s">
        <v>6</v>
      </c>
      <c r="DF98" t="s">
        <v>6</v>
      </c>
      <c r="DG98" t="s">
        <v>6</v>
      </c>
      <c r="DH98" t="s">
        <v>6</v>
      </c>
      <c r="DI98" t="s">
        <v>6</v>
      </c>
      <c r="DJ98" t="s">
        <v>6</v>
      </c>
      <c r="DK98" t="s">
        <v>6</v>
      </c>
      <c r="DL98" t="s">
        <v>6</v>
      </c>
      <c r="DM98" t="s">
        <v>6</v>
      </c>
      <c r="DN98">
        <v>0</v>
      </c>
      <c r="DO98">
        <v>0</v>
      </c>
      <c r="DP98">
        <v>1</v>
      </c>
      <c r="DQ98">
        <v>1</v>
      </c>
      <c r="DU98">
        <v>1013</v>
      </c>
      <c r="DV98" t="s">
        <v>270</v>
      </c>
      <c r="DW98" t="s">
        <v>270</v>
      </c>
      <c r="DX98">
        <v>1</v>
      </c>
      <c r="EE98">
        <v>44065786</v>
      </c>
      <c r="EF98">
        <v>202</v>
      </c>
      <c r="EG98" t="s">
        <v>272</v>
      </c>
      <c r="EH98">
        <v>0</v>
      </c>
      <c r="EI98" t="s">
        <v>6</v>
      </c>
      <c r="EJ98">
        <v>1</v>
      </c>
      <c r="EK98">
        <v>400002</v>
      </c>
      <c r="EL98" t="s">
        <v>273</v>
      </c>
      <c r="EM98" t="s">
        <v>272</v>
      </c>
      <c r="EO98" t="s">
        <v>6</v>
      </c>
      <c r="EQ98">
        <v>131072</v>
      </c>
      <c r="ER98">
        <v>18.97</v>
      </c>
      <c r="ES98">
        <v>18.97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5</v>
      </c>
      <c r="FC98">
        <v>0</v>
      </c>
      <c r="FD98">
        <v>18</v>
      </c>
      <c r="FF98">
        <v>101.69</v>
      </c>
      <c r="FQ98">
        <v>0</v>
      </c>
      <c r="FR98">
        <f t="shared" si="93"/>
        <v>0</v>
      </c>
      <c r="FS98">
        <v>0</v>
      </c>
      <c r="FX98">
        <v>0</v>
      </c>
      <c r="FY98">
        <v>0</v>
      </c>
      <c r="GA98" t="s">
        <v>274</v>
      </c>
      <c r="GD98">
        <v>0</v>
      </c>
      <c r="GF98">
        <v>153622598</v>
      </c>
      <c r="GG98">
        <v>2</v>
      </c>
      <c r="GH98">
        <v>3</v>
      </c>
      <c r="GI98">
        <v>3</v>
      </c>
      <c r="GJ98">
        <v>0</v>
      </c>
      <c r="GK98">
        <f>ROUND(R98*(R12)/100,2)</f>
        <v>0</v>
      </c>
      <c r="GL98">
        <f t="shared" si="94"/>
        <v>0</v>
      </c>
      <c r="GM98">
        <f t="shared" si="95"/>
        <v>20742.560000000001</v>
      </c>
      <c r="GN98">
        <f t="shared" si="96"/>
        <v>20742.560000000001</v>
      </c>
      <c r="GO98">
        <f t="shared" si="97"/>
        <v>0</v>
      </c>
      <c r="GP98">
        <f t="shared" si="98"/>
        <v>0</v>
      </c>
      <c r="GR98">
        <v>1</v>
      </c>
      <c r="GS98">
        <v>1</v>
      </c>
      <c r="GT98">
        <v>0</v>
      </c>
      <c r="GU98" t="s">
        <v>6</v>
      </c>
      <c r="GV98">
        <f t="shared" si="99"/>
        <v>0</v>
      </c>
      <c r="GW98">
        <v>1</v>
      </c>
      <c r="GX98">
        <f t="shared" si="100"/>
        <v>0</v>
      </c>
      <c r="HA98">
        <v>0</v>
      </c>
      <c r="HB98">
        <v>0</v>
      </c>
      <c r="HC98">
        <f t="shared" si="101"/>
        <v>0</v>
      </c>
      <c r="IK98">
        <v>0</v>
      </c>
    </row>
    <row r="99" spans="1:245" x14ac:dyDescent="0.2">
      <c r="A99">
        <v>17</v>
      </c>
      <c r="B99">
        <v>1</v>
      </c>
      <c r="E99" t="s">
        <v>275</v>
      </c>
      <c r="F99" t="s">
        <v>268</v>
      </c>
      <c r="G99" t="s">
        <v>269</v>
      </c>
      <c r="H99" t="s">
        <v>270</v>
      </c>
      <c r="I99">
        <v>0</v>
      </c>
      <c r="J99">
        <v>0</v>
      </c>
      <c r="O99">
        <f t="shared" si="70"/>
        <v>0</v>
      </c>
      <c r="P99">
        <f t="shared" si="71"/>
        <v>0</v>
      </c>
      <c r="Q99">
        <f t="shared" si="103"/>
        <v>0</v>
      </c>
      <c r="R99">
        <f t="shared" si="72"/>
        <v>0</v>
      </c>
      <c r="S99">
        <f t="shared" si="73"/>
        <v>0</v>
      </c>
      <c r="T99">
        <f t="shared" si="74"/>
        <v>0</v>
      </c>
      <c r="U99">
        <f t="shared" si="75"/>
        <v>0</v>
      </c>
      <c r="V99">
        <f t="shared" si="76"/>
        <v>0</v>
      </c>
      <c r="W99">
        <f t="shared" si="77"/>
        <v>0</v>
      </c>
      <c r="X99">
        <f t="shared" si="78"/>
        <v>0</v>
      </c>
      <c r="Y99">
        <f t="shared" si="79"/>
        <v>0</v>
      </c>
      <c r="AA99">
        <v>44176454</v>
      </c>
      <c r="AB99">
        <f t="shared" si="80"/>
        <v>19.798200000000001</v>
      </c>
      <c r="AC99">
        <f>ROUND(((ES99*1.02)),6)</f>
        <v>19.798200000000001</v>
      </c>
      <c r="AD99">
        <f t="shared" si="104"/>
        <v>0</v>
      </c>
      <c r="AE99">
        <f t="shared" si="105"/>
        <v>0</v>
      </c>
      <c r="AF99">
        <f t="shared" si="105"/>
        <v>0</v>
      </c>
      <c r="AG99">
        <f t="shared" si="81"/>
        <v>0</v>
      </c>
      <c r="AH99">
        <f t="shared" si="106"/>
        <v>0</v>
      </c>
      <c r="AI99">
        <f t="shared" si="106"/>
        <v>0</v>
      </c>
      <c r="AJ99">
        <f t="shared" si="82"/>
        <v>0</v>
      </c>
      <c r="AK99">
        <v>19.41</v>
      </c>
      <c r="AL99">
        <v>19.41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1</v>
      </c>
      <c r="BD99" t="s">
        <v>6</v>
      </c>
      <c r="BE99" t="s">
        <v>6</v>
      </c>
      <c r="BF99" t="s">
        <v>6</v>
      </c>
      <c r="BG99" t="s">
        <v>6</v>
      </c>
      <c r="BH99">
        <v>3</v>
      </c>
      <c r="BI99">
        <v>1</v>
      </c>
      <c r="BJ99" t="s">
        <v>6</v>
      </c>
      <c r="BM99">
        <v>400002</v>
      </c>
      <c r="BN99">
        <v>0</v>
      </c>
      <c r="BO99" t="s">
        <v>6</v>
      </c>
      <c r="BP99">
        <v>0</v>
      </c>
      <c r="BQ99">
        <v>202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6</v>
      </c>
      <c r="BZ99">
        <v>0</v>
      </c>
      <c r="CA99">
        <v>0</v>
      </c>
      <c r="CE99">
        <v>30</v>
      </c>
      <c r="CF99">
        <v>0</v>
      </c>
      <c r="CG99">
        <v>0</v>
      </c>
      <c r="CM99">
        <v>0</v>
      </c>
      <c r="CN99" t="s">
        <v>6</v>
      </c>
      <c r="CO99">
        <v>0</v>
      </c>
      <c r="CP99">
        <f t="shared" si="83"/>
        <v>0</v>
      </c>
      <c r="CQ99">
        <f t="shared" si="84"/>
        <v>19.8</v>
      </c>
      <c r="CR99">
        <f t="shared" si="107"/>
        <v>0</v>
      </c>
      <c r="CS99">
        <f t="shared" si="85"/>
        <v>0</v>
      </c>
      <c r="CT99">
        <f t="shared" si="86"/>
        <v>0</v>
      </c>
      <c r="CU99">
        <f t="shared" si="87"/>
        <v>0</v>
      </c>
      <c r="CV99">
        <f t="shared" si="88"/>
        <v>0</v>
      </c>
      <c r="CW99">
        <f t="shared" si="89"/>
        <v>0</v>
      </c>
      <c r="CX99">
        <f t="shared" si="90"/>
        <v>0</v>
      </c>
      <c r="CY99">
        <f t="shared" si="91"/>
        <v>0</v>
      </c>
      <c r="CZ99">
        <f t="shared" si="92"/>
        <v>0</v>
      </c>
      <c r="DC99" t="s">
        <v>6</v>
      </c>
      <c r="DD99" t="s">
        <v>271</v>
      </c>
      <c r="DE99" t="s">
        <v>6</v>
      </c>
      <c r="DF99" t="s">
        <v>6</v>
      </c>
      <c r="DG99" t="s">
        <v>6</v>
      </c>
      <c r="DH99" t="s">
        <v>6</v>
      </c>
      <c r="DI99" t="s">
        <v>6</v>
      </c>
      <c r="DJ99" t="s">
        <v>6</v>
      </c>
      <c r="DK99" t="s">
        <v>6</v>
      </c>
      <c r="DL99" t="s">
        <v>6</v>
      </c>
      <c r="DM99" t="s">
        <v>6</v>
      </c>
      <c r="DN99">
        <v>0</v>
      </c>
      <c r="DO99">
        <v>0</v>
      </c>
      <c r="DP99">
        <v>1</v>
      </c>
      <c r="DQ99">
        <v>1</v>
      </c>
      <c r="DU99">
        <v>1013</v>
      </c>
      <c r="DV99" t="s">
        <v>270</v>
      </c>
      <c r="DW99" t="s">
        <v>270</v>
      </c>
      <c r="DX99">
        <v>1</v>
      </c>
      <c r="EE99">
        <v>44065786</v>
      </c>
      <c r="EF99">
        <v>202</v>
      </c>
      <c r="EG99" t="s">
        <v>272</v>
      </c>
      <c r="EH99">
        <v>0</v>
      </c>
      <c r="EI99" t="s">
        <v>6</v>
      </c>
      <c r="EJ99">
        <v>1</v>
      </c>
      <c r="EK99">
        <v>400002</v>
      </c>
      <c r="EL99" t="s">
        <v>273</v>
      </c>
      <c r="EM99" t="s">
        <v>272</v>
      </c>
      <c r="EO99" t="s">
        <v>6</v>
      </c>
      <c r="EQ99">
        <v>0</v>
      </c>
      <c r="ER99">
        <v>19.41</v>
      </c>
      <c r="ES99">
        <v>19.41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FQ99">
        <v>0</v>
      </c>
      <c r="FR99">
        <f t="shared" si="93"/>
        <v>0</v>
      </c>
      <c r="FS99">
        <v>0</v>
      </c>
      <c r="FX99">
        <v>0</v>
      </c>
      <c r="FY99">
        <v>0</v>
      </c>
      <c r="GA99" t="s">
        <v>6</v>
      </c>
      <c r="GD99">
        <v>0</v>
      </c>
      <c r="GF99">
        <v>153622598</v>
      </c>
      <c r="GG99">
        <v>2</v>
      </c>
      <c r="GH99">
        <v>0</v>
      </c>
      <c r="GI99">
        <v>3</v>
      </c>
      <c r="GJ99">
        <v>0</v>
      </c>
      <c r="GK99">
        <f>ROUND(R99*(R12)/100,2)</f>
        <v>0</v>
      </c>
      <c r="GL99">
        <f t="shared" si="94"/>
        <v>0</v>
      </c>
      <c r="GM99">
        <f t="shared" si="95"/>
        <v>0</v>
      </c>
      <c r="GN99">
        <f t="shared" si="96"/>
        <v>0</v>
      </c>
      <c r="GO99">
        <f t="shared" si="97"/>
        <v>0</v>
      </c>
      <c r="GP99">
        <f t="shared" si="98"/>
        <v>0</v>
      </c>
      <c r="GR99">
        <v>0</v>
      </c>
      <c r="GS99">
        <v>0</v>
      </c>
      <c r="GT99">
        <v>0</v>
      </c>
      <c r="GU99" t="s">
        <v>6</v>
      </c>
      <c r="GV99">
        <f t="shared" si="99"/>
        <v>0</v>
      </c>
      <c r="GW99">
        <v>1</v>
      </c>
      <c r="GX99">
        <f t="shared" si="100"/>
        <v>0</v>
      </c>
      <c r="HA99">
        <v>0</v>
      </c>
      <c r="HB99">
        <v>0</v>
      </c>
      <c r="HC99">
        <f t="shared" si="101"/>
        <v>0</v>
      </c>
      <c r="IK99">
        <v>0</v>
      </c>
    </row>
    <row r="100" spans="1:245" x14ac:dyDescent="0.2">
      <c r="A100">
        <v>17</v>
      </c>
      <c r="B100">
        <v>1</v>
      </c>
      <c r="E100" t="s">
        <v>276</v>
      </c>
      <c r="F100" t="s">
        <v>277</v>
      </c>
      <c r="G100" t="s">
        <v>269</v>
      </c>
      <c r="H100" t="s">
        <v>270</v>
      </c>
      <c r="I100">
        <v>0</v>
      </c>
      <c r="J100">
        <v>0</v>
      </c>
      <c r="O100">
        <f t="shared" si="70"/>
        <v>0</v>
      </c>
      <c r="P100">
        <f t="shared" si="71"/>
        <v>0</v>
      </c>
      <c r="Q100">
        <f t="shared" si="103"/>
        <v>0</v>
      </c>
      <c r="R100">
        <f t="shared" si="72"/>
        <v>0</v>
      </c>
      <c r="S100">
        <f t="shared" si="73"/>
        <v>0</v>
      </c>
      <c r="T100">
        <f t="shared" si="74"/>
        <v>0</v>
      </c>
      <c r="U100">
        <f t="shared" si="75"/>
        <v>0</v>
      </c>
      <c r="V100">
        <f t="shared" si="76"/>
        <v>0</v>
      </c>
      <c r="W100">
        <f t="shared" si="77"/>
        <v>0</v>
      </c>
      <c r="X100">
        <f t="shared" si="78"/>
        <v>0</v>
      </c>
      <c r="Y100">
        <f t="shared" si="79"/>
        <v>0</v>
      </c>
      <c r="AA100">
        <v>44176454</v>
      </c>
      <c r="AB100">
        <f t="shared" si="80"/>
        <v>16.493400000000001</v>
      </c>
      <c r="AC100">
        <f>ROUND(((ES100*1.02)),6)</f>
        <v>16.493400000000001</v>
      </c>
      <c r="AD100">
        <f t="shared" si="104"/>
        <v>0</v>
      </c>
      <c r="AE100">
        <f t="shared" si="105"/>
        <v>0</v>
      </c>
      <c r="AF100">
        <f t="shared" si="105"/>
        <v>0</v>
      </c>
      <c r="AG100">
        <f t="shared" si="81"/>
        <v>0</v>
      </c>
      <c r="AH100">
        <f t="shared" si="106"/>
        <v>0</v>
      </c>
      <c r="AI100">
        <f t="shared" si="106"/>
        <v>0</v>
      </c>
      <c r="AJ100">
        <f t="shared" si="82"/>
        <v>0</v>
      </c>
      <c r="AK100">
        <v>16.170000000000002</v>
      </c>
      <c r="AL100">
        <v>16.170000000000002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6</v>
      </c>
      <c r="BE100" t="s">
        <v>6</v>
      </c>
      <c r="BF100" t="s">
        <v>6</v>
      </c>
      <c r="BG100" t="s">
        <v>6</v>
      </c>
      <c r="BH100">
        <v>3</v>
      </c>
      <c r="BI100">
        <v>1</v>
      </c>
      <c r="BJ100" t="s">
        <v>6</v>
      </c>
      <c r="BM100">
        <v>400002</v>
      </c>
      <c r="BN100">
        <v>0</v>
      </c>
      <c r="BO100" t="s">
        <v>6</v>
      </c>
      <c r="BP100">
        <v>0</v>
      </c>
      <c r="BQ100">
        <v>202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6</v>
      </c>
      <c r="BZ100">
        <v>0</v>
      </c>
      <c r="CA100">
        <v>0</v>
      </c>
      <c r="CE100">
        <v>30</v>
      </c>
      <c r="CF100">
        <v>0</v>
      </c>
      <c r="CG100">
        <v>0</v>
      </c>
      <c r="CM100">
        <v>0</v>
      </c>
      <c r="CN100" t="s">
        <v>6</v>
      </c>
      <c r="CO100">
        <v>0</v>
      </c>
      <c r="CP100">
        <f t="shared" si="83"/>
        <v>0</v>
      </c>
      <c r="CQ100">
        <f t="shared" si="84"/>
        <v>16.489999999999998</v>
      </c>
      <c r="CR100">
        <f t="shared" si="107"/>
        <v>0</v>
      </c>
      <c r="CS100">
        <f t="shared" si="85"/>
        <v>0</v>
      </c>
      <c r="CT100">
        <f t="shared" si="86"/>
        <v>0</v>
      </c>
      <c r="CU100">
        <f t="shared" si="87"/>
        <v>0</v>
      </c>
      <c r="CV100">
        <f t="shared" si="88"/>
        <v>0</v>
      </c>
      <c r="CW100">
        <f t="shared" si="89"/>
        <v>0</v>
      </c>
      <c r="CX100">
        <f t="shared" si="90"/>
        <v>0</v>
      </c>
      <c r="CY100">
        <f t="shared" si="91"/>
        <v>0</v>
      </c>
      <c r="CZ100">
        <f t="shared" si="92"/>
        <v>0</v>
      </c>
      <c r="DC100" t="s">
        <v>6</v>
      </c>
      <c r="DD100" t="s">
        <v>271</v>
      </c>
      <c r="DE100" t="s">
        <v>6</v>
      </c>
      <c r="DF100" t="s">
        <v>6</v>
      </c>
      <c r="DG100" t="s">
        <v>6</v>
      </c>
      <c r="DH100" t="s">
        <v>6</v>
      </c>
      <c r="DI100" t="s">
        <v>6</v>
      </c>
      <c r="DJ100" t="s">
        <v>6</v>
      </c>
      <c r="DK100" t="s">
        <v>6</v>
      </c>
      <c r="DL100" t="s">
        <v>6</v>
      </c>
      <c r="DM100" t="s">
        <v>6</v>
      </c>
      <c r="DN100">
        <v>0</v>
      </c>
      <c r="DO100">
        <v>0</v>
      </c>
      <c r="DP100">
        <v>1</v>
      </c>
      <c r="DQ100">
        <v>1</v>
      </c>
      <c r="DU100">
        <v>1013</v>
      </c>
      <c r="DV100" t="s">
        <v>270</v>
      </c>
      <c r="DW100" t="s">
        <v>270</v>
      </c>
      <c r="DX100">
        <v>1</v>
      </c>
      <c r="EE100">
        <v>44065786</v>
      </c>
      <c r="EF100">
        <v>202</v>
      </c>
      <c r="EG100" t="s">
        <v>272</v>
      </c>
      <c r="EH100">
        <v>0</v>
      </c>
      <c r="EI100" t="s">
        <v>6</v>
      </c>
      <c r="EJ100">
        <v>1</v>
      </c>
      <c r="EK100">
        <v>400002</v>
      </c>
      <c r="EL100" t="s">
        <v>273</v>
      </c>
      <c r="EM100" t="s">
        <v>272</v>
      </c>
      <c r="EO100" t="s">
        <v>6</v>
      </c>
      <c r="EQ100">
        <v>0</v>
      </c>
      <c r="ER100">
        <v>16.170000000000002</v>
      </c>
      <c r="ES100">
        <v>16.170000000000002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FQ100">
        <v>0</v>
      </c>
      <c r="FR100">
        <f t="shared" si="93"/>
        <v>0</v>
      </c>
      <c r="FS100">
        <v>0</v>
      </c>
      <c r="FX100">
        <v>0</v>
      </c>
      <c r="FY100">
        <v>0</v>
      </c>
      <c r="GA100" t="s">
        <v>6</v>
      </c>
      <c r="GD100">
        <v>0</v>
      </c>
      <c r="GF100">
        <v>-691826010</v>
      </c>
      <c r="GG100">
        <v>2</v>
      </c>
      <c r="GH100">
        <v>0</v>
      </c>
      <c r="GI100">
        <v>3</v>
      </c>
      <c r="GJ100">
        <v>0</v>
      </c>
      <c r="GK100">
        <f>ROUND(R100*(R12)/100,2)</f>
        <v>0</v>
      </c>
      <c r="GL100">
        <f t="shared" si="94"/>
        <v>0</v>
      </c>
      <c r="GM100">
        <f t="shared" si="95"/>
        <v>0</v>
      </c>
      <c r="GN100">
        <f t="shared" si="96"/>
        <v>0</v>
      </c>
      <c r="GO100">
        <f t="shared" si="97"/>
        <v>0</v>
      </c>
      <c r="GP100">
        <f t="shared" si="98"/>
        <v>0</v>
      </c>
      <c r="GR100">
        <v>0</v>
      </c>
      <c r="GS100">
        <v>0</v>
      </c>
      <c r="GT100">
        <v>0</v>
      </c>
      <c r="GU100" t="s">
        <v>6</v>
      </c>
      <c r="GV100">
        <f t="shared" si="99"/>
        <v>0</v>
      </c>
      <c r="GW100">
        <v>1</v>
      </c>
      <c r="GX100">
        <f t="shared" si="100"/>
        <v>0</v>
      </c>
      <c r="HA100">
        <v>0</v>
      </c>
      <c r="HB100">
        <v>0</v>
      </c>
      <c r="HC100">
        <f t="shared" si="101"/>
        <v>0</v>
      </c>
      <c r="IK100">
        <v>0</v>
      </c>
    </row>
    <row r="101" spans="1:245" x14ac:dyDescent="0.2">
      <c r="A101">
        <v>17</v>
      </c>
      <c r="B101">
        <v>1</v>
      </c>
      <c r="C101">
        <f>ROW(SmtRes!A63)</f>
        <v>63</v>
      </c>
      <c r="D101">
        <f>ROW(EtalonRes!A66)</f>
        <v>66</v>
      </c>
      <c r="E101" t="s">
        <v>278</v>
      </c>
      <c r="F101" t="s">
        <v>279</v>
      </c>
      <c r="G101" t="s">
        <v>280</v>
      </c>
      <c r="H101" t="s">
        <v>281</v>
      </c>
      <c r="I101">
        <f>ROUND(1480+200+(135),9)</f>
        <v>1815</v>
      </c>
      <c r="J101">
        <v>0</v>
      </c>
      <c r="O101">
        <f t="shared" si="70"/>
        <v>579535.62</v>
      </c>
      <c r="P101">
        <f t="shared" si="71"/>
        <v>178147.8</v>
      </c>
      <c r="Q101">
        <f>(ROUND((ROUND((((ET101*1.15))*AV101*I101),2)*BB101),2)+ROUND((ROUND(((AE101-((EU101*1.15)))*AV101*I101),2)*BS101),2))</f>
        <v>146050.23000000001</v>
      </c>
      <c r="R101">
        <f t="shared" si="72"/>
        <v>73021.87</v>
      </c>
      <c r="S101">
        <f t="shared" si="73"/>
        <v>255337.59</v>
      </c>
      <c r="T101">
        <f t="shared" si="74"/>
        <v>0</v>
      </c>
      <c r="U101">
        <f t="shared" si="75"/>
        <v>1113.5478749999997</v>
      </c>
      <c r="V101">
        <f t="shared" si="76"/>
        <v>0</v>
      </c>
      <c r="W101">
        <f t="shared" si="77"/>
        <v>0</v>
      </c>
      <c r="X101">
        <f t="shared" si="78"/>
        <v>229803.83</v>
      </c>
      <c r="Y101">
        <f t="shared" si="79"/>
        <v>109795.16</v>
      </c>
      <c r="AA101">
        <v>44176454</v>
      </c>
      <c r="AB101">
        <f t="shared" si="80"/>
        <v>32.027999999999999</v>
      </c>
      <c r="AC101">
        <f>ROUND((ES101),6)</f>
        <v>16.940000000000001</v>
      </c>
      <c r="AD101">
        <f>ROUND(((((ET101*1.15))-((EU101*1.15)))+AE101),6)</f>
        <v>8.9354999999999993</v>
      </c>
      <c r="AE101">
        <f>ROUND(((EU101*1.15)),6)</f>
        <v>1.7595000000000001</v>
      </c>
      <c r="AF101">
        <f>ROUND(((EV101*1.15)),6)</f>
        <v>6.1524999999999999</v>
      </c>
      <c r="AG101">
        <f t="shared" si="81"/>
        <v>0</v>
      </c>
      <c r="AH101">
        <f>((EW101*1.15))</f>
        <v>0.57499999999999996</v>
      </c>
      <c r="AI101">
        <f>((EX101*1.15))</f>
        <v>0</v>
      </c>
      <c r="AJ101">
        <f t="shared" si="82"/>
        <v>0</v>
      </c>
      <c r="AK101">
        <v>30.06</v>
      </c>
      <c r="AL101">
        <v>16.940000000000001</v>
      </c>
      <c r="AM101">
        <v>7.77</v>
      </c>
      <c r="AN101">
        <v>1.53</v>
      </c>
      <c r="AO101">
        <v>5.35</v>
      </c>
      <c r="AP101">
        <v>0</v>
      </c>
      <c r="AQ101">
        <v>0.5</v>
      </c>
      <c r="AR101">
        <v>0</v>
      </c>
      <c r="AS101">
        <v>0</v>
      </c>
      <c r="AT101">
        <v>90</v>
      </c>
      <c r="AU101">
        <v>43</v>
      </c>
      <c r="AV101">
        <v>1.0669999999999999</v>
      </c>
      <c r="AW101">
        <v>1.081</v>
      </c>
      <c r="AZ101">
        <v>1</v>
      </c>
      <c r="BA101">
        <v>21.43</v>
      </c>
      <c r="BB101">
        <v>8.44</v>
      </c>
      <c r="BC101">
        <v>5.36</v>
      </c>
      <c r="BD101" t="s">
        <v>6</v>
      </c>
      <c r="BE101" t="s">
        <v>6</v>
      </c>
      <c r="BF101" t="s">
        <v>6</v>
      </c>
      <c r="BG101" t="s">
        <v>6</v>
      </c>
      <c r="BH101">
        <v>0</v>
      </c>
      <c r="BI101">
        <v>2</v>
      </c>
      <c r="BJ101" t="s">
        <v>282</v>
      </c>
      <c r="BM101">
        <v>337</v>
      </c>
      <c r="BN101">
        <v>0</v>
      </c>
      <c r="BO101" t="s">
        <v>279</v>
      </c>
      <c r="BP101">
        <v>1</v>
      </c>
      <c r="BQ101">
        <v>40</v>
      </c>
      <c r="BR101">
        <v>0</v>
      </c>
      <c r="BS101">
        <v>21.43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6</v>
      </c>
      <c r="BZ101">
        <v>90</v>
      </c>
      <c r="CA101">
        <v>43</v>
      </c>
      <c r="CE101">
        <v>30</v>
      </c>
      <c r="CF101">
        <v>0</v>
      </c>
      <c r="CG101">
        <v>0</v>
      </c>
      <c r="CM101">
        <v>0</v>
      </c>
      <c r="CN101" t="s">
        <v>6</v>
      </c>
      <c r="CO101">
        <v>0</v>
      </c>
      <c r="CP101">
        <f t="shared" si="83"/>
        <v>579535.62</v>
      </c>
      <c r="CQ101">
        <f t="shared" si="84"/>
        <v>98.14</v>
      </c>
      <c r="CR101">
        <f>(ROUND((ROUND((((ET101*1.15))*AV101*1),2)*BB101),2)+ROUND((ROUND(((AE101-((EU101*1.15)))*AV101*1),2)*BS101),2))</f>
        <v>80.430000000000007</v>
      </c>
      <c r="CS101">
        <f t="shared" si="85"/>
        <v>40.29</v>
      </c>
      <c r="CT101">
        <f t="shared" si="86"/>
        <v>140.58000000000001</v>
      </c>
      <c r="CU101">
        <f t="shared" si="87"/>
        <v>0</v>
      </c>
      <c r="CV101">
        <f t="shared" si="88"/>
        <v>0.61352499999999988</v>
      </c>
      <c r="CW101">
        <f t="shared" si="89"/>
        <v>0</v>
      </c>
      <c r="CX101">
        <f t="shared" si="90"/>
        <v>0</v>
      </c>
      <c r="CY101">
        <f t="shared" si="91"/>
        <v>229803.83100000001</v>
      </c>
      <c r="CZ101">
        <f t="shared" si="92"/>
        <v>109795.16369999999</v>
      </c>
      <c r="DC101" t="s">
        <v>6</v>
      </c>
      <c r="DD101" t="s">
        <v>6</v>
      </c>
      <c r="DE101" t="s">
        <v>283</v>
      </c>
      <c r="DF101" t="s">
        <v>283</v>
      </c>
      <c r="DG101" t="s">
        <v>283</v>
      </c>
      <c r="DH101" t="s">
        <v>6</v>
      </c>
      <c r="DI101" t="s">
        <v>283</v>
      </c>
      <c r="DJ101" t="s">
        <v>283</v>
      </c>
      <c r="DK101" t="s">
        <v>6</v>
      </c>
      <c r="DL101" t="s">
        <v>6</v>
      </c>
      <c r="DM101" t="s">
        <v>6</v>
      </c>
      <c r="DN101">
        <v>112</v>
      </c>
      <c r="DO101">
        <v>70</v>
      </c>
      <c r="DP101">
        <v>1.0669999999999999</v>
      </c>
      <c r="DQ101">
        <v>1.081</v>
      </c>
      <c r="DU101">
        <v>1013</v>
      </c>
      <c r="DV101" t="s">
        <v>281</v>
      </c>
      <c r="DW101" t="s">
        <v>281</v>
      </c>
      <c r="DX101">
        <v>1</v>
      </c>
      <c r="EE101">
        <v>44064156</v>
      </c>
      <c r="EF101">
        <v>40</v>
      </c>
      <c r="EG101" t="s">
        <v>232</v>
      </c>
      <c r="EH101">
        <v>0</v>
      </c>
      <c r="EI101" t="s">
        <v>6</v>
      </c>
      <c r="EJ101">
        <v>2</v>
      </c>
      <c r="EK101">
        <v>337</v>
      </c>
      <c r="EL101" t="s">
        <v>284</v>
      </c>
      <c r="EM101" t="s">
        <v>285</v>
      </c>
      <c r="EO101" t="s">
        <v>6</v>
      </c>
      <c r="EQ101">
        <v>131072</v>
      </c>
      <c r="ER101">
        <v>30.06</v>
      </c>
      <c r="ES101">
        <v>16.940000000000001</v>
      </c>
      <c r="ET101">
        <v>7.77</v>
      </c>
      <c r="EU101">
        <v>1.53</v>
      </c>
      <c r="EV101">
        <v>5.35</v>
      </c>
      <c r="EW101">
        <v>0.5</v>
      </c>
      <c r="EX101">
        <v>0</v>
      </c>
      <c r="EY101">
        <v>0</v>
      </c>
      <c r="FQ101">
        <v>0</v>
      </c>
      <c r="FR101">
        <f t="shared" si="93"/>
        <v>0</v>
      </c>
      <c r="FS101">
        <v>0</v>
      </c>
      <c r="FX101">
        <v>112</v>
      </c>
      <c r="FY101">
        <v>70</v>
      </c>
      <c r="GA101" t="s">
        <v>6</v>
      </c>
      <c r="GD101">
        <v>0</v>
      </c>
      <c r="GF101">
        <v>-850108812</v>
      </c>
      <c r="GG101">
        <v>2</v>
      </c>
      <c r="GH101">
        <v>1</v>
      </c>
      <c r="GI101">
        <v>2</v>
      </c>
      <c r="GJ101">
        <v>0</v>
      </c>
      <c r="GK101">
        <f>ROUND(R101*(R12)/100,2)</f>
        <v>114644.34</v>
      </c>
      <c r="GL101">
        <f t="shared" si="94"/>
        <v>0</v>
      </c>
      <c r="GM101">
        <f t="shared" si="95"/>
        <v>1033778.95</v>
      </c>
      <c r="GN101">
        <f t="shared" si="96"/>
        <v>0</v>
      </c>
      <c r="GO101">
        <f t="shared" si="97"/>
        <v>1033778.95</v>
      </c>
      <c r="GP101">
        <f t="shared" si="98"/>
        <v>0</v>
      </c>
      <c r="GR101">
        <v>0</v>
      </c>
      <c r="GS101">
        <v>0</v>
      </c>
      <c r="GT101">
        <v>0</v>
      </c>
      <c r="GU101" t="s">
        <v>6</v>
      </c>
      <c r="GV101">
        <f t="shared" si="99"/>
        <v>0</v>
      </c>
      <c r="GW101">
        <v>1</v>
      </c>
      <c r="GX101">
        <f t="shared" si="100"/>
        <v>0</v>
      </c>
      <c r="HA101">
        <v>0</v>
      </c>
      <c r="HB101">
        <v>0</v>
      </c>
      <c r="HC101">
        <f t="shared" si="101"/>
        <v>0</v>
      </c>
      <c r="IK101">
        <v>0</v>
      </c>
    </row>
    <row r="102" spans="1:245" x14ac:dyDescent="0.2">
      <c r="A102">
        <v>17</v>
      </c>
      <c r="B102">
        <v>1</v>
      </c>
      <c r="E102" t="s">
        <v>286</v>
      </c>
      <c r="F102" t="s">
        <v>287</v>
      </c>
      <c r="G102" t="s">
        <v>288</v>
      </c>
      <c r="H102" t="s">
        <v>263</v>
      </c>
      <c r="I102">
        <f>ROUND(I101,9)</f>
        <v>1815</v>
      </c>
      <c r="J102">
        <v>0</v>
      </c>
      <c r="O102">
        <f t="shared" si="70"/>
        <v>1087638.75</v>
      </c>
      <c r="P102">
        <f t="shared" si="71"/>
        <v>1087638.75</v>
      </c>
      <c r="Q102">
        <f>(ROUND((ROUND(((ET102)*AV102*I102),2)*BB102),2)+ROUND((ROUND(((AE102-(EU102))*AV102*I102),2)*BS102),2))</f>
        <v>0</v>
      </c>
      <c r="R102">
        <f t="shared" si="72"/>
        <v>0</v>
      </c>
      <c r="S102">
        <f t="shared" si="73"/>
        <v>0</v>
      </c>
      <c r="T102">
        <f t="shared" si="74"/>
        <v>0</v>
      </c>
      <c r="U102">
        <f t="shared" si="75"/>
        <v>0</v>
      </c>
      <c r="V102">
        <f t="shared" si="76"/>
        <v>0</v>
      </c>
      <c r="W102">
        <f t="shared" si="77"/>
        <v>0</v>
      </c>
      <c r="X102">
        <f t="shared" si="78"/>
        <v>0</v>
      </c>
      <c r="Y102">
        <f t="shared" si="79"/>
        <v>0</v>
      </c>
      <c r="AA102">
        <v>44176454</v>
      </c>
      <c r="AB102">
        <f t="shared" si="80"/>
        <v>75</v>
      </c>
      <c r="AC102">
        <f>ROUND((ES102),6)</f>
        <v>75</v>
      </c>
      <c r="AD102">
        <f>ROUND((((ET102)-(EU102))+AE102),6)</f>
        <v>0</v>
      </c>
      <c r="AE102">
        <f>ROUND((EU102),6)</f>
        <v>0</v>
      </c>
      <c r="AF102">
        <f>ROUND((EV102),6)</f>
        <v>0</v>
      </c>
      <c r="AG102">
        <f t="shared" si="81"/>
        <v>0</v>
      </c>
      <c r="AH102">
        <f>(EW102)</f>
        <v>0</v>
      </c>
      <c r="AI102">
        <f>(EX102)</f>
        <v>0</v>
      </c>
      <c r="AJ102">
        <f t="shared" si="82"/>
        <v>0</v>
      </c>
      <c r="AK102">
        <v>75</v>
      </c>
      <c r="AL102">
        <v>75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7.99</v>
      </c>
      <c r="BD102" t="s">
        <v>6</v>
      </c>
      <c r="BE102" t="s">
        <v>6</v>
      </c>
      <c r="BF102" t="s">
        <v>6</v>
      </c>
      <c r="BG102" t="s">
        <v>6</v>
      </c>
      <c r="BH102">
        <v>3</v>
      </c>
      <c r="BI102">
        <v>2</v>
      </c>
      <c r="BJ102" t="s">
        <v>289</v>
      </c>
      <c r="BM102">
        <v>1618</v>
      </c>
      <c r="BN102">
        <v>0</v>
      </c>
      <c r="BO102" t="s">
        <v>287</v>
      </c>
      <c r="BP102">
        <v>1</v>
      </c>
      <c r="BQ102">
        <v>201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6</v>
      </c>
      <c r="BZ102">
        <v>0</v>
      </c>
      <c r="CA102">
        <v>0</v>
      </c>
      <c r="CE102">
        <v>30</v>
      </c>
      <c r="CF102">
        <v>0</v>
      </c>
      <c r="CG102">
        <v>0</v>
      </c>
      <c r="CM102">
        <v>0</v>
      </c>
      <c r="CN102" t="s">
        <v>6</v>
      </c>
      <c r="CO102">
        <v>0</v>
      </c>
      <c r="CP102">
        <f t="shared" si="83"/>
        <v>1087638.75</v>
      </c>
      <c r="CQ102">
        <f t="shared" si="84"/>
        <v>599.25</v>
      </c>
      <c r="CR102">
        <f>(ROUND((ROUND(((ET102)*AV102*1),2)*BB102),2)+ROUND((ROUND(((AE102-(EU102))*AV102*1),2)*BS102),2))</f>
        <v>0</v>
      </c>
      <c r="CS102">
        <f t="shared" si="85"/>
        <v>0</v>
      </c>
      <c r="CT102">
        <f t="shared" si="86"/>
        <v>0</v>
      </c>
      <c r="CU102">
        <f t="shared" si="87"/>
        <v>0</v>
      </c>
      <c r="CV102">
        <f t="shared" si="88"/>
        <v>0</v>
      </c>
      <c r="CW102">
        <f t="shared" si="89"/>
        <v>0</v>
      </c>
      <c r="CX102">
        <f t="shared" si="90"/>
        <v>0</v>
      </c>
      <c r="CY102">
        <f t="shared" si="91"/>
        <v>0</v>
      </c>
      <c r="CZ102">
        <f t="shared" si="92"/>
        <v>0</v>
      </c>
      <c r="DC102" t="s">
        <v>6</v>
      </c>
      <c r="DD102" t="s">
        <v>6</v>
      </c>
      <c r="DE102" t="s">
        <v>6</v>
      </c>
      <c r="DF102" t="s">
        <v>6</v>
      </c>
      <c r="DG102" t="s">
        <v>6</v>
      </c>
      <c r="DH102" t="s">
        <v>6</v>
      </c>
      <c r="DI102" t="s">
        <v>6</v>
      </c>
      <c r="DJ102" t="s">
        <v>6</v>
      </c>
      <c r="DK102" t="s">
        <v>6</v>
      </c>
      <c r="DL102" t="s">
        <v>6</v>
      </c>
      <c r="DM102" t="s">
        <v>6</v>
      </c>
      <c r="DN102">
        <v>0</v>
      </c>
      <c r="DO102">
        <v>0</v>
      </c>
      <c r="DP102">
        <v>1</v>
      </c>
      <c r="DQ102">
        <v>1</v>
      </c>
      <c r="DU102">
        <v>1010</v>
      </c>
      <c r="DV102" t="s">
        <v>263</v>
      </c>
      <c r="DW102" t="s">
        <v>263</v>
      </c>
      <c r="DX102">
        <v>1</v>
      </c>
      <c r="EE102">
        <v>44065437</v>
      </c>
      <c r="EF102">
        <v>201</v>
      </c>
      <c r="EG102" t="s">
        <v>252</v>
      </c>
      <c r="EH102">
        <v>0</v>
      </c>
      <c r="EI102" t="s">
        <v>6</v>
      </c>
      <c r="EJ102">
        <v>2</v>
      </c>
      <c r="EK102">
        <v>1618</v>
      </c>
      <c r="EL102" t="s">
        <v>253</v>
      </c>
      <c r="EM102" t="s">
        <v>254</v>
      </c>
      <c r="EO102" t="s">
        <v>6</v>
      </c>
      <c r="EQ102">
        <v>131072</v>
      </c>
      <c r="ER102">
        <v>75</v>
      </c>
      <c r="ES102">
        <v>75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FQ102">
        <v>0</v>
      </c>
      <c r="FR102">
        <f t="shared" si="93"/>
        <v>0</v>
      </c>
      <c r="FS102">
        <v>0</v>
      </c>
      <c r="FX102">
        <v>0</v>
      </c>
      <c r="FY102">
        <v>0</v>
      </c>
      <c r="GA102" t="s">
        <v>6</v>
      </c>
      <c r="GD102">
        <v>0</v>
      </c>
      <c r="GF102">
        <v>-947726558</v>
      </c>
      <c r="GG102">
        <v>2</v>
      </c>
      <c r="GH102">
        <v>1</v>
      </c>
      <c r="GI102">
        <v>2</v>
      </c>
      <c r="GJ102">
        <v>0</v>
      </c>
      <c r="GK102">
        <f>ROUND(R102*(R12)/100,2)</f>
        <v>0</v>
      </c>
      <c r="GL102">
        <f t="shared" si="94"/>
        <v>0</v>
      </c>
      <c r="GM102">
        <f t="shared" si="95"/>
        <v>1087638.75</v>
      </c>
      <c r="GN102">
        <f t="shared" si="96"/>
        <v>0</v>
      </c>
      <c r="GO102">
        <f t="shared" si="97"/>
        <v>1087638.75</v>
      </c>
      <c r="GP102">
        <f t="shared" si="98"/>
        <v>0</v>
      </c>
      <c r="GR102">
        <v>0</v>
      </c>
      <c r="GS102">
        <v>0</v>
      </c>
      <c r="GT102">
        <v>0</v>
      </c>
      <c r="GU102" t="s">
        <v>6</v>
      </c>
      <c r="GV102">
        <f t="shared" si="99"/>
        <v>0</v>
      </c>
      <c r="GW102">
        <v>1</v>
      </c>
      <c r="GX102">
        <f t="shared" si="100"/>
        <v>0</v>
      </c>
      <c r="HA102">
        <v>0</v>
      </c>
      <c r="HB102">
        <v>0</v>
      </c>
      <c r="HC102">
        <f t="shared" si="101"/>
        <v>0</v>
      </c>
      <c r="IK102">
        <v>0</v>
      </c>
    </row>
    <row r="103" spans="1:245" x14ac:dyDescent="0.2">
      <c r="A103">
        <v>17</v>
      </c>
      <c r="B103">
        <v>1</v>
      </c>
      <c r="C103">
        <f>ROW(SmtRes!A64)</f>
        <v>64</v>
      </c>
      <c r="D103">
        <f>ROW(EtalonRes!A67)</f>
        <v>67</v>
      </c>
      <c r="E103" t="s">
        <v>290</v>
      </c>
      <c r="F103" t="s">
        <v>291</v>
      </c>
      <c r="G103" t="s">
        <v>292</v>
      </c>
      <c r="H103" t="s">
        <v>37</v>
      </c>
      <c r="I103">
        <f>ROUND(2000*0.5*3.77/1000,9)</f>
        <v>3.77</v>
      </c>
      <c r="J103">
        <v>0</v>
      </c>
      <c r="O103">
        <f t="shared" si="70"/>
        <v>43914.9</v>
      </c>
      <c r="P103">
        <f t="shared" si="71"/>
        <v>0</v>
      </c>
      <c r="Q103">
        <f>(ROUND((ROUND(((((ET103*0.3)*1.15))*AV103*I103),2)*BB103),2)+ROUND((ROUND(((AE103-(((EU103*0.3)*1.15)))*AV103*I103),2)*BS103),2))</f>
        <v>11189.79</v>
      </c>
      <c r="R103">
        <f t="shared" si="72"/>
        <v>3073.92</v>
      </c>
      <c r="S103">
        <f t="shared" si="73"/>
        <v>32725.11</v>
      </c>
      <c r="T103">
        <f t="shared" si="74"/>
        <v>0</v>
      </c>
      <c r="U103">
        <f t="shared" si="75"/>
        <v>123.84945377999998</v>
      </c>
      <c r="V103">
        <f t="shared" si="76"/>
        <v>0</v>
      </c>
      <c r="W103">
        <f t="shared" si="77"/>
        <v>0</v>
      </c>
      <c r="X103">
        <f t="shared" si="78"/>
        <v>29452.6</v>
      </c>
      <c r="Y103">
        <f t="shared" si="79"/>
        <v>14071.8</v>
      </c>
      <c r="AA103">
        <v>44176454</v>
      </c>
      <c r="AB103">
        <f t="shared" si="80"/>
        <v>783.86760000000004</v>
      </c>
      <c r="AC103">
        <f>ROUND(((ES103*0)),6)</f>
        <v>0</v>
      </c>
      <c r="AD103">
        <f>ROUND((((((ET103*0.3)*1.15))-(((EU103*0.3)*1.15)))+AE103),6)</f>
        <v>411.22964999999999</v>
      </c>
      <c r="AE103">
        <f>ROUND((((EU103*0.3)*1.15)),6)</f>
        <v>35.003700000000002</v>
      </c>
      <c r="AF103">
        <f>ROUND((((EV103*0.3)*1.15)),6)</f>
        <v>372.63794999999999</v>
      </c>
      <c r="AG103">
        <f t="shared" si="81"/>
        <v>0</v>
      </c>
      <c r="AH103">
        <f>(((EW103*0.3)*1.15))</f>
        <v>30.221999999999994</v>
      </c>
      <c r="AI103">
        <f>(((EX103*0.3)*1.15))</f>
        <v>0</v>
      </c>
      <c r="AJ103">
        <f t="shared" si="82"/>
        <v>0</v>
      </c>
      <c r="AK103">
        <v>7053.08</v>
      </c>
      <c r="AL103">
        <v>4781</v>
      </c>
      <c r="AM103">
        <v>1191.97</v>
      </c>
      <c r="AN103">
        <v>101.46</v>
      </c>
      <c r="AO103">
        <v>1080.1099999999999</v>
      </c>
      <c r="AP103">
        <v>0</v>
      </c>
      <c r="AQ103">
        <v>87.6</v>
      </c>
      <c r="AR103">
        <v>0</v>
      </c>
      <c r="AS103">
        <v>0</v>
      </c>
      <c r="AT103">
        <v>90</v>
      </c>
      <c r="AU103">
        <v>43</v>
      </c>
      <c r="AV103">
        <v>1.087</v>
      </c>
      <c r="AW103">
        <v>1</v>
      </c>
      <c r="AZ103">
        <v>1</v>
      </c>
      <c r="BA103">
        <v>21.43</v>
      </c>
      <c r="BB103">
        <v>6.64</v>
      </c>
      <c r="BC103">
        <v>5.36</v>
      </c>
      <c r="BD103" t="s">
        <v>6</v>
      </c>
      <c r="BE103" t="s">
        <v>6</v>
      </c>
      <c r="BF103" t="s">
        <v>6</v>
      </c>
      <c r="BG103" t="s">
        <v>6</v>
      </c>
      <c r="BH103">
        <v>0</v>
      </c>
      <c r="BI103">
        <v>2</v>
      </c>
      <c r="BJ103" t="s">
        <v>293</v>
      </c>
      <c r="BM103">
        <v>319</v>
      </c>
      <c r="BN103">
        <v>0</v>
      </c>
      <c r="BO103" t="s">
        <v>291</v>
      </c>
      <c r="BP103">
        <v>1</v>
      </c>
      <c r="BQ103">
        <v>40</v>
      </c>
      <c r="BR103">
        <v>0</v>
      </c>
      <c r="BS103">
        <v>21.43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6</v>
      </c>
      <c r="BZ103">
        <v>90</v>
      </c>
      <c r="CA103">
        <v>43</v>
      </c>
      <c r="CE103">
        <v>30</v>
      </c>
      <c r="CF103">
        <v>0</v>
      </c>
      <c r="CG103">
        <v>0</v>
      </c>
      <c r="CM103">
        <v>0</v>
      </c>
      <c r="CN103" t="s">
        <v>519</v>
      </c>
      <c r="CO103">
        <v>0</v>
      </c>
      <c r="CP103">
        <f t="shared" si="83"/>
        <v>43914.9</v>
      </c>
      <c r="CQ103">
        <f t="shared" si="84"/>
        <v>0</v>
      </c>
      <c r="CR103">
        <f>(ROUND((ROUND(((((ET103*0.3)*1.15))*AV103*1),2)*BB103),2)+ROUND((ROUND(((AE103-(((EU103*0.3)*1.15)))*AV103*1),2)*BS103),2))</f>
        <v>2968.15</v>
      </c>
      <c r="CS103">
        <f t="shared" si="85"/>
        <v>815.41</v>
      </c>
      <c r="CT103">
        <f t="shared" si="86"/>
        <v>8680.44</v>
      </c>
      <c r="CU103">
        <f t="shared" si="87"/>
        <v>0</v>
      </c>
      <c r="CV103">
        <f t="shared" si="88"/>
        <v>32.851313999999995</v>
      </c>
      <c r="CW103">
        <f t="shared" si="89"/>
        <v>0</v>
      </c>
      <c r="CX103">
        <f t="shared" si="90"/>
        <v>0</v>
      </c>
      <c r="CY103">
        <f t="shared" si="91"/>
        <v>29452.599000000002</v>
      </c>
      <c r="CZ103">
        <f t="shared" si="92"/>
        <v>14071.7973</v>
      </c>
      <c r="DC103" t="s">
        <v>6</v>
      </c>
      <c r="DD103" t="s">
        <v>294</v>
      </c>
      <c r="DE103" t="s">
        <v>295</v>
      </c>
      <c r="DF103" t="s">
        <v>295</v>
      </c>
      <c r="DG103" t="s">
        <v>295</v>
      </c>
      <c r="DH103" t="s">
        <v>6</v>
      </c>
      <c r="DI103" t="s">
        <v>295</v>
      </c>
      <c r="DJ103" t="s">
        <v>295</v>
      </c>
      <c r="DK103" t="s">
        <v>6</v>
      </c>
      <c r="DL103" t="s">
        <v>6</v>
      </c>
      <c r="DM103" t="s">
        <v>6</v>
      </c>
      <c r="DN103">
        <v>112</v>
      </c>
      <c r="DO103">
        <v>70</v>
      </c>
      <c r="DP103">
        <v>1.087</v>
      </c>
      <c r="DQ103">
        <v>1</v>
      </c>
      <c r="DU103">
        <v>1013</v>
      </c>
      <c r="DV103" t="s">
        <v>37</v>
      </c>
      <c r="DW103" t="s">
        <v>37</v>
      </c>
      <c r="DX103">
        <v>1</v>
      </c>
      <c r="EE103">
        <v>44064138</v>
      </c>
      <c r="EF103">
        <v>40</v>
      </c>
      <c r="EG103" t="s">
        <v>232</v>
      </c>
      <c r="EH103">
        <v>0</v>
      </c>
      <c r="EI103" t="s">
        <v>6</v>
      </c>
      <c r="EJ103">
        <v>2</v>
      </c>
      <c r="EK103">
        <v>319</v>
      </c>
      <c r="EL103" t="s">
        <v>296</v>
      </c>
      <c r="EM103" t="s">
        <v>297</v>
      </c>
      <c r="EO103" t="s">
        <v>298</v>
      </c>
      <c r="EQ103">
        <v>131072</v>
      </c>
      <c r="ER103">
        <v>7053.08</v>
      </c>
      <c r="ES103">
        <v>4781</v>
      </c>
      <c r="ET103">
        <v>1191.97</v>
      </c>
      <c r="EU103">
        <v>101.46</v>
      </c>
      <c r="EV103">
        <v>1080.1099999999999</v>
      </c>
      <c r="EW103">
        <v>87.6</v>
      </c>
      <c r="EX103">
        <v>0</v>
      </c>
      <c r="EY103">
        <v>0</v>
      </c>
      <c r="FQ103">
        <v>0</v>
      </c>
      <c r="FR103">
        <f t="shared" si="93"/>
        <v>0</v>
      </c>
      <c r="FS103">
        <v>0</v>
      </c>
      <c r="FX103">
        <v>112</v>
      </c>
      <c r="FY103">
        <v>70</v>
      </c>
      <c r="GA103" t="s">
        <v>6</v>
      </c>
      <c r="GD103">
        <v>0</v>
      </c>
      <c r="GF103">
        <v>-108943218</v>
      </c>
      <c r="GG103">
        <v>2</v>
      </c>
      <c r="GH103">
        <v>1</v>
      </c>
      <c r="GI103">
        <v>2</v>
      </c>
      <c r="GJ103">
        <v>0</v>
      </c>
      <c r="GK103">
        <f>ROUND(R103*(R12)/100,2)</f>
        <v>4826.05</v>
      </c>
      <c r="GL103">
        <f t="shared" si="94"/>
        <v>0</v>
      </c>
      <c r="GM103">
        <f t="shared" si="95"/>
        <v>92265.35</v>
      </c>
      <c r="GN103">
        <f t="shared" si="96"/>
        <v>0</v>
      </c>
      <c r="GO103">
        <f t="shared" si="97"/>
        <v>92265.35</v>
      </c>
      <c r="GP103">
        <f t="shared" si="98"/>
        <v>0</v>
      </c>
      <c r="GR103">
        <v>0</v>
      </c>
      <c r="GS103">
        <v>0</v>
      </c>
      <c r="GT103">
        <v>0</v>
      </c>
      <c r="GU103" t="s">
        <v>6</v>
      </c>
      <c r="GV103">
        <f t="shared" si="99"/>
        <v>0</v>
      </c>
      <c r="GW103">
        <v>1</v>
      </c>
      <c r="GX103">
        <f t="shared" si="100"/>
        <v>0</v>
      </c>
      <c r="HA103">
        <v>0</v>
      </c>
      <c r="HB103">
        <v>0</v>
      </c>
      <c r="HC103">
        <f t="shared" si="101"/>
        <v>0</v>
      </c>
      <c r="IK103">
        <v>0</v>
      </c>
    </row>
    <row r="104" spans="1:245" x14ac:dyDescent="0.2">
      <c r="A104">
        <v>17</v>
      </c>
      <c r="B104">
        <v>1</v>
      </c>
      <c r="D104">
        <f>ROW(EtalonRes!A68)</f>
        <v>68</v>
      </c>
      <c r="E104" t="s">
        <v>299</v>
      </c>
      <c r="F104" t="s">
        <v>291</v>
      </c>
      <c r="G104" t="s">
        <v>300</v>
      </c>
      <c r="H104" t="s">
        <v>37</v>
      </c>
      <c r="I104">
        <f>ROUND(0*0.53*3.77/1000,9)</f>
        <v>0</v>
      </c>
      <c r="J104">
        <v>0</v>
      </c>
      <c r="O104">
        <f t="shared" si="70"/>
        <v>0</v>
      </c>
      <c r="P104">
        <f t="shared" si="71"/>
        <v>0</v>
      </c>
      <c r="Q104">
        <f>(ROUND((ROUND((((ET104*1.15*1.2*0.4))*AV104*I104),2)*BB104),2)+ROUND((ROUND(((AE104-((EU104*1.15*1.2*0.4)))*AV104*I104),2)*BS104),2))</f>
        <v>0</v>
      </c>
      <c r="R104">
        <f t="shared" si="72"/>
        <v>0</v>
      </c>
      <c r="S104">
        <f t="shared" si="73"/>
        <v>0</v>
      </c>
      <c r="T104">
        <f t="shared" si="74"/>
        <v>0</v>
      </c>
      <c r="U104">
        <f t="shared" si="75"/>
        <v>0</v>
      </c>
      <c r="V104">
        <f t="shared" si="76"/>
        <v>0</v>
      </c>
      <c r="W104">
        <f t="shared" si="77"/>
        <v>0</v>
      </c>
      <c r="X104">
        <f t="shared" si="78"/>
        <v>0</v>
      </c>
      <c r="Y104">
        <f t="shared" si="79"/>
        <v>0</v>
      </c>
      <c r="AA104">
        <v>44176454</v>
      </c>
      <c r="AB104">
        <f t="shared" si="80"/>
        <v>1254.1881599999999</v>
      </c>
      <c r="AC104">
        <f>ROUND(((ES104*0)),6)</f>
        <v>0</v>
      </c>
      <c r="AD104">
        <f>ROUND(((((ET104*1.15*1.2*0.4))-((EU104*1.15*1.2*0.4)))+AE104),6)</f>
        <v>657.96744000000001</v>
      </c>
      <c r="AE104">
        <f>ROUND(((EU104*1.15*1.2*0.4)),6)</f>
        <v>56.005920000000003</v>
      </c>
      <c r="AF104">
        <f>ROUND(((EV104*1.15*1.2*0.4)),6)</f>
        <v>596.22072000000003</v>
      </c>
      <c r="AG104">
        <f t="shared" si="81"/>
        <v>0</v>
      </c>
      <c r="AH104">
        <f>((EW104*1.15*1.2*0.4))</f>
        <v>48.355199999999996</v>
      </c>
      <c r="AI104">
        <f>((EX104*1.15*1.2*0.4))</f>
        <v>0</v>
      </c>
      <c r="AJ104">
        <f t="shared" si="82"/>
        <v>0</v>
      </c>
      <c r="AK104">
        <v>7053.08</v>
      </c>
      <c r="AL104">
        <v>4781</v>
      </c>
      <c r="AM104">
        <v>1191.97</v>
      </c>
      <c r="AN104">
        <v>101.46</v>
      </c>
      <c r="AO104">
        <v>1080.1099999999999</v>
      </c>
      <c r="AP104">
        <v>0</v>
      </c>
      <c r="AQ104">
        <v>87.6</v>
      </c>
      <c r="AR104">
        <v>0</v>
      </c>
      <c r="AS104">
        <v>0</v>
      </c>
      <c r="AT104">
        <v>90</v>
      </c>
      <c r="AU104">
        <v>43</v>
      </c>
      <c r="AV104">
        <v>1.087</v>
      </c>
      <c r="AW104">
        <v>1</v>
      </c>
      <c r="AZ104">
        <v>1</v>
      </c>
      <c r="BA104">
        <v>21.43</v>
      </c>
      <c r="BB104">
        <v>6.64</v>
      </c>
      <c r="BC104">
        <v>5.36</v>
      </c>
      <c r="BD104" t="s">
        <v>6</v>
      </c>
      <c r="BE104" t="s">
        <v>6</v>
      </c>
      <c r="BF104" t="s">
        <v>6</v>
      </c>
      <c r="BG104" t="s">
        <v>6</v>
      </c>
      <c r="BH104">
        <v>0</v>
      </c>
      <c r="BI104">
        <v>2</v>
      </c>
      <c r="BJ104" t="s">
        <v>293</v>
      </c>
      <c r="BM104">
        <v>319</v>
      </c>
      <c r="BN104">
        <v>0</v>
      </c>
      <c r="BO104" t="s">
        <v>291</v>
      </c>
      <c r="BP104">
        <v>1</v>
      </c>
      <c r="BQ104">
        <v>40</v>
      </c>
      <c r="BR104">
        <v>0</v>
      </c>
      <c r="BS104">
        <v>21.43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6</v>
      </c>
      <c r="BZ104">
        <v>90</v>
      </c>
      <c r="CA104">
        <v>43</v>
      </c>
      <c r="CE104">
        <v>30</v>
      </c>
      <c r="CF104">
        <v>0</v>
      </c>
      <c r="CG104">
        <v>0</v>
      </c>
      <c r="CM104">
        <v>0</v>
      </c>
      <c r="CN104" t="s">
        <v>520</v>
      </c>
      <c r="CO104">
        <v>0</v>
      </c>
      <c r="CP104">
        <f t="shared" si="83"/>
        <v>0</v>
      </c>
      <c r="CQ104">
        <f t="shared" si="84"/>
        <v>0</v>
      </c>
      <c r="CR104">
        <f>(ROUND((ROUND((((ET104*1.15*1.2*0.4))*AV104*1),2)*BB104),2)+ROUND((ROUND(((AE104-((EU104*1.15*1.2*0.4)))*AV104*1),2)*BS104),2))</f>
        <v>4748.99</v>
      </c>
      <c r="CS104">
        <f t="shared" si="85"/>
        <v>1304.6600000000001</v>
      </c>
      <c r="CT104">
        <f t="shared" si="86"/>
        <v>13888.57</v>
      </c>
      <c r="CU104">
        <f t="shared" si="87"/>
        <v>0</v>
      </c>
      <c r="CV104">
        <f t="shared" si="88"/>
        <v>52.562102399999993</v>
      </c>
      <c r="CW104">
        <f t="shared" si="89"/>
        <v>0</v>
      </c>
      <c r="CX104">
        <f t="shared" si="90"/>
        <v>0</v>
      </c>
      <c r="CY104">
        <f t="shared" si="91"/>
        <v>0</v>
      </c>
      <c r="CZ104">
        <f t="shared" si="92"/>
        <v>0</v>
      </c>
      <c r="DC104" t="s">
        <v>6</v>
      </c>
      <c r="DD104" t="s">
        <v>230</v>
      </c>
      <c r="DE104" t="s">
        <v>301</v>
      </c>
      <c r="DF104" t="s">
        <v>301</v>
      </c>
      <c r="DG104" t="s">
        <v>301</v>
      </c>
      <c r="DH104" t="s">
        <v>6</v>
      </c>
      <c r="DI104" t="s">
        <v>301</v>
      </c>
      <c r="DJ104" t="s">
        <v>301</v>
      </c>
      <c r="DK104" t="s">
        <v>6</v>
      </c>
      <c r="DL104" t="s">
        <v>6</v>
      </c>
      <c r="DM104" t="s">
        <v>6</v>
      </c>
      <c r="DN104">
        <v>112</v>
      </c>
      <c r="DO104">
        <v>70</v>
      </c>
      <c r="DP104">
        <v>1.087</v>
      </c>
      <c r="DQ104">
        <v>1</v>
      </c>
      <c r="DU104">
        <v>1013</v>
      </c>
      <c r="DV104" t="s">
        <v>37</v>
      </c>
      <c r="DW104" t="s">
        <v>37</v>
      </c>
      <c r="DX104">
        <v>1</v>
      </c>
      <c r="EE104">
        <v>44064138</v>
      </c>
      <c r="EF104">
        <v>40</v>
      </c>
      <c r="EG104" t="s">
        <v>232</v>
      </c>
      <c r="EH104">
        <v>0</v>
      </c>
      <c r="EI104" t="s">
        <v>6</v>
      </c>
      <c r="EJ104">
        <v>2</v>
      </c>
      <c r="EK104">
        <v>319</v>
      </c>
      <c r="EL104" t="s">
        <v>296</v>
      </c>
      <c r="EM104" t="s">
        <v>297</v>
      </c>
      <c r="EO104" t="s">
        <v>302</v>
      </c>
      <c r="EQ104">
        <v>131072</v>
      </c>
      <c r="ER104">
        <v>7053.08</v>
      </c>
      <c r="ES104">
        <v>4781</v>
      </c>
      <c r="ET104">
        <v>1191.97</v>
      </c>
      <c r="EU104">
        <v>101.46</v>
      </c>
      <c r="EV104">
        <v>1080.1099999999999</v>
      </c>
      <c r="EW104">
        <v>87.6</v>
      </c>
      <c r="EX104">
        <v>0</v>
      </c>
      <c r="EY104">
        <v>0</v>
      </c>
      <c r="FQ104">
        <v>0</v>
      </c>
      <c r="FR104">
        <f t="shared" si="93"/>
        <v>0</v>
      </c>
      <c r="FS104">
        <v>0</v>
      </c>
      <c r="FX104">
        <v>112</v>
      </c>
      <c r="FY104">
        <v>70</v>
      </c>
      <c r="GA104" t="s">
        <v>6</v>
      </c>
      <c r="GD104">
        <v>0</v>
      </c>
      <c r="GF104">
        <v>-910425239</v>
      </c>
      <c r="GG104">
        <v>2</v>
      </c>
      <c r="GH104">
        <v>1</v>
      </c>
      <c r="GI104">
        <v>2</v>
      </c>
      <c r="GJ104">
        <v>0</v>
      </c>
      <c r="GK104">
        <f>ROUND(R104*(R12)/100,2)</f>
        <v>0</v>
      </c>
      <c r="GL104">
        <f t="shared" si="94"/>
        <v>0</v>
      </c>
      <c r="GM104">
        <f t="shared" si="95"/>
        <v>0</v>
      </c>
      <c r="GN104">
        <f t="shared" si="96"/>
        <v>0</v>
      </c>
      <c r="GO104">
        <f t="shared" si="97"/>
        <v>0</v>
      </c>
      <c r="GP104">
        <f t="shared" si="98"/>
        <v>0</v>
      </c>
      <c r="GR104">
        <v>0</v>
      </c>
      <c r="GS104">
        <v>0</v>
      </c>
      <c r="GT104">
        <v>0</v>
      </c>
      <c r="GU104" t="s">
        <v>6</v>
      </c>
      <c r="GV104">
        <f t="shared" si="99"/>
        <v>0</v>
      </c>
      <c r="GW104">
        <v>1</v>
      </c>
      <c r="GX104">
        <f t="shared" si="100"/>
        <v>0</v>
      </c>
      <c r="HA104">
        <v>0</v>
      </c>
      <c r="HB104">
        <v>0</v>
      </c>
      <c r="HC104">
        <f t="shared" si="101"/>
        <v>0</v>
      </c>
      <c r="IK104">
        <v>0</v>
      </c>
    </row>
    <row r="105" spans="1:245" x14ac:dyDescent="0.2">
      <c r="A105">
        <v>17</v>
      </c>
      <c r="B105">
        <v>1</v>
      </c>
      <c r="D105">
        <f>ROW(EtalonRes!A69)</f>
        <v>69</v>
      </c>
      <c r="E105" t="s">
        <v>303</v>
      </c>
      <c r="F105" t="s">
        <v>291</v>
      </c>
      <c r="G105" t="s">
        <v>304</v>
      </c>
      <c r="H105" t="s">
        <v>37</v>
      </c>
      <c r="I105">
        <f>ROUND(I104,9)</f>
        <v>0</v>
      </c>
      <c r="J105">
        <v>0</v>
      </c>
      <c r="O105">
        <f t="shared" si="70"/>
        <v>0</v>
      </c>
      <c r="P105">
        <f t="shared" si="71"/>
        <v>0</v>
      </c>
      <c r="Q105">
        <f>(ROUND((ROUND((((ET105*1.15*1.2))*AV105*I105),2)*BB105),2)+ROUND((ROUND(((AE105-((EU105*1.15*1.2)))*AV105*I105),2)*BS105),2))</f>
        <v>0</v>
      </c>
      <c r="R105">
        <f t="shared" si="72"/>
        <v>0</v>
      </c>
      <c r="S105">
        <f t="shared" si="73"/>
        <v>0</v>
      </c>
      <c r="T105">
        <f t="shared" si="74"/>
        <v>0</v>
      </c>
      <c r="U105">
        <f t="shared" si="75"/>
        <v>0</v>
      </c>
      <c r="V105">
        <f t="shared" si="76"/>
        <v>0</v>
      </c>
      <c r="W105">
        <f t="shared" si="77"/>
        <v>0</v>
      </c>
      <c r="X105">
        <f t="shared" si="78"/>
        <v>0</v>
      </c>
      <c r="Y105">
        <f t="shared" si="79"/>
        <v>0</v>
      </c>
      <c r="AA105">
        <v>44176454</v>
      </c>
      <c r="AB105">
        <f t="shared" si="80"/>
        <v>3135.4704000000002</v>
      </c>
      <c r="AC105">
        <f>ROUND(((ES105*0)),6)</f>
        <v>0</v>
      </c>
      <c r="AD105">
        <f>ROUND(((((ET105*1.15*1.2))-((EU105*1.15*1.2)))+AE105),6)</f>
        <v>1644.9186</v>
      </c>
      <c r="AE105">
        <f>ROUND(((EU105*1.15*1.2)),6)</f>
        <v>140.01480000000001</v>
      </c>
      <c r="AF105">
        <f>ROUND(((EV105*1.15*1.2)),6)</f>
        <v>1490.5518</v>
      </c>
      <c r="AG105">
        <f t="shared" si="81"/>
        <v>0</v>
      </c>
      <c r="AH105">
        <f>((EW105*1.15*1.2))</f>
        <v>120.88799999999998</v>
      </c>
      <c r="AI105">
        <f>((EX105*1.15*1.2))</f>
        <v>0</v>
      </c>
      <c r="AJ105">
        <f t="shared" si="82"/>
        <v>0</v>
      </c>
      <c r="AK105">
        <v>7053.08</v>
      </c>
      <c r="AL105">
        <v>4781</v>
      </c>
      <c r="AM105">
        <v>1191.97</v>
      </c>
      <c r="AN105">
        <v>101.46</v>
      </c>
      <c r="AO105">
        <v>1080.1099999999999</v>
      </c>
      <c r="AP105">
        <v>0</v>
      </c>
      <c r="AQ105">
        <v>87.6</v>
      </c>
      <c r="AR105">
        <v>0</v>
      </c>
      <c r="AS105">
        <v>0</v>
      </c>
      <c r="AT105">
        <v>90</v>
      </c>
      <c r="AU105">
        <v>43</v>
      </c>
      <c r="AV105">
        <v>1.087</v>
      </c>
      <c r="AW105">
        <v>1</v>
      </c>
      <c r="AZ105">
        <v>1</v>
      </c>
      <c r="BA105">
        <v>21.43</v>
      </c>
      <c r="BB105">
        <v>6.64</v>
      </c>
      <c r="BC105">
        <v>5.36</v>
      </c>
      <c r="BD105" t="s">
        <v>6</v>
      </c>
      <c r="BE105" t="s">
        <v>6</v>
      </c>
      <c r="BF105" t="s">
        <v>6</v>
      </c>
      <c r="BG105" t="s">
        <v>6</v>
      </c>
      <c r="BH105">
        <v>0</v>
      </c>
      <c r="BI105">
        <v>2</v>
      </c>
      <c r="BJ105" t="s">
        <v>293</v>
      </c>
      <c r="BM105">
        <v>319</v>
      </c>
      <c r="BN105">
        <v>0</v>
      </c>
      <c r="BO105" t="s">
        <v>291</v>
      </c>
      <c r="BP105">
        <v>1</v>
      </c>
      <c r="BQ105">
        <v>40</v>
      </c>
      <c r="BR105">
        <v>0</v>
      </c>
      <c r="BS105">
        <v>21.43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6</v>
      </c>
      <c r="BZ105">
        <v>90</v>
      </c>
      <c r="CA105">
        <v>43</v>
      </c>
      <c r="CE105">
        <v>30</v>
      </c>
      <c r="CF105">
        <v>0</v>
      </c>
      <c r="CG105">
        <v>0</v>
      </c>
      <c r="CM105">
        <v>0</v>
      </c>
      <c r="CN105" t="s">
        <v>520</v>
      </c>
      <c r="CO105">
        <v>0</v>
      </c>
      <c r="CP105">
        <f t="shared" si="83"/>
        <v>0</v>
      </c>
      <c r="CQ105">
        <f t="shared" si="84"/>
        <v>0</v>
      </c>
      <c r="CR105">
        <f>(ROUND((ROUND((((ET105*1.15*1.2))*AV105*1),2)*BB105),2)+ROUND((ROUND(((AE105-((EU105*1.15*1.2)))*AV105*1),2)*BS105),2))</f>
        <v>11872.52</v>
      </c>
      <c r="CS105">
        <f t="shared" si="85"/>
        <v>3261.65</v>
      </c>
      <c r="CT105">
        <f t="shared" si="86"/>
        <v>34721.53</v>
      </c>
      <c r="CU105">
        <f t="shared" si="87"/>
        <v>0</v>
      </c>
      <c r="CV105">
        <f t="shared" si="88"/>
        <v>131.40525599999998</v>
      </c>
      <c r="CW105">
        <f t="shared" si="89"/>
        <v>0</v>
      </c>
      <c r="CX105">
        <f t="shared" si="90"/>
        <v>0</v>
      </c>
      <c r="CY105">
        <f t="shared" si="91"/>
        <v>0</v>
      </c>
      <c r="CZ105">
        <f t="shared" si="92"/>
        <v>0</v>
      </c>
      <c r="DC105" t="s">
        <v>6</v>
      </c>
      <c r="DD105" t="s">
        <v>230</v>
      </c>
      <c r="DE105" t="s">
        <v>45</v>
      </c>
      <c r="DF105" t="s">
        <v>45</v>
      </c>
      <c r="DG105" t="s">
        <v>45</v>
      </c>
      <c r="DH105" t="s">
        <v>6</v>
      </c>
      <c r="DI105" t="s">
        <v>45</v>
      </c>
      <c r="DJ105" t="s">
        <v>45</v>
      </c>
      <c r="DK105" t="s">
        <v>6</v>
      </c>
      <c r="DL105" t="s">
        <v>6</v>
      </c>
      <c r="DM105" t="s">
        <v>6</v>
      </c>
      <c r="DN105">
        <v>112</v>
      </c>
      <c r="DO105">
        <v>70</v>
      </c>
      <c r="DP105">
        <v>1.087</v>
      </c>
      <c r="DQ105">
        <v>1</v>
      </c>
      <c r="DU105">
        <v>1013</v>
      </c>
      <c r="DV105" t="s">
        <v>37</v>
      </c>
      <c r="DW105" t="s">
        <v>37</v>
      </c>
      <c r="DX105">
        <v>1</v>
      </c>
      <c r="EE105">
        <v>44064138</v>
      </c>
      <c r="EF105">
        <v>40</v>
      </c>
      <c r="EG105" t="s">
        <v>232</v>
      </c>
      <c r="EH105">
        <v>0</v>
      </c>
      <c r="EI105" t="s">
        <v>6</v>
      </c>
      <c r="EJ105">
        <v>2</v>
      </c>
      <c r="EK105">
        <v>319</v>
      </c>
      <c r="EL105" t="s">
        <v>296</v>
      </c>
      <c r="EM105" t="s">
        <v>297</v>
      </c>
      <c r="EO105" t="s">
        <v>302</v>
      </c>
      <c r="EQ105">
        <v>131072</v>
      </c>
      <c r="ER105">
        <v>7053.08</v>
      </c>
      <c r="ES105">
        <v>4781</v>
      </c>
      <c r="ET105">
        <v>1191.97</v>
      </c>
      <c r="EU105">
        <v>101.46</v>
      </c>
      <c r="EV105">
        <v>1080.1099999999999</v>
      </c>
      <c r="EW105">
        <v>87.6</v>
      </c>
      <c r="EX105">
        <v>0</v>
      </c>
      <c r="EY105">
        <v>0</v>
      </c>
      <c r="FQ105">
        <v>0</v>
      </c>
      <c r="FR105">
        <f t="shared" si="93"/>
        <v>0</v>
      </c>
      <c r="FS105">
        <v>0</v>
      </c>
      <c r="FX105">
        <v>112</v>
      </c>
      <c r="FY105">
        <v>70</v>
      </c>
      <c r="GA105" t="s">
        <v>6</v>
      </c>
      <c r="GD105">
        <v>0</v>
      </c>
      <c r="GF105">
        <v>102325404</v>
      </c>
      <c r="GG105">
        <v>2</v>
      </c>
      <c r="GH105">
        <v>1</v>
      </c>
      <c r="GI105">
        <v>2</v>
      </c>
      <c r="GJ105">
        <v>0</v>
      </c>
      <c r="GK105">
        <f>ROUND(R105*(R12)/100,2)</f>
        <v>0</v>
      </c>
      <c r="GL105">
        <f t="shared" si="94"/>
        <v>0</v>
      </c>
      <c r="GM105">
        <f t="shared" si="95"/>
        <v>0</v>
      </c>
      <c r="GN105">
        <f t="shared" si="96"/>
        <v>0</v>
      </c>
      <c r="GO105">
        <f t="shared" si="97"/>
        <v>0</v>
      </c>
      <c r="GP105">
        <f t="shared" si="98"/>
        <v>0</v>
      </c>
      <c r="GR105">
        <v>0</v>
      </c>
      <c r="GS105">
        <v>0</v>
      </c>
      <c r="GT105">
        <v>0</v>
      </c>
      <c r="GU105" t="s">
        <v>6</v>
      </c>
      <c r="GV105">
        <f t="shared" si="99"/>
        <v>0</v>
      </c>
      <c r="GW105">
        <v>1</v>
      </c>
      <c r="GX105">
        <f t="shared" si="100"/>
        <v>0</v>
      </c>
      <c r="HA105">
        <v>0</v>
      </c>
      <c r="HB105">
        <v>0</v>
      </c>
      <c r="HC105">
        <f t="shared" si="101"/>
        <v>0</v>
      </c>
      <c r="IK105">
        <v>0</v>
      </c>
    </row>
    <row r="106" spans="1:245" x14ac:dyDescent="0.2">
      <c r="A106">
        <v>17</v>
      </c>
      <c r="B106">
        <v>1</v>
      </c>
      <c r="C106">
        <f>ROW(SmtRes!A65)</f>
        <v>65</v>
      </c>
      <c r="D106">
        <f>ROW(EtalonRes!A70)</f>
        <v>70</v>
      </c>
      <c r="E106" t="s">
        <v>305</v>
      </c>
      <c r="F106" t="s">
        <v>306</v>
      </c>
      <c r="G106" t="s">
        <v>307</v>
      </c>
      <c r="H106" t="s">
        <v>37</v>
      </c>
      <c r="I106">
        <f>ROUND(I47,9)</f>
        <v>0</v>
      </c>
      <c r="J106">
        <v>0</v>
      </c>
      <c r="O106">
        <f t="shared" si="70"/>
        <v>0</v>
      </c>
      <c r="P106">
        <f t="shared" si="71"/>
        <v>0</v>
      </c>
      <c r="Q106">
        <f>(ROUND((ROUND(((((ET106*1.15)*1.2))*AV106*I106),2)*BB106),2)+ROUND((ROUND(((AE106-(((EU106*1.15)*1.2)))*AV106*I106),2)*BS106),2))</f>
        <v>0</v>
      </c>
      <c r="R106">
        <f t="shared" si="72"/>
        <v>0</v>
      </c>
      <c r="S106">
        <f t="shared" si="73"/>
        <v>0</v>
      </c>
      <c r="T106">
        <f t="shared" si="74"/>
        <v>0</v>
      </c>
      <c r="U106">
        <f t="shared" si="75"/>
        <v>0</v>
      </c>
      <c r="V106">
        <f t="shared" si="76"/>
        <v>0</v>
      </c>
      <c r="W106">
        <f t="shared" si="77"/>
        <v>0</v>
      </c>
      <c r="X106">
        <f t="shared" si="78"/>
        <v>0</v>
      </c>
      <c r="Y106">
        <f t="shared" si="79"/>
        <v>0</v>
      </c>
      <c r="AA106">
        <v>44176454</v>
      </c>
      <c r="AB106">
        <f t="shared" si="80"/>
        <v>6056.3401999999996</v>
      </c>
      <c r="AC106">
        <f>ROUND((ES106),6)</f>
        <v>4382</v>
      </c>
      <c r="AD106">
        <f>ROUND((((((ET106*1.15)*1.2))-(((EU106*1.15)*1.2)))+AE106),6)</f>
        <v>1009.0422</v>
      </c>
      <c r="AE106">
        <f>ROUND((((EU106*1.15)*1.2)),6)</f>
        <v>99.553200000000004</v>
      </c>
      <c r="AF106">
        <f>ROUND((((EV106*1.15)*1.2)),6)</f>
        <v>665.298</v>
      </c>
      <c r="AG106">
        <f t="shared" si="81"/>
        <v>0</v>
      </c>
      <c r="AH106">
        <f>(((EW106*1.15)*1.2))</f>
        <v>53.957999999999991</v>
      </c>
      <c r="AI106">
        <f>(((EX106*1.15)*1.2))</f>
        <v>0</v>
      </c>
      <c r="AJ106">
        <f t="shared" si="82"/>
        <v>0</v>
      </c>
      <c r="AK106">
        <v>5595.29</v>
      </c>
      <c r="AL106">
        <v>4382</v>
      </c>
      <c r="AM106">
        <v>731.19</v>
      </c>
      <c r="AN106">
        <v>72.14</v>
      </c>
      <c r="AO106">
        <v>482.1</v>
      </c>
      <c r="AP106">
        <v>0</v>
      </c>
      <c r="AQ106">
        <v>39.1</v>
      </c>
      <c r="AR106">
        <v>0</v>
      </c>
      <c r="AS106">
        <v>0</v>
      </c>
      <c r="AT106">
        <v>90</v>
      </c>
      <c r="AU106">
        <v>43</v>
      </c>
      <c r="AV106">
        <v>1.087</v>
      </c>
      <c r="AW106">
        <v>1</v>
      </c>
      <c r="AZ106">
        <v>1</v>
      </c>
      <c r="BA106">
        <v>21.43</v>
      </c>
      <c r="BB106">
        <v>6.86</v>
      </c>
      <c r="BC106">
        <v>5.36</v>
      </c>
      <c r="BD106" t="s">
        <v>6</v>
      </c>
      <c r="BE106" t="s">
        <v>6</v>
      </c>
      <c r="BF106" t="s">
        <v>6</v>
      </c>
      <c r="BG106" t="s">
        <v>6</v>
      </c>
      <c r="BH106">
        <v>0</v>
      </c>
      <c r="BI106">
        <v>2</v>
      </c>
      <c r="BJ106" t="s">
        <v>308</v>
      </c>
      <c r="BM106">
        <v>319</v>
      </c>
      <c r="BN106">
        <v>0</v>
      </c>
      <c r="BO106" t="s">
        <v>306</v>
      </c>
      <c r="BP106">
        <v>1</v>
      </c>
      <c r="BQ106">
        <v>40</v>
      </c>
      <c r="BR106">
        <v>0</v>
      </c>
      <c r="BS106">
        <v>21.43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6</v>
      </c>
      <c r="BZ106">
        <v>90</v>
      </c>
      <c r="CA106">
        <v>43</v>
      </c>
      <c r="CE106">
        <v>30</v>
      </c>
      <c r="CF106">
        <v>0</v>
      </c>
      <c r="CG106">
        <v>0</v>
      </c>
      <c r="CM106">
        <v>0</v>
      </c>
      <c r="CN106" t="s">
        <v>521</v>
      </c>
      <c r="CO106">
        <v>0</v>
      </c>
      <c r="CP106">
        <f t="shared" si="83"/>
        <v>0</v>
      </c>
      <c r="CQ106">
        <f t="shared" si="84"/>
        <v>23487.52</v>
      </c>
      <c r="CR106">
        <f>(ROUND((ROUND(((((ET106*1.15)*1.2))*AV106*1),2)*BB106),2)+ROUND((ROUND(((AE106-(((EU106*1.15)*1.2)))*AV106*1),2)*BS106),2))</f>
        <v>7524.25</v>
      </c>
      <c r="CS106">
        <f t="shared" si="85"/>
        <v>2318.94</v>
      </c>
      <c r="CT106">
        <f t="shared" si="86"/>
        <v>15497.75</v>
      </c>
      <c r="CU106">
        <f t="shared" si="87"/>
        <v>0</v>
      </c>
      <c r="CV106">
        <f t="shared" si="88"/>
        <v>58.652345999999987</v>
      </c>
      <c r="CW106">
        <f t="shared" si="89"/>
        <v>0</v>
      </c>
      <c r="CX106">
        <f t="shared" si="90"/>
        <v>0</v>
      </c>
      <c r="CY106">
        <f t="shared" si="91"/>
        <v>0</v>
      </c>
      <c r="CZ106">
        <f t="shared" si="92"/>
        <v>0</v>
      </c>
      <c r="DC106" t="s">
        <v>6</v>
      </c>
      <c r="DD106" t="s">
        <v>6</v>
      </c>
      <c r="DE106" t="s">
        <v>93</v>
      </c>
      <c r="DF106" t="s">
        <v>93</v>
      </c>
      <c r="DG106" t="s">
        <v>93</v>
      </c>
      <c r="DH106" t="s">
        <v>6</v>
      </c>
      <c r="DI106" t="s">
        <v>93</v>
      </c>
      <c r="DJ106" t="s">
        <v>93</v>
      </c>
      <c r="DK106" t="s">
        <v>6</v>
      </c>
      <c r="DL106" t="s">
        <v>6</v>
      </c>
      <c r="DM106" t="s">
        <v>6</v>
      </c>
      <c r="DN106">
        <v>112</v>
      </c>
      <c r="DO106">
        <v>70</v>
      </c>
      <c r="DP106">
        <v>1.087</v>
      </c>
      <c r="DQ106">
        <v>1</v>
      </c>
      <c r="DU106">
        <v>1013</v>
      </c>
      <c r="DV106" t="s">
        <v>37</v>
      </c>
      <c r="DW106" t="s">
        <v>37</v>
      </c>
      <c r="DX106">
        <v>1</v>
      </c>
      <c r="EE106">
        <v>44064138</v>
      </c>
      <c r="EF106">
        <v>40</v>
      </c>
      <c r="EG106" t="s">
        <v>232</v>
      </c>
      <c r="EH106">
        <v>0</v>
      </c>
      <c r="EI106" t="s">
        <v>6</v>
      </c>
      <c r="EJ106">
        <v>2</v>
      </c>
      <c r="EK106">
        <v>319</v>
      </c>
      <c r="EL106" t="s">
        <v>296</v>
      </c>
      <c r="EM106" t="s">
        <v>297</v>
      </c>
      <c r="EO106" t="s">
        <v>309</v>
      </c>
      <c r="EQ106">
        <v>131072</v>
      </c>
      <c r="ER106">
        <v>5595.29</v>
      </c>
      <c r="ES106">
        <v>4382</v>
      </c>
      <c r="ET106">
        <v>731.19</v>
      </c>
      <c r="EU106">
        <v>72.14</v>
      </c>
      <c r="EV106">
        <v>482.1</v>
      </c>
      <c r="EW106">
        <v>39.1</v>
      </c>
      <c r="EX106">
        <v>0</v>
      </c>
      <c r="EY106">
        <v>0</v>
      </c>
      <c r="FQ106">
        <v>0</v>
      </c>
      <c r="FR106">
        <f t="shared" si="93"/>
        <v>0</v>
      </c>
      <c r="FS106">
        <v>0</v>
      </c>
      <c r="FX106">
        <v>112</v>
      </c>
      <c r="FY106">
        <v>70</v>
      </c>
      <c r="GA106" t="s">
        <v>6</v>
      </c>
      <c r="GD106">
        <v>0</v>
      </c>
      <c r="GF106">
        <v>1300216225</v>
      </c>
      <c r="GG106">
        <v>2</v>
      </c>
      <c r="GH106">
        <v>1</v>
      </c>
      <c r="GI106">
        <v>2</v>
      </c>
      <c r="GJ106">
        <v>0</v>
      </c>
      <c r="GK106">
        <f>ROUND(R106*(R12)/100,2)</f>
        <v>0</v>
      </c>
      <c r="GL106">
        <f t="shared" si="94"/>
        <v>0</v>
      </c>
      <c r="GM106">
        <f t="shared" si="95"/>
        <v>0</v>
      </c>
      <c r="GN106">
        <f t="shared" si="96"/>
        <v>0</v>
      </c>
      <c r="GO106">
        <f t="shared" si="97"/>
        <v>0</v>
      </c>
      <c r="GP106">
        <f t="shared" si="98"/>
        <v>0</v>
      </c>
      <c r="GR106">
        <v>0</v>
      </c>
      <c r="GS106">
        <v>0</v>
      </c>
      <c r="GT106">
        <v>0</v>
      </c>
      <c r="GU106" t="s">
        <v>6</v>
      </c>
      <c r="GV106">
        <f t="shared" si="99"/>
        <v>0</v>
      </c>
      <c r="GW106">
        <v>1</v>
      </c>
      <c r="GX106">
        <f t="shared" si="100"/>
        <v>0</v>
      </c>
      <c r="HA106">
        <v>0</v>
      </c>
      <c r="HB106">
        <v>0</v>
      </c>
      <c r="HC106">
        <f t="shared" si="101"/>
        <v>0</v>
      </c>
      <c r="IK106">
        <v>0</v>
      </c>
    </row>
    <row r="107" spans="1:245" x14ac:dyDescent="0.2">
      <c r="A107">
        <v>17</v>
      </c>
      <c r="B107">
        <v>1</v>
      </c>
      <c r="D107">
        <f>ROW(EtalonRes!A71)</f>
        <v>71</v>
      </c>
      <c r="E107" t="s">
        <v>310</v>
      </c>
      <c r="F107" t="s">
        <v>291</v>
      </c>
      <c r="G107" t="s">
        <v>311</v>
      </c>
      <c r="H107" t="s">
        <v>37</v>
      </c>
      <c r="I107">
        <v>0</v>
      </c>
      <c r="J107">
        <v>0</v>
      </c>
      <c r="O107">
        <f t="shared" si="70"/>
        <v>0</v>
      </c>
      <c r="P107">
        <f t="shared" si="71"/>
        <v>0</v>
      </c>
      <c r="Q107">
        <f>(ROUND((ROUND((((ET107*1.15*1.2))*AV107*I107),2)*BB107),2)+ROUND((ROUND(((AE107-((EU107*1.15*1.2)))*AV107*I107),2)*BS107),2))</f>
        <v>0</v>
      </c>
      <c r="R107">
        <f t="shared" si="72"/>
        <v>0</v>
      </c>
      <c r="S107">
        <f t="shared" si="73"/>
        <v>0</v>
      </c>
      <c r="T107">
        <f t="shared" si="74"/>
        <v>0</v>
      </c>
      <c r="U107">
        <f t="shared" si="75"/>
        <v>0</v>
      </c>
      <c r="V107">
        <f t="shared" si="76"/>
        <v>0</v>
      </c>
      <c r="W107">
        <f t="shared" si="77"/>
        <v>0</v>
      </c>
      <c r="X107">
        <f t="shared" si="78"/>
        <v>0</v>
      </c>
      <c r="Y107">
        <f t="shared" si="79"/>
        <v>0</v>
      </c>
      <c r="AA107">
        <v>44176454</v>
      </c>
      <c r="AB107">
        <f t="shared" si="80"/>
        <v>7916.4704000000002</v>
      </c>
      <c r="AC107">
        <f>ROUND((ES107),6)</f>
        <v>4781</v>
      </c>
      <c r="AD107">
        <f>ROUND(((((ET107*1.15*1.2))-((EU107*1.15*1.2)))+AE107),6)</f>
        <v>1644.9186</v>
      </c>
      <c r="AE107">
        <f>ROUND(((EU107*1.15*1.2)),6)</f>
        <v>140.01480000000001</v>
      </c>
      <c r="AF107">
        <f>ROUND(((EV107*1.15*1.2)),6)</f>
        <v>1490.5518</v>
      </c>
      <c r="AG107">
        <f t="shared" si="81"/>
        <v>0</v>
      </c>
      <c r="AH107">
        <f>((EW107*1.15*1.2))</f>
        <v>120.88799999999998</v>
      </c>
      <c r="AI107">
        <f>((EX107*1.15*1.2))</f>
        <v>0</v>
      </c>
      <c r="AJ107">
        <f t="shared" si="82"/>
        <v>0</v>
      </c>
      <c r="AK107">
        <v>7053.08</v>
      </c>
      <c r="AL107">
        <v>4781</v>
      </c>
      <c r="AM107">
        <v>1191.97</v>
      </c>
      <c r="AN107">
        <v>101.46</v>
      </c>
      <c r="AO107">
        <v>1080.1099999999999</v>
      </c>
      <c r="AP107">
        <v>0</v>
      </c>
      <c r="AQ107">
        <v>87.6</v>
      </c>
      <c r="AR107">
        <v>0</v>
      </c>
      <c r="AS107">
        <v>0</v>
      </c>
      <c r="AT107">
        <v>90</v>
      </c>
      <c r="AU107">
        <v>43</v>
      </c>
      <c r="AV107">
        <v>1.087</v>
      </c>
      <c r="AW107">
        <v>1</v>
      </c>
      <c r="AZ107">
        <v>1</v>
      </c>
      <c r="BA107">
        <v>21.43</v>
      </c>
      <c r="BB107">
        <v>6.64</v>
      </c>
      <c r="BC107">
        <v>5.36</v>
      </c>
      <c r="BD107" t="s">
        <v>6</v>
      </c>
      <c r="BE107" t="s">
        <v>6</v>
      </c>
      <c r="BF107" t="s">
        <v>6</v>
      </c>
      <c r="BG107" t="s">
        <v>6</v>
      </c>
      <c r="BH107">
        <v>0</v>
      </c>
      <c r="BI107">
        <v>2</v>
      </c>
      <c r="BJ107" t="s">
        <v>293</v>
      </c>
      <c r="BM107">
        <v>319</v>
      </c>
      <c r="BN107">
        <v>0</v>
      </c>
      <c r="BO107" t="s">
        <v>291</v>
      </c>
      <c r="BP107">
        <v>1</v>
      </c>
      <c r="BQ107">
        <v>40</v>
      </c>
      <c r="BR107">
        <v>0</v>
      </c>
      <c r="BS107">
        <v>21.43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6</v>
      </c>
      <c r="BZ107">
        <v>90</v>
      </c>
      <c r="CA107">
        <v>43</v>
      </c>
      <c r="CE107">
        <v>30</v>
      </c>
      <c r="CF107">
        <v>0</v>
      </c>
      <c r="CG107">
        <v>0</v>
      </c>
      <c r="CM107">
        <v>0</v>
      </c>
      <c r="CN107" t="s">
        <v>520</v>
      </c>
      <c r="CO107">
        <v>0</v>
      </c>
      <c r="CP107">
        <f t="shared" si="83"/>
        <v>0</v>
      </c>
      <c r="CQ107">
        <f t="shared" si="84"/>
        <v>25626.16</v>
      </c>
      <c r="CR107">
        <f>(ROUND((ROUND((((ET107*1.15*1.2))*AV107*1),2)*BB107),2)+ROUND((ROUND(((AE107-((EU107*1.15*1.2)))*AV107*1),2)*BS107),2))</f>
        <v>11872.52</v>
      </c>
      <c r="CS107">
        <f t="shared" si="85"/>
        <v>3261.65</v>
      </c>
      <c r="CT107">
        <f t="shared" si="86"/>
        <v>34721.53</v>
      </c>
      <c r="CU107">
        <f t="shared" si="87"/>
        <v>0</v>
      </c>
      <c r="CV107">
        <f t="shared" si="88"/>
        <v>131.40525599999998</v>
      </c>
      <c r="CW107">
        <f t="shared" si="89"/>
        <v>0</v>
      </c>
      <c r="CX107">
        <f t="shared" si="90"/>
        <v>0</v>
      </c>
      <c r="CY107">
        <f t="shared" si="91"/>
        <v>0</v>
      </c>
      <c r="CZ107">
        <f t="shared" si="92"/>
        <v>0</v>
      </c>
      <c r="DC107" t="s">
        <v>6</v>
      </c>
      <c r="DD107" t="s">
        <v>6</v>
      </c>
      <c r="DE107" t="s">
        <v>45</v>
      </c>
      <c r="DF107" t="s">
        <v>45</v>
      </c>
      <c r="DG107" t="s">
        <v>45</v>
      </c>
      <c r="DH107" t="s">
        <v>6</v>
      </c>
      <c r="DI107" t="s">
        <v>45</v>
      </c>
      <c r="DJ107" t="s">
        <v>45</v>
      </c>
      <c r="DK107" t="s">
        <v>6</v>
      </c>
      <c r="DL107" t="s">
        <v>6</v>
      </c>
      <c r="DM107" t="s">
        <v>6</v>
      </c>
      <c r="DN107">
        <v>112</v>
      </c>
      <c r="DO107">
        <v>70</v>
      </c>
      <c r="DP107">
        <v>1.087</v>
      </c>
      <c r="DQ107">
        <v>1</v>
      </c>
      <c r="DU107">
        <v>1013</v>
      </c>
      <c r="DV107" t="s">
        <v>37</v>
      </c>
      <c r="DW107" t="s">
        <v>37</v>
      </c>
      <c r="DX107">
        <v>1</v>
      </c>
      <c r="EE107">
        <v>44064138</v>
      </c>
      <c r="EF107">
        <v>40</v>
      </c>
      <c r="EG107" t="s">
        <v>232</v>
      </c>
      <c r="EH107">
        <v>0</v>
      </c>
      <c r="EI107" t="s">
        <v>6</v>
      </c>
      <c r="EJ107">
        <v>2</v>
      </c>
      <c r="EK107">
        <v>319</v>
      </c>
      <c r="EL107" t="s">
        <v>296</v>
      </c>
      <c r="EM107" t="s">
        <v>297</v>
      </c>
      <c r="EO107" t="s">
        <v>302</v>
      </c>
      <c r="EQ107">
        <v>131072</v>
      </c>
      <c r="ER107">
        <v>7053.08</v>
      </c>
      <c r="ES107">
        <v>4781</v>
      </c>
      <c r="ET107">
        <v>1191.97</v>
      </c>
      <c r="EU107">
        <v>101.46</v>
      </c>
      <c r="EV107">
        <v>1080.1099999999999</v>
      </c>
      <c r="EW107">
        <v>87.6</v>
      </c>
      <c r="EX107">
        <v>0</v>
      </c>
      <c r="EY107">
        <v>0</v>
      </c>
      <c r="FQ107">
        <v>0</v>
      </c>
      <c r="FR107">
        <f t="shared" si="93"/>
        <v>0</v>
      </c>
      <c r="FS107">
        <v>0</v>
      </c>
      <c r="FX107">
        <v>112</v>
      </c>
      <c r="FY107">
        <v>70</v>
      </c>
      <c r="GA107" t="s">
        <v>6</v>
      </c>
      <c r="GD107">
        <v>0</v>
      </c>
      <c r="GF107">
        <v>-492700056</v>
      </c>
      <c r="GG107">
        <v>2</v>
      </c>
      <c r="GH107">
        <v>1</v>
      </c>
      <c r="GI107">
        <v>2</v>
      </c>
      <c r="GJ107">
        <v>0</v>
      </c>
      <c r="GK107">
        <f>ROUND(R107*(R12)/100,2)</f>
        <v>0</v>
      </c>
      <c r="GL107">
        <f t="shared" si="94"/>
        <v>0</v>
      </c>
      <c r="GM107">
        <f t="shared" si="95"/>
        <v>0</v>
      </c>
      <c r="GN107">
        <f t="shared" si="96"/>
        <v>0</v>
      </c>
      <c r="GO107">
        <f t="shared" si="97"/>
        <v>0</v>
      </c>
      <c r="GP107">
        <f t="shared" si="98"/>
        <v>0</v>
      </c>
      <c r="GR107">
        <v>0</v>
      </c>
      <c r="GS107">
        <v>0</v>
      </c>
      <c r="GT107">
        <v>0</v>
      </c>
      <c r="GU107" t="s">
        <v>6</v>
      </c>
      <c r="GV107">
        <f t="shared" si="99"/>
        <v>0</v>
      </c>
      <c r="GW107">
        <v>1</v>
      </c>
      <c r="GX107">
        <f t="shared" si="100"/>
        <v>0</v>
      </c>
      <c r="HA107">
        <v>0</v>
      </c>
      <c r="HB107">
        <v>0</v>
      </c>
      <c r="HC107">
        <f t="shared" si="101"/>
        <v>0</v>
      </c>
      <c r="IK107">
        <v>0</v>
      </c>
    </row>
    <row r="108" spans="1:245" x14ac:dyDescent="0.2">
      <c r="A108">
        <v>17</v>
      </c>
      <c r="B108">
        <v>1</v>
      </c>
      <c r="C108">
        <f>ROW(SmtRes!A66)</f>
        <v>66</v>
      </c>
      <c r="D108">
        <f>ROW(EtalonRes!A72)</f>
        <v>72</v>
      </c>
      <c r="E108" t="s">
        <v>312</v>
      </c>
      <c r="F108" t="s">
        <v>313</v>
      </c>
      <c r="G108" t="s">
        <v>314</v>
      </c>
      <c r="H108" t="s">
        <v>161</v>
      </c>
      <c r="I108">
        <v>0</v>
      </c>
      <c r="J108">
        <v>0</v>
      </c>
      <c r="O108">
        <f t="shared" si="70"/>
        <v>0</v>
      </c>
      <c r="P108">
        <f t="shared" si="71"/>
        <v>0</v>
      </c>
      <c r="Q108">
        <f>(ROUND((ROUND((((((ET108*0.3)*1.15)*1.2))*AV108*I108),2)*BB108),2)+ROUND((ROUND(((AE108-((((EU108*0.3)*1.15)*1.2)))*AV108*I108),2)*BS108),2))</f>
        <v>0</v>
      </c>
      <c r="R108">
        <f t="shared" si="72"/>
        <v>0</v>
      </c>
      <c r="S108">
        <f t="shared" si="73"/>
        <v>0</v>
      </c>
      <c r="T108">
        <f t="shared" si="74"/>
        <v>0</v>
      </c>
      <c r="U108">
        <f t="shared" si="75"/>
        <v>0</v>
      </c>
      <c r="V108">
        <f t="shared" si="76"/>
        <v>0</v>
      </c>
      <c r="W108">
        <f t="shared" si="77"/>
        <v>0</v>
      </c>
      <c r="X108">
        <f t="shared" si="78"/>
        <v>0</v>
      </c>
      <c r="Y108">
        <f t="shared" si="79"/>
        <v>0</v>
      </c>
      <c r="AA108">
        <v>44176454</v>
      </c>
      <c r="AB108">
        <f t="shared" si="80"/>
        <v>209.25216</v>
      </c>
      <c r="AC108">
        <f>ROUND(((ES108*0)),6)</f>
        <v>0</v>
      </c>
      <c r="AD108">
        <f>ROUND(((((((ET108*0.3)*1.15)*1.2))-((((EU108*0.3)*1.15)*1.2)))+AE108),6)</f>
        <v>80.614080000000001</v>
      </c>
      <c r="AE108">
        <f>ROUND(((((EU108*0.3)*1.15)*1.2)),6)</f>
        <v>18.721080000000001</v>
      </c>
      <c r="AF108">
        <f>ROUND(((((EV108*0.3)*1.15)*1.2)),6)</f>
        <v>128.63808</v>
      </c>
      <c r="AG108">
        <f t="shared" si="81"/>
        <v>0</v>
      </c>
      <c r="AH108">
        <f>((((EW108*0.3)*1.15)*1.2))</f>
        <v>10.432799999999999</v>
      </c>
      <c r="AI108">
        <f>((((EX108*0.3)*1.15)*1.2))</f>
        <v>0</v>
      </c>
      <c r="AJ108">
        <f t="shared" si="82"/>
        <v>0</v>
      </c>
      <c r="AK108">
        <v>785.44</v>
      </c>
      <c r="AL108">
        <v>280</v>
      </c>
      <c r="AM108">
        <v>194.72</v>
      </c>
      <c r="AN108">
        <v>45.22</v>
      </c>
      <c r="AO108">
        <v>310.72000000000003</v>
      </c>
      <c r="AP108">
        <v>0</v>
      </c>
      <c r="AQ108">
        <v>25.2</v>
      </c>
      <c r="AR108">
        <v>0</v>
      </c>
      <c r="AS108">
        <v>0</v>
      </c>
      <c r="AT108">
        <v>90</v>
      </c>
      <c r="AU108">
        <v>43</v>
      </c>
      <c r="AV108">
        <v>1.0469999999999999</v>
      </c>
      <c r="AW108">
        <v>1</v>
      </c>
      <c r="AZ108">
        <v>1</v>
      </c>
      <c r="BA108">
        <v>21.43</v>
      </c>
      <c r="BB108">
        <v>9.02</v>
      </c>
      <c r="BC108">
        <v>5.36</v>
      </c>
      <c r="BD108" t="s">
        <v>6</v>
      </c>
      <c r="BE108" t="s">
        <v>6</v>
      </c>
      <c r="BF108" t="s">
        <v>6</v>
      </c>
      <c r="BG108" t="s">
        <v>6</v>
      </c>
      <c r="BH108">
        <v>0</v>
      </c>
      <c r="BI108">
        <v>2</v>
      </c>
      <c r="BJ108" t="s">
        <v>315</v>
      </c>
      <c r="BM108">
        <v>320</v>
      </c>
      <c r="BN108">
        <v>0</v>
      </c>
      <c r="BO108" t="s">
        <v>313</v>
      </c>
      <c r="BP108">
        <v>1</v>
      </c>
      <c r="BQ108">
        <v>40</v>
      </c>
      <c r="BR108">
        <v>0</v>
      </c>
      <c r="BS108">
        <v>21.43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6</v>
      </c>
      <c r="BZ108">
        <v>90</v>
      </c>
      <c r="CA108">
        <v>43</v>
      </c>
      <c r="CE108">
        <v>30</v>
      </c>
      <c r="CF108">
        <v>0</v>
      </c>
      <c r="CG108">
        <v>0</v>
      </c>
      <c r="CM108">
        <v>0</v>
      </c>
      <c r="CN108" t="s">
        <v>521</v>
      </c>
      <c r="CO108">
        <v>0</v>
      </c>
      <c r="CP108">
        <f t="shared" si="83"/>
        <v>0</v>
      </c>
      <c r="CQ108">
        <f t="shared" si="84"/>
        <v>0</v>
      </c>
      <c r="CR108">
        <f>(ROUND((ROUND((((((ET108*0.3)*1.15)*1.2))*AV108*1),2)*BB108),2)+ROUND((ROUND(((AE108-((((EU108*0.3)*1.15)*1.2)))*AV108*1),2)*BS108),2))</f>
        <v>761.29</v>
      </c>
      <c r="CS108">
        <f t="shared" si="85"/>
        <v>420.03</v>
      </c>
      <c r="CT108">
        <f t="shared" si="86"/>
        <v>2886.19</v>
      </c>
      <c r="CU108">
        <f t="shared" si="87"/>
        <v>0</v>
      </c>
      <c r="CV108">
        <f t="shared" si="88"/>
        <v>10.923141599999997</v>
      </c>
      <c r="CW108">
        <f t="shared" si="89"/>
        <v>0</v>
      </c>
      <c r="CX108">
        <f t="shared" si="90"/>
        <v>0</v>
      </c>
      <c r="CY108">
        <f t="shared" si="91"/>
        <v>0</v>
      </c>
      <c r="CZ108">
        <f t="shared" si="92"/>
        <v>0</v>
      </c>
      <c r="DC108" t="s">
        <v>6</v>
      </c>
      <c r="DD108" t="s">
        <v>294</v>
      </c>
      <c r="DE108" t="s">
        <v>316</v>
      </c>
      <c r="DF108" t="s">
        <v>316</v>
      </c>
      <c r="DG108" t="s">
        <v>316</v>
      </c>
      <c r="DH108" t="s">
        <v>6</v>
      </c>
      <c r="DI108" t="s">
        <v>316</v>
      </c>
      <c r="DJ108" t="s">
        <v>316</v>
      </c>
      <c r="DK108" t="s">
        <v>6</v>
      </c>
      <c r="DL108" t="s">
        <v>6</v>
      </c>
      <c r="DM108" t="s">
        <v>6</v>
      </c>
      <c r="DN108">
        <v>112</v>
      </c>
      <c r="DO108">
        <v>70</v>
      </c>
      <c r="DP108">
        <v>1.0469999999999999</v>
      </c>
      <c r="DQ108">
        <v>1</v>
      </c>
      <c r="DU108">
        <v>1005</v>
      </c>
      <c r="DV108" t="s">
        <v>161</v>
      </c>
      <c r="DW108" t="s">
        <v>161</v>
      </c>
      <c r="DX108">
        <v>100</v>
      </c>
      <c r="EE108">
        <v>44064139</v>
      </c>
      <c r="EF108">
        <v>40</v>
      </c>
      <c r="EG108" t="s">
        <v>232</v>
      </c>
      <c r="EH108">
        <v>0</v>
      </c>
      <c r="EI108" t="s">
        <v>6</v>
      </c>
      <c r="EJ108">
        <v>2</v>
      </c>
      <c r="EK108">
        <v>320</v>
      </c>
      <c r="EL108" t="s">
        <v>317</v>
      </c>
      <c r="EM108" t="s">
        <v>318</v>
      </c>
      <c r="EO108" t="s">
        <v>309</v>
      </c>
      <c r="EQ108">
        <v>131072</v>
      </c>
      <c r="ER108">
        <v>785.44</v>
      </c>
      <c r="ES108">
        <v>280</v>
      </c>
      <c r="ET108">
        <v>194.72</v>
      </c>
      <c r="EU108">
        <v>45.22</v>
      </c>
      <c r="EV108">
        <v>310.72000000000003</v>
      </c>
      <c r="EW108">
        <v>25.2</v>
      </c>
      <c r="EX108">
        <v>0</v>
      </c>
      <c r="EY108">
        <v>0</v>
      </c>
      <c r="FQ108">
        <v>0</v>
      </c>
      <c r="FR108">
        <f t="shared" si="93"/>
        <v>0</v>
      </c>
      <c r="FS108">
        <v>0</v>
      </c>
      <c r="FX108">
        <v>112</v>
      </c>
      <c r="FY108">
        <v>70</v>
      </c>
      <c r="GA108" t="s">
        <v>6</v>
      </c>
      <c r="GD108">
        <v>0</v>
      </c>
      <c r="GF108">
        <v>-1210803702</v>
      </c>
      <c r="GG108">
        <v>2</v>
      </c>
      <c r="GH108">
        <v>1</v>
      </c>
      <c r="GI108">
        <v>2</v>
      </c>
      <c r="GJ108">
        <v>0</v>
      </c>
      <c r="GK108">
        <f>ROUND(R108*(R12)/100,2)</f>
        <v>0</v>
      </c>
      <c r="GL108">
        <f t="shared" si="94"/>
        <v>0</v>
      </c>
      <c r="GM108">
        <f t="shared" si="95"/>
        <v>0</v>
      </c>
      <c r="GN108">
        <f t="shared" si="96"/>
        <v>0</v>
      </c>
      <c r="GO108">
        <f t="shared" si="97"/>
        <v>0</v>
      </c>
      <c r="GP108">
        <f t="shared" si="98"/>
        <v>0</v>
      </c>
      <c r="GR108">
        <v>0</v>
      </c>
      <c r="GS108">
        <v>0</v>
      </c>
      <c r="GT108">
        <v>0</v>
      </c>
      <c r="GU108" t="s">
        <v>6</v>
      </c>
      <c r="GV108">
        <f t="shared" si="99"/>
        <v>0</v>
      </c>
      <c r="GW108">
        <v>1</v>
      </c>
      <c r="GX108">
        <f t="shared" si="100"/>
        <v>0</v>
      </c>
      <c r="HA108">
        <v>0</v>
      </c>
      <c r="HB108">
        <v>0</v>
      </c>
      <c r="HC108">
        <f t="shared" si="101"/>
        <v>0</v>
      </c>
      <c r="IK108">
        <v>0</v>
      </c>
    </row>
    <row r="109" spans="1:245" x14ac:dyDescent="0.2">
      <c r="A109">
        <v>17</v>
      </c>
      <c r="B109">
        <v>1</v>
      </c>
      <c r="D109">
        <f>ROW(EtalonRes!A73)</f>
        <v>73</v>
      </c>
      <c r="E109" t="s">
        <v>319</v>
      </c>
      <c r="F109" t="s">
        <v>313</v>
      </c>
      <c r="G109" t="s">
        <v>320</v>
      </c>
      <c r="H109" t="s">
        <v>161</v>
      </c>
      <c r="I109">
        <v>0</v>
      </c>
      <c r="J109">
        <v>0</v>
      </c>
      <c r="O109">
        <f t="shared" si="70"/>
        <v>0</v>
      </c>
      <c r="P109">
        <f t="shared" si="71"/>
        <v>0</v>
      </c>
      <c r="Q109">
        <f>(ROUND((ROUND((((ET109*0.552))*AV109*I109),2)*BB109),2)+ROUND((ROUND(((AE109-((EU109*0.552)))*AV109*I109),2)*BS109),2))</f>
        <v>0</v>
      </c>
      <c r="R109">
        <f t="shared" si="72"/>
        <v>0</v>
      </c>
      <c r="S109">
        <f t="shared" si="73"/>
        <v>0</v>
      </c>
      <c r="T109">
        <f t="shared" si="74"/>
        <v>0</v>
      </c>
      <c r="U109">
        <f t="shared" si="75"/>
        <v>0</v>
      </c>
      <c r="V109">
        <f t="shared" si="76"/>
        <v>0</v>
      </c>
      <c r="W109">
        <f t="shared" si="77"/>
        <v>0</v>
      </c>
      <c r="X109">
        <f t="shared" si="78"/>
        <v>0</v>
      </c>
      <c r="Y109">
        <f t="shared" si="79"/>
        <v>0</v>
      </c>
      <c r="AA109">
        <v>44176454</v>
      </c>
      <c r="AB109">
        <f t="shared" si="80"/>
        <v>279.00288</v>
      </c>
      <c r="AC109">
        <f>ROUND(((ES109*0)),6)</f>
        <v>0</v>
      </c>
      <c r="AD109">
        <f>ROUND(((((ET109*0.552))-((EU109*0.552)))+AE109),6)</f>
        <v>107.48544</v>
      </c>
      <c r="AE109">
        <f>ROUND(((EU109*0.552)),6)</f>
        <v>24.96144</v>
      </c>
      <c r="AF109">
        <f>ROUND(((EV109*0.552)),6)</f>
        <v>171.51743999999999</v>
      </c>
      <c r="AG109">
        <f t="shared" si="81"/>
        <v>0</v>
      </c>
      <c r="AH109">
        <f>((EW109*0.552))</f>
        <v>13.910400000000001</v>
      </c>
      <c r="AI109">
        <f>((EX109*0.552))</f>
        <v>0</v>
      </c>
      <c r="AJ109">
        <f t="shared" si="82"/>
        <v>0</v>
      </c>
      <c r="AK109">
        <v>785.44</v>
      </c>
      <c r="AL109">
        <v>280</v>
      </c>
      <c r="AM109">
        <v>194.72</v>
      </c>
      <c r="AN109">
        <v>45.22</v>
      </c>
      <c r="AO109">
        <v>310.72000000000003</v>
      </c>
      <c r="AP109">
        <v>0</v>
      </c>
      <c r="AQ109">
        <v>25.2</v>
      </c>
      <c r="AR109">
        <v>0</v>
      </c>
      <c r="AS109">
        <v>0</v>
      </c>
      <c r="AT109">
        <v>90</v>
      </c>
      <c r="AU109">
        <v>43</v>
      </c>
      <c r="AV109">
        <v>1.0469999999999999</v>
      </c>
      <c r="AW109">
        <v>1</v>
      </c>
      <c r="AZ109">
        <v>1</v>
      </c>
      <c r="BA109">
        <v>21.43</v>
      </c>
      <c r="BB109">
        <v>9.02</v>
      </c>
      <c r="BC109">
        <v>5.36</v>
      </c>
      <c r="BD109" t="s">
        <v>6</v>
      </c>
      <c r="BE109" t="s">
        <v>6</v>
      </c>
      <c r="BF109" t="s">
        <v>6</v>
      </c>
      <c r="BG109" t="s">
        <v>6</v>
      </c>
      <c r="BH109">
        <v>0</v>
      </c>
      <c r="BI109">
        <v>2</v>
      </c>
      <c r="BJ109" t="s">
        <v>315</v>
      </c>
      <c r="BM109">
        <v>320</v>
      </c>
      <c r="BN109">
        <v>0</v>
      </c>
      <c r="BO109" t="s">
        <v>313</v>
      </c>
      <c r="BP109">
        <v>1</v>
      </c>
      <c r="BQ109">
        <v>40</v>
      </c>
      <c r="BR109">
        <v>0</v>
      </c>
      <c r="BS109">
        <v>21.43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6</v>
      </c>
      <c r="BZ109">
        <v>90</v>
      </c>
      <c r="CA109">
        <v>43</v>
      </c>
      <c r="CE109">
        <v>30</v>
      </c>
      <c r="CF109">
        <v>0</v>
      </c>
      <c r="CG109">
        <v>0</v>
      </c>
      <c r="CM109">
        <v>0</v>
      </c>
      <c r="CN109" t="s">
        <v>522</v>
      </c>
      <c r="CO109">
        <v>0</v>
      </c>
      <c r="CP109">
        <f t="shared" si="83"/>
        <v>0</v>
      </c>
      <c r="CQ109">
        <f t="shared" si="84"/>
        <v>0</v>
      </c>
      <c r="CR109">
        <f>(ROUND((ROUND((((ET109*0.552))*AV109*1),2)*BB109),2)+ROUND((ROUND(((AE109-((EU109*0.552)))*AV109*1),2)*BS109),2))</f>
        <v>1015.11</v>
      </c>
      <c r="CS109">
        <f t="shared" si="85"/>
        <v>559.97</v>
      </c>
      <c r="CT109">
        <f t="shared" si="86"/>
        <v>3848.4</v>
      </c>
      <c r="CU109">
        <f t="shared" si="87"/>
        <v>0</v>
      </c>
      <c r="CV109">
        <f t="shared" si="88"/>
        <v>14.5641888</v>
      </c>
      <c r="CW109">
        <f t="shared" si="89"/>
        <v>0</v>
      </c>
      <c r="CX109">
        <f t="shared" si="90"/>
        <v>0</v>
      </c>
      <c r="CY109">
        <f t="shared" si="91"/>
        <v>0</v>
      </c>
      <c r="CZ109">
        <f t="shared" si="92"/>
        <v>0</v>
      </c>
      <c r="DC109" t="s">
        <v>6</v>
      </c>
      <c r="DD109" t="s">
        <v>230</v>
      </c>
      <c r="DE109" t="s">
        <v>321</v>
      </c>
      <c r="DF109" t="s">
        <v>321</v>
      </c>
      <c r="DG109" t="s">
        <v>321</v>
      </c>
      <c r="DH109" t="s">
        <v>6</v>
      </c>
      <c r="DI109" t="s">
        <v>321</v>
      </c>
      <c r="DJ109" t="s">
        <v>321</v>
      </c>
      <c r="DK109" t="s">
        <v>6</v>
      </c>
      <c r="DL109" t="s">
        <v>6</v>
      </c>
      <c r="DM109" t="s">
        <v>6</v>
      </c>
      <c r="DN109">
        <v>112</v>
      </c>
      <c r="DO109">
        <v>70</v>
      </c>
      <c r="DP109">
        <v>1.0469999999999999</v>
      </c>
      <c r="DQ109">
        <v>1</v>
      </c>
      <c r="DU109">
        <v>1005</v>
      </c>
      <c r="DV109" t="s">
        <v>161</v>
      </c>
      <c r="DW109" t="s">
        <v>161</v>
      </c>
      <c r="DX109">
        <v>100</v>
      </c>
      <c r="EE109">
        <v>44064139</v>
      </c>
      <c r="EF109">
        <v>40</v>
      </c>
      <c r="EG109" t="s">
        <v>232</v>
      </c>
      <c r="EH109">
        <v>0</v>
      </c>
      <c r="EI109" t="s">
        <v>6</v>
      </c>
      <c r="EJ109">
        <v>2</v>
      </c>
      <c r="EK109">
        <v>320</v>
      </c>
      <c r="EL109" t="s">
        <v>317</v>
      </c>
      <c r="EM109" t="s">
        <v>318</v>
      </c>
      <c r="EO109" t="s">
        <v>322</v>
      </c>
      <c r="EQ109">
        <v>131072</v>
      </c>
      <c r="ER109">
        <v>785.44</v>
      </c>
      <c r="ES109">
        <v>280</v>
      </c>
      <c r="ET109">
        <v>194.72</v>
      </c>
      <c r="EU109">
        <v>45.22</v>
      </c>
      <c r="EV109">
        <v>310.72000000000003</v>
      </c>
      <c r="EW109">
        <v>25.2</v>
      </c>
      <c r="EX109">
        <v>0</v>
      </c>
      <c r="EY109">
        <v>0</v>
      </c>
      <c r="FQ109">
        <v>0</v>
      </c>
      <c r="FR109">
        <f t="shared" si="93"/>
        <v>0</v>
      </c>
      <c r="FS109">
        <v>0</v>
      </c>
      <c r="FX109">
        <v>112</v>
      </c>
      <c r="FY109">
        <v>70</v>
      </c>
      <c r="GA109" t="s">
        <v>6</v>
      </c>
      <c r="GD109">
        <v>0</v>
      </c>
      <c r="GF109">
        <v>981819523</v>
      </c>
      <c r="GG109">
        <v>2</v>
      </c>
      <c r="GH109">
        <v>1</v>
      </c>
      <c r="GI109">
        <v>2</v>
      </c>
      <c r="GJ109">
        <v>0</v>
      </c>
      <c r="GK109">
        <f>ROUND(R109*(R12)/100,2)</f>
        <v>0</v>
      </c>
      <c r="GL109">
        <f t="shared" si="94"/>
        <v>0</v>
      </c>
      <c r="GM109">
        <f t="shared" si="95"/>
        <v>0</v>
      </c>
      <c r="GN109">
        <f t="shared" si="96"/>
        <v>0</v>
      </c>
      <c r="GO109">
        <f t="shared" si="97"/>
        <v>0</v>
      </c>
      <c r="GP109">
        <f t="shared" si="98"/>
        <v>0</v>
      </c>
      <c r="GR109">
        <v>0</v>
      </c>
      <c r="GS109">
        <v>0</v>
      </c>
      <c r="GT109">
        <v>0</v>
      </c>
      <c r="GU109" t="s">
        <v>6</v>
      </c>
      <c r="GV109">
        <f t="shared" si="99"/>
        <v>0</v>
      </c>
      <c r="GW109">
        <v>1</v>
      </c>
      <c r="GX109">
        <f t="shared" si="100"/>
        <v>0</v>
      </c>
      <c r="HA109">
        <v>0</v>
      </c>
      <c r="HB109">
        <v>0</v>
      </c>
      <c r="HC109">
        <f t="shared" si="101"/>
        <v>0</v>
      </c>
      <c r="IK109">
        <v>0</v>
      </c>
    </row>
    <row r="110" spans="1:245" x14ac:dyDescent="0.2">
      <c r="A110">
        <v>17</v>
      </c>
      <c r="B110">
        <v>1</v>
      </c>
      <c r="D110">
        <f>ROW(EtalonRes!A74)</f>
        <v>74</v>
      </c>
      <c r="E110" t="s">
        <v>323</v>
      </c>
      <c r="F110" t="s">
        <v>313</v>
      </c>
      <c r="G110" t="s">
        <v>324</v>
      </c>
      <c r="H110" t="s">
        <v>161</v>
      </c>
      <c r="I110">
        <f>ROUND(I109,9)</f>
        <v>0</v>
      </c>
      <c r="J110">
        <v>0</v>
      </c>
      <c r="O110">
        <f t="shared" si="70"/>
        <v>0</v>
      </c>
      <c r="P110">
        <f t="shared" si="71"/>
        <v>0</v>
      </c>
      <c r="Q110">
        <f>(ROUND((ROUND((((ET110*1.38))*AV110*I110),2)*BB110),2)+ROUND((ROUND(((AE110-((EU110*1.38)))*AV110*I110),2)*BS110),2))</f>
        <v>0</v>
      </c>
      <c r="R110">
        <f t="shared" si="72"/>
        <v>0</v>
      </c>
      <c r="S110">
        <f t="shared" si="73"/>
        <v>0</v>
      </c>
      <c r="T110">
        <f t="shared" si="74"/>
        <v>0</v>
      </c>
      <c r="U110">
        <f t="shared" si="75"/>
        <v>0</v>
      </c>
      <c r="V110">
        <f t="shared" si="76"/>
        <v>0</v>
      </c>
      <c r="W110">
        <f t="shared" si="77"/>
        <v>0</v>
      </c>
      <c r="X110">
        <f t="shared" si="78"/>
        <v>0</v>
      </c>
      <c r="Y110">
        <f t="shared" si="79"/>
        <v>0</v>
      </c>
      <c r="AA110">
        <v>44176454</v>
      </c>
      <c r="AB110">
        <f t="shared" si="80"/>
        <v>977.50720000000001</v>
      </c>
      <c r="AC110">
        <f>ROUND((ES110),6)</f>
        <v>280</v>
      </c>
      <c r="AD110">
        <f>ROUND(((((ET110*1.38))-((EU110*1.38)))+AE110),6)</f>
        <v>268.71359999999999</v>
      </c>
      <c r="AE110">
        <f>ROUND(((EU110*1.38)),6)</f>
        <v>62.403599999999997</v>
      </c>
      <c r="AF110">
        <f>ROUND(((EV110*1.38)),6)</f>
        <v>428.79360000000003</v>
      </c>
      <c r="AG110">
        <f t="shared" si="81"/>
        <v>0</v>
      </c>
      <c r="AH110">
        <f>((EW110*1.38))</f>
        <v>34.775999999999996</v>
      </c>
      <c r="AI110">
        <f>((EX110*1.38))</f>
        <v>0</v>
      </c>
      <c r="AJ110">
        <f t="shared" si="82"/>
        <v>0</v>
      </c>
      <c r="AK110">
        <v>785.44</v>
      </c>
      <c r="AL110">
        <v>280</v>
      </c>
      <c r="AM110">
        <v>194.72</v>
      </c>
      <c r="AN110">
        <v>45.22</v>
      </c>
      <c r="AO110">
        <v>310.72000000000003</v>
      </c>
      <c r="AP110">
        <v>0</v>
      </c>
      <c r="AQ110">
        <v>25.2</v>
      </c>
      <c r="AR110">
        <v>0</v>
      </c>
      <c r="AS110">
        <v>0</v>
      </c>
      <c r="AT110">
        <v>90</v>
      </c>
      <c r="AU110">
        <v>43</v>
      </c>
      <c r="AV110">
        <v>1.0469999999999999</v>
      </c>
      <c r="AW110">
        <v>1</v>
      </c>
      <c r="AZ110">
        <v>1</v>
      </c>
      <c r="BA110">
        <v>21.43</v>
      </c>
      <c r="BB110">
        <v>9.02</v>
      </c>
      <c r="BC110">
        <v>5.36</v>
      </c>
      <c r="BD110" t="s">
        <v>6</v>
      </c>
      <c r="BE110" t="s">
        <v>6</v>
      </c>
      <c r="BF110" t="s">
        <v>6</v>
      </c>
      <c r="BG110" t="s">
        <v>6</v>
      </c>
      <c r="BH110">
        <v>0</v>
      </c>
      <c r="BI110">
        <v>2</v>
      </c>
      <c r="BJ110" t="s">
        <v>315</v>
      </c>
      <c r="BM110">
        <v>320</v>
      </c>
      <c r="BN110">
        <v>0</v>
      </c>
      <c r="BO110" t="s">
        <v>313</v>
      </c>
      <c r="BP110">
        <v>1</v>
      </c>
      <c r="BQ110">
        <v>40</v>
      </c>
      <c r="BR110">
        <v>0</v>
      </c>
      <c r="BS110">
        <v>21.43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6</v>
      </c>
      <c r="BZ110">
        <v>90</v>
      </c>
      <c r="CA110">
        <v>43</v>
      </c>
      <c r="CE110">
        <v>30</v>
      </c>
      <c r="CF110">
        <v>0</v>
      </c>
      <c r="CG110">
        <v>0</v>
      </c>
      <c r="CM110">
        <v>0</v>
      </c>
      <c r="CN110" t="s">
        <v>522</v>
      </c>
      <c r="CO110">
        <v>0</v>
      </c>
      <c r="CP110">
        <f t="shared" si="83"/>
        <v>0</v>
      </c>
      <c r="CQ110">
        <f t="shared" si="84"/>
        <v>1500.8</v>
      </c>
      <c r="CR110">
        <f>(ROUND((ROUND((((ET110*1.38))*AV110*1),2)*BB110),2)+ROUND((ROUND(((AE110-((EU110*1.38)))*AV110*1),2)*BS110),2))</f>
        <v>2537.69</v>
      </c>
      <c r="CS110">
        <f t="shared" si="85"/>
        <v>1400.24</v>
      </c>
      <c r="CT110">
        <f t="shared" si="86"/>
        <v>9621</v>
      </c>
      <c r="CU110">
        <f t="shared" si="87"/>
        <v>0</v>
      </c>
      <c r="CV110">
        <f t="shared" si="88"/>
        <v>36.410471999999992</v>
      </c>
      <c r="CW110">
        <f t="shared" si="89"/>
        <v>0</v>
      </c>
      <c r="CX110">
        <f t="shared" si="90"/>
        <v>0</v>
      </c>
      <c r="CY110">
        <f t="shared" si="91"/>
        <v>0</v>
      </c>
      <c r="CZ110">
        <f t="shared" si="92"/>
        <v>0</v>
      </c>
      <c r="DC110" t="s">
        <v>6</v>
      </c>
      <c r="DD110" t="s">
        <v>6</v>
      </c>
      <c r="DE110" t="s">
        <v>247</v>
      </c>
      <c r="DF110" t="s">
        <v>247</v>
      </c>
      <c r="DG110" t="s">
        <v>247</v>
      </c>
      <c r="DH110" t="s">
        <v>6</v>
      </c>
      <c r="DI110" t="s">
        <v>247</v>
      </c>
      <c r="DJ110" t="s">
        <v>247</v>
      </c>
      <c r="DK110" t="s">
        <v>6</v>
      </c>
      <c r="DL110" t="s">
        <v>6</v>
      </c>
      <c r="DM110" t="s">
        <v>6</v>
      </c>
      <c r="DN110">
        <v>112</v>
      </c>
      <c r="DO110">
        <v>70</v>
      </c>
      <c r="DP110">
        <v>1.0469999999999999</v>
      </c>
      <c r="DQ110">
        <v>1</v>
      </c>
      <c r="DU110">
        <v>1005</v>
      </c>
      <c r="DV110" t="s">
        <v>161</v>
      </c>
      <c r="DW110" t="s">
        <v>161</v>
      </c>
      <c r="DX110">
        <v>100</v>
      </c>
      <c r="EE110">
        <v>44064139</v>
      </c>
      <c r="EF110">
        <v>40</v>
      </c>
      <c r="EG110" t="s">
        <v>232</v>
      </c>
      <c r="EH110">
        <v>0</v>
      </c>
      <c r="EI110" t="s">
        <v>6</v>
      </c>
      <c r="EJ110">
        <v>2</v>
      </c>
      <c r="EK110">
        <v>320</v>
      </c>
      <c r="EL110" t="s">
        <v>317</v>
      </c>
      <c r="EM110" t="s">
        <v>318</v>
      </c>
      <c r="EO110" t="s">
        <v>322</v>
      </c>
      <c r="EQ110">
        <v>131072</v>
      </c>
      <c r="ER110">
        <v>785.44</v>
      </c>
      <c r="ES110">
        <v>280</v>
      </c>
      <c r="ET110">
        <v>194.72</v>
      </c>
      <c r="EU110">
        <v>45.22</v>
      </c>
      <c r="EV110">
        <v>310.72000000000003</v>
      </c>
      <c r="EW110">
        <v>25.2</v>
      </c>
      <c r="EX110">
        <v>0</v>
      </c>
      <c r="EY110">
        <v>0</v>
      </c>
      <c r="FQ110">
        <v>0</v>
      </c>
      <c r="FR110">
        <f t="shared" si="93"/>
        <v>0</v>
      </c>
      <c r="FS110">
        <v>0</v>
      </c>
      <c r="FX110">
        <v>112</v>
      </c>
      <c r="FY110">
        <v>70</v>
      </c>
      <c r="GA110" t="s">
        <v>6</v>
      </c>
      <c r="GD110">
        <v>0</v>
      </c>
      <c r="GF110">
        <v>1284563188</v>
      </c>
      <c r="GG110">
        <v>2</v>
      </c>
      <c r="GH110">
        <v>1</v>
      </c>
      <c r="GI110">
        <v>2</v>
      </c>
      <c r="GJ110">
        <v>0</v>
      </c>
      <c r="GK110">
        <f>ROUND(R110*(R12)/100,2)</f>
        <v>0</v>
      </c>
      <c r="GL110">
        <f t="shared" si="94"/>
        <v>0</v>
      </c>
      <c r="GM110">
        <f t="shared" si="95"/>
        <v>0</v>
      </c>
      <c r="GN110">
        <f t="shared" si="96"/>
        <v>0</v>
      </c>
      <c r="GO110">
        <f t="shared" si="97"/>
        <v>0</v>
      </c>
      <c r="GP110">
        <f t="shared" si="98"/>
        <v>0</v>
      </c>
      <c r="GR110">
        <v>0</v>
      </c>
      <c r="GS110">
        <v>0</v>
      </c>
      <c r="GT110">
        <v>0</v>
      </c>
      <c r="GU110" t="s">
        <v>6</v>
      </c>
      <c r="GV110">
        <f t="shared" si="99"/>
        <v>0</v>
      </c>
      <c r="GW110">
        <v>1</v>
      </c>
      <c r="GX110">
        <f t="shared" si="100"/>
        <v>0</v>
      </c>
      <c r="HA110">
        <v>0</v>
      </c>
      <c r="HB110">
        <v>0</v>
      </c>
      <c r="HC110">
        <f t="shared" si="101"/>
        <v>0</v>
      </c>
      <c r="IK110">
        <v>0</v>
      </c>
    </row>
    <row r="111" spans="1:245" x14ac:dyDescent="0.2">
      <c r="A111">
        <v>17</v>
      </c>
      <c r="B111">
        <v>1</v>
      </c>
      <c r="D111">
        <f>ROW(EtalonRes!A75)</f>
        <v>75</v>
      </c>
      <c r="E111" t="s">
        <v>325</v>
      </c>
      <c r="F111" t="s">
        <v>313</v>
      </c>
      <c r="G111" t="s">
        <v>326</v>
      </c>
      <c r="H111" t="s">
        <v>161</v>
      </c>
      <c r="I111">
        <f>ROUND(1094*1.5*0.5/100+(0.675),9)</f>
        <v>8.8800000000000008</v>
      </c>
      <c r="J111">
        <v>0</v>
      </c>
      <c r="O111">
        <f t="shared" si="70"/>
        <v>103301.16</v>
      </c>
      <c r="P111">
        <f t="shared" si="71"/>
        <v>13327.1</v>
      </c>
      <c r="Q111">
        <f>(ROUND((ROUND((((ET111*1.15))*AV111*I111),2)*BB111),2)+ROUND((ROUND(((AE111-((EU111*1.15)))*AV111*I111),2)*BS111),2))</f>
        <v>18779.099999999999</v>
      </c>
      <c r="R111">
        <f t="shared" si="72"/>
        <v>10361.19</v>
      </c>
      <c r="S111">
        <f t="shared" si="73"/>
        <v>71194.960000000006</v>
      </c>
      <c r="T111">
        <f t="shared" si="74"/>
        <v>0</v>
      </c>
      <c r="U111">
        <f t="shared" si="75"/>
        <v>269.43749279999997</v>
      </c>
      <c r="V111">
        <f t="shared" si="76"/>
        <v>0</v>
      </c>
      <c r="W111">
        <f t="shared" si="77"/>
        <v>0</v>
      </c>
      <c r="X111">
        <f t="shared" si="78"/>
        <v>64075.46</v>
      </c>
      <c r="Y111">
        <f t="shared" si="79"/>
        <v>30613.83</v>
      </c>
      <c r="AA111">
        <v>44176454</v>
      </c>
      <c r="AB111">
        <f t="shared" si="80"/>
        <v>861.25599999999997</v>
      </c>
      <c r="AC111">
        <f>ROUND((ES111),6)</f>
        <v>280</v>
      </c>
      <c r="AD111">
        <f>ROUND(((((ET111*1.15))-((EU111*1.15)))+AE111),6)</f>
        <v>223.928</v>
      </c>
      <c r="AE111">
        <f>ROUND(((EU111*1.15)),6)</f>
        <v>52.003</v>
      </c>
      <c r="AF111">
        <f>ROUND(((EV111*1.15)),6)</f>
        <v>357.32799999999997</v>
      </c>
      <c r="AG111">
        <f t="shared" si="81"/>
        <v>0</v>
      </c>
      <c r="AH111">
        <f>((EW111*1.15))</f>
        <v>28.979999999999997</v>
      </c>
      <c r="AI111">
        <f>((EX111*1.15))</f>
        <v>0</v>
      </c>
      <c r="AJ111">
        <f t="shared" si="82"/>
        <v>0</v>
      </c>
      <c r="AK111">
        <v>785.44</v>
      </c>
      <c r="AL111">
        <v>280</v>
      </c>
      <c r="AM111">
        <v>194.72</v>
      </c>
      <c r="AN111">
        <v>45.22</v>
      </c>
      <c r="AO111">
        <v>310.72000000000003</v>
      </c>
      <c r="AP111">
        <v>0</v>
      </c>
      <c r="AQ111">
        <v>25.2</v>
      </c>
      <c r="AR111">
        <v>0</v>
      </c>
      <c r="AS111">
        <v>0</v>
      </c>
      <c r="AT111">
        <v>90</v>
      </c>
      <c r="AU111">
        <v>43</v>
      </c>
      <c r="AV111">
        <v>1.0469999999999999</v>
      </c>
      <c r="AW111">
        <v>1</v>
      </c>
      <c r="AZ111">
        <v>1</v>
      </c>
      <c r="BA111">
        <v>21.43</v>
      </c>
      <c r="BB111">
        <v>9.02</v>
      </c>
      <c r="BC111">
        <v>5.36</v>
      </c>
      <c r="BD111" t="s">
        <v>6</v>
      </c>
      <c r="BE111" t="s">
        <v>6</v>
      </c>
      <c r="BF111" t="s">
        <v>6</v>
      </c>
      <c r="BG111" t="s">
        <v>6</v>
      </c>
      <c r="BH111">
        <v>0</v>
      </c>
      <c r="BI111">
        <v>2</v>
      </c>
      <c r="BJ111" t="s">
        <v>315</v>
      </c>
      <c r="BM111">
        <v>320</v>
      </c>
      <c r="BN111">
        <v>0</v>
      </c>
      <c r="BO111" t="s">
        <v>313</v>
      </c>
      <c r="BP111">
        <v>1</v>
      </c>
      <c r="BQ111">
        <v>40</v>
      </c>
      <c r="BR111">
        <v>0</v>
      </c>
      <c r="BS111">
        <v>21.43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6</v>
      </c>
      <c r="BZ111">
        <v>90</v>
      </c>
      <c r="CA111">
        <v>43</v>
      </c>
      <c r="CE111">
        <v>30</v>
      </c>
      <c r="CF111">
        <v>0</v>
      </c>
      <c r="CG111">
        <v>0</v>
      </c>
      <c r="CM111">
        <v>0</v>
      </c>
      <c r="CN111" t="s">
        <v>521</v>
      </c>
      <c r="CO111">
        <v>0</v>
      </c>
      <c r="CP111">
        <f t="shared" si="83"/>
        <v>103301.16</v>
      </c>
      <c r="CQ111">
        <f t="shared" si="84"/>
        <v>1500.8</v>
      </c>
      <c r="CR111">
        <f>(ROUND((ROUND((((ET111*1.15))*AV111*1),2)*BB111),2)+ROUND((ROUND(((AE111-((EU111*1.15)))*AV111*1),2)*BS111),2))</f>
        <v>2114.7399999999998</v>
      </c>
      <c r="CS111">
        <f t="shared" si="85"/>
        <v>1166.8599999999999</v>
      </c>
      <c r="CT111">
        <f t="shared" si="86"/>
        <v>8017.39</v>
      </c>
      <c r="CU111">
        <f t="shared" si="87"/>
        <v>0</v>
      </c>
      <c r="CV111">
        <f t="shared" si="88"/>
        <v>30.342059999999996</v>
      </c>
      <c r="CW111">
        <f t="shared" si="89"/>
        <v>0</v>
      </c>
      <c r="CX111">
        <f t="shared" si="90"/>
        <v>0</v>
      </c>
      <c r="CY111">
        <f t="shared" si="91"/>
        <v>64075.464000000007</v>
      </c>
      <c r="CZ111">
        <f t="shared" si="92"/>
        <v>30613.832800000004</v>
      </c>
      <c r="DC111" t="s">
        <v>6</v>
      </c>
      <c r="DD111" t="s">
        <v>6</v>
      </c>
      <c r="DE111" t="s">
        <v>240</v>
      </c>
      <c r="DF111" t="s">
        <v>240</v>
      </c>
      <c r="DG111" t="s">
        <v>240</v>
      </c>
      <c r="DH111" t="s">
        <v>6</v>
      </c>
      <c r="DI111" t="s">
        <v>240</v>
      </c>
      <c r="DJ111" t="s">
        <v>240</v>
      </c>
      <c r="DK111" t="s">
        <v>6</v>
      </c>
      <c r="DL111" t="s">
        <v>6</v>
      </c>
      <c r="DM111" t="s">
        <v>6</v>
      </c>
      <c r="DN111">
        <v>112</v>
      </c>
      <c r="DO111">
        <v>70</v>
      </c>
      <c r="DP111">
        <v>1.0469999999999999</v>
      </c>
      <c r="DQ111">
        <v>1</v>
      </c>
      <c r="DU111">
        <v>1005</v>
      </c>
      <c r="DV111" t="s">
        <v>161</v>
      </c>
      <c r="DW111" t="s">
        <v>161</v>
      </c>
      <c r="DX111">
        <v>100</v>
      </c>
      <c r="EE111">
        <v>44064139</v>
      </c>
      <c r="EF111">
        <v>40</v>
      </c>
      <c r="EG111" t="s">
        <v>232</v>
      </c>
      <c r="EH111">
        <v>0</v>
      </c>
      <c r="EI111" t="s">
        <v>6</v>
      </c>
      <c r="EJ111">
        <v>2</v>
      </c>
      <c r="EK111">
        <v>320</v>
      </c>
      <c r="EL111" t="s">
        <v>317</v>
      </c>
      <c r="EM111" t="s">
        <v>318</v>
      </c>
      <c r="EO111" t="s">
        <v>243</v>
      </c>
      <c r="EQ111">
        <v>131072</v>
      </c>
      <c r="ER111">
        <v>785.44</v>
      </c>
      <c r="ES111">
        <v>280</v>
      </c>
      <c r="ET111">
        <v>194.72</v>
      </c>
      <c r="EU111">
        <v>45.22</v>
      </c>
      <c r="EV111">
        <v>310.72000000000003</v>
      </c>
      <c r="EW111">
        <v>25.2</v>
      </c>
      <c r="EX111">
        <v>0</v>
      </c>
      <c r="EY111">
        <v>0</v>
      </c>
      <c r="FQ111">
        <v>0</v>
      </c>
      <c r="FR111">
        <f t="shared" si="93"/>
        <v>0</v>
      </c>
      <c r="FS111">
        <v>0</v>
      </c>
      <c r="FX111">
        <v>112</v>
      </c>
      <c r="FY111">
        <v>70</v>
      </c>
      <c r="GA111" t="s">
        <v>6</v>
      </c>
      <c r="GD111">
        <v>0</v>
      </c>
      <c r="GF111">
        <v>1736417359</v>
      </c>
      <c r="GG111">
        <v>2</v>
      </c>
      <c r="GH111">
        <v>1</v>
      </c>
      <c r="GI111">
        <v>2</v>
      </c>
      <c r="GJ111">
        <v>0</v>
      </c>
      <c r="GK111">
        <f>ROUND(R111*(R12)/100,2)</f>
        <v>16267.07</v>
      </c>
      <c r="GL111">
        <f t="shared" si="94"/>
        <v>0</v>
      </c>
      <c r="GM111">
        <f t="shared" si="95"/>
        <v>214257.52</v>
      </c>
      <c r="GN111">
        <f t="shared" si="96"/>
        <v>0</v>
      </c>
      <c r="GO111">
        <f t="shared" si="97"/>
        <v>214257.52</v>
      </c>
      <c r="GP111">
        <f t="shared" si="98"/>
        <v>0</v>
      </c>
      <c r="GR111">
        <v>0</v>
      </c>
      <c r="GS111">
        <v>0</v>
      </c>
      <c r="GT111">
        <v>0</v>
      </c>
      <c r="GU111" t="s">
        <v>6</v>
      </c>
      <c r="GV111">
        <f t="shared" si="99"/>
        <v>0</v>
      </c>
      <c r="GW111">
        <v>1</v>
      </c>
      <c r="GX111">
        <f t="shared" si="100"/>
        <v>0</v>
      </c>
      <c r="HA111">
        <v>0</v>
      </c>
      <c r="HB111">
        <v>0</v>
      </c>
      <c r="HC111">
        <f t="shared" si="101"/>
        <v>0</v>
      </c>
      <c r="IK111">
        <v>0</v>
      </c>
    </row>
    <row r="112" spans="1:245" x14ac:dyDescent="0.2">
      <c r="A112">
        <v>17</v>
      </c>
      <c r="B112">
        <v>1</v>
      </c>
      <c r="E112" t="s">
        <v>327</v>
      </c>
      <c r="F112" t="s">
        <v>328</v>
      </c>
      <c r="G112" t="s">
        <v>329</v>
      </c>
      <c r="H112" t="s">
        <v>270</v>
      </c>
      <c r="I112">
        <f>ROUND(1094+90,9)</f>
        <v>1184</v>
      </c>
      <c r="J112">
        <v>0</v>
      </c>
      <c r="O112">
        <f t="shared" si="70"/>
        <v>233357.57</v>
      </c>
      <c r="P112">
        <f t="shared" si="71"/>
        <v>233357.57</v>
      </c>
      <c r="Q112">
        <f>(ROUND((ROUND(((ET112)*AV112*I112),2)*BB112),2)+ROUND((ROUND(((AE112-(EU112))*AV112*I112),2)*BS112),2))</f>
        <v>0</v>
      </c>
      <c r="R112">
        <f t="shared" si="72"/>
        <v>0</v>
      </c>
      <c r="S112">
        <f t="shared" si="73"/>
        <v>0</v>
      </c>
      <c r="T112">
        <f t="shared" si="74"/>
        <v>0</v>
      </c>
      <c r="U112">
        <f t="shared" si="75"/>
        <v>0</v>
      </c>
      <c r="V112">
        <f t="shared" si="76"/>
        <v>0</v>
      </c>
      <c r="W112">
        <f t="shared" si="77"/>
        <v>0</v>
      </c>
      <c r="X112">
        <f t="shared" si="78"/>
        <v>0</v>
      </c>
      <c r="Y112">
        <f t="shared" si="79"/>
        <v>0</v>
      </c>
      <c r="AA112">
        <v>44176454</v>
      </c>
      <c r="AB112">
        <f t="shared" si="80"/>
        <v>36.771000000000001</v>
      </c>
      <c r="AC112">
        <f>ROUND(((ES112*1.02)),6)</f>
        <v>36.771000000000001</v>
      </c>
      <c r="AD112">
        <f>ROUND((((ET112)-(EU112))+AE112),6)</f>
        <v>0</v>
      </c>
      <c r="AE112">
        <f t="shared" ref="AE112:AF114" si="108">ROUND((EU112),6)</f>
        <v>0</v>
      </c>
      <c r="AF112">
        <f t="shared" si="108"/>
        <v>0</v>
      </c>
      <c r="AG112">
        <f t="shared" si="81"/>
        <v>0</v>
      </c>
      <c r="AH112">
        <f t="shared" ref="AH112:AI114" si="109">(EW112)</f>
        <v>0</v>
      </c>
      <c r="AI112">
        <f t="shared" si="109"/>
        <v>0</v>
      </c>
      <c r="AJ112">
        <f t="shared" si="82"/>
        <v>0</v>
      </c>
      <c r="AK112">
        <v>36.049999999999997</v>
      </c>
      <c r="AL112">
        <v>36.049999999999997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5.36</v>
      </c>
      <c r="BD112" t="s">
        <v>6</v>
      </c>
      <c r="BE112" t="s">
        <v>6</v>
      </c>
      <c r="BF112" t="s">
        <v>6</v>
      </c>
      <c r="BG112" t="s">
        <v>6</v>
      </c>
      <c r="BH112">
        <v>3</v>
      </c>
      <c r="BI112">
        <v>1</v>
      </c>
      <c r="BJ112" t="s">
        <v>6</v>
      </c>
      <c r="BM112">
        <v>400002</v>
      </c>
      <c r="BN112">
        <v>0</v>
      </c>
      <c r="BO112" t="s">
        <v>6</v>
      </c>
      <c r="BP112">
        <v>0</v>
      </c>
      <c r="BQ112">
        <v>202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6</v>
      </c>
      <c r="BZ112">
        <v>0</v>
      </c>
      <c r="CA112">
        <v>0</v>
      </c>
      <c r="CE112">
        <v>30</v>
      </c>
      <c r="CF112">
        <v>0</v>
      </c>
      <c r="CG112">
        <v>0</v>
      </c>
      <c r="CM112">
        <v>0</v>
      </c>
      <c r="CN112" t="s">
        <v>6</v>
      </c>
      <c r="CO112">
        <v>0</v>
      </c>
      <c r="CP112">
        <f t="shared" si="83"/>
        <v>233357.57</v>
      </c>
      <c r="CQ112">
        <f t="shared" si="84"/>
        <v>197.09</v>
      </c>
      <c r="CR112">
        <f>(ROUND((ROUND(((ET112)*AV112*1),2)*BB112),2)+ROUND((ROUND(((AE112-(EU112))*AV112*1),2)*BS112),2))</f>
        <v>0</v>
      </c>
      <c r="CS112">
        <f t="shared" si="85"/>
        <v>0</v>
      </c>
      <c r="CT112">
        <f t="shared" si="86"/>
        <v>0</v>
      </c>
      <c r="CU112">
        <f t="shared" si="87"/>
        <v>0</v>
      </c>
      <c r="CV112">
        <f t="shared" si="88"/>
        <v>0</v>
      </c>
      <c r="CW112">
        <f t="shared" si="89"/>
        <v>0</v>
      </c>
      <c r="CX112">
        <f t="shared" si="90"/>
        <v>0</v>
      </c>
      <c r="CY112">
        <f t="shared" si="91"/>
        <v>0</v>
      </c>
      <c r="CZ112">
        <f t="shared" si="92"/>
        <v>0</v>
      </c>
      <c r="DC112" t="s">
        <v>6</v>
      </c>
      <c r="DD112" t="s">
        <v>271</v>
      </c>
      <c r="DE112" t="s">
        <v>6</v>
      </c>
      <c r="DF112" t="s">
        <v>6</v>
      </c>
      <c r="DG112" t="s">
        <v>6</v>
      </c>
      <c r="DH112" t="s">
        <v>6</v>
      </c>
      <c r="DI112" t="s">
        <v>6</v>
      </c>
      <c r="DJ112" t="s">
        <v>6</v>
      </c>
      <c r="DK112" t="s">
        <v>6</v>
      </c>
      <c r="DL112" t="s">
        <v>6</v>
      </c>
      <c r="DM112" t="s">
        <v>6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270</v>
      </c>
      <c r="DW112" t="s">
        <v>270</v>
      </c>
      <c r="DX112">
        <v>1</v>
      </c>
      <c r="EE112">
        <v>44065786</v>
      </c>
      <c r="EF112">
        <v>202</v>
      </c>
      <c r="EG112" t="s">
        <v>272</v>
      </c>
      <c r="EH112">
        <v>0</v>
      </c>
      <c r="EI112" t="s">
        <v>6</v>
      </c>
      <c r="EJ112">
        <v>1</v>
      </c>
      <c r="EK112">
        <v>400002</v>
      </c>
      <c r="EL112" t="s">
        <v>273</v>
      </c>
      <c r="EM112" t="s">
        <v>272</v>
      </c>
      <c r="EO112" t="s">
        <v>6</v>
      </c>
      <c r="EQ112">
        <v>0</v>
      </c>
      <c r="ER112">
        <v>36.049999999999997</v>
      </c>
      <c r="ES112">
        <v>36.049999999999997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EZ112">
        <v>5</v>
      </c>
      <c r="FC112">
        <v>0</v>
      </c>
      <c r="FD112">
        <v>18</v>
      </c>
      <c r="FF112">
        <v>193.22</v>
      </c>
      <c r="FQ112">
        <v>0</v>
      </c>
      <c r="FR112">
        <f t="shared" si="93"/>
        <v>0</v>
      </c>
      <c r="FS112">
        <v>0</v>
      </c>
      <c r="FX112">
        <v>0</v>
      </c>
      <c r="FY112">
        <v>0</v>
      </c>
      <c r="GA112" t="s">
        <v>330</v>
      </c>
      <c r="GD112">
        <v>0</v>
      </c>
      <c r="GF112">
        <v>-356970352</v>
      </c>
      <c r="GG112">
        <v>2</v>
      </c>
      <c r="GH112">
        <v>3</v>
      </c>
      <c r="GI112">
        <v>3</v>
      </c>
      <c r="GJ112">
        <v>0</v>
      </c>
      <c r="GK112">
        <f>ROUND(R112*(R12)/100,2)</f>
        <v>0</v>
      </c>
      <c r="GL112">
        <f t="shared" si="94"/>
        <v>0</v>
      </c>
      <c r="GM112">
        <f t="shared" si="95"/>
        <v>233357.57</v>
      </c>
      <c r="GN112">
        <f t="shared" si="96"/>
        <v>233357.57</v>
      </c>
      <c r="GO112">
        <f t="shared" si="97"/>
        <v>0</v>
      </c>
      <c r="GP112">
        <f t="shared" si="98"/>
        <v>0</v>
      </c>
      <c r="GR112">
        <v>1</v>
      </c>
      <c r="GS112">
        <v>1</v>
      </c>
      <c r="GT112">
        <v>0</v>
      </c>
      <c r="GU112" t="s">
        <v>6</v>
      </c>
      <c r="GV112">
        <f t="shared" si="99"/>
        <v>0</v>
      </c>
      <c r="GW112">
        <v>1</v>
      </c>
      <c r="GX112">
        <f t="shared" si="100"/>
        <v>0</v>
      </c>
      <c r="HA112">
        <v>0</v>
      </c>
      <c r="HB112">
        <v>0</v>
      </c>
      <c r="HC112">
        <f t="shared" si="101"/>
        <v>0</v>
      </c>
      <c r="IK112">
        <v>0</v>
      </c>
    </row>
    <row r="113" spans="1:245" x14ac:dyDescent="0.2">
      <c r="A113">
        <v>17</v>
      </c>
      <c r="B113">
        <v>1</v>
      </c>
      <c r="E113" t="s">
        <v>331</v>
      </c>
      <c r="F113" t="s">
        <v>332</v>
      </c>
      <c r="G113" t="s">
        <v>333</v>
      </c>
      <c r="H113" t="s">
        <v>270</v>
      </c>
      <c r="I113">
        <f>ROUND(2200+(180),9)</f>
        <v>2380</v>
      </c>
      <c r="J113">
        <v>0</v>
      </c>
      <c r="O113">
        <f t="shared" si="70"/>
        <v>24722.68</v>
      </c>
      <c r="P113">
        <f t="shared" si="71"/>
        <v>24722.68</v>
      </c>
      <c r="Q113">
        <f>(ROUND((ROUND(((ET113)*AV113*I113),2)*BB113),2)+ROUND((ROUND(((AE113-(EU113))*AV113*I113),2)*BS113),2))</f>
        <v>0</v>
      </c>
      <c r="R113">
        <f t="shared" si="72"/>
        <v>0</v>
      </c>
      <c r="S113">
        <f t="shared" si="73"/>
        <v>0</v>
      </c>
      <c r="T113">
        <f t="shared" si="74"/>
        <v>0</v>
      </c>
      <c r="U113">
        <f t="shared" si="75"/>
        <v>0</v>
      </c>
      <c r="V113">
        <f t="shared" si="76"/>
        <v>0</v>
      </c>
      <c r="W113">
        <f t="shared" si="77"/>
        <v>0</v>
      </c>
      <c r="X113">
        <f t="shared" si="78"/>
        <v>0</v>
      </c>
      <c r="Y113">
        <f t="shared" si="79"/>
        <v>0</v>
      </c>
      <c r="AA113">
        <v>44176454</v>
      </c>
      <c r="AB113">
        <f t="shared" si="80"/>
        <v>1.9379999999999999</v>
      </c>
      <c r="AC113">
        <f>ROUND(((ES113*1.02)),6)</f>
        <v>1.9379999999999999</v>
      </c>
      <c r="AD113">
        <f>ROUND((((ET113)-(EU113))+AE113),6)</f>
        <v>0</v>
      </c>
      <c r="AE113">
        <f t="shared" si="108"/>
        <v>0</v>
      </c>
      <c r="AF113">
        <f t="shared" si="108"/>
        <v>0</v>
      </c>
      <c r="AG113">
        <f t="shared" si="81"/>
        <v>0</v>
      </c>
      <c r="AH113">
        <f t="shared" si="109"/>
        <v>0</v>
      </c>
      <c r="AI113">
        <f t="shared" si="109"/>
        <v>0</v>
      </c>
      <c r="AJ113">
        <f t="shared" si="82"/>
        <v>0</v>
      </c>
      <c r="AK113">
        <v>1.9</v>
      </c>
      <c r="AL113">
        <v>1.9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5.36</v>
      </c>
      <c r="BD113" t="s">
        <v>6</v>
      </c>
      <c r="BE113" t="s">
        <v>6</v>
      </c>
      <c r="BF113" t="s">
        <v>6</v>
      </c>
      <c r="BG113" t="s">
        <v>6</v>
      </c>
      <c r="BH113">
        <v>3</v>
      </c>
      <c r="BI113">
        <v>1</v>
      </c>
      <c r="BJ113" t="s">
        <v>6</v>
      </c>
      <c r="BM113">
        <v>400002</v>
      </c>
      <c r="BN113">
        <v>0</v>
      </c>
      <c r="BO113" t="s">
        <v>6</v>
      </c>
      <c r="BP113">
        <v>0</v>
      </c>
      <c r="BQ113">
        <v>202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6</v>
      </c>
      <c r="BZ113">
        <v>0</v>
      </c>
      <c r="CA113">
        <v>0</v>
      </c>
      <c r="CE113">
        <v>30</v>
      </c>
      <c r="CF113">
        <v>0</v>
      </c>
      <c r="CG113">
        <v>0</v>
      </c>
      <c r="CM113">
        <v>0</v>
      </c>
      <c r="CN113" t="s">
        <v>6</v>
      </c>
      <c r="CO113">
        <v>0</v>
      </c>
      <c r="CP113">
        <f t="shared" si="83"/>
        <v>24722.68</v>
      </c>
      <c r="CQ113">
        <f t="shared" si="84"/>
        <v>10.4</v>
      </c>
      <c r="CR113">
        <f>(ROUND((ROUND(((ET113)*AV113*1),2)*BB113),2)+ROUND((ROUND(((AE113-(EU113))*AV113*1),2)*BS113),2))</f>
        <v>0</v>
      </c>
      <c r="CS113">
        <f t="shared" si="85"/>
        <v>0</v>
      </c>
      <c r="CT113">
        <f t="shared" si="86"/>
        <v>0</v>
      </c>
      <c r="CU113">
        <f t="shared" si="87"/>
        <v>0</v>
      </c>
      <c r="CV113">
        <f t="shared" si="88"/>
        <v>0</v>
      </c>
      <c r="CW113">
        <f t="shared" si="89"/>
        <v>0</v>
      </c>
      <c r="CX113">
        <f t="shared" si="90"/>
        <v>0</v>
      </c>
      <c r="CY113">
        <f t="shared" si="91"/>
        <v>0</v>
      </c>
      <c r="CZ113">
        <f t="shared" si="92"/>
        <v>0</v>
      </c>
      <c r="DC113" t="s">
        <v>6</v>
      </c>
      <c r="DD113" t="s">
        <v>271</v>
      </c>
      <c r="DE113" t="s">
        <v>6</v>
      </c>
      <c r="DF113" t="s">
        <v>6</v>
      </c>
      <c r="DG113" t="s">
        <v>6</v>
      </c>
      <c r="DH113" t="s">
        <v>6</v>
      </c>
      <c r="DI113" t="s">
        <v>6</v>
      </c>
      <c r="DJ113" t="s">
        <v>6</v>
      </c>
      <c r="DK113" t="s">
        <v>6</v>
      </c>
      <c r="DL113" t="s">
        <v>6</v>
      </c>
      <c r="DM113" t="s">
        <v>6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270</v>
      </c>
      <c r="DW113" t="s">
        <v>270</v>
      </c>
      <c r="DX113">
        <v>1</v>
      </c>
      <c r="EE113">
        <v>44065786</v>
      </c>
      <c r="EF113">
        <v>202</v>
      </c>
      <c r="EG113" t="s">
        <v>272</v>
      </c>
      <c r="EH113">
        <v>0</v>
      </c>
      <c r="EI113" t="s">
        <v>6</v>
      </c>
      <c r="EJ113">
        <v>1</v>
      </c>
      <c r="EK113">
        <v>400002</v>
      </c>
      <c r="EL113" t="s">
        <v>273</v>
      </c>
      <c r="EM113" t="s">
        <v>272</v>
      </c>
      <c r="EO113" t="s">
        <v>6</v>
      </c>
      <c r="EQ113">
        <v>0</v>
      </c>
      <c r="ER113">
        <v>1.9</v>
      </c>
      <c r="ES113">
        <v>1.9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5</v>
      </c>
      <c r="FC113">
        <v>0</v>
      </c>
      <c r="FD113">
        <v>18</v>
      </c>
      <c r="FF113">
        <v>10.17</v>
      </c>
      <c r="FQ113">
        <v>0</v>
      </c>
      <c r="FR113">
        <f t="shared" si="93"/>
        <v>0</v>
      </c>
      <c r="FS113">
        <v>0</v>
      </c>
      <c r="FX113">
        <v>0</v>
      </c>
      <c r="FY113">
        <v>0</v>
      </c>
      <c r="GA113" t="s">
        <v>334</v>
      </c>
      <c r="GD113">
        <v>0</v>
      </c>
      <c r="GF113">
        <v>-1497952069</v>
      </c>
      <c r="GG113">
        <v>2</v>
      </c>
      <c r="GH113">
        <v>3</v>
      </c>
      <c r="GI113">
        <v>3</v>
      </c>
      <c r="GJ113">
        <v>0</v>
      </c>
      <c r="GK113">
        <f>ROUND(R113*(R12)/100,2)</f>
        <v>0</v>
      </c>
      <c r="GL113">
        <f t="shared" si="94"/>
        <v>0</v>
      </c>
      <c r="GM113">
        <f t="shared" si="95"/>
        <v>24722.68</v>
      </c>
      <c r="GN113">
        <f t="shared" si="96"/>
        <v>24722.68</v>
      </c>
      <c r="GO113">
        <f t="shared" si="97"/>
        <v>0</v>
      </c>
      <c r="GP113">
        <f t="shared" si="98"/>
        <v>0</v>
      </c>
      <c r="GR113">
        <v>1</v>
      </c>
      <c r="GS113">
        <v>1</v>
      </c>
      <c r="GT113">
        <v>0</v>
      </c>
      <c r="GU113" t="s">
        <v>6</v>
      </c>
      <c r="GV113">
        <f t="shared" si="99"/>
        <v>0</v>
      </c>
      <c r="GW113">
        <v>1</v>
      </c>
      <c r="GX113">
        <f t="shared" si="100"/>
        <v>0</v>
      </c>
      <c r="HA113">
        <v>0</v>
      </c>
      <c r="HB113">
        <v>0</v>
      </c>
      <c r="HC113">
        <f t="shared" si="101"/>
        <v>0</v>
      </c>
      <c r="IK113">
        <v>0</v>
      </c>
    </row>
    <row r="114" spans="1:245" x14ac:dyDescent="0.2">
      <c r="A114">
        <v>17</v>
      </c>
      <c r="B114">
        <v>1</v>
      </c>
      <c r="E114" t="s">
        <v>335</v>
      </c>
      <c r="F114" t="s">
        <v>336</v>
      </c>
      <c r="G114" t="s">
        <v>337</v>
      </c>
      <c r="H114" t="s">
        <v>338</v>
      </c>
      <c r="I114">
        <v>0</v>
      </c>
      <c r="J114">
        <v>0</v>
      </c>
      <c r="O114">
        <f t="shared" si="70"/>
        <v>0</v>
      </c>
      <c r="P114">
        <f t="shared" si="71"/>
        <v>0</v>
      </c>
      <c r="Q114">
        <f>(ROUND((ROUND(((ET114)*AV114*I114),2)*BB114),2)+ROUND((ROUND(((AE114-(EU114))*AV114*I114),2)*BS114),2))</f>
        <v>0</v>
      </c>
      <c r="R114">
        <f t="shared" si="72"/>
        <v>0</v>
      </c>
      <c r="S114">
        <f t="shared" si="73"/>
        <v>0</v>
      </c>
      <c r="T114">
        <f t="shared" si="74"/>
        <v>0</v>
      </c>
      <c r="U114">
        <f t="shared" si="75"/>
        <v>0</v>
      </c>
      <c r="V114">
        <f t="shared" si="76"/>
        <v>0</v>
      </c>
      <c r="W114">
        <f t="shared" si="77"/>
        <v>0</v>
      </c>
      <c r="X114">
        <f t="shared" si="78"/>
        <v>0</v>
      </c>
      <c r="Y114">
        <f t="shared" si="79"/>
        <v>0</v>
      </c>
      <c r="AA114">
        <v>44176454</v>
      </c>
      <c r="AB114">
        <f t="shared" si="80"/>
        <v>31.01</v>
      </c>
      <c r="AC114">
        <f t="shared" ref="AC114:AC119" si="110">ROUND((ES114),6)</f>
        <v>31.01</v>
      </c>
      <c r="AD114">
        <f>ROUND((((ET114)-(EU114))+AE114),6)</f>
        <v>0</v>
      </c>
      <c r="AE114">
        <f t="shared" si="108"/>
        <v>0</v>
      </c>
      <c r="AF114">
        <f t="shared" si="108"/>
        <v>0</v>
      </c>
      <c r="AG114">
        <f t="shared" si="81"/>
        <v>0</v>
      </c>
      <c r="AH114">
        <f t="shared" si="109"/>
        <v>0</v>
      </c>
      <c r="AI114">
        <f t="shared" si="109"/>
        <v>0</v>
      </c>
      <c r="AJ114">
        <f t="shared" si="82"/>
        <v>0</v>
      </c>
      <c r="AK114">
        <v>31.01</v>
      </c>
      <c r="AL114">
        <v>31.01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7.77</v>
      </c>
      <c r="BD114" t="s">
        <v>6</v>
      </c>
      <c r="BE114" t="s">
        <v>6</v>
      </c>
      <c r="BF114" t="s">
        <v>6</v>
      </c>
      <c r="BG114" t="s">
        <v>6</v>
      </c>
      <c r="BH114">
        <v>3</v>
      </c>
      <c r="BI114">
        <v>1</v>
      </c>
      <c r="BJ114" t="s">
        <v>339</v>
      </c>
      <c r="BM114">
        <v>1617</v>
      </c>
      <c r="BN114">
        <v>0</v>
      </c>
      <c r="BO114" t="s">
        <v>336</v>
      </c>
      <c r="BP114">
        <v>1</v>
      </c>
      <c r="BQ114">
        <v>200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6</v>
      </c>
      <c r="BZ114">
        <v>0</v>
      </c>
      <c r="CA114">
        <v>0</v>
      </c>
      <c r="CE114">
        <v>30</v>
      </c>
      <c r="CF114">
        <v>0</v>
      </c>
      <c r="CG114">
        <v>0</v>
      </c>
      <c r="CM114">
        <v>0</v>
      </c>
      <c r="CN114" t="s">
        <v>6</v>
      </c>
      <c r="CO114">
        <v>0</v>
      </c>
      <c r="CP114">
        <f t="shared" si="83"/>
        <v>0</v>
      </c>
      <c r="CQ114">
        <f t="shared" si="84"/>
        <v>240.95</v>
      </c>
      <c r="CR114">
        <f>(ROUND((ROUND(((ET114)*AV114*1),2)*BB114),2)+ROUND((ROUND(((AE114-(EU114))*AV114*1),2)*BS114),2))</f>
        <v>0</v>
      </c>
      <c r="CS114">
        <f t="shared" si="85"/>
        <v>0</v>
      </c>
      <c r="CT114">
        <f t="shared" si="86"/>
        <v>0</v>
      </c>
      <c r="CU114">
        <f t="shared" si="87"/>
        <v>0</v>
      </c>
      <c r="CV114">
        <f t="shared" si="88"/>
        <v>0</v>
      </c>
      <c r="CW114">
        <f t="shared" si="89"/>
        <v>0</v>
      </c>
      <c r="CX114">
        <f t="shared" si="90"/>
        <v>0</v>
      </c>
      <c r="CY114">
        <f t="shared" si="91"/>
        <v>0</v>
      </c>
      <c r="CZ114">
        <f t="shared" si="92"/>
        <v>0</v>
      </c>
      <c r="DC114" t="s">
        <v>6</v>
      </c>
      <c r="DD114" t="s">
        <v>6</v>
      </c>
      <c r="DE114" t="s">
        <v>6</v>
      </c>
      <c r="DF114" t="s">
        <v>6</v>
      </c>
      <c r="DG114" t="s">
        <v>6</v>
      </c>
      <c r="DH114" t="s">
        <v>6</v>
      </c>
      <c r="DI114" t="s">
        <v>6</v>
      </c>
      <c r="DJ114" t="s">
        <v>6</v>
      </c>
      <c r="DK114" t="s">
        <v>6</v>
      </c>
      <c r="DL114" t="s">
        <v>6</v>
      </c>
      <c r="DM114" t="s">
        <v>6</v>
      </c>
      <c r="DN114">
        <v>0</v>
      </c>
      <c r="DO114">
        <v>0</v>
      </c>
      <c r="DP114">
        <v>1</v>
      </c>
      <c r="DQ114">
        <v>1</v>
      </c>
      <c r="DU114">
        <v>1005</v>
      </c>
      <c r="DV114" t="s">
        <v>338</v>
      </c>
      <c r="DW114" t="s">
        <v>338</v>
      </c>
      <c r="DX114">
        <v>1</v>
      </c>
      <c r="EE114">
        <v>44065436</v>
      </c>
      <c r="EF114">
        <v>200</v>
      </c>
      <c r="EG114" t="s">
        <v>265</v>
      </c>
      <c r="EH114">
        <v>0</v>
      </c>
      <c r="EI114" t="s">
        <v>6</v>
      </c>
      <c r="EJ114">
        <v>1</v>
      </c>
      <c r="EK114">
        <v>1617</v>
      </c>
      <c r="EL114" t="s">
        <v>266</v>
      </c>
      <c r="EM114" t="s">
        <v>267</v>
      </c>
      <c r="EO114" t="s">
        <v>6</v>
      </c>
      <c r="EQ114">
        <v>131072</v>
      </c>
      <c r="ER114">
        <v>31.01</v>
      </c>
      <c r="ES114">
        <v>31.01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FQ114">
        <v>0</v>
      </c>
      <c r="FR114">
        <f t="shared" si="93"/>
        <v>0</v>
      </c>
      <c r="FS114">
        <v>0</v>
      </c>
      <c r="FX114">
        <v>0</v>
      </c>
      <c r="FY114">
        <v>0</v>
      </c>
      <c r="GA114" t="s">
        <v>6</v>
      </c>
      <c r="GD114">
        <v>0</v>
      </c>
      <c r="GF114">
        <v>217097241</v>
      </c>
      <c r="GG114">
        <v>2</v>
      </c>
      <c r="GH114">
        <v>1</v>
      </c>
      <c r="GI114">
        <v>2</v>
      </c>
      <c r="GJ114">
        <v>0</v>
      </c>
      <c r="GK114">
        <f>ROUND(R114*(R12)/100,2)</f>
        <v>0</v>
      </c>
      <c r="GL114">
        <f t="shared" si="94"/>
        <v>0</v>
      </c>
      <c r="GM114">
        <f t="shared" si="95"/>
        <v>0</v>
      </c>
      <c r="GN114">
        <f t="shared" si="96"/>
        <v>0</v>
      </c>
      <c r="GO114">
        <f t="shared" si="97"/>
        <v>0</v>
      </c>
      <c r="GP114">
        <f t="shared" si="98"/>
        <v>0</v>
      </c>
      <c r="GR114">
        <v>0</v>
      </c>
      <c r="GS114">
        <v>0</v>
      </c>
      <c r="GT114">
        <v>0</v>
      </c>
      <c r="GU114" t="s">
        <v>6</v>
      </c>
      <c r="GV114">
        <f t="shared" si="99"/>
        <v>0</v>
      </c>
      <c r="GW114">
        <v>1</v>
      </c>
      <c r="GX114">
        <f t="shared" si="100"/>
        <v>0</v>
      </c>
      <c r="HA114">
        <v>0</v>
      </c>
      <c r="HB114">
        <v>0</v>
      </c>
      <c r="HC114">
        <f t="shared" si="101"/>
        <v>0</v>
      </c>
      <c r="IK114">
        <v>0</v>
      </c>
    </row>
    <row r="115" spans="1:245" x14ac:dyDescent="0.2">
      <c r="A115">
        <v>17</v>
      </c>
      <c r="B115">
        <v>1</v>
      </c>
      <c r="D115">
        <f>ROW(EtalonRes!A76)</f>
        <v>76</v>
      </c>
      <c r="E115" t="s">
        <v>340</v>
      </c>
      <c r="F115" t="s">
        <v>341</v>
      </c>
      <c r="G115" t="s">
        <v>342</v>
      </c>
      <c r="H115" t="s">
        <v>118</v>
      </c>
      <c r="I115">
        <v>0</v>
      </c>
      <c r="J115">
        <v>0</v>
      </c>
      <c r="O115">
        <f t="shared" si="70"/>
        <v>0</v>
      </c>
      <c r="P115">
        <f t="shared" si="71"/>
        <v>0</v>
      </c>
      <c r="Q115">
        <f>(ROUND((ROUND((((ET115*1.38))*AV115*I115),2)*BB115),2)+ROUND((ROUND(((AE115-((EU115*1.38)))*AV115*I115),2)*BS115),2))</f>
        <v>0</v>
      </c>
      <c r="R115">
        <f t="shared" si="72"/>
        <v>0</v>
      </c>
      <c r="S115">
        <f t="shared" si="73"/>
        <v>0</v>
      </c>
      <c r="T115">
        <f t="shared" si="74"/>
        <v>0</v>
      </c>
      <c r="U115">
        <f t="shared" si="75"/>
        <v>0</v>
      </c>
      <c r="V115">
        <f t="shared" si="76"/>
        <v>0</v>
      </c>
      <c r="W115">
        <f t="shared" si="77"/>
        <v>0</v>
      </c>
      <c r="X115">
        <f t="shared" si="78"/>
        <v>0</v>
      </c>
      <c r="Y115">
        <f t="shared" si="79"/>
        <v>0</v>
      </c>
      <c r="AA115">
        <v>44176454</v>
      </c>
      <c r="AB115">
        <f t="shared" si="80"/>
        <v>143.482</v>
      </c>
      <c r="AC115">
        <f t="shared" si="110"/>
        <v>2.17</v>
      </c>
      <c r="AD115">
        <f>ROUND(((((ET115*1.38))-((EU115*1.38)))+AE115),6)</f>
        <v>30.222000000000001</v>
      </c>
      <c r="AE115">
        <f>ROUND(((EU115*1.38)),6)</f>
        <v>6.9965999999999999</v>
      </c>
      <c r="AF115">
        <f>ROUND(((EV115*1.38)),6)</f>
        <v>111.09</v>
      </c>
      <c r="AG115">
        <f t="shared" si="81"/>
        <v>0</v>
      </c>
      <c r="AH115">
        <f>((EW115*1.38))</f>
        <v>9.9359999999999999</v>
      </c>
      <c r="AI115">
        <f>((EX115*1.38))</f>
        <v>0</v>
      </c>
      <c r="AJ115">
        <f t="shared" si="82"/>
        <v>0</v>
      </c>
      <c r="AK115">
        <v>104.57</v>
      </c>
      <c r="AL115">
        <v>2.17</v>
      </c>
      <c r="AM115">
        <v>21.9</v>
      </c>
      <c r="AN115">
        <v>5.07</v>
      </c>
      <c r="AO115">
        <v>80.5</v>
      </c>
      <c r="AP115">
        <v>0</v>
      </c>
      <c r="AQ115">
        <v>7.2</v>
      </c>
      <c r="AR115">
        <v>0</v>
      </c>
      <c r="AS115">
        <v>0</v>
      </c>
      <c r="AT115">
        <v>90</v>
      </c>
      <c r="AU115">
        <v>43</v>
      </c>
      <c r="AV115">
        <v>1.0469999999999999</v>
      </c>
      <c r="AW115">
        <v>1</v>
      </c>
      <c r="AZ115">
        <v>1</v>
      </c>
      <c r="BA115">
        <v>21.43</v>
      </c>
      <c r="BB115">
        <v>9</v>
      </c>
      <c r="BC115">
        <v>5.36</v>
      </c>
      <c r="BD115" t="s">
        <v>6</v>
      </c>
      <c r="BE115" t="s">
        <v>6</v>
      </c>
      <c r="BF115" t="s">
        <v>6</v>
      </c>
      <c r="BG115" t="s">
        <v>6</v>
      </c>
      <c r="BH115">
        <v>0</v>
      </c>
      <c r="BI115">
        <v>2</v>
      </c>
      <c r="BJ115" t="s">
        <v>343</v>
      </c>
      <c r="BM115">
        <v>336</v>
      </c>
      <c r="BN115">
        <v>0</v>
      </c>
      <c r="BO115" t="s">
        <v>341</v>
      </c>
      <c r="BP115">
        <v>1</v>
      </c>
      <c r="BQ115">
        <v>40</v>
      </c>
      <c r="BR115">
        <v>0</v>
      </c>
      <c r="BS115">
        <v>21.43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6</v>
      </c>
      <c r="BZ115">
        <v>90</v>
      </c>
      <c r="CA115">
        <v>43</v>
      </c>
      <c r="CE115">
        <v>30</v>
      </c>
      <c r="CF115">
        <v>0</v>
      </c>
      <c r="CG115">
        <v>0</v>
      </c>
      <c r="CM115">
        <v>0</v>
      </c>
      <c r="CN115" t="s">
        <v>6</v>
      </c>
      <c r="CO115">
        <v>0</v>
      </c>
      <c r="CP115">
        <f t="shared" si="83"/>
        <v>0</v>
      </c>
      <c r="CQ115">
        <f t="shared" si="84"/>
        <v>11.63</v>
      </c>
      <c r="CR115">
        <f>(ROUND((ROUND((((ET115*1.38))*AV115*1),2)*BB115),2)+ROUND((ROUND(((AE115-((EU115*1.38)))*AV115*1),2)*BS115),2))</f>
        <v>284.76</v>
      </c>
      <c r="CS115">
        <f t="shared" si="85"/>
        <v>157.08000000000001</v>
      </c>
      <c r="CT115">
        <f t="shared" si="86"/>
        <v>2492.52</v>
      </c>
      <c r="CU115">
        <f t="shared" si="87"/>
        <v>0</v>
      </c>
      <c r="CV115">
        <f t="shared" si="88"/>
        <v>10.402991999999999</v>
      </c>
      <c r="CW115">
        <f t="shared" si="89"/>
        <v>0</v>
      </c>
      <c r="CX115">
        <f t="shared" si="90"/>
        <v>0</v>
      </c>
      <c r="CY115">
        <f t="shared" si="91"/>
        <v>0</v>
      </c>
      <c r="CZ115">
        <f t="shared" si="92"/>
        <v>0</v>
      </c>
      <c r="DC115" t="s">
        <v>6</v>
      </c>
      <c r="DD115" t="s">
        <v>6</v>
      </c>
      <c r="DE115" t="s">
        <v>247</v>
      </c>
      <c r="DF115" t="s">
        <v>247</v>
      </c>
      <c r="DG115" t="s">
        <v>247</v>
      </c>
      <c r="DH115" t="s">
        <v>6</v>
      </c>
      <c r="DI115" t="s">
        <v>247</v>
      </c>
      <c r="DJ115" t="s">
        <v>247</v>
      </c>
      <c r="DK115" t="s">
        <v>6</v>
      </c>
      <c r="DL115" t="s">
        <v>6</v>
      </c>
      <c r="DM115" t="s">
        <v>6</v>
      </c>
      <c r="DN115">
        <v>112</v>
      </c>
      <c r="DO115">
        <v>70</v>
      </c>
      <c r="DP115">
        <v>1.0469999999999999</v>
      </c>
      <c r="DQ115">
        <v>1</v>
      </c>
      <c r="DU115">
        <v>1013</v>
      </c>
      <c r="DV115" t="s">
        <v>118</v>
      </c>
      <c r="DW115" t="s">
        <v>118</v>
      </c>
      <c r="DX115">
        <v>1</v>
      </c>
      <c r="EE115">
        <v>44064155</v>
      </c>
      <c r="EF115">
        <v>40</v>
      </c>
      <c r="EG115" t="s">
        <v>232</v>
      </c>
      <c r="EH115">
        <v>0</v>
      </c>
      <c r="EI115" t="s">
        <v>6</v>
      </c>
      <c r="EJ115">
        <v>2</v>
      </c>
      <c r="EK115">
        <v>336</v>
      </c>
      <c r="EL115" t="s">
        <v>344</v>
      </c>
      <c r="EM115" t="s">
        <v>345</v>
      </c>
      <c r="EO115" t="s">
        <v>6</v>
      </c>
      <c r="EQ115">
        <v>131072</v>
      </c>
      <c r="ER115">
        <v>104.57</v>
      </c>
      <c r="ES115">
        <v>2.17</v>
      </c>
      <c r="ET115">
        <v>21.9</v>
      </c>
      <c r="EU115">
        <v>5.07</v>
      </c>
      <c r="EV115">
        <v>80.5</v>
      </c>
      <c r="EW115">
        <v>7.2</v>
      </c>
      <c r="EX115">
        <v>0</v>
      </c>
      <c r="EY115">
        <v>0</v>
      </c>
      <c r="FQ115">
        <v>0</v>
      </c>
      <c r="FR115">
        <f t="shared" si="93"/>
        <v>0</v>
      </c>
      <c r="FS115">
        <v>0</v>
      </c>
      <c r="FX115">
        <v>112</v>
      </c>
      <c r="FY115">
        <v>70</v>
      </c>
      <c r="GA115" t="s">
        <v>6</v>
      </c>
      <c r="GD115">
        <v>0</v>
      </c>
      <c r="GF115">
        <v>-498585141</v>
      </c>
      <c r="GG115">
        <v>2</v>
      </c>
      <c r="GH115">
        <v>1</v>
      </c>
      <c r="GI115">
        <v>2</v>
      </c>
      <c r="GJ115">
        <v>0</v>
      </c>
      <c r="GK115">
        <f>ROUND(R115*(R12)/100,2)</f>
        <v>0</v>
      </c>
      <c r="GL115">
        <f t="shared" si="94"/>
        <v>0</v>
      </c>
      <c r="GM115">
        <f t="shared" si="95"/>
        <v>0</v>
      </c>
      <c r="GN115">
        <f t="shared" si="96"/>
        <v>0</v>
      </c>
      <c r="GO115">
        <f t="shared" si="97"/>
        <v>0</v>
      </c>
      <c r="GP115">
        <f t="shared" si="98"/>
        <v>0</v>
      </c>
      <c r="GR115">
        <v>0</v>
      </c>
      <c r="GS115">
        <v>0</v>
      </c>
      <c r="GT115">
        <v>0</v>
      </c>
      <c r="GU115" t="s">
        <v>6</v>
      </c>
      <c r="GV115">
        <f t="shared" si="99"/>
        <v>0</v>
      </c>
      <c r="GW115">
        <v>1</v>
      </c>
      <c r="GX115">
        <f t="shared" si="100"/>
        <v>0</v>
      </c>
      <c r="HA115">
        <v>0</v>
      </c>
      <c r="HB115">
        <v>0</v>
      </c>
      <c r="HC115">
        <f t="shared" si="101"/>
        <v>0</v>
      </c>
      <c r="IK115">
        <v>0</v>
      </c>
    </row>
    <row r="116" spans="1:245" x14ac:dyDescent="0.2">
      <c r="A116">
        <v>17</v>
      </c>
      <c r="B116">
        <v>1</v>
      </c>
      <c r="D116">
        <f>ROW(EtalonRes!A77)</f>
        <v>77</v>
      </c>
      <c r="E116" t="s">
        <v>346</v>
      </c>
      <c r="F116" t="s">
        <v>347</v>
      </c>
      <c r="G116" t="s">
        <v>348</v>
      </c>
      <c r="H116" t="s">
        <v>118</v>
      </c>
      <c r="I116">
        <f>ROUND(-I115,9)</f>
        <v>0</v>
      </c>
      <c r="J116">
        <v>0</v>
      </c>
      <c r="O116">
        <f t="shared" si="70"/>
        <v>0</v>
      </c>
      <c r="P116">
        <f t="shared" si="71"/>
        <v>0</v>
      </c>
      <c r="Q116">
        <f>(ROUND((ROUND((((ET116*1.38))*AV116*I116),2)*BB116),2)+ROUND((ROUND(((AE116-((EU116*1.38)))*AV116*I116),2)*BS116),2))</f>
        <v>0</v>
      </c>
      <c r="R116">
        <f t="shared" si="72"/>
        <v>0</v>
      </c>
      <c r="S116">
        <f t="shared" si="73"/>
        <v>0</v>
      </c>
      <c r="T116">
        <f t="shared" si="74"/>
        <v>0</v>
      </c>
      <c r="U116">
        <f t="shared" si="75"/>
        <v>0</v>
      </c>
      <c r="V116">
        <f t="shared" si="76"/>
        <v>0</v>
      </c>
      <c r="W116">
        <f t="shared" si="77"/>
        <v>0</v>
      </c>
      <c r="X116">
        <f t="shared" si="78"/>
        <v>0</v>
      </c>
      <c r="Y116">
        <f t="shared" si="79"/>
        <v>0</v>
      </c>
      <c r="AA116">
        <v>44176454</v>
      </c>
      <c r="AB116">
        <f t="shared" si="80"/>
        <v>85.227199999999996</v>
      </c>
      <c r="AC116">
        <f t="shared" si="110"/>
        <v>1.82</v>
      </c>
      <c r="AD116">
        <f>ROUND(((((ET116*1.38))-((EU116*1.38)))+AE116),6)</f>
        <v>20.148</v>
      </c>
      <c r="AE116">
        <f>ROUND(((EU116*1.38)),6)</f>
        <v>4.6643999999999997</v>
      </c>
      <c r="AF116">
        <f>ROUND(((EV116*1.38)),6)</f>
        <v>63.2592</v>
      </c>
      <c r="AG116">
        <f t="shared" si="81"/>
        <v>0</v>
      </c>
      <c r="AH116">
        <f>((EW116*1.38))</f>
        <v>5.6579999999999995</v>
      </c>
      <c r="AI116">
        <f>((EX116*1.38))</f>
        <v>0</v>
      </c>
      <c r="AJ116">
        <f t="shared" si="82"/>
        <v>0</v>
      </c>
      <c r="AK116">
        <v>62.26</v>
      </c>
      <c r="AL116">
        <v>1.82</v>
      </c>
      <c r="AM116">
        <v>14.6</v>
      </c>
      <c r="AN116">
        <v>3.38</v>
      </c>
      <c r="AO116">
        <v>45.84</v>
      </c>
      <c r="AP116">
        <v>0</v>
      </c>
      <c r="AQ116">
        <v>4.0999999999999996</v>
      </c>
      <c r="AR116">
        <v>0</v>
      </c>
      <c r="AS116">
        <v>0</v>
      </c>
      <c r="AT116">
        <v>90</v>
      </c>
      <c r="AU116">
        <v>43</v>
      </c>
      <c r="AV116">
        <v>1.0469999999999999</v>
      </c>
      <c r="AW116">
        <v>1</v>
      </c>
      <c r="AZ116">
        <v>1</v>
      </c>
      <c r="BA116">
        <v>21.43</v>
      </c>
      <c r="BB116">
        <v>9</v>
      </c>
      <c r="BC116">
        <v>5.36</v>
      </c>
      <c r="BD116" t="s">
        <v>6</v>
      </c>
      <c r="BE116" t="s">
        <v>6</v>
      </c>
      <c r="BF116" t="s">
        <v>6</v>
      </c>
      <c r="BG116" t="s">
        <v>6</v>
      </c>
      <c r="BH116">
        <v>0</v>
      </c>
      <c r="BI116">
        <v>2</v>
      </c>
      <c r="BJ116" t="s">
        <v>349</v>
      </c>
      <c r="BM116">
        <v>336</v>
      </c>
      <c r="BN116">
        <v>0</v>
      </c>
      <c r="BO116" t="s">
        <v>347</v>
      </c>
      <c r="BP116">
        <v>1</v>
      </c>
      <c r="BQ116">
        <v>40</v>
      </c>
      <c r="BR116">
        <v>0</v>
      </c>
      <c r="BS116">
        <v>21.43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6</v>
      </c>
      <c r="BZ116">
        <v>90</v>
      </c>
      <c r="CA116">
        <v>43</v>
      </c>
      <c r="CE116">
        <v>30</v>
      </c>
      <c r="CF116">
        <v>0</v>
      </c>
      <c r="CG116">
        <v>0</v>
      </c>
      <c r="CM116">
        <v>0</v>
      </c>
      <c r="CN116" t="s">
        <v>6</v>
      </c>
      <c r="CO116">
        <v>0</v>
      </c>
      <c r="CP116">
        <f t="shared" si="83"/>
        <v>0</v>
      </c>
      <c r="CQ116">
        <f t="shared" si="84"/>
        <v>9.76</v>
      </c>
      <c r="CR116">
        <f>(ROUND((ROUND((((ET116*1.38))*AV116*1),2)*BB116),2)+ROUND((ROUND(((AE116-((EU116*1.38)))*AV116*1),2)*BS116),2))</f>
        <v>189.81</v>
      </c>
      <c r="CS116">
        <f t="shared" si="85"/>
        <v>104.58</v>
      </c>
      <c r="CT116">
        <f t="shared" si="86"/>
        <v>1419.31</v>
      </c>
      <c r="CU116">
        <f t="shared" si="87"/>
        <v>0</v>
      </c>
      <c r="CV116">
        <f t="shared" si="88"/>
        <v>5.9239259999999989</v>
      </c>
      <c r="CW116">
        <f t="shared" si="89"/>
        <v>0</v>
      </c>
      <c r="CX116">
        <f t="shared" si="90"/>
        <v>0</v>
      </c>
      <c r="CY116">
        <f t="shared" si="91"/>
        <v>0</v>
      </c>
      <c r="CZ116">
        <f t="shared" si="92"/>
        <v>0</v>
      </c>
      <c r="DC116" t="s">
        <v>6</v>
      </c>
      <c r="DD116" t="s">
        <v>6</v>
      </c>
      <c r="DE116" t="s">
        <v>247</v>
      </c>
      <c r="DF116" t="s">
        <v>247</v>
      </c>
      <c r="DG116" t="s">
        <v>247</v>
      </c>
      <c r="DH116" t="s">
        <v>6</v>
      </c>
      <c r="DI116" t="s">
        <v>247</v>
      </c>
      <c r="DJ116" t="s">
        <v>247</v>
      </c>
      <c r="DK116" t="s">
        <v>6</v>
      </c>
      <c r="DL116" t="s">
        <v>6</v>
      </c>
      <c r="DM116" t="s">
        <v>6</v>
      </c>
      <c r="DN116">
        <v>112</v>
      </c>
      <c r="DO116">
        <v>70</v>
      </c>
      <c r="DP116">
        <v>1.0469999999999999</v>
      </c>
      <c r="DQ116">
        <v>1</v>
      </c>
      <c r="DU116">
        <v>1013</v>
      </c>
      <c r="DV116" t="s">
        <v>118</v>
      </c>
      <c r="DW116" t="s">
        <v>118</v>
      </c>
      <c r="DX116">
        <v>1</v>
      </c>
      <c r="EE116">
        <v>44064155</v>
      </c>
      <c r="EF116">
        <v>40</v>
      </c>
      <c r="EG116" t="s">
        <v>232</v>
      </c>
      <c r="EH116">
        <v>0</v>
      </c>
      <c r="EI116" t="s">
        <v>6</v>
      </c>
      <c r="EJ116">
        <v>2</v>
      </c>
      <c r="EK116">
        <v>336</v>
      </c>
      <c r="EL116" t="s">
        <v>344</v>
      </c>
      <c r="EM116" t="s">
        <v>345</v>
      </c>
      <c r="EO116" t="s">
        <v>6</v>
      </c>
      <c r="EQ116">
        <v>131072</v>
      </c>
      <c r="ER116">
        <v>62.26</v>
      </c>
      <c r="ES116">
        <v>1.82</v>
      </c>
      <c r="ET116">
        <v>14.6</v>
      </c>
      <c r="EU116">
        <v>3.38</v>
      </c>
      <c r="EV116">
        <v>45.84</v>
      </c>
      <c r="EW116">
        <v>4.0999999999999996</v>
      </c>
      <c r="EX116">
        <v>0</v>
      </c>
      <c r="EY116">
        <v>0</v>
      </c>
      <c r="FQ116">
        <v>0</v>
      </c>
      <c r="FR116">
        <f t="shared" si="93"/>
        <v>0</v>
      </c>
      <c r="FS116">
        <v>0</v>
      </c>
      <c r="FX116">
        <v>112</v>
      </c>
      <c r="FY116">
        <v>70</v>
      </c>
      <c r="GA116" t="s">
        <v>6</v>
      </c>
      <c r="GD116">
        <v>0</v>
      </c>
      <c r="GF116">
        <v>701932942</v>
      </c>
      <c r="GG116">
        <v>2</v>
      </c>
      <c r="GH116">
        <v>1</v>
      </c>
      <c r="GI116">
        <v>2</v>
      </c>
      <c r="GJ116">
        <v>0</v>
      </c>
      <c r="GK116">
        <f>ROUND(R116*(R12)/100,2)</f>
        <v>0</v>
      </c>
      <c r="GL116">
        <f t="shared" si="94"/>
        <v>0</v>
      </c>
      <c r="GM116">
        <f t="shared" si="95"/>
        <v>0</v>
      </c>
      <c r="GN116">
        <f t="shared" si="96"/>
        <v>0</v>
      </c>
      <c r="GO116">
        <f t="shared" si="97"/>
        <v>0</v>
      </c>
      <c r="GP116">
        <f t="shared" si="98"/>
        <v>0</v>
      </c>
      <c r="GR116">
        <v>0</v>
      </c>
      <c r="GS116">
        <v>0</v>
      </c>
      <c r="GT116">
        <v>0</v>
      </c>
      <c r="GU116" t="s">
        <v>6</v>
      </c>
      <c r="GV116">
        <f t="shared" si="99"/>
        <v>0</v>
      </c>
      <c r="GW116">
        <v>1</v>
      </c>
      <c r="GX116">
        <f t="shared" si="100"/>
        <v>0</v>
      </c>
      <c r="HA116">
        <v>0</v>
      </c>
      <c r="HB116">
        <v>0</v>
      </c>
      <c r="HC116">
        <f t="shared" si="101"/>
        <v>0</v>
      </c>
      <c r="IK116">
        <v>0</v>
      </c>
    </row>
    <row r="117" spans="1:245" x14ac:dyDescent="0.2">
      <c r="A117">
        <v>17</v>
      </c>
      <c r="B117">
        <v>1</v>
      </c>
      <c r="E117" t="s">
        <v>350</v>
      </c>
      <c r="F117" t="s">
        <v>351</v>
      </c>
      <c r="G117" t="s">
        <v>352</v>
      </c>
      <c r="H117" t="s">
        <v>353</v>
      </c>
      <c r="I117">
        <f>ROUND(6000/3/100,9)</f>
        <v>20</v>
      </c>
      <c r="J117">
        <v>0</v>
      </c>
      <c r="O117">
        <f t="shared" si="70"/>
        <v>3270.96</v>
      </c>
      <c r="P117">
        <f t="shared" si="71"/>
        <v>3270.96</v>
      </c>
      <c r="Q117">
        <f>(ROUND((ROUND(((ET117)*AV117*I117),2)*BB117),2)+ROUND((ROUND(((AE117-(EU117))*AV117*I117),2)*BS117),2))</f>
        <v>0</v>
      </c>
      <c r="R117">
        <f t="shared" si="72"/>
        <v>0</v>
      </c>
      <c r="S117">
        <f t="shared" si="73"/>
        <v>0</v>
      </c>
      <c r="T117">
        <f t="shared" si="74"/>
        <v>0</v>
      </c>
      <c r="U117">
        <f t="shared" si="75"/>
        <v>0</v>
      </c>
      <c r="V117">
        <f t="shared" si="76"/>
        <v>0</v>
      </c>
      <c r="W117">
        <f t="shared" si="77"/>
        <v>0</v>
      </c>
      <c r="X117">
        <f t="shared" si="78"/>
        <v>0</v>
      </c>
      <c r="Y117">
        <f t="shared" si="79"/>
        <v>0</v>
      </c>
      <c r="AA117">
        <v>44176454</v>
      </c>
      <c r="AB117">
        <f t="shared" si="80"/>
        <v>30.8</v>
      </c>
      <c r="AC117">
        <f t="shared" si="110"/>
        <v>30.8</v>
      </c>
      <c r="AD117">
        <f>ROUND((((ET117)-(EU117))+AE117),6)</f>
        <v>0</v>
      </c>
      <c r="AE117">
        <f>ROUND((EU117),6)</f>
        <v>0</v>
      </c>
      <c r="AF117">
        <f>ROUND((EV117),6)</f>
        <v>0</v>
      </c>
      <c r="AG117">
        <f t="shared" si="81"/>
        <v>0</v>
      </c>
      <c r="AH117">
        <f>(EW117)</f>
        <v>0</v>
      </c>
      <c r="AI117">
        <f>(EX117)</f>
        <v>0</v>
      </c>
      <c r="AJ117">
        <f t="shared" si="82"/>
        <v>0</v>
      </c>
      <c r="AK117">
        <v>30.8</v>
      </c>
      <c r="AL117">
        <v>30.8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5.31</v>
      </c>
      <c r="BD117" t="s">
        <v>6</v>
      </c>
      <c r="BE117" t="s">
        <v>6</v>
      </c>
      <c r="BF117" t="s">
        <v>6</v>
      </c>
      <c r="BG117" t="s">
        <v>6</v>
      </c>
      <c r="BH117">
        <v>3</v>
      </c>
      <c r="BI117">
        <v>2</v>
      </c>
      <c r="BJ117" t="s">
        <v>354</v>
      </c>
      <c r="BM117">
        <v>1618</v>
      </c>
      <c r="BN117">
        <v>0</v>
      </c>
      <c r="BO117" t="s">
        <v>351</v>
      </c>
      <c r="BP117">
        <v>1</v>
      </c>
      <c r="BQ117">
        <v>201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6</v>
      </c>
      <c r="BZ117">
        <v>0</v>
      </c>
      <c r="CA117">
        <v>0</v>
      </c>
      <c r="CE117">
        <v>30</v>
      </c>
      <c r="CF117">
        <v>0</v>
      </c>
      <c r="CG117">
        <v>0</v>
      </c>
      <c r="CM117">
        <v>0</v>
      </c>
      <c r="CN117" t="s">
        <v>6</v>
      </c>
      <c r="CO117">
        <v>0</v>
      </c>
      <c r="CP117">
        <f t="shared" si="83"/>
        <v>3270.96</v>
      </c>
      <c r="CQ117">
        <f t="shared" si="84"/>
        <v>163.55000000000001</v>
      </c>
      <c r="CR117">
        <f>(ROUND((ROUND(((ET117)*AV117*1),2)*BB117),2)+ROUND((ROUND(((AE117-(EU117))*AV117*1),2)*BS117),2))</f>
        <v>0</v>
      </c>
      <c r="CS117">
        <f t="shared" si="85"/>
        <v>0</v>
      </c>
      <c r="CT117">
        <f t="shared" si="86"/>
        <v>0</v>
      </c>
      <c r="CU117">
        <f t="shared" si="87"/>
        <v>0</v>
      </c>
      <c r="CV117">
        <f t="shared" si="88"/>
        <v>0</v>
      </c>
      <c r="CW117">
        <f t="shared" si="89"/>
        <v>0</v>
      </c>
      <c r="CX117">
        <f t="shared" si="90"/>
        <v>0</v>
      </c>
      <c r="CY117">
        <f t="shared" si="91"/>
        <v>0</v>
      </c>
      <c r="CZ117">
        <f t="shared" si="92"/>
        <v>0</v>
      </c>
      <c r="DC117" t="s">
        <v>6</v>
      </c>
      <c r="DD117" t="s">
        <v>6</v>
      </c>
      <c r="DE117" t="s">
        <v>6</v>
      </c>
      <c r="DF117" t="s">
        <v>6</v>
      </c>
      <c r="DG117" t="s">
        <v>6</v>
      </c>
      <c r="DH117" t="s">
        <v>6</v>
      </c>
      <c r="DI117" t="s">
        <v>6</v>
      </c>
      <c r="DJ117" t="s">
        <v>6</v>
      </c>
      <c r="DK117" t="s">
        <v>6</v>
      </c>
      <c r="DL117" t="s">
        <v>6</v>
      </c>
      <c r="DM117" t="s">
        <v>6</v>
      </c>
      <c r="DN117">
        <v>0</v>
      </c>
      <c r="DO117">
        <v>0</v>
      </c>
      <c r="DP117">
        <v>1</v>
      </c>
      <c r="DQ117">
        <v>1</v>
      </c>
      <c r="DU117">
        <v>1010</v>
      </c>
      <c r="DV117" t="s">
        <v>353</v>
      </c>
      <c r="DW117" t="s">
        <v>353</v>
      </c>
      <c r="DX117">
        <v>100</v>
      </c>
      <c r="EE117">
        <v>44065437</v>
      </c>
      <c r="EF117">
        <v>201</v>
      </c>
      <c r="EG117" t="s">
        <v>252</v>
      </c>
      <c r="EH117">
        <v>0</v>
      </c>
      <c r="EI117" t="s">
        <v>6</v>
      </c>
      <c r="EJ117">
        <v>2</v>
      </c>
      <c r="EK117">
        <v>1618</v>
      </c>
      <c r="EL117" t="s">
        <v>253</v>
      </c>
      <c r="EM117" t="s">
        <v>254</v>
      </c>
      <c r="EO117" t="s">
        <v>6</v>
      </c>
      <c r="EQ117">
        <v>131072</v>
      </c>
      <c r="ER117">
        <v>30.8</v>
      </c>
      <c r="ES117">
        <v>30.8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FQ117">
        <v>0</v>
      </c>
      <c r="FR117">
        <f t="shared" si="93"/>
        <v>0</v>
      </c>
      <c r="FS117">
        <v>0</v>
      </c>
      <c r="FX117">
        <v>0</v>
      </c>
      <c r="FY117">
        <v>0</v>
      </c>
      <c r="GA117" t="s">
        <v>6</v>
      </c>
      <c r="GD117">
        <v>0</v>
      </c>
      <c r="GF117">
        <v>-262255196</v>
      </c>
      <c r="GG117">
        <v>2</v>
      </c>
      <c r="GH117">
        <v>1</v>
      </c>
      <c r="GI117">
        <v>2</v>
      </c>
      <c r="GJ117">
        <v>0</v>
      </c>
      <c r="GK117">
        <f>ROUND(R117*(R12)/100,2)</f>
        <v>0</v>
      </c>
      <c r="GL117">
        <f t="shared" si="94"/>
        <v>0</v>
      </c>
      <c r="GM117">
        <f t="shared" si="95"/>
        <v>3270.96</v>
      </c>
      <c r="GN117">
        <f t="shared" si="96"/>
        <v>0</v>
      </c>
      <c r="GO117">
        <f t="shared" si="97"/>
        <v>3270.96</v>
      </c>
      <c r="GP117">
        <f t="shared" si="98"/>
        <v>0</v>
      </c>
      <c r="GR117">
        <v>0</v>
      </c>
      <c r="GS117">
        <v>0</v>
      </c>
      <c r="GT117">
        <v>0</v>
      </c>
      <c r="GU117" t="s">
        <v>6</v>
      </c>
      <c r="GV117">
        <f t="shared" si="99"/>
        <v>0</v>
      </c>
      <c r="GW117">
        <v>1</v>
      </c>
      <c r="GX117">
        <f t="shared" si="100"/>
        <v>0</v>
      </c>
      <c r="HA117">
        <v>0</v>
      </c>
      <c r="HB117">
        <v>0</v>
      </c>
      <c r="HC117">
        <f t="shared" si="101"/>
        <v>0</v>
      </c>
      <c r="IK117">
        <v>0</v>
      </c>
    </row>
    <row r="118" spans="1:245" x14ac:dyDescent="0.2">
      <c r="A118">
        <v>17</v>
      </c>
      <c r="B118">
        <v>1</v>
      </c>
      <c r="C118">
        <f>ROW(SmtRes!A67)</f>
        <v>67</v>
      </c>
      <c r="D118">
        <f>ROW(EtalonRes!A79)</f>
        <v>79</v>
      </c>
      <c r="E118" t="s">
        <v>355</v>
      </c>
      <c r="F118" t="s">
        <v>356</v>
      </c>
      <c r="G118" t="s">
        <v>357</v>
      </c>
      <c r="H118" t="s">
        <v>358</v>
      </c>
      <c r="I118">
        <v>48</v>
      </c>
      <c r="J118">
        <v>0</v>
      </c>
      <c r="O118">
        <f t="shared" si="70"/>
        <v>299312.78000000003</v>
      </c>
      <c r="P118">
        <f t="shared" si="71"/>
        <v>15776.41</v>
      </c>
      <c r="Q118">
        <f>(ROUND((ROUND((((ET118*1.15))*AV118*I118),2)*BB118),2)+ROUND((ROUND(((AE118-((EU118*1.15)))*AV118*I118),2)*BS118),2))</f>
        <v>20669.990000000002</v>
      </c>
      <c r="R118">
        <f t="shared" si="72"/>
        <v>5833.46</v>
      </c>
      <c r="S118">
        <f t="shared" si="73"/>
        <v>262866.38</v>
      </c>
      <c r="T118">
        <f t="shared" si="74"/>
        <v>0</v>
      </c>
      <c r="U118">
        <f t="shared" si="75"/>
        <v>932.80161599999985</v>
      </c>
      <c r="V118">
        <f t="shared" si="76"/>
        <v>0</v>
      </c>
      <c r="W118">
        <f t="shared" si="77"/>
        <v>0</v>
      </c>
      <c r="X118">
        <f t="shared" si="78"/>
        <v>236579.74</v>
      </c>
      <c r="Y118">
        <f t="shared" si="79"/>
        <v>113032.54</v>
      </c>
      <c r="AA118">
        <v>44176454</v>
      </c>
      <c r="AB118">
        <f t="shared" si="80"/>
        <v>366.96699999999998</v>
      </c>
      <c r="AC118">
        <f t="shared" si="110"/>
        <v>61.32</v>
      </c>
      <c r="AD118">
        <f>ROUND(((((ET118*1.15))-((EU118*1.15)))+AE118),6)</f>
        <v>61.570999999999998</v>
      </c>
      <c r="AE118">
        <f>ROUND(((EU118*1.15)),6)</f>
        <v>5.4165000000000001</v>
      </c>
      <c r="AF118">
        <f>ROUND(((EV118*1.15)),6)</f>
        <v>244.07599999999999</v>
      </c>
      <c r="AG118">
        <f t="shared" si="81"/>
        <v>0</v>
      </c>
      <c r="AH118">
        <f>((EW118*1.15))</f>
        <v>18.561</v>
      </c>
      <c r="AI118">
        <f>((EX118*1.15))</f>
        <v>0</v>
      </c>
      <c r="AJ118">
        <f t="shared" si="82"/>
        <v>0</v>
      </c>
      <c r="AK118">
        <v>327.10000000000002</v>
      </c>
      <c r="AL118">
        <v>61.32</v>
      </c>
      <c r="AM118">
        <v>53.54</v>
      </c>
      <c r="AN118">
        <v>4.71</v>
      </c>
      <c r="AO118">
        <v>212.24</v>
      </c>
      <c r="AP118">
        <v>0</v>
      </c>
      <c r="AQ118">
        <v>16.14</v>
      </c>
      <c r="AR118">
        <v>0</v>
      </c>
      <c r="AS118">
        <v>0</v>
      </c>
      <c r="AT118">
        <v>90</v>
      </c>
      <c r="AU118">
        <v>43</v>
      </c>
      <c r="AV118">
        <v>1.0469999999999999</v>
      </c>
      <c r="AW118">
        <v>1</v>
      </c>
      <c r="AZ118">
        <v>1</v>
      </c>
      <c r="BA118">
        <v>21.43</v>
      </c>
      <c r="BB118">
        <v>6.68</v>
      </c>
      <c r="BC118">
        <v>5.36</v>
      </c>
      <c r="BD118" t="s">
        <v>6</v>
      </c>
      <c r="BE118" t="s">
        <v>6</v>
      </c>
      <c r="BF118" t="s">
        <v>6</v>
      </c>
      <c r="BG118" t="s">
        <v>6</v>
      </c>
      <c r="BH118">
        <v>0</v>
      </c>
      <c r="BI118">
        <v>2</v>
      </c>
      <c r="BJ118" t="s">
        <v>359</v>
      </c>
      <c r="BM118">
        <v>1608</v>
      </c>
      <c r="BN118">
        <v>0</v>
      </c>
      <c r="BO118" t="s">
        <v>356</v>
      </c>
      <c r="BP118">
        <v>1</v>
      </c>
      <c r="BQ118">
        <v>40</v>
      </c>
      <c r="BR118">
        <v>0</v>
      </c>
      <c r="BS118">
        <v>21.43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6</v>
      </c>
      <c r="BZ118">
        <v>90</v>
      </c>
      <c r="CA118">
        <v>43</v>
      </c>
      <c r="CE118">
        <v>30</v>
      </c>
      <c r="CF118">
        <v>0</v>
      </c>
      <c r="CG118">
        <v>0</v>
      </c>
      <c r="CM118">
        <v>0</v>
      </c>
      <c r="CN118" t="s">
        <v>521</v>
      </c>
      <c r="CO118">
        <v>0</v>
      </c>
      <c r="CP118">
        <f t="shared" si="83"/>
        <v>299312.78000000003</v>
      </c>
      <c r="CQ118">
        <f t="shared" si="84"/>
        <v>328.68</v>
      </c>
      <c r="CR118">
        <f>(ROUND((ROUND((((ET118*1.15))*AV118*1),2)*BB118),2)+ROUND((ROUND(((AE118-((EU118*1.15)))*AV118*1),2)*BS118),2))</f>
        <v>430.59</v>
      </c>
      <c r="CS118">
        <f t="shared" si="85"/>
        <v>121.51</v>
      </c>
      <c r="CT118">
        <f t="shared" si="86"/>
        <v>5476.44</v>
      </c>
      <c r="CU118">
        <f t="shared" si="87"/>
        <v>0</v>
      </c>
      <c r="CV118">
        <f t="shared" si="88"/>
        <v>19.433366999999997</v>
      </c>
      <c r="CW118">
        <f t="shared" si="89"/>
        <v>0</v>
      </c>
      <c r="CX118">
        <f t="shared" si="90"/>
        <v>0</v>
      </c>
      <c r="CY118">
        <f t="shared" si="91"/>
        <v>236579.742</v>
      </c>
      <c r="CZ118">
        <f t="shared" si="92"/>
        <v>113032.5434</v>
      </c>
      <c r="DC118" t="s">
        <v>6</v>
      </c>
      <c r="DD118" t="s">
        <v>6</v>
      </c>
      <c r="DE118" t="s">
        <v>29</v>
      </c>
      <c r="DF118" t="s">
        <v>29</v>
      </c>
      <c r="DG118" t="s">
        <v>29</v>
      </c>
      <c r="DH118" t="s">
        <v>6</v>
      </c>
      <c r="DI118" t="s">
        <v>29</v>
      </c>
      <c r="DJ118" t="s">
        <v>29</v>
      </c>
      <c r="DK118" t="s">
        <v>6</v>
      </c>
      <c r="DL118" t="s">
        <v>6</v>
      </c>
      <c r="DM118" t="s">
        <v>6</v>
      </c>
      <c r="DN118">
        <v>112</v>
      </c>
      <c r="DO118">
        <v>70</v>
      </c>
      <c r="DP118">
        <v>1.0669999999999999</v>
      </c>
      <c r="DQ118">
        <v>1.081</v>
      </c>
      <c r="DU118">
        <v>1013</v>
      </c>
      <c r="DV118" t="s">
        <v>358</v>
      </c>
      <c r="DW118" t="s">
        <v>358</v>
      </c>
      <c r="DX118">
        <v>1</v>
      </c>
      <c r="EE118">
        <v>44065427</v>
      </c>
      <c r="EF118">
        <v>40</v>
      </c>
      <c r="EG118" t="s">
        <v>232</v>
      </c>
      <c r="EH118">
        <v>0</v>
      </c>
      <c r="EI118" t="s">
        <v>6</v>
      </c>
      <c r="EJ118">
        <v>2</v>
      </c>
      <c r="EK118">
        <v>1608</v>
      </c>
      <c r="EL118" t="s">
        <v>241</v>
      </c>
      <c r="EM118" t="s">
        <v>242</v>
      </c>
      <c r="EO118" t="s">
        <v>243</v>
      </c>
      <c r="EQ118">
        <v>131072</v>
      </c>
      <c r="ER118">
        <v>327.10000000000002</v>
      </c>
      <c r="ES118">
        <v>61.32</v>
      </c>
      <c r="ET118">
        <v>53.54</v>
      </c>
      <c r="EU118">
        <v>4.71</v>
      </c>
      <c r="EV118">
        <v>212.24</v>
      </c>
      <c r="EW118">
        <v>16.14</v>
      </c>
      <c r="EX118">
        <v>0</v>
      </c>
      <c r="EY118">
        <v>0</v>
      </c>
      <c r="FQ118">
        <v>0</v>
      </c>
      <c r="FR118">
        <f t="shared" si="93"/>
        <v>0</v>
      </c>
      <c r="FS118">
        <v>0</v>
      </c>
      <c r="FX118">
        <v>112</v>
      </c>
      <c r="FY118">
        <v>70</v>
      </c>
      <c r="GA118" t="s">
        <v>6</v>
      </c>
      <c r="GD118">
        <v>0</v>
      </c>
      <c r="GF118">
        <v>729831188</v>
      </c>
      <c r="GG118">
        <v>2</v>
      </c>
      <c r="GH118">
        <v>1</v>
      </c>
      <c r="GI118">
        <v>2</v>
      </c>
      <c r="GJ118">
        <v>0</v>
      </c>
      <c r="GK118">
        <f>ROUND(R118*(R12)/100,2)</f>
        <v>9158.5300000000007</v>
      </c>
      <c r="GL118">
        <f t="shared" si="94"/>
        <v>0</v>
      </c>
      <c r="GM118">
        <f t="shared" si="95"/>
        <v>658083.59</v>
      </c>
      <c r="GN118">
        <f t="shared" si="96"/>
        <v>0</v>
      </c>
      <c r="GO118">
        <f t="shared" si="97"/>
        <v>658083.59</v>
      </c>
      <c r="GP118">
        <f t="shared" si="98"/>
        <v>0</v>
      </c>
      <c r="GR118">
        <v>0</v>
      </c>
      <c r="GS118">
        <v>0</v>
      </c>
      <c r="GT118">
        <v>0</v>
      </c>
      <c r="GU118" t="s">
        <v>6</v>
      </c>
      <c r="GV118">
        <f t="shared" si="99"/>
        <v>0</v>
      </c>
      <c r="GW118">
        <v>1</v>
      </c>
      <c r="GX118">
        <f t="shared" si="100"/>
        <v>0</v>
      </c>
      <c r="HA118">
        <v>0</v>
      </c>
      <c r="HB118">
        <v>0</v>
      </c>
      <c r="HC118">
        <f t="shared" si="101"/>
        <v>0</v>
      </c>
      <c r="IK118">
        <v>0</v>
      </c>
    </row>
    <row r="119" spans="1:245" x14ac:dyDescent="0.2">
      <c r="A119">
        <v>17</v>
      </c>
      <c r="B119">
        <v>1</v>
      </c>
      <c r="E119" t="s">
        <v>360</v>
      </c>
      <c r="F119" t="s">
        <v>361</v>
      </c>
      <c r="G119" t="s">
        <v>362</v>
      </c>
      <c r="H119" t="s">
        <v>363</v>
      </c>
      <c r="I119">
        <v>48</v>
      </c>
      <c r="J119">
        <v>0</v>
      </c>
      <c r="O119">
        <f t="shared" si="70"/>
        <v>672810.39</v>
      </c>
      <c r="P119">
        <f t="shared" si="71"/>
        <v>672810.39</v>
      </c>
      <c r="Q119">
        <f>(ROUND((ROUND(((ET119)*AV119*I119),2)*BB119),2)+ROUND((ROUND(((AE119-(EU119))*AV119*I119),2)*BS119),2))</f>
        <v>0</v>
      </c>
      <c r="R119">
        <f t="shared" si="72"/>
        <v>0</v>
      </c>
      <c r="S119">
        <f t="shared" si="73"/>
        <v>0</v>
      </c>
      <c r="T119">
        <f t="shared" si="74"/>
        <v>0</v>
      </c>
      <c r="U119">
        <f t="shared" si="75"/>
        <v>0</v>
      </c>
      <c r="V119">
        <f t="shared" si="76"/>
        <v>0</v>
      </c>
      <c r="W119">
        <f t="shared" si="77"/>
        <v>0</v>
      </c>
      <c r="X119">
        <f t="shared" si="78"/>
        <v>0</v>
      </c>
      <c r="Y119">
        <f t="shared" si="79"/>
        <v>0</v>
      </c>
      <c r="AA119">
        <v>44176454</v>
      </c>
      <c r="AB119">
        <f t="shared" si="80"/>
        <v>5697.92</v>
      </c>
      <c r="AC119">
        <f t="shared" si="110"/>
        <v>5697.92</v>
      </c>
      <c r="AD119">
        <f>ROUND((((ET119)-(EU119))+AE119),6)</f>
        <v>0</v>
      </c>
      <c r="AE119">
        <f>ROUND((EU119),6)</f>
        <v>0</v>
      </c>
      <c r="AF119">
        <f>ROUND((EV119),6)</f>
        <v>0</v>
      </c>
      <c r="AG119">
        <f t="shared" si="81"/>
        <v>0</v>
      </c>
      <c r="AH119">
        <f>(EW119)</f>
        <v>0</v>
      </c>
      <c r="AI119">
        <f>(EX119)</f>
        <v>0</v>
      </c>
      <c r="AJ119">
        <f t="shared" si="82"/>
        <v>0</v>
      </c>
      <c r="AK119">
        <v>5697.92</v>
      </c>
      <c r="AL119">
        <v>5697.92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2.46</v>
      </c>
      <c r="BD119" t="s">
        <v>6</v>
      </c>
      <c r="BE119" t="s">
        <v>6</v>
      </c>
      <c r="BF119" t="s">
        <v>6</v>
      </c>
      <c r="BG119" t="s">
        <v>6</v>
      </c>
      <c r="BH119">
        <v>3</v>
      </c>
      <c r="BI119">
        <v>2</v>
      </c>
      <c r="BJ119" t="s">
        <v>364</v>
      </c>
      <c r="BM119">
        <v>1618</v>
      </c>
      <c r="BN119">
        <v>0</v>
      </c>
      <c r="BO119" t="s">
        <v>361</v>
      </c>
      <c r="BP119">
        <v>1</v>
      </c>
      <c r="BQ119">
        <v>201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6</v>
      </c>
      <c r="BZ119">
        <v>0</v>
      </c>
      <c r="CA119">
        <v>0</v>
      </c>
      <c r="CE119">
        <v>30</v>
      </c>
      <c r="CF119">
        <v>0</v>
      </c>
      <c r="CG119">
        <v>0</v>
      </c>
      <c r="CM119">
        <v>0</v>
      </c>
      <c r="CN119" t="s">
        <v>6</v>
      </c>
      <c r="CO119">
        <v>0</v>
      </c>
      <c r="CP119">
        <f t="shared" si="83"/>
        <v>672810.39</v>
      </c>
      <c r="CQ119">
        <f t="shared" si="84"/>
        <v>14016.88</v>
      </c>
      <c r="CR119">
        <f>(ROUND((ROUND(((ET119)*AV119*1),2)*BB119),2)+ROUND((ROUND(((AE119-(EU119))*AV119*1),2)*BS119),2))</f>
        <v>0</v>
      </c>
      <c r="CS119">
        <f t="shared" si="85"/>
        <v>0</v>
      </c>
      <c r="CT119">
        <f t="shared" si="86"/>
        <v>0</v>
      </c>
      <c r="CU119">
        <f t="shared" si="87"/>
        <v>0</v>
      </c>
      <c r="CV119">
        <f t="shared" si="88"/>
        <v>0</v>
      </c>
      <c r="CW119">
        <f t="shared" si="89"/>
        <v>0</v>
      </c>
      <c r="CX119">
        <f t="shared" si="90"/>
        <v>0</v>
      </c>
      <c r="CY119">
        <f t="shared" si="91"/>
        <v>0</v>
      </c>
      <c r="CZ119">
        <f t="shared" si="92"/>
        <v>0</v>
      </c>
      <c r="DC119" t="s">
        <v>6</v>
      </c>
      <c r="DD119" t="s">
        <v>6</v>
      </c>
      <c r="DE119" t="s">
        <v>6</v>
      </c>
      <c r="DF119" t="s">
        <v>6</v>
      </c>
      <c r="DG119" t="s">
        <v>6</v>
      </c>
      <c r="DH119" t="s">
        <v>6</v>
      </c>
      <c r="DI119" t="s">
        <v>6</v>
      </c>
      <c r="DJ119" t="s">
        <v>6</v>
      </c>
      <c r="DK119" t="s">
        <v>6</v>
      </c>
      <c r="DL119" t="s">
        <v>6</v>
      </c>
      <c r="DM119" t="s">
        <v>6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363</v>
      </c>
      <c r="DW119" t="s">
        <v>363</v>
      </c>
      <c r="DX119">
        <v>1</v>
      </c>
      <c r="EE119">
        <v>44065437</v>
      </c>
      <c r="EF119">
        <v>201</v>
      </c>
      <c r="EG119" t="s">
        <v>252</v>
      </c>
      <c r="EH119">
        <v>0</v>
      </c>
      <c r="EI119" t="s">
        <v>6</v>
      </c>
      <c r="EJ119">
        <v>2</v>
      </c>
      <c r="EK119">
        <v>1618</v>
      </c>
      <c r="EL119" t="s">
        <v>253</v>
      </c>
      <c r="EM119" t="s">
        <v>254</v>
      </c>
      <c r="EO119" t="s">
        <v>6</v>
      </c>
      <c r="EQ119">
        <v>131072</v>
      </c>
      <c r="ER119">
        <v>5697.92</v>
      </c>
      <c r="ES119">
        <v>5697.92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FQ119">
        <v>0</v>
      </c>
      <c r="FR119">
        <f t="shared" si="93"/>
        <v>0</v>
      </c>
      <c r="FS119">
        <v>0</v>
      </c>
      <c r="FX119">
        <v>0</v>
      </c>
      <c r="FY119">
        <v>0</v>
      </c>
      <c r="GA119" t="s">
        <v>6</v>
      </c>
      <c r="GD119">
        <v>0</v>
      </c>
      <c r="GF119">
        <v>1845485452</v>
      </c>
      <c r="GG119">
        <v>2</v>
      </c>
      <c r="GH119">
        <v>1</v>
      </c>
      <c r="GI119">
        <v>2</v>
      </c>
      <c r="GJ119">
        <v>0</v>
      </c>
      <c r="GK119">
        <f>ROUND(R119*(R12)/100,2)</f>
        <v>0</v>
      </c>
      <c r="GL119">
        <f t="shared" si="94"/>
        <v>0</v>
      </c>
      <c r="GM119">
        <f t="shared" si="95"/>
        <v>672810.39</v>
      </c>
      <c r="GN119">
        <f t="shared" si="96"/>
        <v>0</v>
      </c>
      <c r="GO119">
        <f t="shared" si="97"/>
        <v>672810.39</v>
      </c>
      <c r="GP119">
        <f t="shared" si="98"/>
        <v>0</v>
      </c>
      <c r="GR119">
        <v>0</v>
      </c>
      <c r="GS119">
        <v>0</v>
      </c>
      <c r="GT119">
        <v>0</v>
      </c>
      <c r="GU119" t="s">
        <v>6</v>
      </c>
      <c r="GV119">
        <f t="shared" si="99"/>
        <v>0</v>
      </c>
      <c r="GW119">
        <v>1</v>
      </c>
      <c r="GX119">
        <f t="shared" si="100"/>
        <v>0</v>
      </c>
      <c r="HA119">
        <v>0</v>
      </c>
      <c r="HB119">
        <v>0</v>
      </c>
      <c r="HC119">
        <f t="shared" si="101"/>
        <v>0</v>
      </c>
      <c r="IK119">
        <v>0</v>
      </c>
    </row>
    <row r="121" spans="1:245" x14ac:dyDescent="0.2">
      <c r="A121" s="2">
        <v>51</v>
      </c>
      <c r="B121" s="2">
        <f>B86</f>
        <v>1</v>
      </c>
      <c r="C121" s="2">
        <f>A86</f>
        <v>4</v>
      </c>
      <c r="D121" s="2">
        <f>ROW(A86)</f>
        <v>86</v>
      </c>
      <c r="E121" s="2"/>
      <c r="F121" s="2" t="str">
        <f>IF(F86&lt;&gt;"",F86,"")</f>
        <v>Новый раздел</v>
      </c>
      <c r="G121" s="2" t="str">
        <f>IF(G86&lt;&gt;"",G86,"")</f>
        <v>Монтажные работы</v>
      </c>
      <c r="H121" s="2">
        <v>0</v>
      </c>
      <c r="I121" s="2"/>
      <c r="J121" s="2"/>
      <c r="K121" s="2"/>
      <c r="L121" s="2"/>
      <c r="M121" s="2"/>
      <c r="N121" s="2"/>
      <c r="O121" s="2">
        <f t="shared" ref="O121:T121" si="111">ROUND(AB121,2)</f>
        <v>8798817.9000000004</v>
      </c>
      <c r="P121" s="2">
        <f t="shared" si="111"/>
        <v>7644945.7400000002</v>
      </c>
      <c r="Q121" s="2">
        <f t="shared" si="111"/>
        <v>246973.21</v>
      </c>
      <c r="R121" s="2">
        <f t="shared" si="111"/>
        <v>117510.76</v>
      </c>
      <c r="S121" s="2">
        <f t="shared" si="111"/>
        <v>906898.95</v>
      </c>
      <c r="T121" s="2">
        <f t="shared" si="111"/>
        <v>0</v>
      </c>
      <c r="U121" s="2">
        <f>AH121</f>
        <v>3534.3779623799992</v>
      </c>
      <c r="V121" s="2">
        <f>AI121</f>
        <v>0</v>
      </c>
      <c r="W121" s="2">
        <f>ROUND(AJ121,2)</f>
        <v>0</v>
      </c>
      <c r="X121" s="2">
        <f>ROUND(AK121,2)</f>
        <v>816209.05</v>
      </c>
      <c r="Y121" s="2">
        <f>ROUND(AL121,2)</f>
        <v>389966.54</v>
      </c>
      <c r="Z121" s="2"/>
      <c r="AA121" s="2"/>
      <c r="AB121" s="2">
        <f>ROUND(SUMIF(AA90:AA119,"=44176454",O90:O119),2)</f>
        <v>8798817.9000000004</v>
      </c>
      <c r="AC121" s="2">
        <f>ROUND(SUMIF(AA90:AA119,"=44176454",P90:P119),2)</f>
        <v>7644945.7400000002</v>
      </c>
      <c r="AD121" s="2">
        <f>ROUND(SUMIF(AA90:AA119,"=44176454",Q90:Q119),2)</f>
        <v>246973.21</v>
      </c>
      <c r="AE121" s="2">
        <f>ROUND(SUMIF(AA90:AA119,"=44176454",R90:R119),2)</f>
        <v>117510.76</v>
      </c>
      <c r="AF121" s="2">
        <f>ROUND(SUMIF(AA90:AA119,"=44176454",S90:S119),2)</f>
        <v>906898.95</v>
      </c>
      <c r="AG121" s="2">
        <f>ROUND(SUMIF(AA90:AA119,"=44176454",T90:T119),2)</f>
        <v>0</v>
      </c>
      <c r="AH121" s="2">
        <f>SUMIF(AA90:AA119,"=44176454",U90:U119)</f>
        <v>3534.3779623799992</v>
      </c>
      <c r="AI121" s="2">
        <f>SUMIF(AA90:AA119,"=44176454",V90:V119)</f>
        <v>0</v>
      </c>
      <c r="AJ121" s="2">
        <f>ROUND(SUMIF(AA90:AA119,"=44176454",W90:W119),2)</f>
        <v>0</v>
      </c>
      <c r="AK121" s="2">
        <f>ROUND(SUMIF(AA90:AA119,"=44176454",X90:X119),2)</f>
        <v>816209.05</v>
      </c>
      <c r="AL121" s="2">
        <f>ROUND(SUMIF(AA90:AA119,"=44176454",Y90:Y119),2)</f>
        <v>389966.54</v>
      </c>
      <c r="AM121" s="2"/>
      <c r="AN121" s="2"/>
      <c r="AO121" s="2">
        <f t="shared" ref="AO121:BD121" si="112">ROUND(BX121,2)</f>
        <v>0</v>
      </c>
      <c r="AP121" s="2">
        <f t="shared" si="112"/>
        <v>0</v>
      </c>
      <c r="AQ121" s="2">
        <f t="shared" si="112"/>
        <v>0</v>
      </c>
      <c r="AR121" s="2">
        <f t="shared" si="112"/>
        <v>10189485.380000001</v>
      </c>
      <c r="AS121" s="2">
        <f t="shared" si="112"/>
        <v>278822.81</v>
      </c>
      <c r="AT121" s="2">
        <f t="shared" si="112"/>
        <v>9910662.5700000003</v>
      </c>
      <c r="AU121" s="2">
        <f t="shared" si="112"/>
        <v>0</v>
      </c>
      <c r="AV121" s="2">
        <f t="shared" si="112"/>
        <v>7644945.7400000002</v>
      </c>
      <c r="AW121" s="2">
        <f t="shared" si="112"/>
        <v>7644945.7400000002</v>
      </c>
      <c r="AX121" s="2">
        <f t="shared" si="112"/>
        <v>0</v>
      </c>
      <c r="AY121" s="2">
        <f t="shared" si="112"/>
        <v>7644945.7400000002</v>
      </c>
      <c r="AZ121" s="2">
        <f t="shared" si="112"/>
        <v>0</v>
      </c>
      <c r="BA121" s="2">
        <f t="shared" si="112"/>
        <v>0</v>
      </c>
      <c r="BB121" s="2">
        <f t="shared" si="112"/>
        <v>0</v>
      </c>
      <c r="BC121" s="2">
        <f t="shared" si="112"/>
        <v>0</v>
      </c>
      <c r="BD121" s="2">
        <f t="shared" si="112"/>
        <v>0</v>
      </c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>
        <f>ROUND(SUMIF(AA90:AA119,"=44176454",FQ90:FQ119),2)</f>
        <v>0</v>
      </c>
      <c r="BY121" s="2">
        <f>ROUND(SUMIF(AA90:AA119,"=44176454",FR90:FR119),2)</f>
        <v>0</v>
      </c>
      <c r="BZ121" s="2">
        <f>ROUND(SUMIF(AA90:AA119,"=44176454",GL90:GL119),2)</f>
        <v>0</v>
      </c>
      <c r="CA121" s="2">
        <f>ROUND(SUMIF(AA90:AA119,"=44176454",GM90:GM119),2)</f>
        <v>10189485.380000001</v>
      </c>
      <c r="CB121" s="2">
        <f>ROUND(SUMIF(AA90:AA119,"=44176454",GN90:GN119),2)</f>
        <v>278822.81</v>
      </c>
      <c r="CC121" s="2">
        <f>ROUND(SUMIF(AA90:AA119,"=44176454",GO90:GO119),2)</f>
        <v>9910662.5700000003</v>
      </c>
      <c r="CD121" s="2">
        <f>ROUND(SUMIF(AA90:AA119,"=44176454",GP90:GP119),2)</f>
        <v>0</v>
      </c>
      <c r="CE121" s="2">
        <f>AC121-BX121</f>
        <v>7644945.7400000002</v>
      </c>
      <c r="CF121" s="2">
        <f>AC121-BY121</f>
        <v>7644945.7400000002</v>
      </c>
      <c r="CG121" s="2">
        <f>BX121-BZ121</f>
        <v>0</v>
      </c>
      <c r="CH121" s="2">
        <f>AC121-BX121-BY121+BZ121</f>
        <v>7644945.7400000002</v>
      </c>
      <c r="CI121" s="2">
        <f>BY121-BZ121</f>
        <v>0</v>
      </c>
      <c r="CJ121" s="2">
        <f>ROUND(SUMIF(AA90:AA119,"=44176454",GX90:GX119),2)</f>
        <v>0</v>
      </c>
      <c r="CK121" s="2">
        <f>ROUND(SUMIF(AA90:AA119,"=44176454",GY90:GY119),2)</f>
        <v>0</v>
      </c>
      <c r="CL121" s="2">
        <f>ROUND(SUMIF(AA90:AA119,"=44176454",GZ90:GZ119),2)</f>
        <v>0</v>
      </c>
      <c r="CM121" s="2">
        <f>ROUND(SUMIF(AA90:AA119,"=44176454",HD90:HD119),2)</f>
        <v>0</v>
      </c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>
        <v>0</v>
      </c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201</v>
      </c>
      <c r="F123" s="4">
        <f>ROUND(Source!O121,O123)</f>
        <v>8798817.9000000004</v>
      </c>
      <c r="G123" s="4" t="s">
        <v>170</v>
      </c>
      <c r="H123" s="4" t="s">
        <v>171</v>
      </c>
      <c r="I123" s="4"/>
      <c r="J123" s="4"/>
      <c r="K123" s="4">
        <v>201</v>
      </c>
      <c r="L123" s="4">
        <v>1</v>
      </c>
      <c r="M123" s="4">
        <v>3</v>
      </c>
      <c r="N123" s="4" t="s">
        <v>6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202</v>
      </c>
      <c r="F124" s="4">
        <f>ROUND(Source!P121,O124)</f>
        <v>7644945.7400000002</v>
      </c>
      <c r="G124" s="4" t="s">
        <v>172</v>
      </c>
      <c r="H124" s="4" t="s">
        <v>173</v>
      </c>
      <c r="I124" s="4"/>
      <c r="J124" s="4"/>
      <c r="K124" s="4">
        <v>202</v>
      </c>
      <c r="L124" s="4">
        <v>2</v>
      </c>
      <c r="M124" s="4">
        <v>3</v>
      </c>
      <c r="N124" s="4" t="s">
        <v>6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222</v>
      </c>
      <c r="F125" s="4">
        <f>ROUND(Source!AO121,O125)</f>
        <v>0</v>
      </c>
      <c r="G125" s="4" t="s">
        <v>174</v>
      </c>
      <c r="H125" s="4" t="s">
        <v>175</v>
      </c>
      <c r="I125" s="4"/>
      <c r="J125" s="4"/>
      <c r="K125" s="4">
        <v>222</v>
      </c>
      <c r="L125" s="4">
        <v>3</v>
      </c>
      <c r="M125" s="4">
        <v>3</v>
      </c>
      <c r="N125" s="4" t="s">
        <v>6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225</v>
      </c>
      <c r="F126" s="4">
        <f>ROUND(Source!AV121,O126)</f>
        <v>7644945.7400000002</v>
      </c>
      <c r="G126" s="4" t="s">
        <v>176</v>
      </c>
      <c r="H126" s="4" t="s">
        <v>177</v>
      </c>
      <c r="I126" s="4"/>
      <c r="J126" s="4"/>
      <c r="K126" s="4">
        <v>225</v>
      </c>
      <c r="L126" s="4">
        <v>4</v>
      </c>
      <c r="M126" s="4">
        <v>3</v>
      </c>
      <c r="N126" s="4" t="s">
        <v>6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226</v>
      </c>
      <c r="F127" s="4">
        <f>ROUND(Source!AW121,O127)</f>
        <v>7644945.7400000002</v>
      </c>
      <c r="G127" s="4" t="s">
        <v>178</v>
      </c>
      <c r="H127" s="4" t="s">
        <v>179</v>
      </c>
      <c r="I127" s="4"/>
      <c r="J127" s="4"/>
      <c r="K127" s="4">
        <v>226</v>
      </c>
      <c r="L127" s="4">
        <v>5</v>
      </c>
      <c r="M127" s="4">
        <v>3</v>
      </c>
      <c r="N127" s="4" t="s">
        <v>6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227</v>
      </c>
      <c r="F128" s="4">
        <f>ROUND(Source!AX121,O128)</f>
        <v>0</v>
      </c>
      <c r="G128" s="4" t="s">
        <v>180</v>
      </c>
      <c r="H128" s="4" t="s">
        <v>181</v>
      </c>
      <c r="I128" s="4"/>
      <c r="J128" s="4"/>
      <c r="K128" s="4">
        <v>227</v>
      </c>
      <c r="L128" s="4">
        <v>6</v>
      </c>
      <c r="M128" s="4">
        <v>3</v>
      </c>
      <c r="N128" s="4" t="s">
        <v>6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1</v>
      </c>
      <c r="E129" s="4">
        <v>228</v>
      </c>
      <c r="F129" s="4">
        <f>ROUND(Source!AY121,O129)</f>
        <v>7644945.7400000002</v>
      </c>
      <c r="G129" s="4" t="s">
        <v>182</v>
      </c>
      <c r="H129" s="4" t="s">
        <v>183</v>
      </c>
      <c r="I129" s="4"/>
      <c r="J129" s="4"/>
      <c r="K129" s="4">
        <v>228</v>
      </c>
      <c r="L129" s="4">
        <v>7</v>
      </c>
      <c r="M129" s="4">
        <v>3</v>
      </c>
      <c r="N129" s="4" t="s">
        <v>6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1</v>
      </c>
      <c r="E130" s="4">
        <v>216</v>
      </c>
      <c r="F130" s="4">
        <f>ROUND(Source!AP121,O130)</f>
        <v>0</v>
      </c>
      <c r="G130" s="4" t="s">
        <v>184</v>
      </c>
      <c r="H130" s="4" t="s">
        <v>185</v>
      </c>
      <c r="I130" s="4"/>
      <c r="J130" s="4"/>
      <c r="K130" s="4">
        <v>216</v>
      </c>
      <c r="L130" s="4">
        <v>8</v>
      </c>
      <c r="M130" s="4">
        <v>3</v>
      </c>
      <c r="N130" s="4" t="s">
        <v>6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1</v>
      </c>
      <c r="E131" s="4">
        <v>223</v>
      </c>
      <c r="F131" s="4">
        <f>ROUND(Source!AQ121,O131)</f>
        <v>0</v>
      </c>
      <c r="G131" s="4" t="s">
        <v>186</v>
      </c>
      <c r="H131" s="4" t="s">
        <v>187</v>
      </c>
      <c r="I131" s="4"/>
      <c r="J131" s="4"/>
      <c r="K131" s="4">
        <v>223</v>
      </c>
      <c r="L131" s="4">
        <v>9</v>
      </c>
      <c r="M131" s="4">
        <v>3</v>
      </c>
      <c r="N131" s="4" t="s">
        <v>6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1</v>
      </c>
      <c r="E132" s="4">
        <v>229</v>
      </c>
      <c r="F132" s="4">
        <f>ROUND(Source!AZ121,O132)</f>
        <v>0</v>
      </c>
      <c r="G132" s="4" t="s">
        <v>188</v>
      </c>
      <c r="H132" s="4" t="s">
        <v>189</v>
      </c>
      <c r="I132" s="4"/>
      <c r="J132" s="4"/>
      <c r="K132" s="4">
        <v>229</v>
      </c>
      <c r="L132" s="4">
        <v>10</v>
      </c>
      <c r="M132" s="4">
        <v>3</v>
      </c>
      <c r="N132" s="4" t="s">
        <v>6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1</v>
      </c>
      <c r="E133" s="4">
        <v>203</v>
      </c>
      <c r="F133" s="4">
        <f>ROUND(Source!Q121,O133)</f>
        <v>246973.21</v>
      </c>
      <c r="G133" s="4" t="s">
        <v>190</v>
      </c>
      <c r="H133" s="4" t="s">
        <v>191</v>
      </c>
      <c r="I133" s="4"/>
      <c r="J133" s="4"/>
      <c r="K133" s="4">
        <v>203</v>
      </c>
      <c r="L133" s="4">
        <v>11</v>
      </c>
      <c r="M133" s="4">
        <v>3</v>
      </c>
      <c r="N133" s="4" t="s">
        <v>6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1</v>
      </c>
      <c r="E134" s="4">
        <v>231</v>
      </c>
      <c r="F134" s="4">
        <f>ROUND(Source!BB121,O134)</f>
        <v>0</v>
      </c>
      <c r="G134" s="4" t="s">
        <v>192</v>
      </c>
      <c r="H134" s="4" t="s">
        <v>193</v>
      </c>
      <c r="I134" s="4"/>
      <c r="J134" s="4"/>
      <c r="K134" s="4">
        <v>231</v>
      </c>
      <c r="L134" s="4">
        <v>12</v>
      </c>
      <c r="M134" s="4">
        <v>3</v>
      </c>
      <c r="N134" s="4" t="s">
        <v>6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1</v>
      </c>
      <c r="E135" s="4">
        <v>204</v>
      </c>
      <c r="F135" s="4">
        <f>ROUND(Source!R121,O135)</f>
        <v>117510.76</v>
      </c>
      <c r="G135" s="4" t="s">
        <v>194</v>
      </c>
      <c r="H135" s="4" t="s">
        <v>195</v>
      </c>
      <c r="I135" s="4"/>
      <c r="J135" s="4"/>
      <c r="K135" s="4">
        <v>204</v>
      </c>
      <c r="L135" s="4">
        <v>13</v>
      </c>
      <c r="M135" s="4">
        <v>3</v>
      </c>
      <c r="N135" s="4" t="s">
        <v>6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1</v>
      </c>
      <c r="E136" s="4">
        <v>205</v>
      </c>
      <c r="F136" s="4">
        <f>ROUND(Source!S121,O136)</f>
        <v>906898.95</v>
      </c>
      <c r="G136" s="4" t="s">
        <v>196</v>
      </c>
      <c r="H136" s="4" t="s">
        <v>197</v>
      </c>
      <c r="I136" s="4"/>
      <c r="J136" s="4"/>
      <c r="K136" s="4">
        <v>205</v>
      </c>
      <c r="L136" s="4">
        <v>14</v>
      </c>
      <c r="M136" s="4">
        <v>3</v>
      </c>
      <c r="N136" s="4" t="s">
        <v>6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1</v>
      </c>
      <c r="E137" s="4">
        <v>232</v>
      </c>
      <c r="F137" s="4">
        <f>ROUND(Source!BC121,O137)</f>
        <v>0</v>
      </c>
      <c r="G137" s="4" t="s">
        <v>198</v>
      </c>
      <c r="H137" s="4" t="s">
        <v>199</v>
      </c>
      <c r="I137" s="4"/>
      <c r="J137" s="4"/>
      <c r="K137" s="4">
        <v>232</v>
      </c>
      <c r="L137" s="4">
        <v>15</v>
      </c>
      <c r="M137" s="4">
        <v>3</v>
      </c>
      <c r="N137" s="4" t="s">
        <v>6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1</v>
      </c>
      <c r="E138" s="4">
        <v>214</v>
      </c>
      <c r="F138" s="4">
        <f>ROUND(Source!AS121,O138)</f>
        <v>278822.81</v>
      </c>
      <c r="G138" s="4" t="s">
        <v>200</v>
      </c>
      <c r="H138" s="4" t="s">
        <v>201</v>
      </c>
      <c r="I138" s="4"/>
      <c r="J138" s="4"/>
      <c r="K138" s="4">
        <v>214</v>
      </c>
      <c r="L138" s="4">
        <v>16</v>
      </c>
      <c r="M138" s="4">
        <v>3</v>
      </c>
      <c r="N138" s="4" t="s">
        <v>6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1</v>
      </c>
      <c r="E139" s="4">
        <v>215</v>
      </c>
      <c r="F139" s="4">
        <f>ROUND(Source!AT121,O139)</f>
        <v>9910662.5700000003</v>
      </c>
      <c r="G139" s="4" t="s">
        <v>202</v>
      </c>
      <c r="H139" s="4" t="s">
        <v>203</v>
      </c>
      <c r="I139" s="4"/>
      <c r="J139" s="4"/>
      <c r="K139" s="4">
        <v>215</v>
      </c>
      <c r="L139" s="4">
        <v>17</v>
      </c>
      <c r="M139" s="4">
        <v>3</v>
      </c>
      <c r="N139" s="4" t="s">
        <v>6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1</v>
      </c>
      <c r="E140" s="4">
        <v>217</v>
      </c>
      <c r="F140" s="4">
        <f>ROUND(Source!AU121,O140)</f>
        <v>0</v>
      </c>
      <c r="G140" s="4" t="s">
        <v>204</v>
      </c>
      <c r="H140" s="4" t="s">
        <v>205</v>
      </c>
      <c r="I140" s="4"/>
      <c r="J140" s="4"/>
      <c r="K140" s="4">
        <v>217</v>
      </c>
      <c r="L140" s="4">
        <v>18</v>
      </c>
      <c r="M140" s="4">
        <v>3</v>
      </c>
      <c r="N140" s="4" t="s">
        <v>6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1</v>
      </c>
      <c r="E141" s="4">
        <v>230</v>
      </c>
      <c r="F141" s="4">
        <f>ROUND(Source!BA121,O141)</f>
        <v>0</v>
      </c>
      <c r="G141" s="4" t="s">
        <v>206</v>
      </c>
      <c r="H141" s="4" t="s">
        <v>207</v>
      </c>
      <c r="I141" s="4"/>
      <c r="J141" s="4"/>
      <c r="K141" s="4">
        <v>230</v>
      </c>
      <c r="L141" s="4">
        <v>19</v>
      </c>
      <c r="M141" s="4">
        <v>3</v>
      </c>
      <c r="N141" s="4" t="s">
        <v>6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1</v>
      </c>
      <c r="E142" s="4">
        <v>206</v>
      </c>
      <c r="F142" s="4">
        <f>ROUND(Source!T121,O142)</f>
        <v>0</v>
      </c>
      <c r="G142" s="4" t="s">
        <v>208</v>
      </c>
      <c r="H142" s="4" t="s">
        <v>209</v>
      </c>
      <c r="I142" s="4"/>
      <c r="J142" s="4"/>
      <c r="K142" s="4">
        <v>206</v>
      </c>
      <c r="L142" s="4">
        <v>20</v>
      </c>
      <c r="M142" s="4">
        <v>3</v>
      </c>
      <c r="N142" s="4" t="s">
        <v>6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1</v>
      </c>
      <c r="E143" s="4">
        <v>207</v>
      </c>
      <c r="F143" s="4">
        <f>Source!U121</f>
        <v>3534.3779623799992</v>
      </c>
      <c r="G143" s="4" t="s">
        <v>210</v>
      </c>
      <c r="H143" s="4" t="s">
        <v>211</v>
      </c>
      <c r="I143" s="4"/>
      <c r="J143" s="4"/>
      <c r="K143" s="4">
        <v>207</v>
      </c>
      <c r="L143" s="4">
        <v>21</v>
      </c>
      <c r="M143" s="4">
        <v>3</v>
      </c>
      <c r="N143" s="4" t="s">
        <v>6</v>
      </c>
      <c r="O143" s="4">
        <v>-1</v>
      </c>
      <c r="P143" s="4"/>
      <c r="Q143" s="4"/>
      <c r="R143" s="4"/>
      <c r="S143" s="4"/>
      <c r="T143" s="4"/>
      <c r="U143" s="4"/>
      <c r="V143" s="4"/>
      <c r="W143" s="4"/>
    </row>
    <row r="144" spans="1:23" x14ac:dyDescent="0.2">
      <c r="A144" s="4">
        <v>50</v>
      </c>
      <c r="B144" s="4">
        <v>0</v>
      </c>
      <c r="C144" s="4">
        <v>0</v>
      </c>
      <c r="D144" s="4">
        <v>1</v>
      </c>
      <c r="E144" s="4">
        <v>208</v>
      </c>
      <c r="F144" s="4">
        <f>Source!V121</f>
        <v>0</v>
      </c>
      <c r="G144" s="4" t="s">
        <v>212</v>
      </c>
      <c r="H144" s="4" t="s">
        <v>213</v>
      </c>
      <c r="I144" s="4"/>
      <c r="J144" s="4"/>
      <c r="K144" s="4">
        <v>208</v>
      </c>
      <c r="L144" s="4">
        <v>22</v>
      </c>
      <c r="M144" s="4">
        <v>3</v>
      </c>
      <c r="N144" s="4" t="s">
        <v>6</v>
      </c>
      <c r="O144" s="4">
        <v>-1</v>
      </c>
      <c r="P144" s="4"/>
      <c r="Q144" s="4"/>
      <c r="R144" s="4"/>
      <c r="S144" s="4"/>
      <c r="T144" s="4"/>
      <c r="U144" s="4"/>
      <c r="V144" s="4"/>
      <c r="W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209</v>
      </c>
      <c r="F145" s="4">
        <f>ROUND(Source!W121,O145)</f>
        <v>0</v>
      </c>
      <c r="G145" s="4" t="s">
        <v>214</v>
      </c>
      <c r="H145" s="4" t="s">
        <v>215</v>
      </c>
      <c r="I145" s="4"/>
      <c r="J145" s="4"/>
      <c r="K145" s="4">
        <v>209</v>
      </c>
      <c r="L145" s="4">
        <v>23</v>
      </c>
      <c r="M145" s="4">
        <v>3</v>
      </c>
      <c r="N145" s="4" t="s">
        <v>6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233</v>
      </c>
      <c r="F146" s="4">
        <f>ROUND(Source!BD121,O146)</f>
        <v>0</v>
      </c>
      <c r="G146" s="4" t="s">
        <v>216</v>
      </c>
      <c r="H146" s="4" t="s">
        <v>217</v>
      </c>
      <c r="I146" s="4"/>
      <c r="J146" s="4"/>
      <c r="K146" s="4">
        <v>233</v>
      </c>
      <c r="L146" s="4">
        <v>24</v>
      </c>
      <c r="M146" s="4">
        <v>3</v>
      </c>
      <c r="N146" s="4" t="s">
        <v>6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210</v>
      </c>
      <c r="F147" s="4">
        <f>ROUND(Source!X121,O147)</f>
        <v>816209.05</v>
      </c>
      <c r="G147" s="4" t="s">
        <v>218</v>
      </c>
      <c r="H147" s="4" t="s">
        <v>219</v>
      </c>
      <c r="I147" s="4"/>
      <c r="J147" s="4"/>
      <c r="K147" s="4">
        <v>210</v>
      </c>
      <c r="L147" s="4">
        <v>25</v>
      </c>
      <c r="M147" s="4">
        <v>3</v>
      </c>
      <c r="N147" s="4" t="s">
        <v>6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45" x14ac:dyDescent="0.2">
      <c r="A148" s="4">
        <v>50</v>
      </c>
      <c r="B148" s="4">
        <v>0</v>
      </c>
      <c r="C148" s="4">
        <v>0</v>
      </c>
      <c r="D148" s="4">
        <v>1</v>
      </c>
      <c r="E148" s="4">
        <v>211</v>
      </c>
      <c r="F148" s="4">
        <f>ROUND(Source!Y121,O148)</f>
        <v>389966.54</v>
      </c>
      <c r="G148" s="4" t="s">
        <v>220</v>
      </c>
      <c r="H148" s="4" t="s">
        <v>221</v>
      </c>
      <c r="I148" s="4"/>
      <c r="J148" s="4"/>
      <c r="K148" s="4">
        <v>211</v>
      </c>
      <c r="L148" s="4">
        <v>26</v>
      </c>
      <c r="M148" s="4">
        <v>3</v>
      </c>
      <c r="N148" s="4" t="s">
        <v>6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45" x14ac:dyDescent="0.2">
      <c r="A149" s="4">
        <v>50</v>
      </c>
      <c r="B149" s="4">
        <v>0</v>
      </c>
      <c r="C149" s="4">
        <v>0</v>
      </c>
      <c r="D149" s="4">
        <v>1</v>
      </c>
      <c r="E149" s="4">
        <v>224</v>
      </c>
      <c r="F149" s="4">
        <f>ROUND(Source!AR121,O149)</f>
        <v>10189485.380000001</v>
      </c>
      <c r="G149" s="4" t="s">
        <v>222</v>
      </c>
      <c r="H149" s="4" t="s">
        <v>223</v>
      </c>
      <c r="I149" s="4"/>
      <c r="J149" s="4"/>
      <c r="K149" s="4">
        <v>224</v>
      </c>
      <c r="L149" s="4">
        <v>27</v>
      </c>
      <c r="M149" s="4">
        <v>3</v>
      </c>
      <c r="N149" s="4" t="s">
        <v>6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45" x14ac:dyDescent="0.2">
      <c r="A150" s="4">
        <v>50</v>
      </c>
      <c r="B150" s="4">
        <v>1</v>
      </c>
      <c r="C150" s="4">
        <v>0</v>
      </c>
      <c r="D150" s="4">
        <v>2</v>
      </c>
      <c r="E150" s="4">
        <v>0</v>
      </c>
      <c r="F150" s="4">
        <f>ROUND(F149,O150)</f>
        <v>10189485.380000001</v>
      </c>
      <c r="G150" s="4" t="s">
        <v>224</v>
      </c>
      <c r="H150" s="4" t="s">
        <v>225</v>
      </c>
      <c r="I150" s="4"/>
      <c r="J150" s="4"/>
      <c r="K150" s="4">
        <v>212</v>
      </c>
      <c r="L150" s="4">
        <v>28</v>
      </c>
      <c r="M150" s="4">
        <v>0</v>
      </c>
      <c r="N150" s="4" t="s">
        <v>6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2" spans="1:245" x14ac:dyDescent="0.2">
      <c r="A152" s="1">
        <v>4</v>
      </c>
      <c r="B152" s="1">
        <v>1</v>
      </c>
      <c r="C152" s="1"/>
      <c r="D152" s="1">
        <f>ROW(A159)</f>
        <v>159</v>
      </c>
      <c r="E152" s="1"/>
      <c r="F152" s="1" t="s">
        <v>22</v>
      </c>
      <c r="G152" s="1" t="s">
        <v>204</v>
      </c>
      <c r="H152" s="1" t="s">
        <v>6</v>
      </c>
      <c r="I152" s="1">
        <v>0</v>
      </c>
      <c r="J152" s="1"/>
      <c r="K152" s="1">
        <v>0</v>
      </c>
      <c r="L152" s="1"/>
      <c r="M152" s="1"/>
      <c r="N152" s="1"/>
      <c r="O152" s="1"/>
      <c r="P152" s="1"/>
      <c r="Q152" s="1"/>
      <c r="R152" s="1"/>
      <c r="S152" s="1"/>
      <c r="T152" s="1"/>
      <c r="U152" s="1" t="s">
        <v>6</v>
      </c>
      <c r="V152" s="1">
        <v>0</v>
      </c>
      <c r="W152" s="1"/>
      <c r="X152" s="1"/>
      <c r="Y152" s="1"/>
      <c r="Z152" s="1"/>
      <c r="AA152" s="1"/>
      <c r="AB152" s="1" t="s">
        <v>6</v>
      </c>
      <c r="AC152" s="1" t="s">
        <v>6</v>
      </c>
      <c r="AD152" s="1" t="s">
        <v>6</v>
      </c>
      <c r="AE152" s="1" t="s">
        <v>6</v>
      </c>
      <c r="AF152" s="1" t="s">
        <v>6</v>
      </c>
      <c r="AG152" s="1" t="s">
        <v>6</v>
      </c>
      <c r="AH152" s="1"/>
      <c r="AI152" s="1"/>
      <c r="AJ152" s="1"/>
      <c r="AK152" s="1"/>
      <c r="AL152" s="1"/>
      <c r="AM152" s="1"/>
      <c r="AN152" s="1"/>
      <c r="AO152" s="1"/>
      <c r="AP152" s="1" t="s">
        <v>6</v>
      </c>
      <c r="AQ152" s="1" t="s">
        <v>6</v>
      </c>
      <c r="AR152" s="1" t="s">
        <v>6</v>
      </c>
      <c r="AS152" s="1"/>
      <c r="AT152" s="1"/>
      <c r="AU152" s="1"/>
      <c r="AV152" s="1"/>
      <c r="AW152" s="1"/>
      <c r="AX152" s="1"/>
      <c r="AY152" s="1"/>
      <c r="AZ152" s="1" t="s">
        <v>6</v>
      </c>
      <c r="BA152" s="1"/>
      <c r="BB152" s="1" t="s">
        <v>6</v>
      </c>
      <c r="BC152" s="1" t="s">
        <v>6</v>
      </c>
      <c r="BD152" s="1" t="s">
        <v>6</v>
      </c>
      <c r="BE152" s="1" t="s">
        <v>6</v>
      </c>
      <c r="BF152" s="1" t="s">
        <v>6</v>
      </c>
      <c r="BG152" s="1" t="s">
        <v>6</v>
      </c>
      <c r="BH152" s="1" t="s">
        <v>6</v>
      </c>
      <c r="BI152" s="1" t="s">
        <v>6</v>
      </c>
      <c r="BJ152" s="1" t="s">
        <v>6</v>
      </c>
      <c r="BK152" s="1" t="s">
        <v>6</v>
      </c>
      <c r="BL152" s="1" t="s">
        <v>6</v>
      </c>
      <c r="BM152" s="1" t="s">
        <v>6</v>
      </c>
      <c r="BN152" s="1" t="s">
        <v>6</v>
      </c>
      <c r="BO152" s="1" t="s">
        <v>6</v>
      </c>
      <c r="BP152" s="1" t="s">
        <v>6</v>
      </c>
      <c r="BQ152" s="1"/>
      <c r="BR152" s="1"/>
      <c r="BS152" s="1"/>
      <c r="BT152" s="1"/>
      <c r="BU152" s="1"/>
      <c r="BV152" s="1"/>
      <c r="BW152" s="1"/>
      <c r="BX152" s="1">
        <v>0</v>
      </c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>
        <v>0</v>
      </c>
    </row>
    <row r="154" spans="1:245" x14ac:dyDescent="0.2">
      <c r="A154" s="2">
        <v>52</v>
      </c>
      <c r="B154" s="2">
        <f t="shared" ref="B154:G154" si="113">B159</f>
        <v>1</v>
      </c>
      <c r="C154" s="2">
        <f t="shared" si="113"/>
        <v>4</v>
      </c>
      <c r="D154" s="2">
        <f t="shared" si="113"/>
        <v>152</v>
      </c>
      <c r="E154" s="2">
        <f t="shared" si="113"/>
        <v>0</v>
      </c>
      <c r="F154" s="2" t="str">
        <f t="shared" si="113"/>
        <v>Новый раздел</v>
      </c>
      <c r="G154" s="2" t="str">
        <f t="shared" si="113"/>
        <v>Прочие</v>
      </c>
      <c r="H154" s="2"/>
      <c r="I154" s="2"/>
      <c r="J154" s="2"/>
      <c r="K154" s="2"/>
      <c r="L154" s="2"/>
      <c r="M154" s="2"/>
      <c r="N154" s="2"/>
      <c r="O154" s="2">
        <f t="shared" ref="O154:AT154" si="114">O159</f>
        <v>1843.84</v>
      </c>
      <c r="P154" s="2">
        <f t="shared" si="114"/>
        <v>0</v>
      </c>
      <c r="Q154" s="2">
        <f t="shared" si="114"/>
        <v>1843.84</v>
      </c>
      <c r="R154" s="2">
        <f t="shared" si="114"/>
        <v>0</v>
      </c>
      <c r="S154" s="2">
        <f t="shared" si="114"/>
        <v>0</v>
      </c>
      <c r="T154" s="2">
        <f t="shared" si="114"/>
        <v>0</v>
      </c>
      <c r="U154" s="2">
        <f t="shared" si="114"/>
        <v>0</v>
      </c>
      <c r="V154" s="2">
        <f t="shared" si="114"/>
        <v>0</v>
      </c>
      <c r="W154" s="2">
        <f t="shared" si="114"/>
        <v>0</v>
      </c>
      <c r="X154" s="2">
        <f t="shared" si="114"/>
        <v>0</v>
      </c>
      <c r="Y154" s="2">
        <f t="shared" si="114"/>
        <v>0</v>
      </c>
      <c r="Z154" s="2">
        <f t="shared" si="114"/>
        <v>0</v>
      </c>
      <c r="AA154" s="2">
        <f t="shared" si="114"/>
        <v>0</v>
      </c>
      <c r="AB154" s="2">
        <f t="shared" si="114"/>
        <v>1843.84</v>
      </c>
      <c r="AC154" s="2">
        <f t="shared" si="114"/>
        <v>0</v>
      </c>
      <c r="AD154" s="2">
        <f t="shared" si="114"/>
        <v>1843.84</v>
      </c>
      <c r="AE154" s="2">
        <f t="shared" si="114"/>
        <v>0</v>
      </c>
      <c r="AF154" s="2">
        <f t="shared" si="114"/>
        <v>0</v>
      </c>
      <c r="AG154" s="2">
        <f t="shared" si="114"/>
        <v>0</v>
      </c>
      <c r="AH154" s="2">
        <f t="shared" si="114"/>
        <v>0</v>
      </c>
      <c r="AI154" s="2">
        <f t="shared" si="114"/>
        <v>0</v>
      </c>
      <c r="AJ154" s="2">
        <f t="shared" si="114"/>
        <v>0</v>
      </c>
      <c r="AK154" s="2">
        <f t="shared" si="114"/>
        <v>0</v>
      </c>
      <c r="AL154" s="2">
        <f t="shared" si="114"/>
        <v>0</v>
      </c>
      <c r="AM154" s="2">
        <f t="shared" si="114"/>
        <v>0</v>
      </c>
      <c r="AN154" s="2">
        <f t="shared" si="114"/>
        <v>0</v>
      </c>
      <c r="AO154" s="2">
        <f t="shared" si="114"/>
        <v>0</v>
      </c>
      <c r="AP154" s="2">
        <f t="shared" si="114"/>
        <v>0</v>
      </c>
      <c r="AQ154" s="2">
        <f t="shared" si="114"/>
        <v>0</v>
      </c>
      <c r="AR154" s="2">
        <f t="shared" si="114"/>
        <v>1843.84</v>
      </c>
      <c r="AS154" s="2">
        <f t="shared" si="114"/>
        <v>0</v>
      </c>
      <c r="AT154" s="2">
        <f t="shared" si="114"/>
        <v>0</v>
      </c>
      <c r="AU154" s="2">
        <f t="shared" ref="AU154:BZ154" si="115">AU159</f>
        <v>1843.84</v>
      </c>
      <c r="AV154" s="2">
        <f t="shared" si="115"/>
        <v>0</v>
      </c>
      <c r="AW154" s="2">
        <f t="shared" si="115"/>
        <v>0</v>
      </c>
      <c r="AX154" s="2">
        <f t="shared" si="115"/>
        <v>0</v>
      </c>
      <c r="AY154" s="2">
        <f t="shared" si="115"/>
        <v>0</v>
      </c>
      <c r="AZ154" s="2">
        <f t="shared" si="115"/>
        <v>0</v>
      </c>
      <c r="BA154" s="2">
        <f t="shared" si="115"/>
        <v>0</v>
      </c>
      <c r="BB154" s="2">
        <f t="shared" si="115"/>
        <v>0</v>
      </c>
      <c r="BC154" s="2">
        <f t="shared" si="115"/>
        <v>0</v>
      </c>
      <c r="BD154" s="2">
        <f t="shared" si="115"/>
        <v>0</v>
      </c>
      <c r="BE154" s="2">
        <f t="shared" si="115"/>
        <v>0</v>
      </c>
      <c r="BF154" s="2">
        <f t="shared" si="115"/>
        <v>0</v>
      </c>
      <c r="BG154" s="2">
        <f t="shared" si="115"/>
        <v>0</v>
      </c>
      <c r="BH154" s="2">
        <f t="shared" si="115"/>
        <v>0</v>
      </c>
      <c r="BI154" s="2">
        <f t="shared" si="115"/>
        <v>0</v>
      </c>
      <c r="BJ154" s="2">
        <f t="shared" si="115"/>
        <v>0</v>
      </c>
      <c r="BK154" s="2">
        <f t="shared" si="115"/>
        <v>0</v>
      </c>
      <c r="BL154" s="2">
        <f t="shared" si="115"/>
        <v>0</v>
      </c>
      <c r="BM154" s="2">
        <f t="shared" si="115"/>
        <v>0</v>
      </c>
      <c r="BN154" s="2">
        <f t="shared" si="115"/>
        <v>0</v>
      </c>
      <c r="BO154" s="2">
        <f t="shared" si="115"/>
        <v>0</v>
      </c>
      <c r="BP154" s="2">
        <f t="shared" si="115"/>
        <v>0</v>
      </c>
      <c r="BQ154" s="2">
        <f t="shared" si="115"/>
        <v>0</v>
      </c>
      <c r="BR154" s="2">
        <f t="shared" si="115"/>
        <v>0</v>
      </c>
      <c r="BS154" s="2">
        <f t="shared" si="115"/>
        <v>0</v>
      </c>
      <c r="BT154" s="2">
        <f t="shared" si="115"/>
        <v>0</v>
      </c>
      <c r="BU154" s="2">
        <f t="shared" si="115"/>
        <v>0</v>
      </c>
      <c r="BV154" s="2">
        <f t="shared" si="115"/>
        <v>0</v>
      </c>
      <c r="BW154" s="2">
        <f t="shared" si="115"/>
        <v>0</v>
      </c>
      <c r="BX154" s="2">
        <f t="shared" si="115"/>
        <v>0</v>
      </c>
      <c r="BY154" s="2">
        <f t="shared" si="115"/>
        <v>0</v>
      </c>
      <c r="BZ154" s="2">
        <f t="shared" si="115"/>
        <v>0</v>
      </c>
      <c r="CA154" s="2">
        <f t="shared" ref="CA154:DF154" si="116">CA159</f>
        <v>1843.84</v>
      </c>
      <c r="CB154" s="2">
        <f t="shared" si="116"/>
        <v>0</v>
      </c>
      <c r="CC154" s="2">
        <f t="shared" si="116"/>
        <v>0</v>
      </c>
      <c r="CD154" s="2">
        <f t="shared" si="116"/>
        <v>1843.84</v>
      </c>
      <c r="CE154" s="2">
        <f t="shared" si="116"/>
        <v>0</v>
      </c>
      <c r="CF154" s="2">
        <f t="shared" si="116"/>
        <v>0</v>
      </c>
      <c r="CG154" s="2">
        <f t="shared" si="116"/>
        <v>0</v>
      </c>
      <c r="CH154" s="2">
        <f t="shared" si="116"/>
        <v>0</v>
      </c>
      <c r="CI154" s="2">
        <f t="shared" si="116"/>
        <v>0</v>
      </c>
      <c r="CJ154" s="2">
        <f t="shared" si="116"/>
        <v>0</v>
      </c>
      <c r="CK154" s="2">
        <f t="shared" si="116"/>
        <v>0</v>
      </c>
      <c r="CL154" s="2">
        <f t="shared" si="116"/>
        <v>0</v>
      </c>
      <c r="CM154" s="2">
        <f t="shared" si="116"/>
        <v>0</v>
      </c>
      <c r="CN154" s="2">
        <f t="shared" si="116"/>
        <v>0</v>
      </c>
      <c r="CO154" s="2">
        <f t="shared" si="116"/>
        <v>0</v>
      </c>
      <c r="CP154" s="2">
        <f t="shared" si="116"/>
        <v>0</v>
      </c>
      <c r="CQ154" s="2">
        <f t="shared" si="116"/>
        <v>0</v>
      </c>
      <c r="CR154" s="2">
        <f t="shared" si="116"/>
        <v>0</v>
      </c>
      <c r="CS154" s="2">
        <f t="shared" si="116"/>
        <v>0</v>
      </c>
      <c r="CT154" s="2">
        <f t="shared" si="116"/>
        <v>0</v>
      </c>
      <c r="CU154" s="2">
        <f t="shared" si="116"/>
        <v>0</v>
      </c>
      <c r="CV154" s="2">
        <f t="shared" si="116"/>
        <v>0</v>
      </c>
      <c r="CW154" s="2">
        <f t="shared" si="116"/>
        <v>0</v>
      </c>
      <c r="CX154" s="2">
        <f t="shared" si="116"/>
        <v>0</v>
      </c>
      <c r="CY154" s="2">
        <f t="shared" si="116"/>
        <v>0</v>
      </c>
      <c r="CZ154" s="2">
        <f t="shared" si="116"/>
        <v>0</v>
      </c>
      <c r="DA154" s="2">
        <f t="shared" si="116"/>
        <v>0</v>
      </c>
      <c r="DB154" s="2">
        <f t="shared" si="116"/>
        <v>0</v>
      </c>
      <c r="DC154" s="2">
        <f t="shared" si="116"/>
        <v>0</v>
      </c>
      <c r="DD154" s="2">
        <f t="shared" si="116"/>
        <v>0</v>
      </c>
      <c r="DE154" s="2">
        <f t="shared" si="116"/>
        <v>0</v>
      </c>
      <c r="DF154" s="2">
        <f t="shared" si="116"/>
        <v>0</v>
      </c>
      <c r="DG154" s="3">
        <f t="shared" ref="DG154:EL154" si="117">DG159</f>
        <v>0</v>
      </c>
      <c r="DH154" s="3">
        <f t="shared" si="117"/>
        <v>0</v>
      </c>
      <c r="DI154" s="3">
        <f t="shared" si="117"/>
        <v>0</v>
      </c>
      <c r="DJ154" s="3">
        <f t="shared" si="117"/>
        <v>0</v>
      </c>
      <c r="DK154" s="3">
        <f t="shared" si="117"/>
        <v>0</v>
      </c>
      <c r="DL154" s="3">
        <f t="shared" si="117"/>
        <v>0</v>
      </c>
      <c r="DM154" s="3">
        <f t="shared" si="117"/>
        <v>0</v>
      </c>
      <c r="DN154" s="3">
        <f t="shared" si="117"/>
        <v>0</v>
      </c>
      <c r="DO154" s="3">
        <f t="shared" si="117"/>
        <v>0</v>
      </c>
      <c r="DP154" s="3">
        <f t="shared" si="117"/>
        <v>0</v>
      </c>
      <c r="DQ154" s="3">
        <f t="shared" si="117"/>
        <v>0</v>
      </c>
      <c r="DR154" s="3">
        <f t="shared" si="117"/>
        <v>0</v>
      </c>
      <c r="DS154" s="3">
        <f t="shared" si="117"/>
        <v>0</v>
      </c>
      <c r="DT154" s="3">
        <f t="shared" si="117"/>
        <v>0</v>
      </c>
      <c r="DU154" s="3">
        <f t="shared" si="117"/>
        <v>0</v>
      </c>
      <c r="DV154" s="3">
        <f t="shared" si="117"/>
        <v>0</v>
      </c>
      <c r="DW154" s="3">
        <f t="shared" si="117"/>
        <v>0</v>
      </c>
      <c r="DX154" s="3">
        <f t="shared" si="117"/>
        <v>0</v>
      </c>
      <c r="DY154" s="3">
        <f t="shared" si="117"/>
        <v>0</v>
      </c>
      <c r="DZ154" s="3">
        <f t="shared" si="117"/>
        <v>0</v>
      </c>
      <c r="EA154" s="3">
        <f t="shared" si="117"/>
        <v>0</v>
      </c>
      <c r="EB154" s="3">
        <f t="shared" si="117"/>
        <v>0</v>
      </c>
      <c r="EC154" s="3">
        <f t="shared" si="117"/>
        <v>0</v>
      </c>
      <c r="ED154" s="3">
        <f t="shared" si="117"/>
        <v>0</v>
      </c>
      <c r="EE154" s="3">
        <f t="shared" si="117"/>
        <v>0</v>
      </c>
      <c r="EF154" s="3">
        <f t="shared" si="117"/>
        <v>0</v>
      </c>
      <c r="EG154" s="3">
        <f t="shared" si="117"/>
        <v>0</v>
      </c>
      <c r="EH154" s="3">
        <f t="shared" si="117"/>
        <v>0</v>
      </c>
      <c r="EI154" s="3">
        <f t="shared" si="117"/>
        <v>0</v>
      </c>
      <c r="EJ154" s="3">
        <f t="shared" si="117"/>
        <v>0</v>
      </c>
      <c r="EK154" s="3">
        <f t="shared" si="117"/>
        <v>0</v>
      </c>
      <c r="EL154" s="3">
        <f t="shared" si="117"/>
        <v>0</v>
      </c>
      <c r="EM154" s="3">
        <f t="shared" ref="EM154:FR154" si="118">EM159</f>
        <v>0</v>
      </c>
      <c r="EN154" s="3">
        <f t="shared" si="118"/>
        <v>0</v>
      </c>
      <c r="EO154" s="3">
        <f t="shared" si="118"/>
        <v>0</v>
      </c>
      <c r="EP154" s="3">
        <f t="shared" si="118"/>
        <v>0</v>
      </c>
      <c r="EQ154" s="3">
        <f t="shared" si="118"/>
        <v>0</v>
      </c>
      <c r="ER154" s="3">
        <f t="shared" si="118"/>
        <v>0</v>
      </c>
      <c r="ES154" s="3">
        <f t="shared" si="118"/>
        <v>0</v>
      </c>
      <c r="ET154" s="3">
        <f t="shared" si="118"/>
        <v>0</v>
      </c>
      <c r="EU154" s="3">
        <f t="shared" si="118"/>
        <v>0</v>
      </c>
      <c r="EV154" s="3">
        <f t="shared" si="118"/>
        <v>0</v>
      </c>
      <c r="EW154" s="3">
        <f t="shared" si="118"/>
        <v>0</v>
      </c>
      <c r="EX154" s="3">
        <f t="shared" si="118"/>
        <v>0</v>
      </c>
      <c r="EY154" s="3">
        <f t="shared" si="118"/>
        <v>0</v>
      </c>
      <c r="EZ154" s="3">
        <f t="shared" si="118"/>
        <v>0</v>
      </c>
      <c r="FA154" s="3">
        <f t="shared" si="118"/>
        <v>0</v>
      </c>
      <c r="FB154" s="3">
        <f t="shared" si="118"/>
        <v>0</v>
      </c>
      <c r="FC154" s="3">
        <f t="shared" si="118"/>
        <v>0</v>
      </c>
      <c r="FD154" s="3">
        <f t="shared" si="118"/>
        <v>0</v>
      </c>
      <c r="FE154" s="3">
        <f t="shared" si="118"/>
        <v>0</v>
      </c>
      <c r="FF154" s="3">
        <f t="shared" si="118"/>
        <v>0</v>
      </c>
      <c r="FG154" s="3">
        <f t="shared" si="118"/>
        <v>0</v>
      </c>
      <c r="FH154" s="3">
        <f t="shared" si="118"/>
        <v>0</v>
      </c>
      <c r="FI154" s="3">
        <f t="shared" si="118"/>
        <v>0</v>
      </c>
      <c r="FJ154" s="3">
        <f t="shared" si="118"/>
        <v>0</v>
      </c>
      <c r="FK154" s="3">
        <f t="shared" si="118"/>
        <v>0</v>
      </c>
      <c r="FL154" s="3">
        <f t="shared" si="118"/>
        <v>0</v>
      </c>
      <c r="FM154" s="3">
        <f t="shared" si="118"/>
        <v>0</v>
      </c>
      <c r="FN154" s="3">
        <f t="shared" si="118"/>
        <v>0</v>
      </c>
      <c r="FO154" s="3">
        <f t="shared" si="118"/>
        <v>0</v>
      </c>
      <c r="FP154" s="3">
        <f t="shared" si="118"/>
        <v>0</v>
      </c>
      <c r="FQ154" s="3">
        <f t="shared" si="118"/>
        <v>0</v>
      </c>
      <c r="FR154" s="3">
        <f t="shared" si="118"/>
        <v>0</v>
      </c>
      <c r="FS154" s="3">
        <f t="shared" ref="FS154:GX154" si="119">FS159</f>
        <v>0</v>
      </c>
      <c r="FT154" s="3">
        <f t="shared" si="119"/>
        <v>0</v>
      </c>
      <c r="FU154" s="3">
        <f t="shared" si="119"/>
        <v>0</v>
      </c>
      <c r="FV154" s="3">
        <f t="shared" si="119"/>
        <v>0</v>
      </c>
      <c r="FW154" s="3">
        <f t="shared" si="119"/>
        <v>0</v>
      </c>
      <c r="FX154" s="3">
        <f t="shared" si="119"/>
        <v>0</v>
      </c>
      <c r="FY154" s="3">
        <f t="shared" si="119"/>
        <v>0</v>
      </c>
      <c r="FZ154" s="3">
        <f t="shared" si="119"/>
        <v>0</v>
      </c>
      <c r="GA154" s="3">
        <f t="shared" si="119"/>
        <v>0</v>
      </c>
      <c r="GB154" s="3">
        <f t="shared" si="119"/>
        <v>0</v>
      </c>
      <c r="GC154" s="3">
        <f t="shared" si="119"/>
        <v>0</v>
      </c>
      <c r="GD154" s="3">
        <f t="shared" si="119"/>
        <v>0</v>
      </c>
      <c r="GE154" s="3">
        <f t="shared" si="119"/>
        <v>0</v>
      </c>
      <c r="GF154" s="3">
        <f t="shared" si="119"/>
        <v>0</v>
      </c>
      <c r="GG154" s="3">
        <f t="shared" si="119"/>
        <v>0</v>
      </c>
      <c r="GH154" s="3">
        <f t="shared" si="119"/>
        <v>0</v>
      </c>
      <c r="GI154" s="3">
        <f t="shared" si="119"/>
        <v>0</v>
      </c>
      <c r="GJ154" s="3">
        <f t="shared" si="119"/>
        <v>0</v>
      </c>
      <c r="GK154" s="3">
        <f t="shared" si="119"/>
        <v>0</v>
      </c>
      <c r="GL154" s="3">
        <f t="shared" si="119"/>
        <v>0</v>
      </c>
      <c r="GM154" s="3">
        <f t="shared" si="119"/>
        <v>0</v>
      </c>
      <c r="GN154" s="3">
        <f t="shared" si="119"/>
        <v>0</v>
      </c>
      <c r="GO154" s="3">
        <f t="shared" si="119"/>
        <v>0</v>
      </c>
      <c r="GP154" s="3">
        <f t="shared" si="119"/>
        <v>0</v>
      </c>
      <c r="GQ154" s="3">
        <f t="shared" si="119"/>
        <v>0</v>
      </c>
      <c r="GR154" s="3">
        <f t="shared" si="119"/>
        <v>0</v>
      </c>
      <c r="GS154" s="3">
        <f t="shared" si="119"/>
        <v>0</v>
      </c>
      <c r="GT154" s="3">
        <f t="shared" si="119"/>
        <v>0</v>
      </c>
      <c r="GU154" s="3">
        <f t="shared" si="119"/>
        <v>0</v>
      </c>
      <c r="GV154" s="3">
        <f t="shared" si="119"/>
        <v>0</v>
      </c>
      <c r="GW154" s="3">
        <f t="shared" si="119"/>
        <v>0</v>
      </c>
      <c r="GX154" s="3">
        <f t="shared" si="119"/>
        <v>0</v>
      </c>
    </row>
    <row r="156" spans="1:245" x14ac:dyDescent="0.2">
      <c r="A156">
        <v>17</v>
      </c>
      <c r="B156">
        <v>1</v>
      </c>
      <c r="C156">
        <f>ROW(SmtRes!A68)</f>
        <v>68</v>
      </c>
      <c r="D156">
        <f>ROW(EtalonRes!A80)</f>
        <v>80</v>
      </c>
      <c r="E156" t="s">
        <v>24</v>
      </c>
      <c r="F156" t="s">
        <v>365</v>
      </c>
      <c r="G156" t="s">
        <v>366</v>
      </c>
      <c r="H156" t="s">
        <v>37</v>
      </c>
      <c r="I156">
        <f>ROUND(I29,9)</f>
        <v>3.77</v>
      </c>
      <c r="J156">
        <v>0</v>
      </c>
      <c r="O156">
        <f>ROUND(CP156,2)</f>
        <v>1028.99</v>
      </c>
      <c r="P156">
        <f>ROUND((ROUND((AC156*AW156*I156),2)*BC156),2)</f>
        <v>0</v>
      </c>
      <c r="Q156">
        <f>(ROUND((ROUND(((ET156)*AV156*I156),2)*BB156),2)+ROUND((ROUND(((AE156-(EU156))*AV156*I156),2)*BS156),2))</f>
        <v>1028.99</v>
      </c>
      <c r="R156">
        <f>ROUND((ROUND((AE156*AV156*I156),2)*BS156),2)</f>
        <v>0</v>
      </c>
      <c r="S156">
        <f>ROUND((ROUND((AF156*AV156*I156),2)*BA156),2)</f>
        <v>0</v>
      </c>
      <c r="T156">
        <f>ROUND(CU156*I156,2)</f>
        <v>0</v>
      </c>
      <c r="U156">
        <f>CV156*I156</f>
        <v>0</v>
      </c>
      <c r="V156">
        <f>CW156*I156</f>
        <v>0</v>
      </c>
      <c r="W156">
        <f>ROUND(CX156*I156,2)</f>
        <v>0</v>
      </c>
      <c r="X156">
        <f>ROUND(CY156,2)</f>
        <v>0</v>
      </c>
      <c r="Y156">
        <f>ROUND(CZ156,2)</f>
        <v>0</v>
      </c>
      <c r="AA156">
        <v>44176454</v>
      </c>
      <c r="AB156">
        <f>ROUND((AC156+AD156+AF156),6)</f>
        <v>34.29</v>
      </c>
      <c r="AC156">
        <f>ROUND((ES156),6)</f>
        <v>0</v>
      </c>
      <c r="AD156">
        <f>ROUND((((ET156)-(EU156))+AE156),6)</f>
        <v>34.29</v>
      </c>
      <c r="AE156">
        <f>ROUND((EU156),6)</f>
        <v>0</v>
      </c>
      <c r="AF156">
        <f>ROUND((EV156),6)</f>
        <v>0</v>
      </c>
      <c r="AG156">
        <f>ROUND((AP156),6)</f>
        <v>0</v>
      </c>
      <c r="AH156">
        <f>(EW156)</f>
        <v>0</v>
      </c>
      <c r="AI156">
        <f>(EX156)</f>
        <v>0</v>
      </c>
      <c r="AJ156">
        <f>(AS156)</f>
        <v>0</v>
      </c>
      <c r="AK156">
        <v>34.29</v>
      </c>
      <c r="AL156">
        <v>0</v>
      </c>
      <c r="AM156">
        <v>34.29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21.43</v>
      </c>
      <c r="BB156">
        <v>7.96</v>
      </c>
      <c r="BC156">
        <v>1</v>
      </c>
      <c r="BD156" t="s">
        <v>6</v>
      </c>
      <c r="BE156" t="s">
        <v>6</v>
      </c>
      <c r="BF156" t="s">
        <v>6</v>
      </c>
      <c r="BG156" t="s">
        <v>6</v>
      </c>
      <c r="BH156">
        <v>0</v>
      </c>
      <c r="BI156">
        <v>4</v>
      </c>
      <c r="BJ156" t="s">
        <v>367</v>
      </c>
      <c r="BM156">
        <v>1110</v>
      </c>
      <c r="BN156">
        <v>0</v>
      </c>
      <c r="BO156" t="s">
        <v>365</v>
      </c>
      <c r="BP156">
        <v>1</v>
      </c>
      <c r="BQ156">
        <v>150</v>
      </c>
      <c r="BR156">
        <v>0</v>
      </c>
      <c r="BS156">
        <v>21.43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6</v>
      </c>
      <c r="BZ156">
        <v>0</v>
      </c>
      <c r="CA156">
        <v>0</v>
      </c>
      <c r="CE156">
        <v>30</v>
      </c>
      <c r="CF156">
        <v>0</v>
      </c>
      <c r="CG156">
        <v>0</v>
      </c>
      <c r="CM156">
        <v>0</v>
      </c>
      <c r="CN156" t="s">
        <v>6</v>
      </c>
      <c r="CO156">
        <v>0</v>
      </c>
      <c r="CP156">
        <f>(P156+Q156+S156)</f>
        <v>1028.99</v>
      </c>
      <c r="CQ156">
        <f>ROUND((ROUND((AC156*AW156*1),2)*BC156),2)</f>
        <v>0</v>
      </c>
      <c r="CR156">
        <f>(ROUND((ROUND(((ET156)*AV156*1),2)*BB156),2)+ROUND((ROUND(((AE156-(EU156))*AV156*1),2)*BS156),2))</f>
        <v>272.95</v>
      </c>
      <c r="CS156">
        <f>ROUND((ROUND((AE156*AV156*1),2)*BS156),2)</f>
        <v>0</v>
      </c>
      <c r="CT156">
        <f>ROUND((ROUND((AF156*AV156*1),2)*BA156),2)</f>
        <v>0</v>
      </c>
      <c r="CU156">
        <f>AG156</f>
        <v>0</v>
      </c>
      <c r="CV156">
        <f>(AH156*AV156)</f>
        <v>0</v>
      </c>
      <c r="CW156">
        <f>AI156</f>
        <v>0</v>
      </c>
      <c r="CX156">
        <f>AJ156</f>
        <v>0</v>
      </c>
      <c r="CY156">
        <f>S156*(BZ156/100)</f>
        <v>0</v>
      </c>
      <c r="CZ156">
        <f>S156*(CA156/100)</f>
        <v>0</v>
      </c>
      <c r="DC156" t="s">
        <v>6</v>
      </c>
      <c r="DD156" t="s">
        <v>6</v>
      </c>
      <c r="DE156" t="s">
        <v>6</v>
      </c>
      <c r="DF156" t="s">
        <v>6</v>
      </c>
      <c r="DG156" t="s">
        <v>6</v>
      </c>
      <c r="DH156" t="s">
        <v>6</v>
      </c>
      <c r="DI156" t="s">
        <v>6</v>
      </c>
      <c r="DJ156" t="s">
        <v>6</v>
      </c>
      <c r="DK156" t="s">
        <v>6</v>
      </c>
      <c r="DL156" t="s">
        <v>6</v>
      </c>
      <c r="DM156" t="s">
        <v>6</v>
      </c>
      <c r="DN156">
        <v>0</v>
      </c>
      <c r="DO156">
        <v>0</v>
      </c>
      <c r="DP156">
        <v>1</v>
      </c>
      <c r="DQ156">
        <v>1</v>
      </c>
      <c r="DU156">
        <v>1013</v>
      </c>
      <c r="DV156" t="s">
        <v>37</v>
      </c>
      <c r="DW156" t="s">
        <v>37</v>
      </c>
      <c r="DX156">
        <v>1</v>
      </c>
      <c r="EE156">
        <v>44064929</v>
      </c>
      <c r="EF156">
        <v>150</v>
      </c>
      <c r="EG156" t="s">
        <v>368</v>
      </c>
      <c r="EH156">
        <v>0</v>
      </c>
      <c r="EI156" t="s">
        <v>6</v>
      </c>
      <c r="EJ156">
        <v>4</v>
      </c>
      <c r="EK156">
        <v>1110</v>
      </c>
      <c r="EL156" t="s">
        <v>369</v>
      </c>
      <c r="EM156" t="s">
        <v>370</v>
      </c>
      <c r="EO156" t="s">
        <v>6</v>
      </c>
      <c r="EQ156">
        <v>131072</v>
      </c>
      <c r="ER156">
        <v>34.29</v>
      </c>
      <c r="ES156">
        <v>0</v>
      </c>
      <c r="ET156">
        <v>34.29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>ROUND(IF(AND(BH156=3,BI156=3),P156,0),2)</f>
        <v>0</v>
      </c>
      <c r="FS156">
        <v>0</v>
      </c>
      <c r="FX156">
        <v>0</v>
      </c>
      <c r="FY156">
        <v>0</v>
      </c>
      <c r="GA156" t="s">
        <v>6</v>
      </c>
      <c r="GD156">
        <v>1</v>
      </c>
      <c r="GF156">
        <v>534327622</v>
      </c>
      <c r="GG156">
        <v>2</v>
      </c>
      <c r="GH156">
        <v>1</v>
      </c>
      <c r="GI156">
        <v>2</v>
      </c>
      <c r="GJ156">
        <v>0</v>
      </c>
      <c r="GK156">
        <v>0</v>
      </c>
      <c r="GL156">
        <f>ROUND(IF(AND(BH156=3,BI156=3,FS156&lt;&gt;0),P156,0),2)</f>
        <v>0</v>
      </c>
      <c r="GM156">
        <f>ROUND(O156+X156+Y156,2)+GX156</f>
        <v>1028.99</v>
      </c>
      <c r="GN156">
        <f>IF(OR(BI156=0,BI156=1),ROUND(O156+X156+Y156,2),0)</f>
        <v>0</v>
      </c>
      <c r="GO156">
        <f>IF(BI156=2,ROUND(O156+X156+Y156,2),0)</f>
        <v>0</v>
      </c>
      <c r="GP156">
        <f>IF(BI156=4,ROUND(O156+X156+Y156,2)+GX156,0)</f>
        <v>1028.99</v>
      </c>
      <c r="GR156">
        <v>0</v>
      </c>
      <c r="GS156">
        <v>0</v>
      </c>
      <c r="GT156">
        <v>0</v>
      </c>
      <c r="GU156" t="s">
        <v>6</v>
      </c>
      <c r="GV156">
        <f>ROUND((GT156),6)</f>
        <v>0</v>
      </c>
      <c r="GW156">
        <v>1</v>
      </c>
      <c r="GX156">
        <f>ROUND(HC156*I156,2)</f>
        <v>0</v>
      </c>
      <c r="HA156">
        <v>0</v>
      </c>
      <c r="HB156">
        <v>0</v>
      </c>
      <c r="HC156">
        <f>GV156*GW156</f>
        <v>0</v>
      </c>
      <c r="IK156">
        <v>0</v>
      </c>
    </row>
    <row r="157" spans="1:245" x14ac:dyDescent="0.2">
      <c r="A157">
        <v>17</v>
      </c>
      <c r="B157">
        <v>1</v>
      </c>
      <c r="D157">
        <f>ROW(EtalonRes!A81)</f>
        <v>81</v>
      </c>
      <c r="E157" t="s">
        <v>34</v>
      </c>
      <c r="F157" t="s">
        <v>371</v>
      </c>
      <c r="G157" t="s">
        <v>372</v>
      </c>
      <c r="H157" t="s">
        <v>37</v>
      </c>
      <c r="I157">
        <f>ROUND(I156,9)</f>
        <v>3.77</v>
      </c>
      <c r="J157">
        <v>0</v>
      </c>
      <c r="O157">
        <f>ROUND(CP157,2)</f>
        <v>814.85</v>
      </c>
      <c r="P157">
        <f>ROUND((ROUND((AC157*AW157*I157),2)*BC157),2)</f>
        <v>0</v>
      </c>
      <c r="Q157">
        <f>(ROUND((ROUND(((ET157)*AV157*I157),2)*BB157),2)+ROUND((ROUND(((AE157-(EU157))*AV157*I157),2)*BS157),2))</f>
        <v>814.85</v>
      </c>
      <c r="R157">
        <f>ROUND((ROUND((AE157*AV157*I157),2)*BS157),2)</f>
        <v>0</v>
      </c>
      <c r="S157">
        <f>ROUND((ROUND((AF157*AV157*I157),2)*BA157),2)</f>
        <v>0</v>
      </c>
      <c r="T157">
        <f>ROUND(CU157*I157,2)</f>
        <v>0</v>
      </c>
      <c r="U157">
        <f>CV157*I157</f>
        <v>0</v>
      </c>
      <c r="V157">
        <f>CW157*I157</f>
        <v>0</v>
      </c>
      <c r="W157">
        <f>ROUND(CX157*I157,2)</f>
        <v>0</v>
      </c>
      <c r="X157">
        <f>ROUND(CY157,2)</f>
        <v>0</v>
      </c>
      <c r="Y157">
        <f>ROUND(CZ157,2)</f>
        <v>0</v>
      </c>
      <c r="AA157">
        <v>44176454</v>
      </c>
      <c r="AB157">
        <f>ROUND((AC157+AD157+AF157),6)</f>
        <v>101</v>
      </c>
      <c r="AC157">
        <f>ROUND((ES157),6)</f>
        <v>0</v>
      </c>
      <c r="AD157">
        <f>ROUND((((ET157)-(EU157))+AE157),6)</f>
        <v>101</v>
      </c>
      <c r="AE157">
        <f>ROUND((EU157),6)</f>
        <v>0</v>
      </c>
      <c r="AF157">
        <f>ROUND((EV157),6)</f>
        <v>0</v>
      </c>
      <c r="AG157">
        <f>ROUND((AP157),6)</f>
        <v>0</v>
      </c>
      <c r="AH157">
        <f>(EW157)</f>
        <v>0</v>
      </c>
      <c r="AI157">
        <f>(EX157)</f>
        <v>0</v>
      </c>
      <c r="AJ157">
        <f>(AS157)</f>
        <v>0</v>
      </c>
      <c r="AK157">
        <v>101</v>
      </c>
      <c r="AL157">
        <v>0</v>
      </c>
      <c r="AM157">
        <v>101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1</v>
      </c>
      <c r="AW157">
        <v>1</v>
      </c>
      <c r="AZ157">
        <v>1</v>
      </c>
      <c r="BA157">
        <v>21.43</v>
      </c>
      <c r="BB157">
        <v>2.14</v>
      </c>
      <c r="BC157">
        <v>1</v>
      </c>
      <c r="BD157" t="s">
        <v>6</v>
      </c>
      <c r="BE157" t="s">
        <v>6</v>
      </c>
      <c r="BF157" t="s">
        <v>6</v>
      </c>
      <c r="BG157" t="s">
        <v>6</v>
      </c>
      <c r="BH157">
        <v>0</v>
      </c>
      <c r="BI157">
        <v>4</v>
      </c>
      <c r="BJ157" t="s">
        <v>373</v>
      </c>
      <c r="BM157">
        <v>1110</v>
      </c>
      <c r="BN157">
        <v>0</v>
      </c>
      <c r="BO157" t="s">
        <v>371</v>
      </c>
      <c r="BP157">
        <v>1</v>
      </c>
      <c r="BQ157">
        <v>150</v>
      </c>
      <c r="BR157">
        <v>0</v>
      </c>
      <c r="BS157">
        <v>21.43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6</v>
      </c>
      <c r="BZ157">
        <v>0</v>
      </c>
      <c r="CA157">
        <v>0</v>
      </c>
      <c r="CE157">
        <v>30</v>
      </c>
      <c r="CF157">
        <v>0</v>
      </c>
      <c r="CG157">
        <v>0</v>
      </c>
      <c r="CM157">
        <v>0</v>
      </c>
      <c r="CN157" t="s">
        <v>6</v>
      </c>
      <c r="CO157">
        <v>0</v>
      </c>
      <c r="CP157">
        <f>(P157+Q157+S157)</f>
        <v>814.85</v>
      </c>
      <c r="CQ157">
        <f>ROUND((ROUND((AC157*AW157*1),2)*BC157),2)</f>
        <v>0</v>
      </c>
      <c r="CR157">
        <f>(ROUND((ROUND(((ET157)*AV157*1),2)*BB157),2)+ROUND((ROUND(((AE157-(EU157))*AV157*1),2)*BS157),2))</f>
        <v>216.14</v>
      </c>
      <c r="CS157">
        <f>ROUND((ROUND((AE157*AV157*1),2)*BS157),2)</f>
        <v>0</v>
      </c>
      <c r="CT157">
        <f>ROUND((ROUND((AF157*AV157*1),2)*BA157),2)</f>
        <v>0</v>
      </c>
      <c r="CU157">
        <f>AG157</f>
        <v>0</v>
      </c>
      <c r="CV157">
        <f>(AH157*AV157)</f>
        <v>0</v>
      </c>
      <c r="CW157">
        <f>AI157</f>
        <v>0</v>
      </c>
      <c r="CX157">
        <f>AJ157</f>
        <v>0</v>
      </c>
      <c r="CY157">
        <f>S157*(BZ157/100)</f>
        <v>0</v>
      </c>
      <c r="CZ157">
        <f>S157*(CA157/100)</f>
        <v>0</v>
      </c>
      <c r="DC157" t="s">
        <v>6</v>
      </c>
      <c r="DD157" t="s">
        <v>6</v>
      </c>
      <c r="DE157" t="s">
        <v>6</v>
      </c>
      <c r="DF157" t="s">
        <v>6</v>
      </c>
      <c r="DG157" t="s">
        <v>6</v>
      </c>
      <c r="DH157" t="s">
        <v>6</v>
      </c>
      <c r="DI157" t="s">
        <v>6</v>
      </c>
      <c r="DJ157" t="s">
        <v>6</v>
      </c>
      <c r="DK157" t="s">
        <v>6</v>
      </c>
      <c r="DL157" t="s">
        <v>6</v>
      </c>
      <c r="DM157" t="s">
        <v>6</v>
      </c>
      <c r="DN157">
        <v>0</v>
      </c>
      <c r="DO157">
        <v>0</v>
      </c>
      <c r="DP157">
        <v>1</v>
      </c>
      <c r="DQ157">
        <v>1</v>
      </c>
      <c r="DU157">
        <v>1013</v>
      </c>
      <c r="DV157" t="s">
        <v>37</v>
      </c>
      <c r="DW157" t="s">
        <v>37</v>
      </c>
      <c r="DX157">
        <v>1</v>
      </c>
      <c r="EE157">
        <v>44064929</v>
      </c>
      <c r="EF157">
        <v>150</v>
      </c>
      <c r="EG157" t="s">
        <v>368</v>
      </c>
      <c r="EH157">
        <v>0</v>
      </c>
      <c r="EI157" t="s">
        <v>6</v>
      </c>
      <c r="EJ157">
        <v>4</v>
      </c>
      <c r="EK157">
        <v>1110</v>
      </c>
      <c r="EL157" t="s">
        <v>369</v>
      </c>
      <c r="EM157" t="s">
        <v>370</v>
      </c>
      <c r="EO157" t="s">
        <v>6</v>
      </c>
      <c r="EQ157">
        <v>131072</v>
      </c>
      <c r="ER157">
        <v>101</v>
      </c>
      <c r="ES157">
        <v>0</v>
      </c>
      <c r="ET157">
        <v>101</v>
      </c>
      <c r="EU157">
        <v>0</v>
      </c>
      <c r="EV157">
        <v>0</v>
      </c>
      <c r="EW157">
        <v>0</v>
      </c>
      <c r="EX157">
        <v>0</v>
      </c>
      <c r="EY157">
        <v>0</v>
      </c>
      <c r="FQ157">
        <v>0</v>
      </c>
      <c r="FR157">
        <f>ROUND(IF(AND(BH157=3,BI157=3),P157,0),2)</f>
        <v>0</v>
      </c>
      <c r="FS157">
        <v>0</v>
      </c>
      <c r="FX157">
        <v>0</v>
      </c>
      <c r="FY157">
        <v>0</v>
      </c>
      <c r="GA157" t="s">
        <v>6</v>
      </c>
      <c r="GD157">
        <v>1</v>
      </c>
      <c r="GF157">
        <v>1935715050</v>
      </c>
      <c r="GG157">
        <v>2</v>
      </c>
      <c r="GH157">
        <v>1</v>
      </c>
      <c r="GI157">
        <v>2</v>
      </c>
      <c r="GJ157">
        <v>0</v>
      </c>
      <c r="GK157">
        <v>0</v>
      </c>
      <c r="GL157">
        <f>ROUND(IF(AND(BH157=3,BI157=3,FS157&lt;&gt;0),P157,0),2)</f>
        <v>0</v>
      </c>
      <c r="GM157">
        <f>ROUND(O157+X157+Y157,2)+GX157</f>
        <v>814.85</v>
      </c>
      <c r="GN157">
        <f>IF(OR(BI157=0,BI157=1),ROUND(O157+X157+Y157,2),0)</f>
        <v>0</v>
      </c>
      <c r="GO157">
        <f>IF(BI157=2,ROUND(O157+X157+Y157,2),0)</f>
        <v>0</v>
      </c>
      <c r="GP157">
        <f>IF(BI157=4,ROUND(O157+X157+Y157,2)+GX157,0)</f>
        <v>814.85</v>
      </c>
      <c r="GR157">
        <v>0</v>
      </c>
      <c r="GS157">
        <v>0</v>
      </c>
      <c r="GT157">
        <v>0</v>
      </c>
      <c r="GU157" t="s">
        <v>6</v>
      </c>
      <c r="GV157">
        <f>ROUND((GT157),6)</f>
        <v>0</v>
      </c>
      <c r="GW157">
        <v>1</v>
      </c>
      <c r="GX157">
        <f>ROUND(HC157*I157,2)</f>
        <v>0</v>
      </c>
      <c r="HA157">
        <v>0</v>
      </c>
      <c r="HB157">
        <v>0</v>
      </c>
      <c r="HC157">
        <f>GV157*GW157</f>
        <v>0</v>
      </c>
      <c r="IK157">
        <v>0</v>
      </c>
    </row>
    <row r="159" spans="1:245" x14ac:dyDescent="0.2">
      <c r="A159" s="2">
        <v>51</v>
      </c>
      <c r="B159" s="2">
        <f>B152</f>
        <v>1</v>
      </c>
      <c r="C159" s="2">
        <f>A152</f>
        <v>4</v>
      </c>
      <c r="D159" s="2">
        <f>ROW(A152)</f>
        <v>152</v>
      </c>
      <c r="E159" s="2"/>
      <c r="F159" s="2" t="str">
        <f>IF(F152&lt;&gt;"",F152,"")</f>
        <v>Новый раздел</v>
      </c>
      <c r="G159" s="2" t="str">
        <f>IF(G152&lt;&gt;"",G152,"")</f>
        <v>Прочие</v>
      </c>
      <c r="H159" s="2">
        <v>0</v>
      </c>
      <c r="I159" s="2"/>
      <c r="J159" s="2"/>
      <c r="K159" s="2"/>
      <c r="L159" s="2"/>
      <c r="M159" s="2"/>
      <c r="N159" s="2"/>
      <c r="O159" s="2">
        <f t="shared" ref="O159:T159" si="120">ROUND(AB159,2)</f>
        <v>1843.84</v>
      </c>
      <c r="P159" s="2">
        <f t="shared" si="120"/>
        <v>0</v>
      </c>
      <c r="Q159" s="2">
        <f t="shared" si="120"/>
        <v>1843.84</v>
      </c>
      <c r="R159" s="2">
        <f t="shared" si="120"/>
        <v>0</v>
      </c>
      <c r="S159" s="2">
        <f t="shared" si="120"/>
        <v>0</v>
      </c>
      <c r="T159" s="2">
        <f t="shared" si="120"/>
        <v>0</v>
      </c>
      <c r="U159" s="2">
        <f>AH159</f>
        <v>0</v>
      </c>
      <c r="V159" s="2">
        <f>AI159</f>
        <v>0</v>
      </c>
      <c r="W159" s="2">
        <f>ROUND(AJ159,2)</f>
        <v>0</v>
      </c>
      <c r="X159" s="2">
        <f>ROUND(AK159,2)</f>
        <v>0</v>
      </c>
      <c r="Y159" s="2">
        <f>ROUND(AL159,2)</f>
        <v>0</v>
      </c>
      <c r="Z159" s="2"/>
      <c r="AA159" s="2"/>
      <c r="AB159" s="2">
        <f>ROUND(SUMIF(AA156:AA157,"=44176454",O156:O157),2)</f>
        <v>1843.84</v>
      </c>
      <c r="AC159" s="2">
        <f>ROUND(SUMIF(AA156:AA157,"=44176454",P156:P157),2)</f>
        <v>0</v>
      </c>
      <c r="AD159" s="2">
        <f>ROUND(SUMIF(AA156:AA157,"=44176454",Q156:Q157),2)</f>
        <v>1843.84</v>
      </c>
      <c r="AE159" s="2">
        <f>ROUND(SUMIF(AA156:AA157,"=44176454",R156:R157),2)</f>
        <v>0</v>
      </c>
      <c r="AF159" s="2">
        <f>ROUND(SUMIF(AA156:AA157,"=44176454",S156:S157),2)</f>
        <v>0</v>
      </c>
      <c r="AG159" s="2">
        <f>ROUND(SUMIF(AA156:AA157,"=44176454",T156:T157),2)</f>
        <v>0</v>
      </c>
      <c r="AH159" s="2">
        <f>SUMIF(AA156:AA157,"=44176454",U156:U157)</f>
        <v>0</v>
      </c>
      <c r="AI159" s="2">
        <f>SUMIF(AA156:AA157,"=44176454",V156:V157)</f>
        <v>0</v>
      </c>
      <c r="AJ159" s="2">
        <f>ROUND(SUMIF(AA156:AA157,"=44176454",W156:W157),2)</f>
        <v>0</v>
      </c>
      <c r="AK159" s="2">
        <f>ROUND(SUMIF(AA156:AA157,"=44176454",X156:X157),2)</f>
        <v>0</v>
      </c>
      <c r="AL159" s="2">
        <f>ROUND(SUMIF(AA156:AA157,"=44176454",Y156:Y157),2)</f>
        <v>0</v>
      </c>
      <c r="AM159" s="2"/>
      <c r="AN159" s="2"/>
      <c r="AO159" s="2">
        <f t="shared" ref="AO159:BD159" si="121">ROUND(BX159,2)</f>
        <v>0</v>
      </c>
      <c r="AP159" s="2">
        <f t="shared" si="121"/>
        <v>0</v>
      </c>
      <c r="AQ159" s="2">
        <f t="shared" si="121"/>
        <v>0</v>
      </c>
      <c r="AR159" s="2">
        <f t="shared" si="121"/>
        <v>1843.84</v>
      </c>
      <c r="AS159" s="2">
        <f t="shared" si="121"/>
        <v>0</v>
      </c>
      <c r="AT159" s="2">
        <f t="shared" si="121"/>
        <v>0</v>
      </c>
      <c r="AU159" s="2">
        <f t="shared" si="121"/>
        <v>1843.84</v>
      </c>
      <c r="AV159" s="2">
        <f t="shared" si="121"/>
        <v>0</v>
      </c>
      <c r="AW159" s="2">
        <f t="shared" si="121"/>
        <v>0</v>
      </c>
      <c r="AX159" s="2">
        <f t="shared" si="121"/>
        <v>0</v>
      </c>
      <c r="AY159" s="2">
        <f t="shared" si="121"/>
        <v>0</v>
      </c>
      <c r="AZ159" s="2">
        <f t="shared" si="121"/>
        <v>0</v>
      </c>
      <c r="BA159" s="2">
        <f t="shared" si="121"/>
        <v>0</v>
      </c>
      <c r="BB159" s="2">
        <f t="shared" si="121"/>
        <v>0</v>
      </c>
      <c r="BC159" s="2">
        <f t="shared" si="121"/>
        <v>0</v>
      </c>
      <c r="BD159" s="2">
        <f t="shared" si="121"/>
        <v>0</v>
      </c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>
        <f>ROUND(SUMIF(AA156:AA157,"=44176454",FQ156:FQ157),2)</f>
        <v>0</v>
      </c>
      <c r="BY159" s="2">
        <f>ROUND(SUMIF(AA156:AA157,"=44176454",FR156:FR157),2)</f>
        <v>0</v>
      </c>
      <c r="BZ159" s="2">
        <f>ROUND(SUMIF(AA156:AA157,"=44176454",GL156:GL157),2)</f>
        <v>0</v>
      </c>
      <c r="CA159" s="2">
        <f>ROUND(SUMIF(AA156:AA157,"=44176454",GM156:GM157),2)</f>
        <v>1843.84</v>
      </c>
      <c r="CB159" s="2">
        <f>ROUND(SUMIF(AA156:AA157,"=44176454",GN156:GN157),2)</f>
        <v>0</v>
      </c>
      <c r="CC159" s="2">
        <f>ROUND(SUMIF(AA156:AA157,"=44176454",GO156:GO157),2)</f>
        <v>0</v>
      </c>
      <c r="CD159" s="2">
        <f>ROUND(SUMIF(AA156:AA157,"=44176454",GP156:GP157),2)</f>
        <v>1843.84</v>
      </c>
      <c r="CE159" s="2">
        <f>AC159-BX159</f>
        <v>0</v>
      </c>
      <c r="CF159" s="2">
        <f>AC159-BY159</f>
        <v>0</v>
      </c>
      <c r="CG159" s="2">
        <f>BX159-BZ159</f>
        <v>0</v>
      </c>
      <c r="CH159" s="2">
        <f>AC159-BX159-BY159+BZ159</f>
        <v>0</v>
      </c>
      <c r="CI159" s="2">
        <f>BY159-BZ159</f>
        <v>0</v>
      </c>
      <c r="CJ159" s="2">
        <f>ROUND(SUMIF(AA156:AA157,"=44176454",GX156:GX157),2)</f>
        <v>0</v>
      </c>
      <c r="CK159" s="2">
        <f>ROUND(SUMIF(AA156:AA157,"=44176454",GY156:GY157),2)</f>
        <v>0</v>
      </c>
      <c r="CL159" s="2">
        <f>ROUND(SUMIF(AA156:AA157,"=44176454",GZ156:GZ157),2)</f>
        <v>0</v>
      </c>
      <c r="CM159" s="2">
        <f>ROUND(SUMIF(AA156:AA157,"=44176454",HD156:HD157),2)</f>
        <v>0</v>
      </c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>
        <v>0</v>
      </c>
    </row>
    <row r="161" spans="1:23" x14ac:dyDescent="0.2">
      <c r="A161" s="4">
        <v>50</v>
      </c>
      <c r="B161" s="4">
        <v>0</v>
      </c>
      <c r="C161" s="4">
        <v>0</v>
      </c>
      <c r="D161" s="4">
        <v>1</v>
      </c>
      <c r="E161" s="4">
        <v>201</v>
      </c>
      <c r="F161" s="4">
        <f>ROUND(Source!O159,O161)</f>
        <v>1843.84</v>
      </c>
      <c r="G161" s="4" t="s">
        <v>170</v>
      </c>
      <c r="H161" s="4" t="s">
        <v>171</v>
      </c>
      <c r="I161" s="4"/>
      <c r="J161" s="4"/>
      <c r="K161" s="4">
        <v>201</v>
      </c>
      <c r="L161" s="4">
        <v>1</v>
      </c>
      <c r="M161" s="4">
        <v>3</v>
      </c>
      <c r="N161" s="4" t="s">
        <v>6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1</v>
      </c>
      <c r="E162" s="4">
        <v>202</v>
      </c>
      <c r="F162" s="4">
        <f>ROUND(Source!P159,O162)</f>
        <v>0</v>
      </c>
      <c r="G162" s="4" t="s">
        <v>172</v>
      </c>
      <c r="H162" s="4" t="s">
        <v>173</v>
      </c>
      <c r="I162" s="4"/>
      <c r="J162" s="4"/>
      <c r="K162" s="4">
        <v>202</v>
      </c>
      <c r="L162" s="4">
        <v>2</v>
      </c>
      <c r="M162" s="4">
        <v>3</v>
      </c>
      <c r="N162" s="4" t="s">
        <v>6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1</v>
      </c>
      <c r="E163" s="4">
        <v>222</v>
      </c>
      <c r="F163" s="4">
        <f>ROUND(Source!AO159,O163)</f>
        <v>0</v>
      </c>
      <c r="G163" s="4" t="s">
        <v>174</v>
      </c>
      <c r="H163" s="4" t="s">
        <v>175</v>
      </c>
      <c r="I163" s="4"/>
      <c r="J163" s="4"/>
      <c r="K163" s="4">
        <v>222</v>
      </c>
      <c r="L163" s="4">
        <v>3</v>
      </c>
      <c r="M163" s="4">
        <v>3</v>
      </c>
      <c r="N163" s="4" t="s">
        <v>6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1</v>
      </c>
      <c r="E164" s="4">
        <v>225</v>
      </c>
      <c r="F164" s="4">
        <f>ROUND(Source!AV159,O164)</f>
        <v>0</v>
      </c>
      <c r="G164" s="4" t="s">
        <v>176</v>
      </c>
      <c r="H164" s="4" t="s">
        <v>177</v>
      </c>
      <c r="I164" s="4"/>
      <c r="J164" s="4"/>
      <c r="K164" s="4">
        <v>225</v>
      </c>
      <c r="L164" s="4">
        <v>4</v>
      </c>
      <c r="M164" s="4">
        <v>3</v>
      </c>
      <c r="N164" s="4" t="s">
        <v>6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1</v>
      </c>
      <c r="E165" s="4">
        <v>226</v>
      </c>
      <c r="F165" s="4">
        <f>ROUND(Source!AW159,O165)</f>
        <v>0</v>
      </c>
      <c r="G165" s="4" t="s">
        <v>178</v>
      </c>
      <c r="H165" s="4" t="s">
        <v>179</v>
      </c>
      <c r="I165" s="4"/>
      <c r="J165" s="4"/>
      <c r="K165" s="4">
        <v>226</v>
      </c>
      <c r="L165" s="4">
        <v>5</v>
      </c>
      <c r="M165" s="4">
        <v>3</v>
      </c>
      <c r="N165" s="4" t="s">
        <v>6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1</v>
      </c>
      <c r="E166" s="4">
        <v>227</v>
      </c>
      <c r="F166" s="4">
        <f>ROUND(Source!AX159,O166)</f>
        <v>0</v>
      </c>
      <c r="G166" s="4" t="s">
        <v>180</v>
      </c>
      <c r="H166" s="4" t="s">
        <v>181</v>
      </c>
      <c r="I166" s="4"/>
      <c r="J166" s="4"/>
      <c r="K166" s="4">
        <v>227</v>
      </c>
      <c r="L166" s="4">
        <v>6</v>
      </c>
      <c r="M166" s="4">
        <v>3</v>
      </c>
      <c r="N166" s="4" t="s">
        <v>6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1</v>
      </c>
      <c r="E167" s="4">
        <v>228</v>
      </c>
      <c r="F167" s="4">
        <f>ROUND(Source!AY159,O167)</f>
        <v>0</v>
      </c>
      <c r="G167" s="4" t="s">
        <v>182</v>
      </c>
      <c r="H167" s="4" t="s">
        <v>183</v>
      </c>
      <c r="I167" s="4"/>
      <c r="J167" s="4"/>
      <c r="K167" s="4">
        <v>228</v>
      </c>
      <c r="L167" s="4">
        <v>7</v>
      </c>
      <c r="M167" s="4">
        <v>3</v>
      </c>
      <c r="N167" s="4" t="s">
        <v>6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1</v>
      </c>
      <c r="E168" s="4">
        <v>216</v>
      </c>
      <c r="F168" s="4">
        <f>ROUND(Source!AP159,O168)</f>
        <v>0</v>
      </c>
      <c r="G168" s="4" t="s">
        <v>184</v>
      </c>
      <c r="H168" s="4" t="s">
        <v>185</v>
      </c>
      <c r="I168" s="4"/>
      <c r="J168" s="4"/>
      <c r="K168" s="4">
        <v>216</v>
      </c>
      <c r="L168" s="4">
        <v>8</v>
      </c>
      <c r="M168" s="4">
        <v>3</v>
      </c>
      <c r="N168" s="4" t="s">
        <v>6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1</v>
      </c>
      <c r="E169" s="4">
        <v>223</v>
      </c>
      <c r="F169" s="4">
        <f>ROUND(Source!AQ159,O169)</f>
        <v>0</v>
      </c>
      <c r="G169" s="4" t="s">
        <v>186</v>
      </c>
      <c r="H169" s="4" t="s">
        <v>187</v>
      </c>
      <c r="I169" s="4"/>
      <c r="J169" s="4"/>
      <c r="K169" s="4">
        <v>223</v>
      </c>
      <c r="L169" s="4">
        <v>9</v>
      </c>
      <c r="M169" s="4">
        <v>3</v>
      </c>
      <c r="N169" s="4" t="s">
        <v>6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1</v>
      </c>
      <c r="E170" s="4">
        <v>229</v>
      </c>
      <c r="F170" s="4">
        <f>ROUND(Source!AZ159,O170)</f>
        <v>0</v>
      </c>
      <c r="G170" s="4" t="s">
        <v>188</v>
      </c>
      <c r="H170" s="4" t="s">
        <v>189</v>
      </c>
      <c r="I170" s="4"/>
      <c r="J170" s="4"/>
      <c r="K170" s="4">
        <v>229</v>
      </c>
      <c r="L170" s="4">
        <v>10</v>
      </c>
      <c r="M170" s="4">
        <v>3</v>
      </c>
      <c r="N170" s="4" t="s">
        <v>6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1</v>
      </c>
      <c r="E171" s="4">
        <v>203</v>
      </c>
      <c r="F171" s="4">
        <f>ROUND(Source!Q159,O171)</f>
        <v>1843.84</v>
      </c>
      <c r="G171" s="4" t="s">
        <v>190</v>
      </c>
      <c r="H171" s="4" t="s">
        <v>191</v>
      </c>
      <c r="I171" s="4"/>
      <c r="J171" s="4"/>
      <c r="K171" s="4">
        <v>203</v>
      </c>
      <c r="L171" s="4">
        <v>11</v>
      </c>
      <c r="M171" s="4">
        <v>3</v>
      </c>
      <c r="N171" s="4" t="s">
        <v>6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3" x14ac:dyDescent="0.2">
      <c r="A172" s="4">
        <v>50</v>
      </c>
      <c r="B172" s="4">
        <v>0</v>
      </c>
      <c r="C172" s="4">
        <v>0</v>
      </c>
      <c r="D172" s="4">
        <v>1</v>
      </c>
      <c r="E172" s="4">
        <v>231</v>
      </c>
      <c r="F172" s="4">
        <f>ROUND(Source!BB159,O172)</f>
        <v>0</v>
      </c>
      <c r="G172" s="4" t="s">
        <v>192</v>
      </c>
      <c r="H172" s="4" t="s">
        <v>193</v>
      </c>
      <c r="I172" s="4"/>
      <c r="J172" s="4"/>
      <c r="K172" s="4">
        <v>231</v>
      </c>
      <c r="L172" s="4">
        <v>12</v>
      </c>
      <c r="M172" s="4">
        <v>3</v>
      </c>
      <c r="N172" s="4" t="s">
        <v>6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3" x14ac:dyDescent="0.2">
      <c r="A173" s="4">
        <v>50</v>
      </c>
      <c r="B173" s="4">
        <v>0</v>
      </c>
      <c r="C173" s="4">
        <v>0</v>
      </c>
      <c r="D173" s="4">
        <v>1</v>
      </c>
      <c r="E173" s="4">
        <v>204</v>
      </c>
      <c r="F173" s="4">
        <f>ROUND(Source!R159,O173)</f>
        <v>0</v>
      </c>
      <c r="G173" s="4" t="s">
        <v>194</v>
      </c>
      <c r="H173" s="4" t="s">
        <v>195</v>
      </c>
      <c r="I173" s="4"/>
      <c r="J173" s="4"/>
      <c r="K173" s="4">
        <v>204</v>
      </c>
      <c r="L173" s="4">
        <v>13</v>
      </c>
      <c r="M173" s="4">
        <v>3</v>
      </c>
      <c r="N173" s="4" t="s">
        <v>6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3" x14ac:dyDescent="0.2">
      <c r="A174" s="4">
        <v>50</v>
      </c>
      <c r="B174" s="4">
        <v>0</v>
      </c>
      <c r="C174" s="4">
        <v>0</v>
      </c>
      <c r="D174" s="4">
        <v>1</v>
      </c>
      <c r="E174" s="4">
        <v>205</v>
      </c>
      <c r="F174" s="4">
        <f>ROUND(Source!S159,O174)</f>
        <v>0</v>
      </c>
      <c r="G174" s="4" t="s">
        <v>196</v>
      </c>
      <c r="H174" s="4" t="s">
        <v>197</v>
      </c>
      <c r="I174" s="4"/>
      <c r="J174" s="4"/>
      <c r="K174" s="4">
        <v>205</v>
      </c>
      <c r="L174" s="4">
        <v>14</v>
      </c>
      <c r="M174" s="4">
        <v>3</v>
      </c>
      <c r="N174" s="4" t="s">
        <v>6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3" x14ac:dyDescent="0.2">
      <c r="A175" s="4">
        <v>50</v>
      </c>
      <c r="B175" s="4">
        <v>0</v>
      </c>
      <c r="C175" s="4">
        <v>0</v>
      </c>
      <c r="D175" s="4">
        <v>1</v>
      </c>
      <c r="E175" s="4">
        <v>232</v>
      </c>
      <c r="F175" s="4">
        <f>ROUND(Source!BC159,O175)</f>
        <v>0</v>
      </c>
      <c r="G175" s="4" t="s">
        <v>198</v>
      </c>
      <c r="H175" s="4" t="s">
        <v>199</v>
      </c>
      <c r="I175" s="4"/>
      <c r="J175" s="4"/>
      <c r="K175" s="4">
        <v>232</v>
      </c>
      <c r="L175" s="4">
        <v>15</v>
      </c>
      <c r="M175" s="4">
        <v>3</v>
      </c>
      <c r="N175" s="4" t="s">
        <v>6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3" x14ac:dyDescent="0.2">
      <c r="A176" s="4">
        <v>50</v>
      </c>
      <c r="B176" s="4">
        <v>0</v>
      </c>
      <c r="C176" s="4">
        <v>0</v>
      </c>
      <c r="D176" s="4">
        <v>1</v>
      </c>
      <c r="E176" s="4">
        <v>214</v>
      </c>
      <c r="F176" s="4">
        <f>ROUND(Source!AS159,O176)</f>
        <v>0</v>
      </c>
      <c r="G176" s="4" t="s">
        <v>200</v>
      </c>
      <c r="H176" s="4" t="s">
        <v>201</v>
      </c>
      <c r="I176" s="4"/>
      <c r="J176" s="4"/>
      <c r="K176" s="4">
        <v>214</v>
      </c>
      <c r="L176" s="4">
        <v>16</v>
      </c>
      <c r="M176" s="4">
        <v>3</v>
      </c>
      <c r="N176" s="4" t="s">
        <v>6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215</v>
      </c>
      <c r="F177" s="4">
        <f>ROUND(Source!AT159,O177)</f>
        <v>0</v>
      </c>
      <c r="G177" s="4" t="s">
        <v>202</v>
      </c>
      <c r="H177" s="4" t="s">
        <v>203</v>
      </c>
      <c r="I177" s="4"/>
      <c r="J177" s="4"/>
      <c r="K177" s="4">
        <v>215</v>
      </c>
      <c r="L177" s="4">
        <v>17</v>
      </c>
      <c r="M177" s="4">
        <v>3</v>
      </c>
      <c r="N177" s="4" t="s">
        <v>6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06" x14ac:dyDescent="0.2">
      <c r="A178" s="4">
        <v>50</v>
      </c>
      <c r="B178" s="4">
        <v>0</v>
      </c>
      <c r="C178" s="4">
        <v>0</v>
      </c>
      <c r="D178" s="4">
        <v>1</v>
      </c>
      <c r="E178" s="4">
        <v>217</v>
      </c>
      <c r="F178" s="4">
        <f>ROUND(Source!AU159,O178)</f>
        <v>1843.84</v>
      </c>
      <c r="G178" s="4" t="s">
        <v>204</v>
      </c>
      <c r="H178" s="4" t="s">
        <v>205</v>
      </c>
      <c r="I178" s="4"/>
      <c r="J178" s="4"/>
      <c r="K178" s="4">
        <v>217</v>
      </c>
      <c r="L178" s="4">
        <v>18</v>
      </c>
      <c r="M178" s="4">
        <v>3</v>
      </c>
      <c r="N178" s="4" t="s">
        <v>6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230</v>
      </c>
      <c r="F179" s="4">
        <f>ROUND(Source!BA159,O179)</f>
        <v>0</v>
      </c>
      <c r="G179" s="4" t="s">
        <v>206</v>
      </c>
      <c r="H179" s="4" t="s">
        <v>207</v>
      </c>
      <c r="I179" s="4"/>
      <c r="J179" s="4"/>
      <c r="K179" s="4">
        <v>230</v>
      </c>
      <c r="L179" s="4">
        <v>19</v>
      </c>
      <c r="M179" s="4">
        <v>3</v>
      </c>
      <c r="N179" s="4" t="s">
        <v>6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206</v>
      </c>
      <c r="F180" s="4">
        <f>ROUND(Source!T159,O180)</f>
        <v>0</v>
      </c>
      <c r="G180" s="4" t="s">
        <v>208</v>
      </c>
      <c r="H180" s="4" t="s">
        <v>209</v>
      </c>
      <c r="I180" s="4"/>
      <c r="J180" s="4"/>
      <c r="K180" s="4">
        <v>206</v>
      </c>
      <c r="L180" s="4">
        <v>20</v>
      </c>
      <c r="M180" s="4">
        <v>3</v>
      </c>
      <c r="N180" s="4" t="s">
        <v>6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207</v>
      </c>
      <c r="F181" s="4">
        <f>Source!U159</f>
        <v>0</v>
      </c>
      <c r="G181" s="4" t="s">
        <v>210</v>
      </c>
      <c r="H181" s="4" t="s">
        <v>211</v>
      </c>
      <c r="I181" s="4"/>
      <c r="J181" s="4"/>
      <c r="K181" s="4">
        <v>207</v>
      </c>
      <c r="L181" s="4">
        <v>21</v>
      </c>
      <c r="M181" s="4">
        <v>3</v>
      </c>
      <c r="N181" s="4" t="s">
        <v>6</v>
      </c>
      <c r="O181" s="4">
        <v>-1</v>
      </c>
      <c r="P181" s="4"/>
      <c r="Q181" s="4"/>
      <c r="R181" s="4"/>
      <c r="S181" s="4"/>
      <c r="T181" s="4"/>
      <c r="U181" s="4"/>
      <c r="V181" s="4"/>
      <c r="W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208</v>
      </c>
      <c r="F182" s="4">
        <f>Source!V159</f>
        <v>0</v>
      </c>
      <c r="G182" s="4" t="s">
        <v>212</v>
      </c>
      <c r="H182" s="4" t="s">
        <v>213</v>
      </c>
      <c r="I182" s="4"/>
      <c r="J182" s="4"/>
      <c r="K182" s="4">
        <v>208</v>
      </c>
      <c r="L182" s="4">
        <v>22</v>
      </c>
      <c r="M182" s="4">
        <v>3</v>
      </c>
      <c r="N182" s="4" t="s">
        <v>6</v>
      </c>
      <c r="O182" s="4">
        <v>-1</v>
      </c>
      <c r="P182" s="4"/>
      <c r="Q182" s="4"/>
      <c r="R182" s="4"/>
      <c r="S182" s="4"/>
      <c r="T182" s="4"/>
      <c r="U182" s="4"/>
      <c r="V182" s="4"/>
      <c r="W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209</v>
      </c>
      <c r="F183" s="4">
        <f>ROUND(Source!W159,O183)</f>
        <v>0</v>
      </c>
      <c r="G183" s="4" t="s">
        <v>214</v>
      </c>
      <c r="H183" s="4" t="s">
        <v>215</v>
      </c>
      <c r="I183" s="4"/>
      <c r="J183" s="4"/>
      <c r="K183" s="4">
        <v>209</v>
      </c>
      <c r="L183" s="4">
        <v>23</v>
      </c>
      <c r="M183" s="4">
        <v>3</v>
      </c>
      <c r="N183" s="4" t="s">
        <v>6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233</v>
      </c>
      <c r="F184" s="4">
        <f>ROUND(Source!BD159,O184)</f>
        <v>0</v>
      </c>
      <c r="G184" s="4" t="s">
        <v>216</v>
      </c>
      <c r="H184" s="4" t="s">
        <v>217</v>
      </c>
      <c r="I184" s="4"/>
      <c r="J184" s="4"/>
      <c r="K184" s="4">
        <v>233</v>
      </c>
      <c r="L184" s="4">
        <v>24</v>
      </c>
      <c r="M184" s="4">
        <v>3</v>
      </c>
      <c r="N184" s="4" t="s">
        <v>6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210</v>
      </c>
      <c r="F185" s="4">
        <f>ROUND(Source!X159,O185)</f>
        <v>0</v>
      </c>
      <c r="G185" s="4" t="s">
        <v>218</v>
      </c>
      <c r="H185" s="4" t="s">
        <v>219</v>
      </c>
      <c r="I185" s="4"/>
      <c r="J185" s="4"/>
      <c r="K185" s="4">
        <v>210</v>
      </c>
      <c r="L185" s="4">
        <v>25</v>
      </c>
      <c r="M185" s="4">
        <v>3</v>
      </c>
      <c r="N185" s="4" t="s">
        <v>6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211</v>
      </c>
      <c r="F186" s="4">
        <f>ROUND(Source!Y159,O186)</f>
        <v>0</v>
      </c>
      <c r="G186" s="4" t="s">
        <v>220</v>
      </c>
      <c r="H186" s="4" t="s">
        <v>221</v>
      </c>
      <c r="I186" s="4"/>
      <c r="J186" s="4"/>
      <c r="K186" s="4">
        <v>211</v>
      </c>
      <c r="L186" s="4">
        <v>26</v>
      </c>
      <c r="M186" s="4">
        <v>3</v>
      </c>
      <c r="N186" s="4" t="s">
        <v>6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224</v>
      </c>
      <c r="F187" s="4">
        <f>ROUND(Source!AR159,O187)</f>
        <v>1843.84</v>
      </c>
      <c r="G187" s="4" t="s">
        <v>222</v>
      </c>
      <c r="H187" s="4" t="s">
        <v>223</v>
      </c>
      <c r="I187" s="4"/>
      <c r="J187" s="4"/>
      <c r="K187" s="4">
        <v>224</v>
      </c>
      <c r="L187" s="4">
        <v>27</v>
      </c>
      <c r="M187" s="4">
        <v>3</v>
      </c>
      <c r="N187" s="4" t="s">
        <v>6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06" x14ac:dyDescent="0.2">
      <c r="A188" s="4">
        <v>50</v>
      </c>
      <c r="B188" s="4">
        <v>1</v>
      </c>
      <c r="C188" s="4">
        <v>0</v>
      </c>
      <c r="D188" s="4">
        <v>2</v>
      </c>
      <c r="E188" s="4">
        <v>0</v>
      </c>
      <c r="F188" s="4">
        <f>ROUND(F187,O188)</f>
        <v>1843.84</v>
      </c>
      <c r="G188" s="4" t="s">
        <v>224</v>
      </c>
      <c r="H188" s="4" t="s">
        <v>225</v>
      </c>
      <c r="I188" s="4"/>
      <c r="J188" s="4"/>
      <c r="K188" s="4">
        <v>212</v>
      </c>
      <c r="L188" s="4">
        <v>28</v>
      </c>
      <c r="M188" s="4">
        <v>0</v>
      </c>
      <c r="N188" s="4" t="s">
        <v>6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90" spans="1:206" x14ac:dyDescent="0.2">
      <c r="A190" s="2">
        <v>51</v>
      </c>
      <c r="B190" s="2">
        <f>B20</f>
        <v>1</v>
      </c>
      <c r="C190" s="2">
        <f>A20</f>
        <v>3</v>
      </c>
      <c r="D190" s="2">
        <f>ROW(A20)</f>
        <v>20</v>
      </c>
      <c r="E190" s="2"/>
      <c r="F190" s="2">
        <f>IF(F20&lt;&gt;"",F20,"")</f>
        <v>3</v>
      </c>
      <c r="G190" s="2" t="str">
        <f>IF(G20&lt;&gt;"",G20,"")</f>
        <v>Прокладка кабеля 20 кВ в коллекторе "ПС Сити 2"</v>
      </c>
      <c r="H190" s="2">
        <v>0</v>
      </c>
      <c r="I190" s="2"/>
      <c r="J190" s="2"/>
      <c r="K190" s="2"/>
      <c r="L190" s="2"/>
      <c r="M190" s="2"/>
      <c r="N190" s="2"/>
      <c r="O190" s="2">
        <f t="shared" ref="O190:T190" si="122">ROUND(O55+O121+O159+AB190,2)</f>
        <v>8801475.4399999995</v>
      </c>
      <c r="P190" s="2">
        <f t="shared" si="122"/>
        <v>7644945.7400000002</v>
      </c>
      <c r="Q190" s="2">
        <f t="shared" si="122"/>
        <v>248817.05</v>
      </c>
      <c r="R190" s="2">
        <f t="shared" si="122"/>
        <v>117510.76</v>
      </c>
      <c r="S190" s="2">
        <f t="shared" si="122"/>
        <v>907712.65</v>
      </c>
      <c r="T190" s="2">
        <f t="shared" si="122"/>
        <v>0</v>
      </c>
      <c r="U190" s="2">
        <f>U55+U121+U159+AH190</f>
        <v>3538.4040961799992</v>
      </c>
      <c r="V190" s="2">
        <f>V55+V121+V159+AI190</f>
        <v>0</v>
      </c>
      <c r="W190" s="2">
        <f>ROUND(W55+W121+W159+AJ190,2)</f>
        <v>0</v>
      </c>
      <c r="X190" s="2">
        <f>ROUND(X55+X121+X159+AK190,2)</f>
        <v>816803.05</v>
      </c>
      <c r="Y190" s="2">
        <f>ROUND(Y55+Y121+Y159+AL190,2)</f>
        <v>390300.15999999997</v>
      </c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>
        <f t="shared" ref="AO190:BD190" si="123">ROUND(AO55+AO121+AO159+BX190,2)</f>
        <v>0</v>
      </c>
      <c r="AP190" s="2">
        <f t="shared" si="123"/>
        <v>0</v>
      </c>
      <c r="AQ190" s="2">
        <f t="shared" si="123"/>
        <v>0</v>
      </c>
      <c r="AR190" s="2">
        <f t="shared" si="123"/>
        <v>10193070.539999999</v>
      </c>
      <c r="AS190" s="2">
        <f t="shared" si="123"/>
        <v>280564.13</v>
      </c>
      <c r="AT190" s="2">
        <f t="shared" si="123"/>
        <v>9910662.5700000003</v>
      </c>
      <c r="AU190" s="2">
        <f t="shared" si="123"/>
        <v>1843.84</v>
      </c>
      <c r="AV190" s="2">
        <f t="shared" si="123"/>
        <v>7644945.7400000002</v>
      </c>
      <c r="AW190" s="2">
        <f t="shared" si="123"/>
        <v>7644945.7400000002</v>
      </c>
      <c r="AX190" s="2">
        <f t="shared" si="123"/>
        <v>0</v>
      </c>
      <c r="AY190" s="2">
        <f t="shared" si="123"/>
        <v>7644945.7400000002</v>
      </c>
      <c r="AZ190" s="2">
        <f t="shared" si="123"/>
        <v>0</v>
      </c>
      <c r="BA190" s="2">
        <f t="shared" si="123"/>
        <v>0</v>
      </c>
      <c r="BB190" s="2">
        <f t="shared" si="123"/>
        <v>0</v>
      </c>
      <c r="BC190" s="2">
        <f t="shared" si="123"/>
        <v>0</v>
      </c>
      <c r="BD190" s="2">
        <f t="shared" si="123"/>
        <v>0</v>
      </c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>
        <v>0</v>
      </c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201</v>
      </c>
      <c r="F192" s="4">
        <f>ROUND(Source!O190,O192)</f>
        <v>8801475.4399999995</v>
      </c>
      <c r="G192" s="4" t="s">
        <v>170</v>
      </c>
      <c r="H192" s="4" t="s">
        <v>171</v>
      </c>
      <c r="I192" s="4"/>
      <c r="J192" s="4"/>
      <c r="K192" s="4">
        <v>201</v>
      </c>
      <c r="L192" s="4">
        <v>1</v>
      </c>
      <c r="M192" s="4">
        <v>3</v>
      </c>
      <c r="N192" s="4" t="s">
        <v>6</v>
      </c>
      <c r="O192" s="4">
        <v>2</v>
      </c>
      <c r="P192" s="4"/>
      <c r="Q192" s="4"/>
      <c r="R192" s="4"/>
      <c r="S192" s="4"/>
      <c r="T192" s="4"/>
      <c r="U192" s="4"/>
      <c r="V192" s="4"/>
      <c r="W192" s="4"/>
    </row>
    <row r="193" spans="1:23" x14ac:dyDescent="0.2">
      <c r="A193" s="4">
        <v>50</v>
      </c>
      <c r="B193" s="4">
        <v>0</v>
      </c>
      <c r="C193" s="4">
        <v>0</v>
      </c>
      <c r="D193" s="4">
        <v>1</v>
      </c>
      <c r="E193" s="4">
        <v>202</v>
      </c>
      <c r="F193" s="4">
        <f>ROUND(Source!P190,O193)</f>
        <v>7644945.7400000002</v>
      </c>
      <c r="G193" s="4" t="s">
        <v>172</v>
      </c>
      <c r="H193" s="4" t="s">
        <v>173</v>
      </c>
      <c r="I193" s="4"/>
      <c r="J193" s="4"/>
      <c r="K193" s="4">
        <v>202</v>
      </c>
      <c r="L193" s="4">
        <v>2</v>
      </c>
      <c r="M193" s="4">
        <v>3</v>
      </c>
      <c r="N193" s="4" t="s">
        <v>6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3" x14ac:dyDescent="0.2">
      <c r="A194" s="4">
        <v>50</v>
      </c>
      <c r="B194" s="4">
        <v>0</v>
      </c>
      <c r="C194" s="4">
        <v>0</v>
      </c>
      <c r="D194" s="4">
        <v>1</v>
      </c>
      <c r="E194" s="4">
        <v>222</v>
      </c>
      <c r="F194" s="4">
        <f>ROUND(Source!AO190,O194)</f>
        <v>0</v>
      </c>
      <c r="G194" s="4" t="s">
        <v>174</v>
      </c>
      <c r="H194" s="4" t="s">
        <v>175</v>
      </c>
      <c r="I194" s="4"/>
      <c r="J194" s="4"/>
      <c r="K194" s="4">
        <v>222</v>
      </c>
      <c r="L194" s="4">
        <v>3</v>
      </c>
      <c r="M194" s="4">
        <v>3</v>
      </c>
      <c r="N194" s="4" t="s">
        <v>6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3" x14ac:dyDescent="0.2">
      <c r="A195" s="4">
        <v>50</v>
      </c>
      <c r="B195" s="4">
        <v>0</v>
      </c>
      <c r="C195" s="4">
        <v>0</v>
      </c>
      <c r="D195" s="4">
        <v>1</v>
      </c>
      <c r="E195" s="4">
        <v>225</v>
      </c>
      <c r="F195" s="4">
        <f>ROUND(Source!AV190,O195)</f>
        <v>7644945.7400000002</v>
      </c>
      <c r="G195" s="4" t="s">
        <v>176</v>
      </c>
      <c r="H195" s="4" t="s">
        <v>177</v>
      </c>
      <c r="I195" s="4"/>
      <c r="J195" s="4"/>
      <c r="K195" s="4">
        <v>225</v>
      </c>
      <c r="L195" s="4">
        <v>4</v>
      </c>
      <c r="M195" s="4">
        <v>3</v>
      </c>
      <c r="N195" s="4" t="s">
        <v>6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>
        <v>50</v>
      </c>
      <c r="B196" s="4">
        <v>0</v>
      </c>
      <c r="C196" s="4">
        <v>0</v>
      </c>
      <c r="D196" s="4">
        <v>1</v>
      </c>
      <c r="E196" s="4">
        <v>226</v>
      </c>
      <c r="F196" s="4">
        <f>ROUND(Source!AW190,O196)</f>
        <v>7644945.7400000002</v>
      </c>
      <c r="G196" s="4" t="s">
        <v>178</v>
      </c>
      <c r="H196" s="4" t="s">
        <v>179</v>
      </c>
      <c r="I196" s="4"/>
      <c r="J196" s="4"/>
      <c r="K196" s="4">
        <v>226</v>
      </c>
      <c r="L196" s="4">
        <v>5</v>
      </c>
      <c r="M196" s="4">
        <v>3</v>
      </c>
      <c r="N196" s="4" t="s">
        <v>6</v>
      </c>
      <c r="O196" s="4">
        <v>2</v>
      </c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>
        <v>50</v>
      </c>
      <c r="B197" s="4">
        <v>0</v>
      </c>
      <c r="C197" s="4">
        <v>0</v>
      </c>
      <c r="D197" s="4">
        <v>1</v>
      </c>
      <c r="E197" s="4">
        <v>227</v>
      </c>
      <c r="F197" s="4">
        <f>ROUND(Source!AX190,O197)</f>
        <v>0</v>
      </c>
      <c r="G197" s="4" t="s">
        <v>180</v>
      </c>
      <c r="H197" s="4" t="s">
        <v>181</v>
      </c>
      <c r="I197" s="4"/>
      <c r="J197" s="4"/>
      <c r="K197" s="4">
        <v>227</v>
      </c>
      <c r="L197" s="4">
        <v>6</v>
      </c>
      <c r="M197" s="4">
        <v>3</v>
      </c>
      <c r="N197" s="4" t="s">
        <v>6</v>
      </c>
      <c r="O197" s="4">
        <v>2</v>
      </c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>
        <v>50</v>
      </c>
      <c r="B198" s="4">
        <v>0</v>
      </c>
      <c r="C198" s="4">
        <v>0</v>
      </c>
      <c r="D198" s="4">
        <v>1</v>
      </c>
      <c r="E198" s="4">
        <v>228</v>
      </c>
      <c r="F198" s="4">
        <f>ROUND(Source!AY190,O198)</f>
        <v>7644945.7400000002</v>
      </c>
      <c r="G198" s="4" t="s">
        <v>182</v>
      </c>
      <c r="H198" s="4" t="s">
        <v>183</v>
      </c>
      <c r="I198" s="4"/>
      <c r="J198" s="4"/>
      <c r="K198" s="4">
        <v>228</v>
      </c>
      <c r="L198" s="4">
        <v>7</v>
      </c>
      <c r="M198" s="4">
        <v>3</v>
      </c>
      <c r="N198" s="4" t="s">
        <v>6</v>
      </c>
      <c r="O198" s="4">
        <v>2</v>
      </c>
      <c r="P198" s="4"/>
      <c r="Q198" s="4"/>
      <c r="R198" s="4"/>
      <c r="S198" s="4"/>
      <c r="T198" s="4"/>
      <c r="U198" s="4"/>
      <c r="V198" s="4"/>
      <c r="W198" s="4"/>
    </row>
    <row r="199" spans="1:23" x14ac:dyDescent="0.2">
      <c r="A199" s="4">
        <v>50</v>
      </c>
      <c r="B199" s="4">
        <v>0</v>
      </c>
      <c r="C199" s="4">
        <v>0</v>
      </c>
      <c r="D199" s="4">
        <v>1</v>
      </c>
      <c r="E199" s="4">
        <v>216</v>
      </c>
      <c r="F199" s="4">
        <f>ROUND(Source!AP190,O199)</f>
        <v>0</v>
      </c>
      <c r="G199" s="4" t="s">
        <v>184</v>
      </c>
      <c r="H199" s="4" t="s">
        <v>185</v>
      </c>
      <c r="I199" s="4"/>
      <c r="J199" s="4"/>
      <c r="K199" s="4">
        <v>216</v>
      </c>
      <c r="L199" s="4">
        <v>8</v>
      </c>
      <c r="M199" s="4">
        <v>3</v>
      </c>
      <c r="N199" s="4" t="s">
        <v>6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0" spans="1:23" x14ac:dyDescent="0.2">
      <c r="A200" s="4">
        <v>50</v>
      </c>
      <c r="B200" s="4">
        <v>0</v>
      </c>
      <c r="C200" s="4">
        <v>0</v>
      </c>
      <c r="D200" s="4">
        <v>1</v>
      </c>
      <c r="E200" s="4">
        <v>223</v>
      </c>
      <c r="F200" s="4">
        <f>ROUND(Source!AQ190,O200)</f>
        <v>0</v>
      </c>
      <c r="G200" s="4" t="s">
        <v>186</v>
      </c>
      <c r="H200" s="4" t="s">
        <v>187</v>
      </c>
      <c r="I200" s="4"/>
      <c r="J200" s="4"/>
      <c r="K200" s="4">
        <v>223</v>
      </c>
      <c r="L200" s="4">
        <v>9</v>
      </c>
      <c r="M200" s="4">
        <v>3</v>
      </c>
      <c r="N200" s="4" t="s">
        <v>6</v>
      </c>
      <c r="O200" s="4">
        <v>2</v>
      </c>
      <c r="P200" s="4"/>
      <c r="Q200" s="4"/>
      <c r="R200" s="4"/>
      <c r="S200" s="4"/>
      <c r="T200" s="4"/>
      <c r="U200" s="4"/>
      <c r="V200" s="4"/>
      <c r="W200" s="4"/>
    </row>
    <row r="201" spans="1:23" x14ac:dyDescent="0.2">
      <c r="A201" s="4">
        <v>50</v>
      </c>
      <c r="B201" s="4">
        <v>0</v>
      </c>
      <c r="C201" s="4">
        <v>0</v>
      </c>
      <c r="D201" s="4">
        <v>1</v>
      </c>
      <c r="E201" s="4">
        <v>229</v>
      </c>
      <c r="F201" s="4">
        <f>ROUND(Source!AZ190,O201)</f>
        <v>0</v>
      </c>
      <c r="G201" s="4" t="s">
        <v>188</v>
      </c>
      <c r="H201" s="4" t="s">
        <v>189</v>
      </c>
      <c r="I201" s="4"/>
      <c r="J201" s="4"/>
      <c r="K201" s="4">
        <v>229</v>
      </c>
      <c r="L201" s="4">
        <v>10</v>
      </c>
      <c r="M201" s="4">
        <v>3</v>
      </c>
      <c r="N201" s="4" t="s">
        <v>6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3" x14ac:dyDescent="0.2">
      <c r="A202" s="4">
        <v>50</v>
      </c>
      <c r="B202" s="4">
        <v>0</v>
      </c>
      <c r="C202" s="4">
        <v>0</v>
      </c>
      <c r="D202" s="4">
        <v>1</v>
      </c>
      <c r="E202" s="4">
        <v>203</v>
      </c>
      <c r="F202" s="4">
        <f>ROUND(Source!Q190,O202)</f>
        <v>248817.05</v>
      </c>
      <c r="G202" s="4" t="s">
        <v>190</v>
      </c>
      <c r="H202" s="4" t="s">
        <v>191</v>
      </c>
      <c r="I202" s="4"/>
      <c r="J202" s="4"/>
      <c r="K202" s="4">
        <v>203</v>
      </c>
      <c r="L202" s="4">
        <v>11</v>
      </c>
      <c r="M202" s="4">
        <v>3</v>
      </c>
      <c r="N202" s="4" t="s">
        <v>6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3" x14ac:dyDescent="0.2">
      <c r="A203" s="4">
        <v>50</v>
      </c>
      <c r="B203" s="4">
        <v>0</v>
      </c>
      <c r="C203" s="4">
        <v>0</v>
      </c>
      <c r="D203" s="4">
        <v>1</v>
      </c>
      <c r="E203" s="4">
        <v>231</v>
      </c>
      <c r="F203" s="4">
        <f>ROUND(Source!BB190,O203)</f>
        <v>0</v>
      </c>
      <c r="G203" s="4" t="s">
        <v>192</v>
      </c>
      <c r="H203" s="4" t="s">
        <v>193</v>
      </c>
      <c r="I203" s="4"/>
      <c r="J203" s="4"/>
      <c r="K203" s="4">
        <v>231</v>
      </c>
      <c r="L203" s="4">
        <v>12</v>
      </c>
      <c r="M203" s="4">
        <v>3</v>
      </c>
      <c r="N203" s="4" t="s">
        <v>6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3" x14ac:dyDescent="0.2">
      <c r="A204" s="4">
        <v>50</v>
      </c>
      <c r="B204" s="4">
        <v>0</v>
      </c>
      <c r="C204" s="4">
        <v>0</v>
      </c>
      <c r="D204" s="4">
        <v>1</v>
      </c>
      <c r="E204" s="4">
        <v>204</v>
      </c>
      <c r="F204" s="4">
        <f>ROUND(Source!R190,O204)</f>
        <v>117510.76</v>
      </c>
      <c r="G204" s="4" t="s">
        <v>194</v>
      </c>
      <c r="H204" s="4" t="s">
        <v>195</v>
      </c>
      <c r="I204" s="4"/>
      <c r="J204" s="4"/>
      <c r="K204" s="4">
        <v>204</v>
      </c>
      <c r="L204" s="4">
        <v>13</v>
      </c>
      <c r="M204" s="4">
        <v>3</v>
      </c>
      <c r="N204" s="4" t="s">
        <v>6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3" x14ac:dyDescent="0.2">
      <c r="A205" s="4">
        <v>50</v>
      </c>
      <c r="B205" s="4">
        <v>0</v>
      </c>
      <c r="C205" s="4">
        <v>0</v>
      </c>
      <c r="D205" s="4">
        <v>1</v>
      </c>
      <c r="E205" s="4">
        <v>205</v>
      </c>
      <c r="F205" s="4">
        <f>ROUND(Source!S190,O205)</f>
        <v>907712.65</v>
      </c>
      <c r="G205" s="4" t="s">
        <v>196</v>
      </c>
      <c r="H205" s="4" t="s">
        <v>197</v>
      </c>
      <c r="I205" s="4"/>
      <c r="J205" s="4"/>
      <c r="K205" s="4">
        <v>205</v>
      </c>
      <c r="L205" s="4">
        <v>14</v>
      </c>
      <c r="M205" s="4">
        <v>3</v>
      </c>
      <c r="N205" s="4" t="s">
        <v>6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3" x14ac:dyDescent="0.2">
      <c r="A206" s="4">
        <v>50</v>
      </c>
      <c r="B206" s="4">
        <v>0</v>
      </c>
      <c r="C206" s="4">
        <v>0</v>
      </c>
      <c r="D206" s="4">
        <v>1</v>
      </c>
      <c r="E206" s="4">
        <v>232</v>
      </c>
      <c r="F206" s="4">
        <f>ROUND(Source!BC190,O206)</f>
        <v>0</v>
      </c>
      <c r="G206" s="4" t="s">
        <v>198</v>
      </c>
      <c r="H206" s="4" t="s">
        <v>199</v>
      </c>
      <c r="I206" s="4"/>
      <c r="J206" s="4"/>
      <c r="K206" s="4">
        <v>232</v>
      </c>
      <c r="L206" s="4">
        <v>15</v>
      </c>
      <c r="M206" s="4">
        <v>3</v>
      </c>
      <c r="N206" s="4" t="s">
        <v>6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3" x14ac:dyDescent="0.2">
      <c r="A207" s="4">
        <v>50</v>
      </c>
      <c r="B207" s="4">
        <v>0</v>
      </c>
      <c r="C207" s="4">
        <v>0</v>
      </c>
      <c r="D207" s="4">
        <v>1</v>
      </c>
      <c r="E207" s="4">
        <v>214</v>
      </c>
      <c r="F207" s="4">
        <f>ROUND(Source!AS190,O207)</f>
        <v>280564.13</v>
      </c>
      <c r="G207" s="4" t="s">
        <v>200</v>
      </c>
      <c r="H207" s="4" t="s">
        <v>201</v>
      </c>
      <c r="I207" s="4"/>
      <c r="J207" s="4"/>
      <c r="K207" s="4">
        <v>214</v>
      </c>
      <c r="L207" s="4">
        <v>16</v>
      </c>
      <c r="M207" s="4">
        <v>3</v>
      </c>
      <c r="N207" s="4" t="s">
        <v>6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3" x14ac:dyDescent="0.2">
      <c r="A208" s="4">
        <v>50</v>
      </c>
      <c r="B208" s="4">
        <v>0</v>
      </c>
      <c r="C208" s="4">
        <v>0</v>
      </c>
      <c r="D208" s="4">
        <v>1</v>
      </c>
      <c r="E208" s="4">
        <v>215</v>
      </c>
      <c r="F208" s="4">
        <f>ROUND(Source!AT190,O208)</f>
        <v>9910662.5700000003</v>
      </c>
      <c r="G208" s="4" t="s">
        <v>202</v>
      </c>
      <c r="H208" s="4" t="s">
        <v>203</v>
      </c>
      <c r="I208" s="4"/>
      <c r="J208" s="4"/>
      <c r="K208" s="4">
        <v>215</v>
      </c>
      <c r="L208" s="4">
        <v>17</v>
      </c>
      <c r="M208" s="4">
        <v>3</v>
      </c>
      <c r="N208" s="4" t="s">
        <v>6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217</v>
      </c>
      <c r="F209" s="4">
        <f>ROUND(Source!AU190,O209)</f>
        <v>1843.84</v>
      </c>
      <c r="G209" s="4" t="s">
        <v>204</v>
      </c>
      <c r="H209" s="4" t="s">
        <v>205</v>
      </c>
      <c r="I209" s="4"/>
      <c r="J209" s="4"/>
      <c r="K209" s="4">
        <v>217</v>
      </c>
      <c r="L209" s="4">
        <v>18</v>
      </c>
      <c r="M209" s="4">
        <v>3</v>
      </c>
      <c r="N209" s="4" t="s">
        <v>6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230</v>
      </c>
      <c r="F210" s="4">
        <f>ROUND(Source!BA190,O210)</f>
        <v>0</v>
      </c>
      <c r="G210" s="4" t="s">
        <v>206</v>
      </c>
      <c r="H210" s="4" t="s">
        <v>207</v>
      </c>
      <c r="I210" s="4"/>
      <c r="J210" s="4"/>
      <c r="K210" s="4">
        <v>230</v>
      </c>
      <c r="L210" s="4">
        <v>19</v>
      </c>
      <c r="M210" s="4">
        <v>3</v>
      </c>
      <c r="N210" s="4" t="s">
        <v>6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206</v>
      </c>
      <c r="F211" s="4">
        <f>ROUND(Source!T190,O211)</f>
        <v>0</v>
      </c>
      <c r="G211" s="4" t="s">
        <v>208</v>
      </c>
      <c r="H211" s="4" t="s">
        <v>209</v>
      </c>
      <c r="I211" s="4"/>
      <c r="J211" s="4"/>
      <c r="K211" s="4">
        <v>206</v>
      </c>
      <c r="L211" s="4">
        <v>20</v>
      </c>
      <c r="M211" s="4">
        <v>3</v>
      </c>
      <c r="N211" s="4" t="s">
        <v>6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207</v>
      </c>
      <c r="F212" s="4">
        <f>Source!U190</f>
        <v>3538.4040961799992</v>
      </c>
      <c r="G212" s="4" t="s">
        <v>210</v>
      </c>
      <c r="H212" s="4" t="s">
        <v>211</v>
      </c>
      <c r="I212" s="4"/>
      <c r="J212" s="4"/>
      <c r="K212" s="4">
        <v>207</v>
      </c>
      <c r="L212" s="4">
        <v>21</v>
      </c>
      <c r="M212" s="4">
        <v>3</v>
      </c>
      <c r="N212" s="4" t="s">
        <v>6</v>
      </c>
      <c r="O212" s="4">
        <v>-1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208</v>
      </c>
      <c r="F213" s="4">
        <f>Source!V190</f>
        <v>0</v>
      </c>
      <c r="G213" s="4" t="s">
        <v>212</v>
      </c>
      <c r="H213" s="4" t="s">
        <v>213</v>
      </c>
      <c r="I213" s="4"/>
      <c r="J213" s="4"/>
      <c r="K213" s="4">
        <v>208</v>
      </c>
      <c r="L213" s="4">
        <v>22</v>
      </c>
      <c r="M213" s="4">
        <v>3</v>
      </c>
      <c r="N213" s="4" t="s">
        <v>6</v>
      </c>
      <c r="O213" s="4">
        <v>-1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209</v>
      </c>
      <c r="F214" s="4">
        <f>ROUND(Source!W190,O214)</f>
        <v>0</v>
      </c>
      <c r="G214" s="4" t="s">
        <v>214</v>
      </c>
      <c r="H214" s="4" t="s">
        <v>215</v>
      </c>
      <c r="I214" s="4"/>
      <c r="J214" s="4"/>
      <c r="K214" s="4">
        <v>209</v>
      </c>
      <c r="L214" s="4">
        <v>23</v>
      </c>
      <c r="M214" s="4">
        <v>3</v>
      </c>
      <c r="N214" s="4" t="s">
        <v>6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233</v>
      </c>
      <c r="F215" s="4">
        <f>ROUND(Source!BD190,O215)</f>
        <v>0</v>
      </c>
      <c r="G215" s="4" t="s">
        <v>216</v>
      </c>
      <c r="H215" s="4" t="s">
        <v>217</v>
      </c>
      <c r="I215" s="4"/>
      <c r="J215" s="4"/>
      <c r="K215" s="4">
        <v>233</v>
      </c>
      <c r="L215" s="4">
        <v>24</v>
      </c>
      <c r="M215" s="4">
        <v>3</v>
      </c>
      <c r="N215" s="4" t="s">
        <v>6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210</v>
      </c>
      <c r="F216" s="4">
        <f>ROUND(Source!X190,O216)</f>
        <v>816803.05</v>
      </c>
      <c r="G216" s="4" t="s">
        <v>218</v>
      </c>
      <c r="H216" s="4" t="s">
        <v>219</v>
      </c>
      <c r="I216" s="4"/>
      <c r="J216" s="4"/>
      <c r="K216" s="4">
        <v>210</v>
      </c>
      <c r="L216" s="4">
        <v>25</v>
      </c>
      <c r="M216" s="4">
        <v>3</v>
      </c>
      <c r="N216" s="4" t="s">
        <v>6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211</v>
      </c>
      <c r="F217" s="4">
        <f>ROUND(Source!Y190,O217)</f>
        <v>390300.15999999997</v>
      </c>
      <c r="G217" s="4" t="s">
        <v>220</v>
      </c>
      <c r="H217" s="4" t="s">
        <v>221</v>
      </c>
      <c r="I217" s="4"/>
      <c r="J217" s="4"/>
      <c r="K217" s="4">
        <v>211</v>
      </c>
      <c r="L217" s="4">
        <v>26</v>
      </c>
      <c r="M217" s="4">
        <v>3</v>
      </c>
      <c r="N217" s="4" t="s">
        <v>6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224</v>
      </c>
      <c r="F218" s="4">
        <f>ROUND(Source!AR190,O218)</f>
        <v>10193070.539999999</v>
      </c>
      <c r="G218" s="4" t="s">
        <v>222</v>
      </c>
      <c r="H218" s="4" t="s">
        <v>223</v>
      </c>
      <c r="I218" s="4"/>
      <c r="J218" s="4"/>
      <c r="K218" s="4">
        <v>224</v>
      </c>
      <c r="L218" s="4">
        <v>27</v>
      </c>
      <c r="M218" s="4">
        <v>3</v>
      </c>
      <c r="N218" s="4" t="s">
        <v>6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1</v>
      </c>
      <c r="C219" s="4">
        <v>0</v>
      </c>
      <c r="D219" s="4">
        <v>2</v>
      </c>
      <c r="E219" s="4">
        <v>0</v>
      </c>
      <c r="F219" s="4">
        <f>ROUND(F84,O219)</f>
        <v>1741.32</v>
      </c>
      <c r="G219" s="4" t="s">
        <v>374</v>
      </c>
      <c r="H219" s="4" t="s">
        <v>23</v>
      </c>
      <c r="I219" s="4"/>
      <c r="J219" s="4"/>
      <c r="K219" s="4">
        <v>212</v>
      </c>
      <c r="L219" s="4">
        <v>28</v>
      </c>
      <c r="M219" s="4">
        <v>0</v>
      </c>
      <c r="N219" s="4" t="s">
        <v>6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1</v>
      </c>
      <c r="C220" s="4">
        <v>0</v>
      </c>
      <c r="D220" s="4">
        <v>2</v>
      </c>
      <c r="E220" s="4">
        <v>0</v>
      </c>
      <c r="F220" s="4">
        <f>ROUND(F150,O220)</f>
        <v>10189485.380000001</v>
      </c>
      <c r="G220" s="4" t="s">
        <v>375</v>
      </c>
      <c r="H220" s="4" t="s">
        <v>226</v>
      </c>
      <c r="I220" s="4"/>
      <c r="J220" s="4"/>
      <c r="K220" s="4">
        <v>212</v>
      </c>
      <c r="L220" s="4">
        <v>29</v>
      </c>
      <c r="M220" s="4">
        <v>0</v>
      </c>
      <c r="N220" s="4" t="s">
        <v>6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1</v>
      </c>
      <c r="C221" s="4">
        <v>0</v>
      </c>
      <c r="D221" s="4">
        <v>2</v>
      </c>
      <c r="E221" s="4">
        <v>0</v>
      </c>
      <c r="F221" s="4">
        <f>ROUND((F219+F220)*0.015,O221)</f>
        <v>152868.4</v>
      </c>
      <c r="G221" s="4" t="s">
        <v>376</v>
      </c>
      <c r="H221" s="4" t="s">
        <v>377</v>
      </c>
      <c r="I221" s="4"/>
      <c r="J221" s="4"/>
      <c r="K221" s="4">
        <v>212</v>
      </c>
      <c r="L221" s="4">
        <v>30</v>
      </c>
      <c r="M221" s="4">
        <v>0</v>
      </c>
      <c r="N221" s="4" t="s">
        <v>6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1</v>
      </c>
      <c r="C222" s="4">
        <v>0</v>
      </c>
      <c r="D222" s="4">
        <v>2</v>
      </c>
      <c r="E222" s="4">
        <v>0</v>
      </c>
      <c r="F222" s="4">
        <f>ROUND(F188,O222)</f>
        <v>1843.84</v>
      </c>
      <c r="G222" s="4" t="s">
        <v>378</v>
      </c>
      <c r="H222" s="4" t="s">
        <v>204</v>
      </c>
      <c r="I222" s="4"/>
      <c r="J222" s="4"/>
      <c r="K222" s="4">
        <v>212</v>
      </c>
      <c r="L222" s="4">
        <v>31</v>
      </c>
      <c r="M222" s="4">
        <v>0</v>
      </c>
      <c r="N222" s="4" t="s">
        <v>6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1</v>
      </c>
      <c r="C223" s="4">
        <v>0</v>
      </c>
      <c r="D223" s="4">
        <v>2</v>
      </c>
      <c r="E223" s="4">
        <v>0</v>
      </c>
      <c r="F223" s="4">
        <f>ROUND(F222+F221+F220+F219,O223)</f>
        <v>10345938.939999999</v>
      </c>
      <c r="G223" s="4" t="s">
        <v>379</v>
      </c>
      <c r="H223" s="4" t="s">
        <v>380</v>
      </c>
      <c r="I223" s="4"/>
      <c r="J223" s="4"/>
      <c r="K223" s="4">
        <v>212</v>
      </c>
      <c r="L223" s="4">
        <v>32</v>
      </c>
      <c r="M223" s="4">
        <v>0</v>
      </c>
      <c r="N223" s="4" t="s">
        <v>6</v>
      </c>
      <c r="O223" s="4">
        <v>2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1</v>
      </c>
      <c r="C224" s="4">
        <v>0</v>
      </c>
      <c r="D224" s="4">
        <v>2</v>
      </c>
      <c r="E224" s="4">
        <v>0</v>
      </c>
      <c r="F224" s="4">
        <f>ROUND(F223*0.2,O224)</f>
        <v>2069187.79</v>
      </c>
      <c r="G224" s="4" t="s">
        <v>381</v>
      </c>
      <c r="H224" s="4" t="s">
        <v>382</v>
      </c>
      <c r="I224" s="4"/>
      <c r="J224" s="4"/>
      <c r="K224" s="4">
        <v>212</v>
      </c>
      <c r="L224" s="4">
        <v>33</v>
      </c>
      <c r="M224" s="4">
        <v>0</v>
      </c>
      <c r="N224" s="4" t="s">
        <v>6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5" spans="1:206" x14ac:dyDescent="0.2">
      <c r="A225" s="4">
        <v>50</v>
      </c>
      <c r="B225" s="4">
        <v>1</v>
      </c>
      <c r="C225" s="4">
        <v>0</v>
      </c>
      <c r="D225" s="4">
        <v>2</v>
      </c>
      <c r="E225" s="4">
        <v>0</v>
      </c>
      <c r="F225" s="4">
        <f>ROUND(F224+F223,O225)</f>
        <v>12415126.73</v>
      </c>
      <c r="G225" s="4" t="s">
        <v>383</v>
      </c>
      <c r="H225" s="4" t="s">
        <v>384</v>
      </c>
      <c r="I225" s="4"/>
      <c r="J225" s="4"/>
      <c r="K225" s="4">
        <v>212</v>
      </c>
      <c r="L225" s="4">
        <v>34</v>
      </c>
      <c r="M225" s="4">
        <v>0</v>
      </c>
      <c r="N225" s="4" t="s">
        <v>6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7" spans="1:206" x14ac:dyDescent="0.2">
      <c r="A227" s="2">
        <v>51</v>
      </c>
      <c r="B227" s="2">
        <f>B12</f>
        <v>262</v>
      </c>
      <c r="C227" s="2">
        <f>A12</f>
        <v>1</v>
      </c>
      <c r="D227" s="2">
        <f>ROW(A12)</f>
        <v>12</v>
      </c>
      <c r="E227" s="2"/>
      <c r="F227" s="2" t="str">
        <f>IF(F12&lt;&gt;"",F12,"")</f>
        <v>5 коллектор  Строительство РП-1, 2КЛ-10кВ от ПС "Павелецкая"_(Копия)_(Копия)</v>
      </c>
      <c r="G227" s="2" t="str">
        <f>IF(G12&lt;&gt;"",G12,"")</f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H227" s="2">
        <v>0</v>
      </c>
      <c r="I227" s="2"/>
      <c r="J227" s="2"/>
      <c r="K227" s="2"/>
      <c r="L227" s="2"/>
      <c r="M227" s="2"/>
      <c r="N227" s="2"/>
      <c r="O227" s="2">
        <f t="shared" ref="O227:T227" si="124">ROUND(O190,2)</f>
        <v>8801475.4399999995</v>
      </c>
      <c r="P227" s="2">
        <f t="shared" si="124"/>
        <v>7644945.7400000002</v>
      </c>
      <c r="Q227" s="2">
        <f t="shared" si="124"/>
        <v>248817.05</v>
      </c>
      <c r="R227" s="2">
        <f t="shared" si="124"/>
        <v>117510.76</v>
      </c>
      <c r="S227" s="2">
        <f t="shared" si="124"/>
        <v>907712.65</v>
      </c>
      <c r="T227" s="2">
        <f t="shared" si="124"/>
        <v>0</v>
      </c>
      <c r="U227" s="2">
        <f>U190</f>
        <v>3538.4040961799992</v>
      </c>
      <c r="V227" s="2">
        <f>V190</f>
        <v>0</v>
      </c>
      <c r="W227" s="2">
        <f>ROUND(W190,2)</f>
        <v>0</v>
      </c>
      <c r="X227" s="2">
        <f>ROUND(X190,2)</f>
        <v>816803.05</v>
      </c>
      <c r="Y227" s="2">
        <f>ROUND(Y190,2)</f>
        <v>390300.15999999997</v>
      </c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>
        <f t="shared" ref="AO227:BD227" si="125">ROUND(AO190,2)</f>
        <v>0</v>
      </c>
      <c r="AP227" s="2">
        <f t="shared" si="125"/>
        <v>0</v>
      </c>
      <c r="AQ227" s="2">
        <f t="shared" si="125"/>
        <v>0</v>
      </c>
      <c r="AR227" s="2">
        <f t="shared" si="125"/>
        <v>10193070.539999999</v>
      </c>
      <c r="AS227" s="2">
        <f t="shared" si="125"/>
        <v>280564.13</v>
      </c>
      <c r="AT227" s="2">
        <f t="shared" si="125"/>
        <v>9910662.5700000003</v>
      </c>
      <c r="AU227" s="2">
        <f t="shared" si="125"/>
        <v>1843.84</v>
      </c>
      <c r="AV227" s="2">
        <f t="shared" si="125"/>
        <v>7644945.7400000002</v>
      </c>
      <c r="AW227" s="2">
        <f t="shared" si="125"/>
        <v>7644945.7400000002</v>
      </c>
      <c r="AX227" s="2">
        <f t="shared" si="125"/>
        <v>0</v>
      </c>
      <c r="AY227" s="2">
        <f t="shared" si="125"/>
        <v>7644945.7400000002</v>
      </c>
      <c r="AZ227" s="2">
        <f t="shared" si="125"/>
        <v>0</v>
      </c>
      <c r="BA227" s="2">
        <f t="shared" si="125"/>
        <v>0</v>
      </c>
      <c r="BB227" s="2">
        <f t="shared" si="125"/>
        <v>0</v>
      </c>
      <c r="BC227" s="2">
        <f t="shared" si="125"/>
        <v>0</v>
      </c>
      <c r="BD227" s="2">
        <f t="shared" si="125"/>
        <v>0</v>
      </c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3"/>
      <c r="DH227" s="3"/>
      <c r="DI227" s="3"/>
      <c r="DJ227" s="3"/>
      <c r="DK227" s="3"/>
      <c r="DL227" s="3"/>
      <c r="DM227" s="3"/>
      <c r="DN227" s="3"/>
      <c r="DO227" s="3"/>
      <c r="DP227" s="3"/>
      <c r="DQ227" s="3"/>
      <c r="DR227" s="3"/>
      <c r="DS227" s="3"/>
      <c r="DT227" s="3"/>
      <c r="DU227" s="3"/>
      <c r="DV227" s="3"/>
      <c r="DW227" s="3"/>
      <c r="DX227" s="3"/>
      <c r="DY227" s="3"/>
      <c r="DZ227" s="3"/>
      <c r="EA227" s="3"/>
      <c r="EB227" s="3"/>
      <c r="EC227" s="3"/>
      <c r="ED227" s="3"/>
      <c r="EE227" s="3"/>
      <c r="EF227" s="3"/>
      <c r="EG227" s="3"/>
      <c r="EH227" s="3"/>
      <c r="EI227" s="3"/>
      <c r="EJ227" s="3"/>
      <c r="EK227" s="3"/>
      <c r="EL227" s="3"/>
      <c r="EM227" s="3"/>
      <c r="EN227" s="3"/>
      <c r="EO227" s="3"/>
      <c r="EP227" s="3"/>
      <c r="EQ227" s="3"/>
      <c r="ER227" s="3"/>
      <c r="ES227" s="3"/>
      <c r="ET227" s="3"/>
      <c r="EU227" s="3"/>
      <c r="EV227" s="3"/>
      <c r="EW227" s="3"/>
      <c r="EX227" s="3"/>
      <c r="EY227" s="3"/>
      <c r="EZ227" s="3"/>
      <c r="FA227" s="3"/>
      <c r="FB227" s="3"/>
      <c r="FC227" s="3"/>
      <c r="FD227" s="3"/>
      <c r="FE227" s="3"/>
      <c r="FF227" s="3"/>
      <c r="FG227" s="3"/>
      <c r="FH227" s="3"/>
      <c r="FI227" s="3"/>
      <c r="FJ227" s="3"/>
      <c r="FK227" s="3"/>
      <c r="FL227" s="3"/>
      <c r="FM227" s="3"/>
      <c r="FN227" s="3"/>
      <c r="FO227" s="3"/>
      <c r="FP227" s="3"/>
      <c r="FQ227" s="3"/>
      <c r="FR227" s="3"/>
      <c r="FS227" s="3"/>
      <c r="FT227" s="3"/>
      <c r="FU227" s="3"/>
      <c r="FV227" s="3"/>
      <c r="FW227" s="3"/>
      <c r="FX227" s="3"/>
      <c r="FY227" s="3"/>
      <c r="FZ227" s="3"/>
      <c r="GA227" s="3"/>
      <c r="GB227" s="3"/>
      <c r="GC227" s="3"/>
      <c r="GD227" s="3"/>
      <c r="GE227" s="3"/>
      <c r="GF227" s="3"/>
      <c r="GG227" s="3"/>
      <c r="GH227" s="3"/>
      <c r="GI227" s="3"/>
      <c r="GJ227" s="3"/>
      <c r="GK227" s="3"/>
      <c r="GL227" s="3"/>
      <c r="GM227" s="3"/>
      <c r="GN227" s="3"/>
      <c r="GO227" s="3"/>
      <c r="GP227" s="3"/>
      <c r="GQ227" s="3"/>
      <c r="GR227" s="3"/>
      <c r="GS227" s="3"/>
      <c r="GT227" s="3"/>
      <c r="GU227" s="3"/>
      <c r="GV227" s="3"/>
      <c r="GW227" s="3"/>
      <c r="GX227" s="3">
        <v>0</v>
      </c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201</v>
      </c>
      <c r="F229" s="4">
        <f>ROUND(Source!O227,O229)</f>
        <v>8801475.4399999995</v>
      </c>
      <c r="G229" s="4" t="s">
        <v>170</v>
      </c>
      <c r="H229" s="4" t="s">
        <v>171</v>
      </c>
      <c r="I229" s="4"/>
      <c r="J229" s="4"/>
      <c r="K229" s="4">
        <v>201</v>
      </c>
      <c r="L229" s="4">
        <v>1</v>
      </c>
      <c r="M229" s="4">
        <v>3</v>
      </c>
      <c r="N229" s="4" t="s">
        <v>6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202</v>
      </c>
      <c r="F230" s="4">
        <f>ROUND(Source!P227,O230)</f>
        <v>7644945.7400000002</v>
      </c>
      <c r="G230" s="4" t="s">
        <v>172</v>
      </c>
      <c r="H230" s="4" t="s">
        <v>173</v>
      </c>
      <c r="I230" s="4"/>
      <c r="J230" s="4"/>
      <c r="K230" s="4">
        <v>202</v>
      </c>
      <c r="L230" s="4">
        <v>2</v>
      </c>
      <c r="M230" s="4">
        <v>3</v>
      </c>
      <c r="N230" s="4" t="s">
        <v>6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222</v>
      </c>
      <c r="F231" s="4">
        <f>ROUND(Source!AO227,O231)</f>
        <v>0</v>
      </c>
      <c r="G231" s="4" t="s">
        <v>174</v>
      </c>
      <c r="H231" s="4" t="s">
        <v>175</v>
      </c>
      <c r="I231" s="4"/>
      <c r="J231" s="4"/>
      <c r="K231" s="4">
        <v>222</v>
      </c>
      <c r="L231" s="4">
        <v>3</v>
      </c>
      <c r="M231" s="4">
        <v>3</v>
      </c>
      <c r="N231" s="4" t="s">
        <v>6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225</v>
      </c>
      <c r="F232" s="4">
        <f>ROUND(Source!AV227,O232)</f>
        <v>7644945.7400000002</v>
      </c>
      <c r="G232" s="4" t="s">
        <v>176</v>
      </c>
      <c r="H232" s="4" t="s">
        <v>177</v>
      </c>
      <c r="I232" s="4"/>
      <c r="J232" s="4"/>
      <c r="K232" s="4">
        <v>225</v>
      </c>
      <c r="L232" s="4">
        <v>4</v>
      </c>
      <c r="M232" s="4">
        <v>3</v>
      </c>
      <c r="N232" s="4" t="s">
        <v>6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226</v>
      </c>
      <c r="F233" s="4">
        <f>ROUND(Source!AW227,O233)</f>
        <v>7644945.7400000002</v>
      </c>
      <c r="G233" s="4" t="s">
        <v>178</v>
      </c>
      <c r="H233" s="4" t="s">
        <v>179</v>
      </c>
      <c r="I233" s="4"/>
      <c r="J233" s="4"/>
      <c r="K233" s="4">
        <v>226</v>
      </c>
      <c r="L233" s="4">
        <v>5</v>
      </c>
      <c r="M233" s="4">
        <v>3</v>
      </c>
      <c r="N233" s="4" t="s">
        <v>6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227</v>
      </c>
      <c r="F234" s="4">
        <f>ROUND(Source!AX227,O234)</f>
        <v>0</v>
      </c>
      <c r="G234" s="4" t="s">
        <v>180</v>
      </c>
      <c r="H234" s="4" t="s">
        <v>181</v>
      </c>
      <c r="I234" s="4"/>
      <c r="J234" s="4"/>
      <c r="K234" s="4">
        <v>227</v>
      </c>
      <c r="L234" s="4">
        <v>6</v>
      </c>
      <c r="M234" s="4">
        <v>3</v>
      </c>
      <c r="N234" s="4" t="s">
        <v>6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228</v>
      </c>
      <c r="F235" s="4">
        <f>ROUND(Source!AY227,O235)</f>
        <v>7644945.7400000002</v>
      </c>
      <c r="G235" s="4" t="s">
        <v>182</v>
      </c>
      <c r="H235" s="4" t="s">
        <v>183</v>
      </c>
      <c r="I235" s="4"/>
      <c r="J235" s="4"/>
      <c r="K235" s="4">
        <v>228</v>
      </c>
      <c r="L235" s="4">
        <v>7</v>
      </c>
      <c r="M235" s="4">
        <v>3</v>
      </c>
      <c r="N235" s="4" t="s">
        <v>6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216</v>
      </c>
      <c r="F236" s="4">
        <f>ROUND(Source!AP227,O236)</f>
        <v>0</v>
      </c>
      <c r="G236" s="4" t="s">
        <v>184</v>
      </c>
      <c r="H236" s="4" t="s">
        <v>185</v>
      </c>
      <c r="I236" s="4"/>
      <c r="J236" s="4"/>
      <c r="K236" s="4">
        <v>216</v>
      </c>
      <c r="L236" s="4">
        <v>8</v>
      </c>
      <c r="M236" s="4">
        <v>3</v>
      </c>
      <c r="N236" s="4" t="s">
        <v>6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223</v>
      </c>
      <c r="F237" s="4">
        <f>ROUND(Source!AQ227,O237)</f>
        <v>0</v>
      </c>
      <c r="G237" s="4" t="s">
        <v>186</v>
      </c>
      <c r="H237" s="4" t="s">
        <v>187</v>
      </c>
      <c r="I237" s="4"/>
      <c r="J237" s="4"/>
      <c r="K237" s="4">
        <v>223</v>
      </c>
      <c r="L237" s="4">
        <v>9</v>
      </c>
      <c r="M237" s="4">
        <v>3</v>
      </c>
      <c r="N237" s="4" t="s">
        <v>6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229</v>
      </c>
      <c r="F238" s="4">
        <f>ROUND(Source!AZ227,O238)</f>
        <v>0</v>
      </c>
      <c r="G238" s="4" t="s">
        <v>188</v>
      </c>
      <c r="H238" s="4" t="s">
        <v>189</v>
      </c>
      <c r="I238" s="4"/>
      <c r="J238" s="4"/>
      <c r="K238" s="4">
        <v>229</v>
      </c>
      <c r="L238" s="4">
        <v>10</v>
      </c>
      <c r="M238" s="4">
        <v>3</v>
      </c>
      <c r="N238" s="4" t="s">
        <v>6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203</v>
      </c>
      <c r="F239" s="4">
        <f>ROUND(Source!Q227,O239)</f>
        <v>248817.05</v>
      </c>
      <c r="G239" s="4" t="s">
        <v>190</v>
      </c>
      <c r="H239" s="4" t="s">
        <v>191</v>
      </c>
      <c r="I239" s="4"/>
      <c r="J239" s="4"/>
      <c r="K239" s="4">
        <v>203</v>
      </c>
      <c r="L239" s="4">
        <v>11</v>
      </c>
      <c r="M239" s="4">
        <v>3</v>
      </c>
      <c r="N239" s="4" t="s">
        <v>6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231</v>
      </c>
      <c r="F240" s="4">
        <f>ROUND(Source!BB227,O240)</f>
        <v>0</v>
      </c>
      <c r="G240" s="4" t="s">
        <v>192</v>
      </c>
      <c r="H240" s="4" t="s">
        <v>193</v>
      </c>
      <c r="I240" s="4"/>
      <c r="J240" s="4"/>
      <c r="K240" s="4">
        <v>231</v>
      </c>
      <c r="L240" s="4">
        <v>12</v>
      </c>
      <c r="M240" s="4">
        <v>3</v>
      </c>
      <c r="N240" s="4" t="s">
        <v>6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204</v>
      </c>
      <c r="F241" s="4">
        <f>ROUND(Source!R227,O241)</f>
        <v>117510.76</v>
      </c>
      <c r="G241" s="4" t="s">
        <v>194</v>
      </c>
      <c r="H241" s="4" t="s">
        <v>195</v>
      </c>
      <c r="I241" s="4"/>
      <c r="J241" s="4"/>
      <c r="K241" s="4">
        <v>204</v>
      </c>
      <c r="L241" s="4">
        <v>13</v>
      </c>
      <c r="M241" s="4">
        <v>3</v>
      </c>
      <c r="N241" s="4" t="s">
        <v>6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205</v>
      </c>
      <c r="F242" s="4">
        <f>ROUND(Source!S227,O242)</f>
        <v>907712.65</v>
      </c>
      <c r="G242" s="4" t="s">
        <v>196</v>
      </c>
      <c r="H242" s="4" t="s">
        <v>197</v>
      </c>
      <c r="I242" s="4"/>
      <c r="J242" s="4"/>
      <c r="K242" s="4">
        <v>205</v>
      </c>
      <c r="L242" s="4">
        <v>14</v>
      </c>
      <c r="M242" s="4">
        <v>3</v>
      </c>
      <c r="N242" s="4" t="s">
        <v>6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232</v>
      </c>
      <c r="F243" s="4">
        <f>ROUND(Source!BC227,O243)</f>
        <v>0</v>
      </c>
      <c r="G243" s="4" t="s">
        <v>198</v>
      </c>
      <c r="H243" s="4" t="s">
        <v>199</v>
      </c>
      <c r="I243" s="4"/>
      <c r="J243" s="4"/>
      <c r="K243" s="4">
        <v>232</v>
      </c>
      <c r="L243" s="4">
        <v>15</v>
      </c>
      <c r="M243" s="4">
        <v>3</v>
      </c>
      <c r="N243" s="4" t="s">
        <v>6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214</v>
      </c>
      <c r="F244" s="4">
        <f>ROUND(Source!AS227,O244)</f>
        <v>280564.13</v>
      </c>
      <c r="G244" s="4" t="s">
        <v>200</v>
      </c>
      <c r="H244" s="4" t="s">
        <v>201</v>
      </c>
      <c r="I244" s="4"/>
      <c r="J244" s="4"/>
      <c r="K244" s="4">
        <v>214</v>
      </c>
      <c r="L244" s="4">
        <v>16</v>
      </c>
      <c r="M244" s="4">
        <v>3</v>
      </c>
      <c r="N244" s="4" t="s">
        <v>6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215</v>
      </c>
      <c r="F245" s="4">
        <f>ROUND(Source!AT227,O245)</f>
        <v>9910662.5700000003</v>
      </c>
      <c r="G245" s="4" t="s">
        <v>202</v>
      </c>
      <c r="H245" s="4" t="s">
        <v>203</v>
      </c>
      <c r="I245" s="4"/>
      <c r="J245" s="4"/>
      <c r="K245" s="4">
        <v>215</v>
      </c>
      <c r="L245" s="4">
        <v>17</v>
      </c>
      <c r="M245" s="4">
        <v>3</v>
      </c>
      <c r="N245" s="4" t="s">
        <v>6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217</v>
      </c>
      <c r="F246" s="4">
        <f>ROUND(Source!AU227,O246)</f>
        <v>1843.84</v>
      </c>
      <c r="G246" s="4" t="s">
        <v>204</v>
      </c>
      <c r="H246" s="4" t="s">
        <v>205</v>
      </c>
      <c r="I246" s="4"/>
      <c r="J246" s="4"/>
      <c r="K246" s="4">
        <v>217</v>
      </c>
      <c r="L246" s="4">
        <v>18</v>
      </c>
      <c r="M246" s="4">
        <v>3</v>
      </c>
      <c r="N246" s="4" t="s">
        <v>6</v>
      </c>
      <c r="O246" s="4">
        <v>2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230</v>
      </c>
      <c r="F247" s="4">
        <f>ROUND(Source!BA227,O247)</f>
        <v>0</v>
      </c>
      <c r="G247" s="4" t="s">
        <v>206</v>
      </c>
      <c r="H247" s="4" t="s">
        <v>207</v>
      </c>
      <c r="I247" s="4"/>
      <c r="J247" s="4"/>
      <c r="K247" s="4">
        <v>230</v>
      </c>
      <c r="L247" s="4">
        <v>19</v>
      </c>
      <c r="M247" s="4">
        <v>3</v>
      </c>
      <c r="N247" s="4" t="s">
        <v>6</v>
      </c>
      <c r="O247" s="4">
        <v>2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206</v>
      </c>
      <c r="F248" s="4">
        <f>ROUND(Source!T227,O248)</f>
        <v>0</v>
      </c>
      <c r="G248" s="4" t="s">
        <v>208</v>
      </c>
      <c r="H248" s="4" t="s">
        <v>209</v>
      </c>
      <c r="I248" s="4"/>
      <c r="J248" s="4"/>
      <c r="K248" s="4">
        <v>206</v>
      </c>
      <c r="L248" s="4">
        <v>20</v>
      </c>
      <c r="M248" s="4">
        <v>3</v>
      </c>
      <c r="N248" s="4" t="s">
        <v>6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207</v>
      </c>
      <c r="F249" s="4">
        <f>Source!U227</f>
        <v>3538.4040961799992</v>
      </c>
      <c r="G249" s="4" t="s">
        <v>210</v>
      </c>
      <c r="H249" s="4" t="s">
        <v>211</v>
      </c>
      <c r="I249" s="4"/>
      <c r="J249" s="4"/>
      <c r="K249" s="4">
        <v>207</v>
      </c>
      <c r="L249" s="4">
        <v>21</v>
      </c>
      <c r="M249" s="4">
        <v>3</v>
      </c>
      <c r="N249" s="4" t="s">
        <v>6</v>
      </c>
      <c r="O249" s="4">
        <v>-1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208</v>
      </c>
      <c r="F250" s="4">
        <f>Source!V227</f>
        <v>0</v>
      </c>
      <c r="G250" s="4" t="s">
        <v>212</v>
      </c>
      <c r="H250" s="4" t="s">
        <v>213</v>
      </c>
      <c r="I250" s="4"/>
      <c r="J250" s="4"/>
      <c r="K250" s="4">
        <v>208</v>
      </c>
      <c r="L250" s="4">
        <v>22</v>
      </c>
      <c r="M250" s="4">
        <v>3</v>
      </c>
      <c r="N250" s="4" t="s">
        <v>6</v>
      </c>
      <c r="O250" s="4">
        <v>-1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209</v>
      </c>
      <c r="F251" s="4">
        <f>ROUND(Source!W227,O251)</f>
        <v>0</v>
      </c>
      <c r="G251" s="4" t="s">
        <v>214</v>
      </c>
      <c r="H251" s="4" t="s">
        <v>215</v>
      </c>
      <c r="I251" s="4"/>
      <c r="J251" s="4"/>
      <c r="K251" s="4">
        <v>209</v>
      </c>
      <c r="L251" s="4">
        <v>23</v>
      </c>
      <c r="M251" s="4">
        <v>3</v>
      </c>
      <c r="N251" s="4" t="s">
        <v>6</v>
      </c>
      <c r="O251" s="4">
        <v>2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1</v>
      </c>
      <c r="E252" s="4">
        <v>233</v>
      </c>
      <c r="F252" s="4">
        <f>ROUND(Source!BD227,O252)</f>
        <v>0</v>
      </c>
      <c r="G252" s="4" t="s">
        <v>216</v>
      </c>
      <c r="H252" s="4" t="s">
        <v>217</v>
      </c>
      <c r="I252" s="4"/>
      <c r="J252" s="4"/>
      <c r="K252" s="4">
        <v>233</v>
      </c>
      <c r="L252" s="4">
        <v>24</v>
      </c>
      <c r="M252" s="4">
        <v>3</v>
      </c>
      <c r="N252" s="4" t="s">
        <v>6</v>
      </c>
      <c r="O252" s="4">
        <v>2</v>
      </c>
      <c r="P252" s="4"/>
      <c r="Q252" s="4"/>
      <c r="R252" s="4"/>
      <c r="S252" s="4"/>
      <c r="T252" s="4"/>
      <c r="U252" s="4"/>
      <c r="V252" s="4"/>
      <c r="W252" s="4"/>
    </row>
    <row r="253" spans="1:23" x14ac:dyDescent="0.2">
      <c r="A253" s="4">
        <v>50</v>
      </c>
      <c r="B253" s="4">
        <v>0</v>
      </c>
      <c r="C253" s="4">
        <v>0</v>
      </c>
      <c r="D253" s="4">
        <v>1</v>
      </c>
      <c r="E253" s="4">
        <v>210</v>
      </c>
      <c r="F253" s="4">
        <f>ROUND(Source!X227,O253)</f>
        <v>816803.05</v>
      </c>
      <c r="G253" s="4" t="s">
        <v>218</v>
      </c>
      <c r="H253" s="4" t="s">
        <v>219</v>
      </c>
      <c r="I253" s="4"/>
      <c r="J253" s="4"/>
      <c r="K253" s="4">
        <v>210</v>
      </c>
      <c r="L253" s="4">
        <v>25</v>
      </c>
      <c r="M253" s="4">
        <v>3</v>
      </c>
      <c r="N253" s="4" t="s">
        <v>6</v>
      </c>
      <c r="O253" s="4">
        <v>2</v>
      </c>
      <c r="P253" s="4"/>
      <c r="Q253" s="4"/>
      <c r="R253" s="4"/>
      <c r="S253" s="4"/>
      <c r="T253" s="4"/>
      <c r="U253" s="4"/>
      <c r="V253" s="4"/>
      <c r="W253" s="4"/>
    </row>
    <row r="254" spans="1:23" x14ac:dyDescent="0.2">
      <c r="A254" s="4">
        <v>50</v>
      </c>
      <c r="B254" s="4">
        <v>0</v>
      </c>
      <c r="C254" s="4">
        <v>0</v>
      </c>
      <c r="D254" s="4">
        <v>1</v>
      </c>
      <c r="E254" s="4">
        <v>211</v>
      </c>
      <c r="F254" s="4">
        <f>ROUND(Source!Y227,O254)</f>
        <v>390300.15999999997</v>
      </c>
      <c r="G254" s="4" t="s">
        <v>220</v>
      </c>
      <c r="H254" s="4" t="s">
        <v>221</v>
      </c>
      <c r="I254" s="4"/>
      <c r="J254" s="4"/>
      <c r="K254" s="4">
        <v>211</v>
      </c>
      <c r="L254" s="4">
        <v>26</v>
      </c>
      <c r="M254" s="4">
        <v>3</v>
      </c>
      <c r="N254" s="4" t="s">
        <v>6</v>
      </c>
      <c r="O254" s="4">
        <v>2</v>
      </c>
      <c r="P254" s="4"/>
      <c r="Q254" s="4"/>
      <c r="R254" s="4"/>
      <c r="S254" s="4"/>
      <c r="T254" s="4"/>
      <c r="U254" s="4"/>
      <c r="V254" s="4"/>
      <c r="W254" s="4"/>
    </row>
    <row r="255" spans="1:23" x14ac:dyDescent="0.2">
      <c r="A255" s="4">
        <v>50</v>
      </c>
      <c r="B255" s="4">
        <v>0</v>
      </c>
      <c r="C255" s="4">
        <v>0</v>
      </c>
      <c r="D255" s="4">
        <v>1</v>
      </c>
      <c r="E255" s="4">
        <v>224</v>
      </c>
      <c r="F255" s="4">
        <f>ROUND(Source!AR227,O255)</f>
        <v>10193070.539999999</v>
      </c>
      <c r="G255" s="4" t="s">
        <v>222</v>
      </c>
      <c r="H255" s="4" t="s">
        <v>223</v>
      </c>
      <c r="I255" s="4"/>
      <c r="J255" s="4"/>
      <c r="K255" s="4">
        <v>224</v>
      </c>
      <c r="L255" s="4">
        <v>27</v>
      </c>
      <c r="M255" s="4">
        <v>3</v>
      </c>
      <c r="N255" s="4" t="s">
        <v>6</v>
      </c>
      <c r="O255" s="4">
        <v>2</v>
      </c>
      <c r="P255" s="4"/>
      <c r="Q255" s="4"/>
      <c r="R255" s="4"/>
      <c r="S255" s="4"/>
      <c r="T255" s="4"/>
      <c r="U255" s="4"/>
      <c r="V255" s="4"/>
      <c r="W255" s="4"/>
    </row>
    <row r="256" spans="1:23" x14ac:dyDescent="0.2">
      <c r="A256" s="4">
        <v>50</v>
      </c>
      <c r="B256" s="4">
        <v>1</v>
      </c>
      <c r="C256" s="4">
        <v>0</v>
      </c>
      <c r="D256" s="4">
        <v>2</v>
      </c>
      <c r="E256" s="4">
        <v>0</v>
      </c>
      <c r="F256" s="4">
        <f>ROUND(F229+F254+F253+F241*1.78,O256)</f>
        <v>10217747.800000001</v>
      </c>
      <c r="G256" s="4" t="s">
        <v>379</v>
      </c>
      <c r="H256" s="4" t="s">
        <v>379</v>
      </c>
      <c r="I256" s="4"/>
      <c r="J256" s="4"/>
      <c r="K256" s="4">
        <v>212</v>
      </c>
      <c r="L256" s="4">
        <v>28</v>
      </c>
      <c r="M256" s="4">
        <v>0</v>
      </c>
      <c r="N256" s="4" t="s">
        <v>6</v>
      </c>
      <c r="O256" s="4">
        <v>2</v>
      </c>
      <c r="P256" s="4"/>
      <c r="Q256" s="4"/>
      <c r="R256" s="4"/>
      <c r="S256" s="4"/>
      <c r="T256" s="4"/>
      <c r="U256" s="4"/>
      <c r="V256" s="4"/>
      <c r="W256" s="4"/>
    </row>
    <row r="257" spans="1:27" x14ac:dyDescent="0.2">
      <c r="A257" s="4">
        <v>50</v>
      </c>
      <c r="B257" s="4">
        <v>1</v>
      </c>
      <c r="C257" s="4">
        <v>0</v>
      </c>
      <c r="D257" s="4">
        <v>2</v>
      </c>
      <c r="E257" s="4">
        <v>0</v>
      </c>
      <c r="F257" s="4">
        <f>ROUND(F256*1.18,O257)</f>
        <v>12056942.4</v>
      </c>
      <c r="G257" s="4" t="s">
        <v>385</v>
      </c>
      <c r="H257" s="4" t="s">
        <v>386</v>
      </c>
      <c r="I257" s="4"/>
      <c r="J257" s="4"/>
      <c r="K257" s="4">
        <v>212</v>
      </c>
      <c r="L257" s="4">
        <v>29</v>
      </c>
      <c r="M257" s="4">
        <v>0</v>
      </c>
      <c r="N257" s="4" t="s">
        <v>6</v>
      </c>
      <c r="O257" s="4">
        <v>2</v>
      </c>
      <c r="P257" s="4"/>
      <c r="Q257" s="4"/>
      <c r="R257" s="4"/>
      <c r="S257" s="4"/>
      <c r="T257" s="4"/>
      <c r="U257" s="4"/>
      <c r="V257" s="4"/>
      <c r="W257" s="4"/>
    </row>
    <row r="260" spans="1:27" x14ac:dyDescent="0.2">
      <c r="A260">
        <v>-1</v>
      </c>
    </row>
    <row r="262" spans="1:27" x14ac:dyDescent="0.2">
      <c r="A262" s="3">
        <v>75</v>
      </c>
      <c r="B262" s="3" t="s">
        <v>387</v>
      </c>
      <c r="C262" s="3">
        <v>2019</v>
      </c>
      <c r="D262" s="3">
        <v>0</v>
      </c>
      <c r="E262" s="3">
        <v>2</v>
      </c>
      <c r="F262" s="3"/>
      <c r="G262" s="3">
        <v>0</v>
      </c>
      <c r="H262" s="3">
        <v>2</v>
      </c>
      <c r="I262" s="3">
        <v>1</v>
      </c>
      <c r="J262" s="3">
        <v>1</v>
      </c>
      <c r="K262" s="3">
        <v>93</v>
      </c>
      <c r="L262" s="3">
        <v>64</v>
      </c>
      <c r="M262" s="3">
        <v>0</v>
      </c>
      <c r="N262" s="3">
        <v>44176454</v>
      </c>
      <c r="O262" s="3">
        <v>1</v>
      </c>
    </row>
    <row r="263" spans="1:27" x14ac:dyDescent="0.2">
      <c r="A263" s="5">
        <v>1</v>
      </c>
      <c r="B263" s="5" t="s">
        <v>388</v>
      </c>
      <c r="C263" s="5" t="s">
        <v>389</v>
      </c>
      <c r="D263" s="5">
        <v>2019</v>
      </c>
      <c r="E263" s="5">
        <v>2</v>
      </c>
      <c r="F263" s="5">
        <v>1</v>
      </c>
      <c r="G263" s="5">
        <v>1</v>
      </c>
      <c r="H263" s="5">
        <v>0</v>
      </c>
      <c r="I263" s="5">
        <v>2</v>
      </c>
      <c r="J263" s="5">
        <v>1</v>
      </c>
      <c r="K263" s="5">
        <v>1</v>
      </c>
      <c r="L263" s="5">
        <v>1</v>
      </c>
      <c r="M263" s="5">
        <v>1</v>
      </c>
      <c r="N263" s="5">
        <v>1</v>
      </c>
      <c r="O263" s="5">
        <v>1</v>
      </c>
      <c r="P263" s="5">
        <v>1</v>
      </c>
      <c r="Q263" s="5">
        <v>1</v>
      </c>
      <c r="R263" s="5" t="s">
        <v>6</v>
      </c>
      <c r="S263" s="5" t="s">
        <v>6</v>
      </c>
      <c r="T263" s="5" t="s">
        <v>6</v>
      </c>
      <c r="U263" s="5" t="s">
        <v>6</v>
      </c>
      <c r="V263" s="5" t="s">
        <v>6</v>
      </c>
      <c r="W263" s="5" t="s">
        <v>6</v>
      </c>
      <c r="X263" s="5" t="s">
        <v>6</v>
      </c>
      <c r="Y263" s="5" t="s">
        <v>6</v>
      </c>
      <c r="Z263" s="5" t="s">
        <v>6</v>
      </c>
      <c r="AA263" s="5" t="s">
        <v>390</v>
      </c>
    </row>
    <row r="267" spans="1:27" x14ac:dyDescent="0.2">
      <c r="A267">
        <v>65</v>
      </c>
      <c r="C267">
        <v>1</v>
      </c>
      <c r="D267">
        <v>0</v>
      </c>
      <c r="E26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391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28578</v>
      </c>
      <c r="M1">
        <v>10</v>
      </c>
      <c r="N1">
        <v>11</v>
      </c>
      <c r="O1">
        <v>0</v>
      </c>
      <c r="P1">
        <v>0</v>
      </c>
      <c r="Q1">
        <v>3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7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8</v>
      </c>
      <c r="AI12" s="1" t="s">
        <v>9</v>
      </c>
      <c r="AJ12" s="1" t="s">
        <v>10</v>
      </c>
      <c r="AK12" s="1"/>
      <c r="AL12" s="1" t="s">
        <v>11</v>
      </c>
      <c r="AM12" s="1" t="s">
        <v>9</v>
      </c>
      <c r="AN12" s="1" t="s">
        <v>12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10</v>
      </c>
      <c r="AY12" s="1" t="s">
        <v>12</v>
      </c>
      <c r="AZ12" s="1" t="s">
        <v>6</v>
      </c>
      <c r="BA12" s="1"/>
      <c r="BB12" s="1"/>
      <c r="BC12" s="1"/>
      <c r="BD12" s="1"/>
      <c r="BE12" s="1"/>
      <c r="BF12" s="1"/>
      <c r="BG12" s="1"/>
      <c r="BH12" s="1" t="s">
        <v>13</v>
      </c>
      <c r="BI12" s="1" t="s">
        <v>14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15</v>
      </c>
      <c r="BZ12" s="1" t="s">
        <v>16</v>
      </c>
      <c r="CA12" s="1" t="s">
        <v>17</v>
      </c>
      <c r="CB12" s="1" t="s">
        <v>17</v>
      </c>
      <c r="CC12" s="1" t="s">
        <v>17</v>
      </c>
      <c r="CD12" s="1" t="s">
        <v>17</v>
      </c>
      <c r="CE12" s="1" t="s">
        <v>18</v>
      </c>
      <c r="CF12" s="1">
        <v>0</v>
      </c>
      <c r="CG12" s="1">
        <v>0</v>
      </c>
      <c r="CH12" s="1">
        <v>8</v>
      </c>
      <c r="CI12" s="1" t="s">
        <v>6</v>
      </c>
      <c r="CJ12" s="1" t="s">
        <v>6</v>
      </c>
      <c r="CK12" s="1">
        <v>53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44176454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19</v>
      </c>
      <c r="D16" s="6" t="s">
        <v>20</v>
      </c>
      <c r="E16" s="7">
        <f>(Source!F207)/1000</f>
        <v>280.56412999999998</v>
      </c>
      <c r="F16" s="7">
        <f>(Source!F208)/1000</f>
        <v>9910.6625700000004</v>
      </c>
      <c r="G16" s="7">
        <f>(Source!F199)/1000</f>
        <v>0</v>
      </c>
      <c r="H16" s="7">
        <f>(Source!F209)/1000+(Source!F210)/1000</f>
        <v>1.8438399999999999</v>
      </c>
      <c r="I16" s="7">
        <f>E16+F16+G16+H16</f>
        <v>10193.070540000001</v>
      </c>
      <c r="J16" s="7">
        <f>(Source!F205)/1000</f>
        <v>907.71265000000005</v>
      </c>
      <c r="AI16" s="6">
        <v>0</v>
      </c>
      <c r="AJ16" s="6">
        <v>-1</v>
      </c>
      <c r="AK16" s="6" t="s">
        <v>6</v>
      </c>
      <c r="AL16" s="6" t="s">
        <v>6</v>
      </c>
      <c r="AM16" s="6" t="s">
        <v>6</v>
      </c>
      <c r="AN16" s="6">
        <v>0</v>
      </c>
      <c r="AO16" s="6" t="s">
        <v>6</v>
      </c>
      <c r="AP16" s="6" t="s">
        <v>6</v>
      </c>
      <c r="AT16" s="7">
        <v>8801475.4399999995</v>
      </c>
      <c r="AU16" s="7">
        <v>7644945.7400000002</v>
      </c>
      <c r="AV16" s="7">
        <v>0</v>
      </c>
      <c r="AW16" s="7">
        <v>0</v>
      </c>
      <c r="AX16" s="7">
        <v>0</v>
      </c>
      <c r="AY16" s="7">
        <v>248817.05</v>
      </c>
      <c r="AZ16" s="7">
        <v>117510.76</v>
      </c>
      <c r="BA16" s="7">
        <v>907712.65</v>
      </c>
      <c r="BB16" s="7">
        <v>280564.13</v>
      </c>
      <c r="BC16" s="7">
        <v>9910662.5700000003</v>
      </c>
      <c r="BD16" s="7">
        <v>1843.84</v>
      </c>
      <c r="BE16" s="7">
        <v>0</v>
      </c>
      <c r="BF16" s="7">
        <v>3538.4040961800001</v>
      </c>
      <c r="BG16" s="7">
        <v>0</v>
      </c>
      <c r="BH16" s="7">
        <v>0</v>
      </c>
      <c r="BI16" s="7">
        <v>816803.05</v>
      </c>
      <c r="BJ16" s="7">
        <v>390300.15999999997</v>
      </c>
      <c r="BK16" s="7">
        <v>10193070.539999999</v>
      </c>
    </row>
    <row r="18" spans="1:19" x14ac:dyDescent="0.2">
      <c r="A18">
        <v>51</v>
      </c>
      <c r="E18" s="8">
        <f>SUMIF(A16:A17,3,E16:E17)</f>
        <v>280.56412999999998</v>
      </c>
      <c r="F18" s="8">
        <f>SUMIF(A16:A17,3,F16:F17)</f>
        <v>9910.6625700000004</v>
      </c>
      <c r="G18" s="8">
        <f>SUMIF(A16:A17,3,G16:G17)</f>
        <v>0</v>
      </c>
      <c r="H18" s="8">
        <f>SUMIF(A16:A17,3,H16:H17)</f>
        <v>1.8438399999999999</v>
      </c>
      <c r="I18" s="8">
        <f>SUMIF(A16:A17,3,I16:I17)</f>
        <v>10193.070540000001</v>
      </c>
      <c r="J18" s="8">
        <f>SUMIF(A16:A17,3,J16:J17)</f>
        <v>907.71265000000005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8801475.4399999995</v>
      </c>
      <c r="G20" s="4" t="s">
        <v>170</v>
      </c>
      <c r="H20" s="4" t="s">
        <v>171</v>
      </c>
      <c r="I20" s="4"/>
      <c r="J20" s="4"/>
      <c r="K20" s="4">
        <v>201</v>
      </c>
      <c r="L20" s="4">
        <v>1</v>
      </c>
      <c r="M20" s="4">
        <v>3</v>
      </c>
      <c r="N20" s="4" t="s">
        <v>6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7644945.7400000002</v>
      </c>
      <c r="G21" s="4" t="s">
        <v>172</v>
      </c>
      <c r="H21" s="4" t="s">
        <v>173</v>
      </c>
      <c r="I21" s="4"/>
      <c r="J21" s="4"/>
      <c r="K21" s="4">
        <v>202</v>
      </c>
      <c r="L21" s="4">
        <v>2</v>
      </c>
      <c r="M21" s="4">
        <v>3</v>
      </c>
      <c r="N21" s="4" t="s">
        <v>6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174</v>
      </c>
      <c r="H22" s="4" t="s">
        <v>175</v>
      </c>
      <c r="I22" s="4"/>
      <c r="J22" s="4"/>
      <c r="K22" s="4">
        <v>222</v>
      </c>
      <c r="L22" s="4">
        <v>3</v>
      </c>
      <c r="M22" s="4">
        <v>3</v>
      </c>
      <c r="N22" s="4" t="s">
        <v>6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7644945.7400000002</v>
      </c>
      <c r="G23" s="4" t="s">
        <v>176</v>
      </c>
      <c r="H23" s="4" t="s">
        <v>177</v>
      </c>
      <c r="I23" s="4"/>
      <c r="J23" s="4"/>
      <c r="K23" s="4">
        <v>225</v>
      </c>
      <c r="L23" s="4">
        <v>4</v>
      </c>
      <c r="M23" s="4">
        <v>3</v>
      </c>
      <c r="N23" s="4" t="s">
        <v>6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7644945.7400000002</v>
      </c>
      <c r="G24" s="4" t="s">
        <v>178</v>
      </c>
      <c r="H24" s="4" t="s">
        <v>179</v>
      </c>
      <c r="I24" s="4"/>
      <c r="J24" s="4"/>
      <c r="K24" s="4">
        <v>226</v>
      </c>
      <c r="L24" s="4">
        <v>5</v>
      </c>
      <c r="M24" s="4">
        <v>3</v>
      </c>
      <c r="N24" s="4" t="s">
        <v>6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180</v>
      </c>
      <c r="H25" s="4" t="s">
        <v>181</v>
      </c>
      <c r="I25" s="4"/>
      <c r="J25" s="4"/>
      <c r="K25" s="4">
        <v>227</v>
      </c>
      <c r="L25" s="4">
        <v>6</v>
      </c>
      <c r="M25" s="4">
        <v>3</v>
      </c>
      <c r="N25" s="4" t="s">
        <v>6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7644945.7400000002</v>
      </c>
      <c r="G26" s="4" t="s">
        <v>182</v>
      </c>
      <c r="H26" s="4" t="s">
        <v>183</v>
      </c>
      <c r="I26" s="4"/>
      <c r="J26" s="4"/>
      <c r="K26" s="4">
        <v>228</v>
      </c>
      <c r="L26" s="4">
        <v>7</v>
      </c>
      <c r="M26" s="4">
        <v>3</v>
      </c>
      <c r="N26" s="4" t="s">
        <v>6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184</v>
      </c>
      <c r="H27" s="4" t="s">
        <v>185</v>
      </c>
      <c r="I27" s="4"/>
      <c r="J27" s="4"/>
      <c r="K27" s="4">
        <v>216</v>
      </c>
      <c r="L27" s="4">
        <v>8</v>
      </c>
      <c r="M27" s="4">
        <v>3</v>
      </c>
      <c r="N27" s="4" t="s">
        <v>6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186</v>
      </c>
      <c r="H28" s="4" t="s">
        <v>187</v>
      </c>
      <c r="I28" s="4"/>
      <c r="J28" s="4"/>
      <c r="K28" s="4">
        <v>223</v>
      </c>
      <c r="L28" s="4">
        <v>9</v>
      </c>
      <c r="M28" s="4">
        <v>3</v>
      </c>
      <c r="N28" s="4" t="s">
        <v>6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188</v>
      </c>
      <c r="H29" s="4" t="s">
        <v>189</v>
      </c>
      <c r="I29" s="4"/>
      <c r="J29" s="4"/>
      <c r="K29" s="4">
        <v>229</v>
      </c>
      <c r="L29" s="4">
        <v>10</v>
      </c>
      <c r="M29" s="4">
        <v>3</v>
      </c>
      <c r="N29" s="4" t="s">
        <v>6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248817.05</v>
      </c>
      <c r="G30" s="4" t="s">
        <v>190</v>
      </c>
      <c r="H30" s="4" t="s">
        <v>191</v>
      </c>
      <c r="I30" s="4"/>
      <c r="J30" s="4"/>
      <c r="K30" s="4">
        <v>203</v>
      </c>
      <c r="L30" s="4">
        <v>11</v>
      </c>
      <c r="M30" s="4">
        <v>3</v>
      </c>
      <c r="N30" s="4" t="s">
        <v>6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192</v>
      </c>
      <c r="H31" s="4" t="s">
        <v>193</v>
      </c>
      <c r="I31" s="4"/>
      <c r="J31" s="4"/>
      <c r="K31" s="4">
        <v>231</v>
      </c>
      <c r="L31" s="4">
        <v>12</v>
      </c>
      <c r="M31" s="4">
        <v>3</v>
      </c>
      <c r="N31" s="4" t="s">
        <v>6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117510.76</v>
      </c>
      <c r="G32" s="4" t="s">
        <v>194</v>
      </c>
      <c r="H32" s="4" t="s">
        <v>195</v>
      </c>
      <c r="I32" s="4"/>
      <c r="J32" s="4"/>
      <c r="K32" s="4">
        <v>204</v>
      </c>
      <c r="L32" s="4">
        <v>13</v>
      </c>
      <c r="M32" s="4">
        <v>3</v>
      </c>
      <c r="N32" s="4" t="s">
        <v>6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907712.65</v>
      </c>
      <c r="G33" s="4" t="s">
        <v>196</v>
      </c>
      <c r="H33" s="4" t="s">
        <v>197</v>
      </c>
      <c r="I33" s="4"/>
      <c r="J33" s="4"/>
      <c r="K33" s="4">
        <v>205</v>
      </c>
      <c r="L33" s="4">
        <v>14</v>
      </c>
      <c r="M33" s="4">
        <v>3</v>
      </c>
      <c r="N33" s="4" t="s">
        <v>6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198</v>
      </c>
      <c r="H34" s="4" t="s">
        <v>199</v>
      </c>
      <c r="I34" s="4"/>
      <c r="J34" s="4"/>
      <c r="K34" s="4">
        <v>232</v>
      </c>
      <c r="L34" s="4">
        <v>15</v>
      </c>
      <c r="M34" s="4">
        <v>3</v>
      </c>
      <c r="N34" s="4" t="s">
        <v>6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280564.13</v>
      </c>
      <c r="G35" s="4" t="s">
        <v>200</v>
      </c>
      <c r="H35" s="4" t="s">
        <v>201</v>
      </c>
      <c r="I35" s="4"/>
      <c r="J35" s="4"/>
      <c r="K35" s="4">
        <v>214</v>
      </c>
      <c r="L35" s="4">
        <v>16</v>
      </c>
      <c r="M35" s="4">
        <v>3</v>
      </c>
      <c r="N35" s="4" t="s">
        <v>6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9910662.5700000003</v>
      </c>
      <c r="G36" s="4" t="s">
        <v>202</v>
      </c>
      <c r="H36" s="4" t="s">
        <v>203</v>
      </c>
      <c r="I36" s="4"/>
      <c r="J36" s="4"/>
      <c r="K36" s="4">
        <v>215</v>
      </c>
      <c r="L36" s="4">
        <v>17</v>
      </c>
      <c r="M36" s="4">
        <v>3</v>
      </c>
      <c r="N36" s="4" t="s">
        <v>6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1843.84</v>
      </c>
      <c r="G37" s="4" t="s">
        <v>204</v>
      </c>
      <c r="H37" s="4" t="s">
        <v>205</v>
      </c>
      <c r="I37" s="4"/>
      <c r="J37" s="4"/>
      <c r="K37" s="4">
        <v>217</v>
      </c>
      <c r="L37" s="4">
        <v>18</v>
      </c>
      <c r="M37" s="4">
        <v>3</v>
      </c>
      <c r="N37" s="4" t="s">
        <v>6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206</v>
      </c>
      <c r="H38" s="4" t="s">
        <v>207</v>
      </c>
      <c r="I38" s="4"/>
      <c r="J38" s="4"/>
      <c r="K38" s="4">
        <v>230</v>
      </c>
      <c r="L38" s="4">
        <v>19</v>
      </c>
      <c r="M38" s="4">
        <v>3</v>
      </c>
      <c r="N38" s="4" t="s">
        <v>6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208</v>
      </c>
      <c r="H39" s="4" t="s">
        <v>209</v>
      </c>
      <c r="I39" s="4"/>
      <c r="J39" s="4"/>
      <c r="K39" s="4">
        <v>206</v>
      </c>
      <c r="L39" s="4">
        <v>20</v>
      </c>
      <c r="M39" s="4">
        <v>3</v>
      </c>
      <c r="N39" s="4" t="s">
        <v>6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3538.4040961800001</v>
      </c>
      <c r="G40" s="4" t="s">
        <v>210</v>
      </c>
      <c r="H40" s="4" t="s">
        <v>211</v>
      </c>
      <c r="I40" s="4"/>
      <c r="J40" s="4"/>
      <c r="K40" s="4">
        <v>207</v>
      </c>
      <c r="L40" s="4">
        <v>21</v>
      </c>
      <c r="M40" s="4">
        <v>3</v>
      </c>
      <c r="N40" s="4" t="s">
        <v>6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212</v>
      </c>
      <c r="H41" s="4" t="s">
        <v>213</v>
      </c>
      <c r="I41" s="4"/>
      <c r="J41" s="4"/>
      <c r="K41" s="4">
        <v>208</v>
      </c>
      <c r="L41" s="4">
        <v>22</v>
      </c>
      <c r="M41" s="4">
        <v>3</v>
      </c>
      <c r="N41" s="4" t="s">
        <v>6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214</v>
      </c>
      <c r="H42" s="4" t="s">
        <v>215</v>
      </c>
      <c r="I42" s="4"/>
      <c r="J42" s="4"/>
      <c r="K42" s="4">
        <v>209</v>
      </c>
      <c r="L42" s="4">
        <v>23</v>
      </c>
      <c r="M42" s="4">
        <v>3</v>
      </c>
      <c r="N42" s="4" t="s">
        <v>6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216</v>
      </c>
      <c r="H43" s="4" t="s">
        <v>217</v>
      </c>
      <c r="I43" s="4"/>
      <c r="J43" s="4"/>
      <c r="K43" s="4">
        <v>233</v>
      </c>
      <c r="L43" s="4">
        <v>24</v>
      </c>
      <c r="M43" s="4">
        <v>3</v>
      </c>
      <c r="N43" s="4" t="s">
        <v>6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816803.05</v>
      </c>
      <c r="G44" s="4" t="s">
        <v>218</v>
      </c>
      <c r="H44" s="4" t="s">
        <v>219</v>
      </c>
      <c r="I44" s="4"/>
      <c r="J44" s="4"/>
      <c r="K44" s="4">
        <v>210</v>
      </c>
      <c r="L44" s="4">
        <v>25</v>
      </c>
      <c r="M44" s="4">
        <v>3</v>
      </c>
      <c r="N44" s="4" t="s">
        <v>6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390300.15999999997</v>
      </c>
      <c r="G45" s="4" t="s">
        <v>220</v>
      </c>
      <c r="H45" s="4" t="s">
        <v>221</v>
      </c>
      <c r="I45" s="4"/>
      <c r="J45" s="4"/>
      <c r="K45" s="4">
        <v>211</v>
      </c>
      <c r="L45" s="4">
        <v>26</v>
      </c>
      <c r="M45" s="4">
        <v>3</v>
      </c>
      <c r="N45" s="4" t="s">
        <v>6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10193070.539999999</v>
      </c>
      <c r="G46" s="4" t="s">
        <v>222</v>
      </c>
      <c r="H46" s="4" t="s">
        <v>223</v>
      </c>
      <c r="I46" s="4"/>
      <c r="J46" s="4"/>
      <c r="K46" s="4">
        <v>224</v>
      </c>
      <c r="L46" s="4">
        <v>27</v>
      </c>
      <c r="M46" s="4">
        <v>3</v>
      </c>
      <c r="N46" s="4" t="s">
        <v>6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10217747.800000001</v>
      </c>
      <c r="G47" s="4" t="s">
        <v>379</v>
      </c>
      <c r="H47" s="4" t="s">
        <v>379</v>
      </c>
      <c r="I47" s="4"/>
      <c r="J47" s="4"/>
      <c r="K47" s="4">
        <v>212</v>
      </c>
      <c r="L47" s="4">
        <v>28</v>
      </c>
      <c r="M47" s="4">
        <v>0</v>
      </c>
      <c r="N47" s="4" t="s">
        <v>6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12056942.4</v>
      </c>
      <c r="G48" s="4" t="s">
        <v>385</v>
      </c>
      <c r="H48" s="4" t="s">
        <v>386</v>
      </c>
      <c r="I48" s="4"/>
      <c r="J48" s="4"/>
      <c r="K48" s="4">
        <v>212</v>
      </c>
      <c r="L48" s="4">
        <v>29</v>
      </c>
      <c r="M48" s="4">
        <v>0</v>
      </c>
      <c r="N48" s="4" t="s">
        <v>6</v>
      </c>
      <c r="O48" s="4">
        <v>2</v>
      </c>
      <c r="P48" s="4"/>
    </row>
    <row r="50" spans="1:27" x14ac:dyDescent="0.2">
      <c r="A50">
        <v>-1</v>
      </c>
    </row>
    <row r="53" spans="1:27" x14ac:dyDescent="0.2">
      <c r="A53" s="3">
        <v>75</v>
      </c>
      <c r="B53" s="3" t="s">
        <v>387</v>
      </c>
      <c r="C53" s="3">
        <v>2019</v>
      </c>
      <c r="D53" s="3">
        <v>0</v>
      </c>
      <c r="E53" s="3">
        <v>2</v>
      </c>
      <c r="F53" s="3"/>
      <c r="G53" s="3">
        <v>0</v>
      </c>
      <c r="H53" s="3">
        <v>2</v>
      </c>
      <c r="I53" s="3">
        <v>1</v>
      </c>
      <c r="J53" s="3">
        <v>1</v>
      </c>
      <c r="K53" s="3">
        <v>93</v>
      </c>
      <c r="L53" s="3">
        <v>64</v>
      </c>
      <c r="M53" s="3">
        <v>0</v>
      </c>
      <c r="N53" s="3">
        <v>44176454</v>
      </c>
      <c r="O53" s="3">
        <v>1</v>
      </c>
    </row>
    <row r="54" spans="1:27" x14ac:dyDescent="0.2">
      <c r="A54" s="5">
        <v>1</v>
      </c>
      <c r="B54" s="5" t="s">
        <v>388</v>
      </c>
      <c r="C54" s="5" t="s">
        <v>389</v>
      </c>
      <c r="D54" s="5">
        <v>2019</v>
      </c>
      <c r="E54" s="5">
        <v>2</v>
      </c>
      <c r="F54" s="5">
        <v>1</v>
      </c>
      <c r="G54" s="5">
        <v>1</v>
      </c>
      <c r="H54" s="5">
        <v>0</v>
      </c>
      <c r="I54" s="5">
        <v>2</v>
      </c>
      <c r="J54" s="5">
        <v>1</v>
      </c>
      <c r="K54" s="5">
        <v>1</v>
      </c>
      <c r="L54" s="5">
        <v>1</v>
      </c>
      <c r="M54" s="5">
        <v>1</v>
      </c>
      <c r="N54" s="5">
        <v>1</v>
      </c>
      <c r="O54" s="5">
        <v>1</v>
      </c>
      <c r="P54" s="5">
        <v>1</v>
      </c>
      <c r="Q54" s="5">
        <v>1</v>
      </c>
      <c r="R54" s="5" t="s">
        <v>6</v>
      </c>
      <c r="S54" s="5" t="s">
        <v>6</v>
      </c>
      <c r="T54" s="5" t="s">
        <v>6</v>
      </c>
      <c r="U54" s="5" t="s">
        <v>6</v>
      </c>
      <c r="V54" s="5" t="s">
        <v>6</v>
      </c>
      <c r="W54" s="5" t="s">
        <v>6</v>
      </c>
      <c r="X54" s="5" t="s">
        <v>6</v>
      </c>
      <c r="Y54" s="5" t="s">
        <v>6</v>
      </c>
      <c r="Z54" s="5" t="s">
        <v>6</v>
      </c>
      <c r="AA54" s="5" t="s">
        <v>390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6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ROW(Source!A28)</f>
        <v>28</v>
      </c>
      <c r="B1">
        <v>44176454</v>
      </c>
      <c r="C1">
        <v>44175931</v>
      </c>
      <c r="D1">
        <v>34984826</v>
      </c>
      <c r="E1">
        <v>34959076</v>
      </c>
      <c r="F1">
        <v>1</v>
      </c>
      <c r="G1">
        <v>34959076</v>
      </c>
      <c r="H1">
        <v>1</v>
      </c>
      <c r="I1" t="s">
        <v>392</v>
      </c>
      <c r="J1" t="s">
        <v>6</v>
      </c>
      <c r="K1" t="s">
        <v>393</v>
      </c>
      <c r="L1">
        <v>1191</v>
      </c>
      <c r="N1">
        <v>1013</v>
      </c>
      <c r="O1" t="s">
        <v>394</v>
      </c>
      <c r="P1" t="s">
        <v>394</v>
      </c>
      <c r="Q1">
        <v>1</v>
      </c>
      <c r="W1">
        <v>0</v>
      </c>
      <c r="X1">
        <v>476480486</v>
      </c>
      <c r="Y1">
        <v>236.89999999999998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6</v>
      </c>
      <c r="AT1">
        <v>206</v>
      </c>
      <c r="AU1" t="s">
        <v>29</v>
      </c>
      <c r="AV1">
        <v>1</v>
      </c>
      <c r="AW1">
        <v>2</v>
      </c>
      <c r="AX1">
        <v>44175938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0</v>
      </c>
      <c r="CY1">
        <f>AD1</f>
        <v>0</v>
      </c>
      <c r="CZ1">
        <f>AH1</f>
        <v>0</v>
      </c>
      <c r="DA1">
        <f>AL1</f>
        <v>1</v>
      </c>
      <c r="DB1">
        <f>ROUND((ROUND(AT1*CZ1,2)*1.15),6)</f>
        <v>0</v>
      </c>
      <c r="DC1">
        <f>ROUND((ROUND(AT1*AG1,2)*1.15),6)</f>
        <v>0</v>
      </c>
    </row>
    <row r="2" spans="1:107" x14ac:dyDescent="0.2">
      <c r="A2">
        <f>ROW(Source!A28)</f>
        <v>28</v>
      </c>
      <c r="B2">
        <v>44176454</v>
      </c>
      <c r="C2">
        <v>44175931</v>
      </c>
      <c r="D2">
        <v>35065072</v>
      </c>
      <c r="E2">
        <v>1</v>
      </c>
      <c r="F2">
        <v>1</v>
      </c>
      <c r="G2">
        <v>34959076</v>
      </c>
      <c r="H2">
        <v>2</v>
      </c>
      <c r="I2" t="s">
        <v>395</v>
      </c>
      <c r="J2" t="s">
        <v>396</v>
      </c>
      <c r="K2" t="s">
        <v>397</v>
      </c>
      <c r="L2">
        <v>1367</v>
      </c>
      <c r="N2">
        <v>1011</v>
      </c>
      <c r="O2" t="s">
        <v>398</v>
      </c>
      <c r="P2" t="s">
        <v>398</v>
      </c>
      <c r="Q2">
        <v>1</v>
      </c>
      <c r="W2">
        <v>0</v>
      </c>
      <c r="X2">
        <v>-668768829</v>
      </c>
      <c r="Y2">
        <v>114.99999999999999</v>
      </c>
      <c r="AA2">
        <v>0</v>
      </c>
      <c r="AB2">
        <v>444.48</v>
      </c>
      <c r="AC2">
        <v>299.08999999999997</v>
      </c>
      <c r="AD2">
        <v>0</v>
      </c>
      <c r="AE2">
        <v>0</v>
      </c>
      <c r="AF2">
        <v>41.62</v>
      </c>
      <c r="AG2">
        <v>13.33</v>
      </c>
      <c r="AH2">
        <v>0</v>
      </c>
      <c r="AI2">
        <v>1</v>
      </c>
      <c r="AJ2">
        <v>10.199999999999999</v>
      </c>
      <c r="AK2">
        <v>21.43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6</v>
      </c>
      <c r="AT2">
        <v>100</v>
      </c>
      <c r="AU2" t="s">
        <v>29</v>
      </c>
      <c r="AV2">
        <v>0</v>
      </c>
      <c r="AW2">
        <v>2</v>
      </c>
      <c r="AX2">
        <v>44175939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0</v>
      </c>
      <c r="CY2">
        <f>AB2</f>
        <v>444.48</v>
      </c>
      <c r="CZ2">
        <f>AF2</f>
        <v>41.62</v>
      </c>
      <c r="DA2">
        <f>AJ2</f>
        <v>10.199999999999999</v>
      </c>
      <c r="DB2">
        <f>ROUND((ROUND(AT2*CZ2,2)*1.15),6)</f>
        <v>4786.3</v>
      </c>
      <c r="DC2">
        <f>ROUND((ROUND(AT2*AG2,2)*1.15),6)</f>
        <v>1532.95</v>
      </c>
    </row>
    <row r="3" spans="1:107" x14ac:dyDescent="0.2">
      <c r="A3">
        <f>ROW(Source!A28)</f>
        <v>28</v>
      </c>
      <c r="B3">
        <v>44176454</v>
      </c>
      <c r="C3">
        <v>44175931</v>
      </c>
      <c r="D3">
        <v>35065539</v>
      </c>
      <c r="E3">
        <v>1</v>
      </c>
      <c r="F3">
        <v>1</v>
      </c>
      <c r="G3">
        <v>34959076</v>
      </c>
      <c r="H3">
        <v>2</v>
      </c>
      <c r="I3" t="s">
        <v>399</v>
      </c>
      <c r="J3" t="s">
        <v>400</v>
      </c>
      <c r="K3" t="s">
        <v>401</v>
      </c>
      <c r="L3">
        <v>1367</v>
      </c>
      <c r="N3">
        <v>1011</v>
      </c>
      <c r="O3" t="s">
        <v>398</v>
      </c>
      <c r="P3" t="s">
        <v>398</v>
      </c>
      <c r="Q3">
        <v>1</v>
      </c>
      <c r="W3">
        <v>0</v>
      </c>
      <c r="X3">
        <v>-48163219</v>
      </c>
      <c r="Y3">
        <v>229.99999999999997</v>
      </c>
      <c r="AA3">
        <v>0</v>
      </c>
      <c r="AB3">
        <v>5.56</v>
      </c>
      <c r="AC3">
        <v>0.9</v>
      </c>
      <c r="AD3">
        <v>0</v>
      </c>
      <c r="AE3">
        <v>0</v>
      </c>
      <c r="AF3">
        <v>3.16</v>
      </c>
      <c r="AG3">
        <v>0.04</v>
      </c>
      <c r="AH3">
        <v>0</v>
      </c>
      <c r="AI3">
        <v>1</v>
      </c>
      <c r="AJ3">
        <v>1.68</v>
      </c>
      <c r="AK3">
        <v>21.43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6</v>
      </c>
      <c r="AT3">
        <v>200</v>
      </c>
      <c r="AU3" t="s">
        <v>29</v>
      </c>
      <c r="AV3">
        <v>0</v>
      </c>
      <c r="AW3">
        <v>2</v>
      </c>
      <c r="AX3">
        <v>44175940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Y3*Source!I28</f>
        <v>0</v>
      </c>
      <c r="CY3">
        <f>AB3</f>
        <v>5.56</v>
      </c>
      <c r="CZ3">
        <f>AF3</f>
        <v>3.16</v>
      </c>
      <c r="DA3">
        <f>AJ3</f>
        <v>1.68</v>
      </c>
      <c r="DB3">
        <f>ROUND((ROUND(AT3*CZ3,2)*1.15),6)</f>
        <v>726.8</v>
      </c>
      <c r="DC3">
        <f>ROUND((ROUND(AT3*AG3,2)*1.15),6)</f>
        <v>9.1999999999999993</v>
      </c>
    </row>
    <row r="4" spans="1:107" x14ac:dyDescent="0.2">
      <c r="A4">
        <f>ROW(Source!A29)</f>
        <v>29</v>
      </c>
      <c r="B4">
        <v>44176454</v>
      </c>
      <c r="C4">
        <v>44175941</v>
      </c>
      <c r="D4">
        <v>34984826</v>
      </c>
      <c r="E4">
        <v>34959076</v>
      </c>
      <c r="F4">
        <v>1</v>
      </c>
      <c r="G4">
        <v>34959076</v>
      </c>
      <c r="H4">
        <v>1</v>
      </c>
      <c r="I4" t="s">
        <v>392</v>
      </c>
      <c r="J4" t="s">
        <v>6</v>
      </c>
      <c r="K4" t="s">
        <v>393</v>
      </c>
      <c r="L4">
        <v>1191</v>
      </c>
      <c r="N4">
        <v>1013</v>
      </c>
      <c r="O4" t="s">
        <v>394</v>
      </c>
      <c r="P4" t="s">
        <v>394</v>
      </c>
      <c r="Q4">
        <v>1</v>
      </c>
      <c r="W4">
        <v>0</v>
      </c>
      <c r="X4">
        <v>476480486</v>
      </c>
      <c r="Y4">
        <v>1.02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6</v>
      </c>
      <c r="AT4">
        <v>1.02</v>
      </c>
      <c r="AU4" t="s">
        <v>6</v>
      </c>
      <c r="AV4">
        <v>1</v>
      </c>
      <c r="AW4">
        <v>2</v>
      </c>
      <c r="AX4">
        <v>44175944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Y4*Source!I29</f>
        <v>3.8454000000000002</v>
      </c>
      <c r="CY4">
        <f>AD4</f>
        <v>0</v>
      </c>
      <c r="CZ4">
        <f>AH4</f>
        <v>0</v>
      </c>
      <c r="DA4">
        <f>AL4</f>
        <v>1</v>
      </c>
      <c r="DB4">
        <f>ROUND(ROUND(AT4*CZ4,2),6)</f>
        <v>0</v>
      </c>
      <c r="DC4">
        <f>ROUND(ROUND(AT4*AG4,2),6)</f>
        <v>0</v>
      </c>
    </row>
    <row r="5" spans="1:107" x14ac:dyDescent="0.2">
      <c r="A5">
        <f>ROW(Source!A30)</f>
        <v>30</v>
      </c>
      <c r="B5">
        <v>44176454</v>
      </c>
      <c r="C5">
        <v>44175945</v>
      </c>
      <c r="D5">
        <v>34984826</v>
      </c>
      <c r="E5">
        <v>34959076</v>
      </c>
      <c r="F5">
        <v>1</v>
      </c>
      <c r="G5">
        <v>34959076</v>
      </c>
      <c r="H5">
        <v>1</v>
      </c>
      <c r="I5" t="s">
        <v>392</v>
      </c>
      <c r="J5" t="s">
        <v>6</v>
      </c>
      <c r="K5" t="s">
        <v>393</v>
      </c>
      <c r="L5">
        <v>1191</v>
      </c>
      <c r="N5">
        <v>1013</v>
      </c>
      <c r="O5" t="s">
        <v>394</v>
      </c>
      <c r="P5" t="s">
        <v>394</v>
      </c>
      <c r="Q5">
        <v>1</v>
      </c>
      <c r="W5">
        <v>0</v>
      </c>
      <c r="X5">
        <v>476480486</v>
      </c>
      <c r="Y5">
        <v>198.72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6</v>
      </c>
      <c r="AT5">
        <v>144</v>
      </c>
      <c r="AU5" t="s">
        <v>45</v>
      </c>
      <c r="AV5">
        <v>1</v>
      </c>
      <c r="AW5">
        <v>2</v>
      </c>
      <c r="AX5">
        <v>44175956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0</v>
      </c>
      <c r="CY5">
        <f>AD5</f>
        <v>0</v>
      </c>
      <c r="CZ5">
        <f>AH5</f>
        <v>0</v>
      </c>
      <c r="DA5">
        <f>AL5</f>
        <v>1</v>
      </c>
      <c r="DB5">
        <f>ROUND((ROUND(AT5*CZ5,2)*1.15*1.2),6)</f>
        <v>0</v>
      </c>
      <c r="DC5">
        <f>ROUND((ROUND(AT5*AG5,2)*1.15*1.2),6)</f>
        <v>0</v>
      </c>
    </row>
    <row r="6" spans="1:107" x14ac:dyDescent="0.2">
      <c r="A6">
        <f>ROW(Source!A30)</f>
        <v>30</v>
      </c>
      <c r="B6">
        <v>44176454</v>
      </c>
      <c r="C6">
        <v>44175945</v>
      </c>
      <c r="D6">
        <v>35047318</v>
      </c>
      <c r="E6">
        <v>1</v>
      </c>
      <c r="F6">
        <v>1</v>
      </c>
      <c r="G6">
        <v>34959076</v>
      </c>
      <c r="H6">
        <v>3</v>
      </c>
      <c r="I6" t="s">
        <v>55</v>
      </c>
      <c r="J6" t="s">
        <v>57</v>
      </c>
      <c r="K6" t="s">
        <v>56</v>
      </c>
      <c r="L6">
        <v>1301</v>
      </c>
      <c r="N6">
        <v>1003</v>
      </c>
      <c r="O6" t="s">
        <v>52</v>
      </c>
      <c r="P6" t="s">
        <v>52</v>
      </c>
      <c r="Q6">
        <v>1</v>
      </c>
      <c r="W6">
        <v>0</v>
      </c>
      <c r="X6">
        <v>-828904142</v>
      </c>
      <c r="Y6">
        <v>-990</v>
      </c>
      <c r="AA6">
        <v>85.35</v>
      </c>
      <c r="AB6">
        <v>0</v>
      </c>
      <c r="AC6">
        <v>0</v>
      </c>
      <c r="AD6">
        <v>0</v>
      </c>
      <c r="AE6">
        <v>15.01</v>
      </c>
      <c r="AF6">
        <v>0</v>
      </c>
      <c r="AG6">
        <v>0</v>
      </c>
      <c r="AH6">
        <v>0</v>
      </c>
      <c r="AI6">
        <v>5.26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6</v>
      </c>
      <c r="AT6">
        <v>-990</v>
      </c>
      <c r="AU6" t="s">
        <v>6</v>
      </c>
      <c r="AV6">
        <v>0</v>
      </c>
      <c r="AW6">
        <v>2</v>
      </c>
      <c r="AX6">
        <v>44175957</v>
      </c>
      <c r="AY6">
        <v>1</v>
      </c>
      <c r="AZ6">
        <v>6144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0</v>
      </c>
      <c r="CY6">
        <f>AA6</f>
        <v>85.35</v>
      </c>
      <c r="CZ6">
        <f>AE6</f>
        <v>15.01</v>
      </c>
      <c r="DA6">
        <f>AI6</f>
        <v>5.26</v>
      </c>
      <c r="DB6">
        <f>ROUND(ROUND(AT6*CZ6,2),6)</f>
        <v>-14859.9</v>
      </c>
      <c r="DC6">
        <f>ROUND(ROUND(AT6*AG6,2),6)</f>
        <v>0</v>
      </c>
    </row>
    <row r="7" spans="1:107" x14ac:dyDescent="0.2">
      <c r="A7">
        <f>ROW(Source!A30)</f>
        <v>30</v>
      </c>
      <c r="B7">
        <v>44176454</v>
      </c>
      <c r="C7">
        <v>44175945</v>
      </c>
      <c r="D7">
        <v>0</v>
      </c>
      <c r="E7">
        <v>1</v>
      </c>
      <c r="F7">
        <v>1</v>
      </c>
      <c r="G7">
        <v>34959076</v>
      </c>
      <c r="H7">
        <v>3</v>
      </c>
      <c r="I7" t="s">
        <v>50</v>
      </c>
      <c r="J7" t="s">
        <v>402</v>
      </c>
      <c r="K7" t="s">
        <v>403</v>
      </c>
      <c r="L7">
        <v>1301</v>
      </c>
      <c r="N7">
        <v>1003</v>
      </c>
      <c r="O7" t="s">
        <v>52</v>
      </c>
      <c r="P7" t="s">
        <v>52</v>
      </c>
      <c r="Q7">
        <v>1</v>
      </c>
      <c r="W7">
        <v>0</v>
      </c>
      <c r="X7">
        <v>1030232243</v>
      </c>
      <c r="Y7">
        <v>1000</v>
      </c>
      <c r="AA7">
        <v>13.96</v>
      </c>
      <c r="AB7">
        <v>0</v>
      </c>
      <c r="AC7">
        <v>0</v>
      </c>
      <c r="AD7">
        <v>0</v>
      </c>
      <c r="AE7">
        <v>12.91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0</v>
      </c>
      <c r="AP7">
        <v>0</v>
      </c>
      <c r="AQ7">
        <v>0</v>
      </c>
      <c r="AR7">
        <v>0</v>
      </c>
      <c r="AS7" t="s">
        <v>6</v>
      </c>
      <c r="AT7">
        <v>1000</v>
      </c>
      <c r="AU7" t="s">
        <v>6</v>
      </c>
      <c r="AV7">
        <v>0</v>
      </c>
      <c r="AW7">
        <v>1</v>
      </c>
      <c r="AX7">
        <v>-1</v>
      </c>
      <c r="AY7">
        <v>0</v>
      </c>
      <c r="AZ7">
        <v>0</v>
      </c>
      <c r="BA7" t="s">
        <v>6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Y7*Source!I30</f>
        <v>0</v>
      </c>
      <c r="CY7">
        <f>AA7</f>
        <v>13.96</v>
      </c>
      <c r="CZ7">
        <f>AE7</f>
        <v>12.91</v>
      </c>
      <c r="DA7">
        <f>AI7</f>
        <v>1</v>
      </c>
      <c r="DB7">
        <f>ROUND(ROUND(AT7*CZ7,2),6)</f>
        <v>12910</v>
      </c>
      <c r="DC7">
        <f>ROUND(ROUND(AT7*AG7,2),6)</f>
        <v>0</v>
      </c>
    </row>
    <row r="8" spans="1:107" x14ac:dyDescent="0.2">
      <c r="A8">
        <f>ROW(Source!A30)</f>
        <v>30</v>
      </c>
      <c r="B8">
        <v>44176454</v>
      </c>
      <c r="C8">
        <v>44175945</v>
      </c>
      <c r="D8">
        <v>35047317</v>
      </c>
      <c r="E8">
        <v>1</v>
      </c>
      <c r="F8">
        <v>1</v>
      </c>
      <c r="G8">
        <v>34959076</v>
      </c>
      <c r="H8">
        <v>3</v>
      </c>
      <c r="I8" t="s">
        <v>50</v>
      </c>
      <c r="J8" t="s">
        <v>53</v>
      </c>
      <c r="K8" t="s">
        <v>51</v>
      </c>
      <c r="L8">
        <v>1301</v>
      </c>
      <c r="N8">
        <v>1003</v>
      </c>
      <c r="O8" t="s">
        <v>52</v>
      </c>
      <c r="P8" t="s">
        <v>52</v>
      </c>
      <c r="Q8">
        <v>1</v>
      </c>
      <c r="W8">
        <v>0</v>
      </c>
      <c r="X8">
        <v>-1397492615</v>
      </c>
      <c r="Y8">
        <v>1000</v>
      </c>
      <c r="AA8">
        <v>136.88999999999999</v>
      </c>
      <c r="AB8">
        <v>0</v>
      </c>
      <c r="AC8">
        <v>0</v>
      </c>
      <c r="AD8">
        <v>0</v>
      </c>
      <c r="AE8">
        <v>24.4</v>
      </c>
      <c r="AF8">
        <v>0</v>
      </c>
      <c r="AG8">
        <v>0</v>
      </c>
      <c r="AH8">
        <v>0</v>
      </c>
      <c r="AI8">
        <v>5.19</v>
      </c>
      <c r="AJ8">
        <v>1</v>
      </c>
      <c r="AK8">
        <v>1</v>
      </c>
      <c r="AL8">
        <v>1</v>
      </c>
      <c r="AN8">
        <v>0</v>
      </c>
      <c r="AO8">
        <v>0</v>
      </c>
      <c r="AP8">
        <v>0</v>
      </c>
      <c r="AQ8">
        <v>0</v>
      </c>
      <c r="AR8">
        <v>0</v>
      </c>
      <c r="AS8" t="s">
        <v>6</v>
      </c>
      <c r="AT8">
        <v>1000</v>
      </c>
      <c r="AU8" t="s">
        <v>6</v>
      </c>
      <c r="AV8">
        <v>0</v>
      </c>
      <c r="AW8">
        <v>1</v>
      </c>
      <c r="AX8">
        <v>-1</v>
      </c>
      <c r="AY8">
        <v>0</v>
      </c>
      <c r="AZ8">
        <v>0</v>
      </c>
      <c r="BA8" t="s">
        <v>6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Y8*Source!I30</f>
        <v>0</v>
      </c>
      <c r="CY8">
        <f>AA8</f>
        <v>136.88999999999999</v>
      </c>
      <c r="CZ8">
        <f>AE8</f>
        <v>24.4</v>
      </c>
      <c r="DA8">
        <f>AI8</f>
        <v>5.19</v>
      </c>
      <c r="DB8">
        <f>ROUND(ROUND(AT8*CZ8,2),6)</f>
        <v>24400</v>
      </c>
      <c r="DC8">
        <f>ROUND(ROUND(AT8*AG8,2),6)</f>
        <v>0</v>
      </c>
    </row>
    <row r="9" spans="1:107" x14ac:dyDescent="0.2">
      <c r="A9">
        <f>ROW(Source!A30)</f>
        <v>30</v>
      </c>
      <c r="B9">
        <v>44176454</v>
      </c>
      <c r="C9">
        <v>44175945</v>
      </c>
      <c r="D9">
        <v>0</v>
      </c>
      <c r="E9">
        <v>1</v>
      </c>
      <c r="F9">
        <v>1</v>
      </c>
      <c r="G9">
        <v>34959076</v>
      </c>
      <c r="H9">
        <v>3</v>
      </c>
      <c r="I9" t="s">
        <v>404</v>
      </c>
      <c r="J9" t="s">
        <v>405</v>
      </c>
      <c r="K9" t="s">
        <v>406</v>
      </c>
      <c r="L9">
        <v>1358</v>
      </c>
      <c r="N9">
        <v>1010</v>
      </c>
      <c r="O9" t="s">
        <v>407</v>
      </c>
      <c r="P9" t="s">
        <v>407</v>
      </c>
      <c r="Q9">
        <v>10</v>
      </c>
      <c r="W9">
        <v>0</v>
      </c>
      <c r="X9">
        <v>118030174</v>
      </c>
      <c r="Y9">
        <v>32</v>
      </c>
      <c r="AA9">
        <v>156.5</v>
      </c>
      <c r="AB9">
        <v>0</v>
      </c>
      <c r="AC9">
        <v>0</v>
      </c>
      <c r="AD9">
        <v>0</v>
      </c>
      <c r="AE9">
        <v>144.77000000000001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6</v>
      </c>
      <c r="AT9">
        <v>32</v>
      </c>
      <c r="AU9" t="s">
        <v>6</v>
      </c>
      <c r="AV9">
        <v>0</v>
      </c>
      <c r="AW9">
        <v>2</v>
      </c>
      <c r="AX9">
        <v>44175958</v>
      </c>
      <c r="AY9">
        <v>1</v>
      </c>
      <c r="AZ9">
        <v>0</v>
      </c>
      <c r="BA9">
        <v>7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Y9*Source!I30</f>
        <v>0</v>
      </c>
      <c r="CY9">
        <f>AA9</f>
        <v>156.5</v>
      </c>
      <c r="CZ9">
        <f>AE9</f>
        <v>144.77000000000001</v>
      </c>
      <c r="DA9">
        <f>AI9</f>
        <v>1</v>
      </c>
      <c r="DB9">
        <f>ROUND(ROUND(AT9*CZ9,2),6)</f>
        <v>4632.6400000000003</v>
      </c>
      <c r="DC9">
        <f>ROUND(ROUND(AT9*AG9,2),6)</f>
        <v>0</v>
      </c>
    </row>
    <row r="10" spans="1:107" x14ac:dyDescent="0.2">
      <c r="A10">
        <f>ROW(Source!A30)</f>
        <v>30</v>
      </c>
      <c r="B10">
        <v>44176454</v>
      </c>
      <c r="C10">
        <v>44175945</v>
      </c>
      <c r="D10">
        <v>34984822</v>
      </c>
      <c r="E10">
        <v>34959076</v>
      </c>
      <c r="F10">
        <v>1</v>
      </c>
      <c r="G10">
        <v>34959076</v>
      </c>
      <c r="H10">
        <v>3</v>
      </c>
      <c r="I10" t="s">
        <v>408</v>
      </c>
      <c r="J10" t="s">
        <v>6</v>
      </c>
      <c r="K10" t="s">
        <v>409</v>
      </c>
      <c r="L10">
        <v>1344</v>
      </c>
      <c r="N10">
        <v>1008</v>
      </c>
      <c r="O10" t="s">
        <v>410</v>
      </c>
      <c r="P10" t="s">
        <v>410</v>
      </c>
      <c r="Q10">
        <v>1</v>
      </c>
      <c r="W10">
        <v>0</v>
      </c>
      <c r="X10">
        <v>-94250534</v>
      </c>
      <c r="Y10">
        <v>61.6</v>
      </c>
      <c r="AA10">
        <v>1.08</v>
      </c>
      <c r="AB10">
        <v>0</v>
      </c>
      <c r="AC10">
        <v>0</v>
      </c>
      <c r="AD10">
        <v>0</v>
      </c>
      <c r="AE10">
        <v>1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6</v>
      </c>
      <c r="AT10">
        <v>61.6</v>
      </c>
      <c r="AU10" t="s">
        <v>6</v>
      </c>
      <c r="AV10">
        <v>0</v>
      </c>
      <c r="AW10">
        <v>2</v>
      </c>
      <c r="AX10">
        <v>44175959</v>
      </c>
      <c r="AY10">
        <v>1</v>
      </c>
      <c r="AZ10">
        <v>0</v>
      </c>
      <c r="BA10">
        <v>8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Y10*Source!I30</f>
        <v>0</v>
      </c>
      <c r="CY10">
        <f>AA10</f>
        <v>1.08</v>
      </c>
      <c r="CZ10">
        <f>AE10</f>
        <v>1</v>
      </c>
      <c r="DA10">
        <f>AI10</f>
        <v>1</v>
      </c>
      <c r="DB10">
        <f>ROUND(ROUND(AT10*CZ10,2),6)</f>
        <v>61.6</v>
      </c>
      <c r="DC10">
        <f>ROUND(ROUND(AT10*AG10,2),6)</f>
        <v>0</v>
      </c>
    </row>
    <row r="11" spans="1:107" x14ac:dyDescent="0.2">
      <c r="A11">
        <f>ROW(Source!A33)</f>
        <v>33</v>
      </c>
      <c r="B11">
        <v>44176454</v>
      </c>
      <c r="C11">
        <v>44175962</v>
      </c>
      <c r="D11">
        <v>34984826</v>
      </c>
      <c r="E11">
        <v>34959076</v>
      </c>
      <c r="F11">
        <v>1</v>
      </c>
      <c r="G11">
        <v>34959076</v>
      </c>
      <c r="H11">
        <v>1</v>
      </c>
      <c r="I11" t="s">
        <v>392</v>
      </c>
      <c r="J11" t="s">
        <v>6</v>
      </c>
      <c r="K11" t="s">
        <v>393</v>
      </c>
      <c r="L11">
        <v>1191</v>
      </c>
      <c r="N11">
        <v>1013</v>
      </c>
      <c r="O11" t="s">
        <v>394</v>
      </c>
      <c r="P11" t="s">
        <v>394</v>
      </c>
      <c r="Q11">
        <v>1</v>
      </c>
      <c r="W11">
        <v>0</v>
      </c>
      <c r="X11">
        <v>476480486</v>
      </c>
      <c r="Y11">
        <v>74.75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6</v>
      </c>
      <c r="AT11">
        <v>65</v>
      </c>
      <c r="AU11" t="s">
        <v>29</v>
      </c>
      <c r="AV11">
        <v>1</v>
      </c>
      <c r="AW11">
        <v>2</v>
      </c>
      <c r="AX11">
        <v>44175971</v>
      </c>
      <c r="AY11">
        <v>1</v>
      </c>
      <c r="AZ11">
        <v>0</v>
      </c>
      <c r="BA11">
        <v>9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Y11*Source!I33</f>
        <v>0</v>
      </c>
      <c r="CY11">
        <f>AD11</f>
        <v>0</v>
      </c>
      <c r="CZ11">
        <f>AH11</f>
        <v>0</v>
      </c>
      <c r="DA11">
        <f>AL11</f>
        <v>1</v>
      </c>
      <c r="DB11">
        <f>ROUND((ROUND(AT11*CZ11,2)*1.15),6)</f>
        <v>0</v>
      </c>
      <c r="DC11">
        <f>ROUND((ROUND(AT11*AG11,2)*1.15),6)</f>
        <v>0</v>
      </c>
    </row>
    <row r="12" spans="1:107" x14ac:dyDescent="0.2">
      <c r="A12">
        <f>ROW(Source!A33)</f>
        <v>33</v>
      </c>
      <c r="B12">
        <v>44176454</v>
      </c>
      <c r="C12">
        <v>44175962</v>
      </c>
      <c r="D12">
        <v>35064968</v>
      </c>
      <c r="E12">
        <v>1</v>
      </c>
      <c r="F12">
        <v>1</v>
      </c>
      <c r="G12">
        <v>34959076</v>
      </c>
      <c r="H12">
        <v>2</v>
      </c>
      <c r="I12" t="s">
        <v>411</v>
      </c>
      <c r="J12" t="s">
        <v>412</v>
      </c>
      <c r="K12" t="s">
        <v>413</v>
      </c>
      <c r="L12">
        <v>1367</v>
      </c>
      <c r="N12">
        <v>1011</v>
      </c>
      <c r="O12" t="s">
        <v>398</v>
      </c>
      <c r="P12" t="s">
        <v>398</v>
      </c>
      <c r="Q12">
        <v>1</v>
      </c>
      <c r="W12">
        <v>0</v>
      </c>
      <c r="X12">
        <v>-1052892802</v>
      </c>
      <c r="Y12">
        <v>5.4049999999999994</v>
      </c>
      <c r="AA12">
        <v>0</v>
      </c>
      <c r="AB12">
        <v>490.09</v>
      </c>
      <c r="AC12">
        <v>289.95</v>
      </c>
      <c r="AD12">
        <v>0</v>
      </c>
      <c r="AE12">
        <v>0</v>
      </c>
      <c r="AF12">
        <v>52.95</v>
      </c>
      <c r="AG12">
        <v>13.2</v>
      </c>
      <c r="AH12">
        <v>0</v>
      </c>
      <c r="AI12">
        <v>1</v>
      </c>
      <c r="AJ12">
        <v>9.0299999999999994</v>
      </c>
      <c r="AK12">
        <v>21.43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6</v>
      </c>
      <c r="AT12">
        <v>4.7</v>
      </c>
      <c r="AU12" t="s">
        <v>29</v>
      </c>
      <c r="AV12">
        <v>0</v>
      </c>
      <c r="AW12">
        <v>2</v>
      </c>
      <c r="AX12">
        <v>44175972</v>
      </c>
      <c r="AY12">
        <v>1</v>
      </c>
      <c r="AZ12">
        <v>0</v>
      </c>
      <c r="BA12">
        <v>10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Y12*Source!I33</f>
        <v>0</v>
      </c>
      <c r="CY12">
        <f>AB12</f>
        <v>490.09</v>
      </c>
      <c r="CZ12">
        <f>AF12</f>
        <v>52.95</v>
      </c>
      <c r="DA12">
        <f>AJ12</f>
        <v>9.0299999999999994</v>
      </c>
      <c r="DB12">
        <f>ROUND((ROUND(AT12*CZ12,2)*1.15),6)</f>
        <v>286.20049999999998</v>
      </c>
      <c r="DC12">
        <f>ROUND((ROUND(AT12*AG12,2)*1.15),6)</f>
        <v>71.346000000000004</v>
      </c>
    </row>
    <row r="13" spans="1:107" x14ac:dyDescent="0.2">
      <c r="A13">
        <f>ROW(Source!A33)</f>
        <v>33</v>
      </c>
      <c r="B13">
        <v>44176454</v>
      </c>
      <c r="C13">
        <v>44175962</v>
      </c>
      <c r="D13">
        <v>34984824</v>
      </c>
      <c r="E13">
        <v>34959076</v>
      </c>
      <c r="F13">
        <v>1</v>
      </c>
      <c r="G13">
        <v>34959076</v>
      </c>
      <c r="H13">
        <v>2</v>
      </c>
      <c r="I13" t="s">
        <v>414</v>
      </c>
      <c r="J13" t="s">
        <v>6</v>
      </c>
      <c r="K13" t="s">
        <v>415</v>
      </c>
      <c r="L13">
        <v>1344</v>
      </c>
      <c r="N13">
        <v>1008</v>
      </c>
      <c r="O13" t="s">
        <v>410</v>
      </c>
      <c r="P13" t="s">
        <v>410</v>
      </c>
      <c r="Q13">
        <v>1</v>
      </c>
      <c r="W13">
        <v>0</v>
      </c>
      <c r="X13">
        <v>-1180195794</v>
      </c>
      <c r="Y13">
        <v>29.945999999999998</v>
      </c>
      <c r="AA13">
        <v>0</v>
      </c>
      <c r="AB13">
        <v>1.03</v>
      </c>
      <c r="AC13">
        <v>0</v>
      </c>
      <c r="AD13">
        <v>0</v>
      </c>
      <c r="AE13">
        <v>0</v>
      </c>
      <c r="AF13">
        <v>1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6</v>
      </c>
      <c r="AT13">
        <v>26.04</v>
      </c>
      <c r="AU13" t="s">
        <v>29</v>
      </c>
      <c r="AV13">
        <v>0</v>
      </c>
      <c r="AW13">
        <v>2</v>
      </c>
      <c r="AX13">
        <v>44175973</v>
      </c>
      <c r="AY13">
        <v>1</v>
      </c>
      <c r="AZ13">
        <v>0</v>
      </c>
      <c r="BA13">
        <v>11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Y13*Source!I33</f>
        <v>0</v>
      </c>
      <c r="CY13">
        <f>AB13</f>
        <v>1.03</v>
      </c>
      <c r="CZ13">
        <f>AF13</f>
        <v>1</v>
      </c>
      <c r="DA13">
        <f>AJ13</f>
        <v>1</v>
      </c>
      <c r="DB13">
        <f>ROUND((ROUND(AT13*CZ13,2)*1.15),6)</f>
        <v>29.946000000000002</v>
      </c>
      <c r="DC13">
        <f>ROUND((ROUND(AT13*AG13,2)*1.15),6)</f>
        <v>0</v>
      </c>
    </row>
    <row r="14" spans="1:107" x14ac:dyDescent="0.2">
      <c r="A14">
        <f>ROW(Source!A33)</f>
        <v>33</v>
      </c>
      <c r="B14">
        <v>44176454</v>
      </c>
      <c r="C14">
        <v>44175962</v>
      </c>
      <c r="D14">
        <v>35043099</v>
      </c>
      <c r="E14">
        <v>1</v>
      </c>
      <c r="F14">
        <v>1</v>
      </c>
      <c r="G14">
        <v>34959076</v>
      </c>
      <c r="H14">
        <v>3</v>
      </c>
      <c r="I14" t="s">
        <v>416</v>
      </c>
      <c r="J14" t="s">
        <v>417</v>
      </c>
      <c r="K14" t="s">
        <v>418</v>
      </c>
      <c r="L14">
        <v>1327</v>
      </c>
      <c r="N14">
        <v>1005</v>
      </c>
      <c r="O14" t="s">
        <v>338</v>
      </c>
      <c r="P14" t="s">
        <v>338</v>
      </c>
      <c r="Q14">
        <v>1</v>
      </c>
      <c r="W14">
        <v>0</v>
      </c>
      <c r="X14">
        <v>1732130389</v>
      </c>
      <c r="Y14">
        <v>2.77</v>
      </c>
      <c r="AA14">
        <v>584.62</v>
      </c>
      <c r="AB14">
        <v>0</v>
      </c>
      <c r="AC14">
        <v>0</v>
      </c>
      <c r="AD14">
        <v>0</v>
      </c>
      <c r="AE14">
        <v>33.56</v>
      </c>
      <c r="AF14">
        <v>0</v>
      </c>
      <c r="AG14">
        <v>0</v>
      </c>
      <c r="AH14">
        <v>0</v>
      </c>
      <c r="AI14">
        <v>17.420000000000002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6</v>
      </c>
      <c r="AT14">
        <v>2.77</v>
      </c>
      <c r="AU14" t="s">
        <v>6</v>
      </c>
      <c r="AV14">
        <v>0</v>
      </c>
      <c r="AW14">
        <v>2</v>
      </c>
      <c r="AX14">
        <v>44175975</v>
      </c>
      <c r="AY14">
        <v>1</v>
      </c>
      <c r="AZ14">
        <v>0</v>
      </c>
      <c r="BA14">
        <v>13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Y14*Source!I33</f>
        <v>0</v>
      </c>
      <c r="CY14">
        <f>AA14</f>
        <v>584.62</v>
      </c>
      <c r="CZ14">
        <f>AE14</f>
        <v>33.56</v>
      </c>
      <c r="DA14">
        <f>AI14</f>
        <v>17.420000000000002</v>
      </c>
      <c r="DB14">
        <f>ROUND(ROUND(AT14*CZ14,2),6)</f>
        <v>92.96</v>
      </c>
      <c r="DC14">
        <f>ROUND(ROUND(AT14*AG14,2),6)</f>
        <v>0</v>
      </c>
    </row>
    <row r="15" spans="1:107" x14ac:dyDescent="0.2">
      <c r="A15">
        <f>ROW(Source!A33)</f>
        <v>33</v>
      </c>
      <c r="B15">
        <v>44176454</v>
      </c>
      <c r="C15">
        <v>44175962</v>
      </c>
      <c r="D15">
        <v>35043897</v>
      </c>
      <c r="E15">
        <v>1</v>
      </c>
      <c r="F15">
        <v>1</v>
      </c>
      <c r="G15">
        <v>34959076</v>
      </c>
      <c r="H15">
        <v>3</v>
      </c>
      <c r="I15" t="s">
        <v>68</v>
      </c>
      <c r="J15" t="s">
        <v>71</v>
      </c>
      <c r="K15" t="s">
        <v>69</v>
      </c>
      <c r="L15">
        <v>1339</v>
      </c>
      <c r="N15">
        <v>1007</v>
      </c>
      <c r="O15" t="s">
        <v>70</v>
      </c>
      <c r="P15" t="s">
        <v>70</v>
      </c>
      <c r="Q15">
        <v>1</v>
      </c>
      <c r="W15">
        <v>0</v>
      </c>
      <c r="X15">
        <v>-862991314</v>
      </c>
      <c r="Y15">
        <v>8.4000000000000005E-2</v>
      </c>
      <c r="AA15">
        <v>32.24</v>
      </c>
      <c r="AB15">
        <v>0</v>
      </c>
      <c r="AC15">
        <v>0</v>
      </c>
      <c r="AD15">
        <v>0</v>
      </c>
      <c r="AE15">
        <v>7.07</v>
      </c>
      <c r="AF15">
        <v>0</v>
      </c>
      <c r="AG15">
        <v>0</v>
      </c>
      <c r="AH15">
        <v>0</v>
      </c>
      <c r="AI15">
        <v>4.5599999999999996</v>
      </c>
      <c r="AJ15">
        <v>1</v>
      </c>
      <c r="AK15">
        <v>1</v>
      </c>
      <c r="AL15">
        <v>1</v>
      </c>
      <c r="AN15">
        <v>0</v>
      </c>
      <c r="AO15">
        <v>0</v>
      </c>
      <c r="AP15">
        <v>0</v>
      </c>
      <c r="AQ15">
        <v>0</v>
      </c>
      <c r="AR15">
        <v>0</v>
      </c>
      <c r="AS15" t="s">
        <v>6</v>
      </c>
      <c r="AT15">
        <v>8.4000000000000005E-2</v>
      </c>
      <c r="AU15" t="s">
        <v>6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6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Y15*Source!I33</f>
        <v>0</v>
      </c>
      <c r="CY15">
        <f>AA15</f>
        <v>32.24</v>
      </c>
      <c r="CZ15">
        <f>AE15</f>
        <v>7.07</v>
      </c>
      <c r="DA15">
        <f>AI15</f>
        <v>4.5599999999999996</v>
      </c>
      <c r="DB15">
        <f>ROUND(ROUND(AT15*CZ15,2),6)</f>
        <v>0.59</v>
      </c>
      <c r="DC15">
        <f>ROUND(ROUND(AT15*AG15,2),6)</f>
        <v>0</v>
      </c>
    </row>
    <row r="16" spans="1:107" x14ac:dyDescent="0.2">
      <c r="A16">
        <f>ROW(Source!A33)</f>
        <v>33</v>
      </c>
      <c r="B16">
        <v>44176454</v>
      </c>
      <c r="C16">
        <v>44175962</v>
      </c>
      <c r="D16">
        <v>35058911</v>
      </c>
      <c r="E16">
        <v>1</v>
      </c>
      <c r="F16">
        <v>1</v>
      </c>
      <c r="G16">
        <v>34959076</v>
      </c>
      <c r="H16">
        <v>3</v>
      </c>
      <c r="I16" t="s">
        <v>78</v>
      </c>
      <c r="J16" t="s">
        <v>80</v>
      </c>
      <c r="K16" t="s">
        <v>79</v>
      </c>
      <c r="L16">
        <v>1339</v>
      </c>
      <c r="N16">
        <v>1007</v>
      </c>
      <c r="O16" t="s">
        <v>70</v>
      </c>
      <c r="P16" t="s">
        <v>70</v>
      </c>
      <c r="Q16">
        <v>1</v>
      </c>
      <c r="W16">
        <v>0</v>
      </c>
      <c r="X16">
        <v>1242656201</v>
      </c>
      <c r="Y16">
        <v>1.208</v>
      </c>
      <c r="AA16">
        <v>2953.97</v>
      </c>
      <c r="AB16">
        <v>0</v>
      </c>
      <c r="AC16">
        <v>0</v>
      </c>
      <c r="AD16">
        <v>0</v>
      </c>
      <c r="AE16">
        <v>475.68</v>
      </c>
      <c r="AF16">
        <v>0</v>
      </c>
      <c r="AG16">
        <v>0</v>
      </c>
      <c r="AH16">
        <v>0</v>
      </c>
      <c r="AI16">
        <v>6.21</v>
      </c>
      <c r="AJ16">
        <v>1</v>
      </c>
      <c r="AK16">
        <v>1</v>
      </c>
      <c r="AL16">
        <v>1</v>
      </c>
      <c r="AN16">
        <v>0</v>
      </c>
      <c r="AO16">
        <v>0</v>
      </c>
      <c r="AP16">
        <v>0</v>
      </c>
      <c r="AQ16">
        <v>0</v>
      </c>
      <c r="AR16">
        <v>0</v>
      </c>
      <c r="AS16" t="s">
        <v>6</v>
      </c>
      <c r="AT16">
        <v>1.208</v>
      </c>
      <c r="AU16" t="s">
        <v>6</v>
      </c>
      <c r="AV16">
        <v>0</v>
      </c>
      <c r="AW16">
        <v>1</v>
      </c>
      <c r="AX16">
        <v>-1</v>
      </c>
      <c r="AY16">
        <v>0</v>
      </c>
      <c r="AZ16">
        <v>0</v>
      </c>
      <c r="BA16" t="s">
        <v>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Y16*Source!I33</f>
        <v>0</v>
      </c>
      <c r="CY16">
        <f>AA16</f>
        <v>2953.97</v>
      </c>
      <c r="CZ16">
        <f>AE16</f>
        <v>475.68</v>
      </c>
      <c r="DA16">
        <f>AI16</f>
        <v>6.21</v>
      </c>
      <c r="DB16">
        <f>ROUND(ROUND(AT16*CZ16,2),6)</f>
        <v>574.62</v>
      </c>
      <c r="DC16">
        <f>ROUND(ROUND(AT16*AG16,2),6)</f>
        <v>0</v>
      </c>
    </row>
    <row r="17" spans="1:107" x14ac:dyDescent="0.2">
      <c r="A17">
        <f>ROW(Source!A33)</f>
        <v>33</v>
      </c>
      <c r="B17">
        <v>44176454</v>
      </c>
      <c r="C17">
        <v>44175962</v>
      </c>
      <c r="D17">
        <v>35058927</v>
      </c>
      <c r="E17">
        <v>1</v>
      </c>
      <c r="F17">
        <v>1</v>
      </c>
      <c r="G17">
        <v>34959076</v>
      </c>
      <c r="H17">
        <v>3</v>
      </c>
      <c r="I17" t="s">
        <v>73</v>
      </c>
      <c r="J17" t="s">
        <v>76</v>
      </c>
      <c r="K17" t="s">
        <v>74</v>
      </c>
      <c r="L17">
        <v>1348</v>
      </c>
      <c r="N17">
        <v>1009</v>
      </c>
      <c r="O17" t="s">
        <v>75</v>
      </c>
      <c r="P17" t="s">
        <v>75</v>
      </c>
      <c r="Q17">
        <v>1000</v>
      </c>
      <c r="W17">
        <v>0</v>
      </c>
      <c r="X17">
        <v>-364773001</v>
      </c>
      <c r="Y17">
        <v>0.48</v>
      </c>
      <c r="AA17">
        <v>4735.16</v>
      </c>
      <c r="AB17">
        <v>0</v>
      </c>
      <c r="AC17">
        <v>0</v>
      </c>
      <c r="AD17">
        <v>0</v>
      </c>
      <c r="AE17">
        <v>1517.68</v>
      </c>
      <c r="AF17">
        <v>0</v>
      </c>
      <c r="AG17">
        <v>0</v>
      </c>
      <c r="AH17">
        <v>0</v>
      </c>
      <c r="AI17">
        <v>3.12</v>
      </c>
      <c r="AJ17">
        <v>1</v>
      </c>
      <c r="AK17">
        <v>1</v>
      </c>
      <c r="AL17">
        <v>1</v>
      </c>
      <c r="AN17">
        <v>0</v>
      </c>
      <c r="AO17">
        <v>0</v>
      </c>
      <c r="AP17">
        <v>0</v>
      </c>
      <c r="AQ17">
        <v>0</v>
      </c>
      <c r="AR17">
        <v>0</v>
      </c>
      <c r="AS17" t="s">
        <v>6</v>
      </c>
      <c r="AT17">
        <v>0.48</v>
      </c>
      <c r="AU17" t="s">
        <v>6</v>
      </c>
      <c r="AV17">
        <v>0</v>
      </c>
      <c r="AW17">
        <v>1</v>
      </c>
      <c r="AX17">
        <v>-1</v>
      </c>
      <c r="AY17">
        <v>0</v>
      </c>
      <c r="AZ17">
        <v>0</v>
      </c>
      <c r="BA17" t="s">
        <v>6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Y17*Source!I33</f>
        <v>0</v>
      </c>
      <c r="CY17">
        <f>AA17</f>
        <v>4735.16</v>
      </c>
      <c r="CZ17">
        <f>AE17</f>
        <v>1517.68</v>
      </c>
      <c r="DA17">
        <f>AI17</f>
        <v>3.12</v>
      </c>
      <c r="DB17">
        <f>ROUND(ROUND(AT17*CZ17,2),6)</f>
        <v>728.49</v>
      </c>
      <c r="DC17">
        <f>ROUND(ROUND(AT17*AG17,2),6)</f>
        <v>0</v>
      </c>
    </row>
    <row r="18" spans="1:107" x14ac:dyDescent="0.2">
      <c r="A18">
        <f>ROW(Source!A33)</f>
        <v>33</v>
      </c>
      <c r="B18">
        <v>44176454</v>
      </c>
      <c r="C18">
        <v>44175962</v>
      </c>
      <c r="D18">
        <v>34984822</v>
      </c>
      <c r="E18">
        <v>34959076</v>
      </c>
      <c r="F18">
        <v>1</v>
      </c>
      <c r="G18">
        <v>34959076</v>
      </c>
      <c r="H18">
        <v>3</v>
      </c>
      <c r="I18" t="s">
        <v>408</v>
      </c>
      <c r="J18" t="s">
        <v>6</v>
      </c>
      <c r="K18" t="s">
        <v>409</v>
      </c>
      <c r="L18">
        <v>1344</v>
      </c>
      <c r="N18">
        <v>1008</v>
      </c>
      <c r="O18" t="s">
        <v>410</v>
      </c>
      <c r="P18" t="s">
        <v>410</v>
      </c>
      <c r="Q18">
        <v>1</v>
      </c>
      <c r="W18">
        <v>0</v>
      </c>
      <c r="X18">
        <v>-94250534</v>
      </c>
      <c r="Y18">
        <v>2.25</v>
      </c>
      <c r="AA18">
        <v>1</v>
      </c>
      <c r="AB18">
        <v>0</v>
      </c>
      <c r="AC18">
        <v>0</v>
      </c>
      <c r="AD18">
        <v>0</v>
      </c>
      <c r="AE18">
        <v>1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6</v>
      </c>
      <c r="AT18">
        <v>2.25</v>
      </c>
      <c r="AU18" t="s">
        <v>6</v>
      </c>
      <c r="AV18">
        <v>0</v>
      </c>
      <c r="AW18">
        <v>2</v>
      </c>
      <c r="AX18">
        <v>44175978</v>
      </c>
      <c r="AY18">
        <v>1</v>
      </c>
      <c r="AZ18">
        <v>0</v>
      </c>
      <c r="BA18">
        <v>16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Y18*Source!I33</f>
        <v>0</v>
      </c>
      <c r="CY18">
        <f>AA18</f>
        <v>1</v>
      </c>
      <c r="CZ18">
        <f>AE18</f>
        <v>1</v>
      </c>
      <c r="DA18">
        <f>AI18</f>
        <v>1</v>
      </c>
      <c r="DB18">
        <f>ROUND(ROUND(AT18*CZ18,2),6)</f>
        <v>2.25</v>
      </c>
      <c r="DC18">
        <f>ROUND(ROUND(AT18*AG18,2),6)</f>
        <v>0</v>
      </c>
    </row>
    <row r="19" spans="1:107" x14ac:dyDescent="0.2">
      <c r="A19">
        <f>ROW(Source!A37)</f>
        <v>37</v>
      </c>
      <c r="B19">
        <v>44176454</v>
      </c>
      <c r="C19">
        <v>44175982</v>
      </c>
      <c r="D19">
        <v>34984826</v>
      </c>
      <c r="E19">
        <v>34959076</v>
      </c>
      <c r="F19">
        <v>1</v>
      </c>
      <c r="G19">
        <v>34959076</v>
      </c>
      <c r="H19">
        <v>1</v>
      </c>
      <c r="I19" t="s">
        <v>392</v>
      </c>
      <c r="J19" t="s">
        <v>6</v>
      </c>
      <c r="K19" t="s">
        <v>393</v>
      </c>
      <c r="L19">
        <v>1191</v>
      </c>
      <c r="N19">
        <v>1013</v>
      </c>
      <c r="O19" t="s">
        <v>394</v>
      </c>
      <c r="P19" t="s">
        <v>394</v>
      </c>
      <c r="Q19">
        <v>1</v>
      </c>
      <c r="W19">
        <v>0</v>
      </c>
      <c r="X19">
        <v>476480486</v>
      </c>
      <c r="Y19">
        <v>44.849999999999994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6</v>
      </c>
      <c r="AT19">
        <v>39</v>
      </c>
      <c r="AU19" t="s">
        <v>29</v>
      </c>
      <c r="AV19">
        <v>1</v>
      </c>
      <c r="AW19">
        <v>2</v>
      </c>
      <c r="AX19">
        <v>44175991</v>
      </c>
      <c r="AY19">
        <v>1</v>
      </c>
      <c r="AZ19">
        <v>0</v>
      </c>
      <c r="BA19">
        <v>17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Y19*Source!I37</f>
        <v>0</v>
      </c>
      <c r="CY19">
        <f>AD19</f>
        <v>0</v>
      </c>
      <c r="CZ19">
        <f>AH19</f>
        <v>0</v>
      </c>
      <c r="DA19">
        <f>AL19</f>
        <v>1</v>
      </c>
      <c r="DB19">
        <f>ROUND((ROUND(AT19*CZ19,2)*1.15),6)</f>
        <v>0</v>
      </c>
      <c r="DC19">
        <f>ROUND((ROUND(AT19*AG19,2)*1.15),6)</f>
        <v>0</v>
      </c>
    </row>
    <row r="20" spans="1:107" x14ac:dyDescent="0.2">
      <c r="A20">
        <f>ROW(Source!A37)</f>
        <v>37</v>
      </c>
      <c r="B20">
        <v>44176454</v>
      </c>
      <c r="C20">
        <v>44175982</v>
      </c>
      <c r="D20">
        <v>34984824</v>
      </c>
      <c r="E20">
        <v>34959076</v>
      </c>
      <c r="F20">
        <v>1</v>
      </c>
      <c r="G20">
        <v>34959076</v>
      </c>
      <c r="H20">
        <v>2</v>
      </c>
      <c r="I20" t="s">
        <v>414</v>
      </c>
      <c r="J20" t="s">
        <v>6</v>
      </c>
      <c r="K20" t="s">
        <v>415</v>
      </c>
      <c r="L20">
        <v>1344</v>
      </c>
      <c r="N20">
        <v>1008</v>
      </c>
      <c r="O20" t="s">
        <v>410</v>
      </c>
      <c r="P20" t="s">
        <v>410</v>
      </c>
      <c r="Q20">
        <v>1</v>
      </c>
      <c r="W20">
        <v>0</v>
      </c>
      <c r="X20">
        <v>-1180195794</v>
      </c>
      <c r="Y20">
        <v>81.983500000000006</v>
      </c>
      <c r="AA20">
        <v>0</v>
      </c>
      <c r="AB20">
        <v>1.05</v>
      </c>
      <c r="AC20">
        <v>0</v>
      </c>
      <c r="AD20">
        <v>0</v>
      </c>
      <c r="AE20">
        <v>0</v>
      </c>
      <c r="AF20">
        <v>1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6</v>
      </c>
      <c r="AT20">
        <v>71.290000000000006</v>
      </c>
      <c r="AU20" t="s">
        <v>29</v>
      </c>
      <c r="AV20">
        <v>0</v>
      </c>
      <c r="AW20">
        <v>2</v>
      </c>
      <c r="AX20">
        <v>44175992</v>
      </c>
      <c r="AY20">
        <v>1</v>
      </c>
      <c r="AZ20">
        <v>0</v>
      </c>
      <c r="BA20">
        <v>18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Y20*Source!I37</f>
        <v>0</v>
      </c>
      <c r="CY20">
        <f>AB20</f>
        <v>1.05</v>
      </c>
      <c r="CZ20">
        <f>AF20</f>
        <v>1</v>
      </c>
      <c r="DA20">
        <f>AJ20</f>
        <v>1</v>
      </c>
      <c r="DB20">
        <f>ROUND((ROUND(AT20*CZ20,2)*1.15),6)</f>
        <v>81.983500000000006</v>
      </c>
      <c r="DC20">
        <f>ROUND((ROUND(AT20*AG20,2)*1.15),6)</f>
        <v>0</v>
      </c>
    </row>
    <row r="21" spans="1:107" x14ac:dyDescent="0.2">
      <c r="A21">
        <f>ROW(Source!A37)</f>
        <v>37</v>
      </c>
      <c r="B21">
        <v>44176454</v>
      </c>
      <c r="C21">
        <v>44175982</v>
      </c>
      <c r="D21">
        <v>35043454</v>
      </c>
      <c r="E21">
        <v>1</v>
      </c>
      <c r="F21">
        <v>1</v>
      </c>
      <c r="G21">
        <v>34959076</v>
      </c>
      <c r="H21">
        <v>3</v>
      </c>
      <c r="I21" t="s">
        <v>89</v>
      </c>
      <c r="J21" t="s">
        <v>91</v>
      </c>
      <c r="K21" t="s">
        <v>90</v>
      </c>
      <c r="L21">
        <v>1348</v>
      </c>
      <c r="N21">
        <v>1009</v>
      </c>
      <c r="O21" t="s">
        <v>75</v>
      </c>
      <c r="P21" t="s">
        <v>75</v>
      </c>
      <c r="Q21">
        <v>1000</v>
      </c>
      <c r="W21">
        <v>0</v>
      </c>
      <c r="X21">
        <v>-359297595</v>
      </c>
      <c r="Y21">
        <v>0.24</v>
      </c>
      <c r="AA21">
        <v>23344.83</v>
      </c>
      <c r="AB21">
        <v>0</v>
      </c>
      <c r="AC21">
        <v>0</v>
      </c>
      <c r="AD21">
        <v>0</v>
      </c>
      <c r="AE21">
        <v>11626.84</v>
      </c>
      <c r="AF21">
        <v>0</v>
      </c>
      <c r="AG21">
        <v>0</v>
      </c>
      <c r="AH21">
        <v>0</v>
      </c>
      <c r="AI21">
        <v>1.88</v>
      </c>
      <c r="AJ21">
        <v>1</v>
      </c>
      <c r="AK21">
        <v>1</v>
      </c>
      <c r="AL21">
        <v>1</v>
      </c>
      <c r="AN21">
        <v>0</v>
      </c>
      <c r="AO21">
        <v>0</v>
      </c>
      <c r="AP21">
        <v>0</v>
      </c>
      <c r="AQ21">
        <v>0</v>
      </c>
      <c r="AR21">
        <v>0</v>
      </c>
      <c r="AS21" t="s">
        <v>6</v>
      </c>
      <c r="AT21">
        <v>0.24</v>
      </c>
      <c r="AU21" t="s">
        <v>6</v>
      </c>
      <c r="AV21">
        <v>0</v>
      </c>
      <c r="AW21">
        <v>1</v>
      </c>
      <c r="AX21">
        <v>-1</v>
      </c>
      <c r="AY21">
        <v>0</v>
      </c>
      <c r="AZ21">
        <v>0</v>
      </c>
      <c r="BA21" t="s">
        <v>6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Y21*Source!I37</f>
        <v>0</v>
      </c>
      <c r="CY21">
        <f>AA21</f>
        <v>23344.83</v>
      </c>
      <c r="CZ21">
        <f>AE21</f>
        <v>11626.84</v>
      </c>
      <c r="DA21">
        <f>AI21</f>
        <v>1.88</v>
      </c>
      <c r="DB21">
        <f>ROUND(ROUND(AT21*CZ21,2),6)</f>
        <v>2790.44</v>
      </c>
      <c r="DC21">
        <f>ROUND(ROUND(AT21*AG21,2),6)</f>
        <v>0</v>
      </c>
    </row>
    <row r="22" spans="1:107" x14ac:dyDescent="0.2">
      <c r="A22">
        <f>ROW(Source!A37)</f>
        <v>37</v>
      </c>
      <c r="B22">
        <v>44176454</v>
      </c>
      <c r="C22">
        <v>44175982</v>
      </c>
      <c r="D22">
        <v>34984822</v>
      </c>
      <c r="E22">
        <v>34959076</v>
      </c>
      <c r="F22">
        <v>1</v>
      </c>
      <c r="G22">
        <v>34959076</v>
      </c>
      <c r="H22">
        <v>3</v>
      </c>
      <c r="I22" t="s">
        <v>408</v>
      </c>
      <c r="J22" t="s">
        <v>6</v>
      </c>
      <c r="K22" t="s">
        <v>409</v>
      </c>
      <c r="L22">
        <v>1344</v>
      </c>
      <c r="N22">
        <v>1008</v>
      </c>
      <c r="O22" t="s">
        <v>410</v>
      </c>
      <c r="P22" t="s">
        <v>410</v>
      </c>
      <c r="Q22">
        <v>1</v>
      </c>
      <c r="W22">
        <v>0</v>
      </c>
      <c r="X22">
        <v>-94250534</v>
      </c>
      <c r="Y22">
        <v>27.72</v>
      </c>
      <c r="AA22">
        <v>1.07</v>
      </c>
      <c r="AB22">
        <v>0</v>
      </c>
      <c r="AC22">
        <v>0</v>
      </c>
      <c r="AD22">
        <v>0</v>
      </c>
      <c r="AE22">
        <v>1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6</v>
      </c>
      <c r="AT22">
        <v>27.72</v>
      </c>
      <c r="AU22" t="s">
        <v>6</v>
      </c>
      <c r="AV22">
        <v>0</v>
      </c>
      <c r="AW22">
        <v>2</v>
      </c>
      <c r="AX22">
        <v>44175994</v>
      </c>
      <c r="AY22">
        <v>1</v>
      </c>
      <c r="AZ22">
        <v>0</v>
      </c>
      <c r="BA22">
        <v>20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Y22*Source!I37</f>
        <v>0</v>
      </c>
      <c r="CY22">
        <f>AA22</f>
        <v>1.07</v>
      </c>
      <c r="CZ22">
        <f>AE22</f>
        <v>1</v>
      </c>
      <c r="DA22">
        <f>AI22</f>
        <v>1</v>
      </c>
      <c r="DB22">
        <f>ROUND(ROUND(AT22*CZ22,2),6)</f>
        <v>27.72</v>
      </c>
      <c r="DC22">
        <f>ROUND(ROUND(AT22*AG22,2),6)</f>
        <v>0</v>
      </c>
    </row>
    <row r="23" spans="1:107" x14ac:dyDescent="0.2">
      <c r="A23">
        <f>ROW(Source!A39)</f>
        <v>39</v>
      </c>
      <c r="B23">
        <v>44176454</v>
      </c>
      <c r="C23">
        <v>44175996</v>
      </c>
      <c r="D23">
        <v>34984826</v>
      </c>
      <c r="E23">
        <v>34959076</v>
      </c>
      <c r="F23">
        <v>1</v>
      </c>
      <c r="G23">
        <v>34959076</v>
      </c>
      <c r="H23">
        <v>1</v>
      </c>
      <c r="I23" t="s">
        <v>392</v>
      </c>
      <c r="J23" t="s">
        <v>6</v>
      </c>
      <c r="K23" t="s">
        <v>393</v>
      </c>
      <c r="L23">
        <v>1191</v>
      </c>
      <c r="N23">
        <v>1013</v>
      </c>
      <c r="O23" t="s">
        <v>394</v>
      </c>
      <c r="P23" t="s">
        <v>394</v>
      </c>
      <c r="Q23">
        <v>1</v>
      </c>
      <c r="W23">
        <v>0</v>
      </c>
      <c r="X23">
        <v>476480486</v>
      </c>
      <c r="Y23">
        <v>198.72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6</v>
      </c>
      <c r="AT23">
        <v>144</v>
      </c>
      <c r="AU23" t="s">
        <v>93</v>
      </c>
      <c r="AV23">
        <v>1</v>
      </c>
      <c r="AW23">
        <v>2</v>
      </c>
      <c r="AX23">
        <v>44176005</v>
      </c>
      <c r="AY23">
        <v>1</v>
      </c>
      <c r="AZ23">
        <v>0</v>
      </c>
      <c r="BA23">
        <v>21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Y23*Source!I39</f>
        <v>0</v>
      </c>
      <c r="CY23">
        <f>AD23</f>
        <v>0</v>
      </c>
      <c r="CZ23">
        <f>AH23</f>
        <v>0</v>
      </c>
      <c r="DA23">
        <f>AL23</f>
        <v>1</v>
      </c>
      <c r="DB23">
        <f>ROUND(((ROUND(AT23*CZ23,2)*1.15)*1.2),6)</f>
        <v>0</v>
      </c>
      <c r="DC23">
        <f>ROUND(((ROUND(AT23*AG23,2)*1.15)*1.2),6)</f>
        <v>0</v>
      </c>
    </row>
    <row r="24" spans="1:107" x14ac:dyDescent="0.2">
      <c r="A24">
        <f>ROW(Source!A39)</f>
        <v>39</v>
      </c>
      <c r="B24">
        <v>44176454</v>
      </c>
      <c r="C24">
        <v>44175996</v>
      </c>
      <c r="D24">
        <v>0</v>
      </c>
      <c r="E24">
        <v>1</v>
      </c>
      <c r="F24">
        <v>1</v>
      </c>
      <c r="G24">
        <v>34959076</v>
      </c>
      <c r="H24">
        <v>3</v>
      </c>
      <c r="I24" t="s">
        <v>55</v>
      </c>
      <c r="J24" t="s">
        <v>419</v>
      </c>
      <c r="K24" t="s">
        <v>420</v>
      </c>
      <c r="L24">
        <v>1301</v>
      </c>
      <c r="N24">
        <v>1003</v>
      </c>
      <c r="O24" t="s">
        <v>52</v>
      </c>
      <c r="P24" t="s">
        <v>52</v>
      </c>
      <c r="Q24">
        <v>1</v>
      </c>
      <c r="W24">
        <v>0</v>
      </c>
      <c r="X24">
        <v>-2091441413</v>
      </c>
      <c r="Y24">
        <v>990</v>
      </c>
      <c r="AA24">
        <v>16.23</v>
      </c>
      <c r="AB24">
        <v>0</v>
      </c>
      <c r="AC24">
        <v>0</v>
      </c>
      <c r="AD24">
        <v>0</v>
      </c>
      <c r="AE24">
        <v>15.01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6</v>
      </c>
      <c r="AT24">
        <v>990</v>
      </c>
      <c r="AU24" t="s">
        <v>6</v>
      </c>
      <c r="AV24">
        <v>0</v>
      </c>
      <c r="AW24">
        <v>2</v>
      </c>
      <c r="AX24">
        <v>44176006</v>
      </c>
      <c r="AY24">
        <v>1</v>
      </c>
      <c r="AZ24">
        <v>0</v>
      </c>
      <c r="BA24">
        <v>22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Y24*Source!I39</f>
        <v>0</v>
      </c>
      <c r="CY24">
        <f>AA24</f>
        <v>16.23</v>
      </c>
      <c r="CZ24">
        <f>AE24</f>
        <v>15.01</v>
      </c>
      <c r="DA24">
        <f>AI24</f>
        <v>1</v>
      </c>
      <c r="DB24">
        <f>ROUND(ROUND(AT24*CZ24,2),6)</f>
        <v>14859.9</v>
      </c>
      <c r="DC24">
        <f>ROUND(ROUND(AT24*AG24,2),6)</f>
        <v>0</v>
      </c>
    </row>
    <row r="25" spans="1:107" x14ac:dyDescent="0.2">
      <c r="A25">
        <f>ROW(Source!A39)</f>
        <v>39</v>
      </c>
      <c r="B25">
        <v>44176454</v>
      </c>
      <c r="C25">
        <v>44175996</v>
      </c>
      <c r="D25">
        <v>0</v>
      </c>
      <c r="E25">
        <v>1</v>
      </c>
      <c r="F25">
        <v>1</v>
      </c>
      <c r="G25">
        <v>34959076</v>
      </c>
      <c r="H25">
        <v>3</v>
      </c>
      <c r="I25" t="s">
        <v>404</v>
      </c>
      <c r="J25" t="s">
        <v>405</v>
      </c>
      <c r="K25" t="s">
        <v>406</v>
      </c>
      <c r="L25">
        <v>1358</v>
      </c>
      <c r="N25">
        <v>1010</v>
      </c>
      <c r="O25" t="s">
        <v>407</v>
      </c>
      <c r="P25" t="s">
        <v>407</v>
      </c>
      <c r="Q25">
        <v>10</v>
      </c>
      <c r="W25">
        <v>0</v>
      </c>
      <c r="X25">
        <v>118030174</v>
      </c>
      <c r="Y25">
        <v>32</v>
      </c>
      <c r="AA25">
        <v>156.5</v>
      </c>
      <c r="AB25">
        <v>0</v>
      </c>
      <c r="AC25">
        <v>0</v>
      </c>
      <c r="AD25">
        <v>0</v>
      </c>
      <c r="AE25">
        <v>144.77000000000001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6</v>
      </c>
      <c r="AT25">
        <v>32</v>
      </c>
      <c r="AU25" t="s">
        <v>6</v>
      </c>
      <c r="AV25">
        <v>0</v>
      </c>
      <c r="AW25">
        <v>2</v>
      </c>
      <c r="AX25">
        <v>44176007</v>
      </c>
      <c r="AY25">
        <v>1</v>
      </c>
      <c r="AZ25">
        <v>0</v>
      </c>
      <c r="BA25">
        <v>23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Y25*Source!I39</f>
        <v>0</v>
      </c>
      <c r="CY25">
        <f>AA25</f>
        <v>156.5</v>
      </c>
      <c r="CZ25">
        <f>AE25</f>
        <v>144.77000000000001</v>
      </c>
      <c r="DA25">
        <f>AI25</f>
        <v>1</v>
      </c>
      <c r="DB25">
        <f>ROUND(ROUND(AT25*CZ25,2),6)</f>
        <v>4632.6400000000003</v>
      </c>
      <c r="DC25">
        <f>ROUND(ROUND(AT25*AG25,2),6)</f>
        <v>0</v>
      </c>
    </row>
    <row r="26" spans="1:107" x14ac:dyDescent="0.2">
      <c r="A26">
        <f>ROW(Source!A39)</f>
        <v>39</v>
      </c>
      <c r="B26">
        <v>44176454</v>
      </c>
      <c r="C26">
        <v>44175996</v>
      </c>
      <c r="D26">
        <v>34984822</v>
      </c>
      <c r="E26">
        <v>34959076</v>
      </c>
      <c r="F26">
        <v>1</v>
      </c>
      <c r="G26">
        <v>34959076</v>
      </c>
      <c r="H26">
        <v>3</v>
      </c>
      <c r="I26" t="s">
        <v>408</v>
      </c>
      <c r="J26" t="s">
        <v>6</v>
      </c>
      <c r="K26" t="s">
        <v>409</v>
      </c>
      <c r="L26">
        <v>1344</v>
      </c>
      <c r="N26">
        <v>1008</v>
      </c>
      <c r="O26" t="s">
        <v>410</v>
      </c>
      <c r="P26" t="s">
        <v>410</v>
      </c>
      <c r="Q26">
        <v>1</v>
      </c>
      <c r="W26">
        <v>0</v>
      </c>
      <c r="X26">
        <v>-94250534</v>
      </c>
      <c r="Y26">
        <v>61.6</v>
      </c>
      <c r="AA26">
        <v>1.08</v>
      </c>
      <c r="AB26">
        <v>0</v>
      </c>
      <c r="AC26">
        <v>0</v>
      </c>
      <c r="AD26">
        <v>0</v>
      </c>
      <c r="AE26">
        <v>1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6</v>
      </c>
      <c r="AT26">
        <v>61.6</v>
      </c>
      <c r="AU26" t="s">
        <v>6</v>
      </c>
      <c r="AV26">
        <v>0</v>
      </c>
      <c r="AW26">
        <v>2</v>
      </c>
      <c r="AX26">
        <v>44176008</v>
      </c>
      <c r="AY26">
        <v>1</v>
      </c>
      <c r="AZ26">
        <v>0</v>
      </c>
      <c r="BA26">
        <v>24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Y26*Source!I39</f>
        <v>0</v>
      </c>
      <c r="CY26">
        <f>AA26</f>
        <v>1.08</v>
      </c>
      <c r="CZ26">
        <f>AE26</f>
        <v>1</v>
      </c>
      <c r="DA26">
        <f>AI26</f>
        <v>1</v>
      </c>
      <c r="DB26">
        <f>ROUND(ROUND(AT26*CZ26,2),6)</f>
        <v>61.6</v>
      </c>
      <c r="DC26">
        <f>ROUND(ROUND(AT26*AG26,2),6)</f>
        <v>0</v>
      </c>
    </row>
    <row r="27" spans="1:107" x14ac:dyDescent="0.2">
      <c r="A27">
        <f>ROW(Source!A40)</f>
        <v>40</v>
      </c>
      <c r="B27">
        <v>44176454</v>
      </c>
      <c r="C27">
        <v>44176009</v>
      </c>
      <c r="D27">
        <v>34984826</v>
      </c>
      <c r="E27">
        <v>34959076</v>
      </c>
      <c r="F27">
        <v>1</v>
      </c>
      <c r="G27">
        <v>34959076</v>
      </c>
      <c r="H27">
        <v>1</v>
      </c>
      <c r="I27" t="s">
        <v>392</v>
      </c>
      <c r="J27" t="s">
        <v>6</v>
      </c>
      <c r="K27" t="s">
        <v>393</v>
      </c>
      <c r="L27">
        <v>1191</v>
      </c>
      <c r="N27">
        <v>1013</v>
      </c>
      <c r="O27" t="s">
        <v>394</v>
      </c>
      <c r="P27" t="s">
        <v>394</v>
      </c>
      <c r="Q27">
        <v>1</v>
      </c>
      <c r="W27">
        <v>0</v>
      </c>
      <c r="X27">
        <v>476480486</v>
      </c>
      <c r="Y27">
        <v>125.35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6</v>
      </c>
      <c r="AT27">
        <v>109</v>
      </c>
      <c r="AU27" t="s">
        <v>99</v>
      </c>
      <c r="AV27">
        <v>1</v>
      </c>
      <c r="AW27">
        <v>2</v>
      </c>
      <c r="AX27">
        <v>44176020</v>
      </c>
      <c r="AY27">
        <v>1</v>
      </c>
      <c r="AZ27">
        <v>0</v>
      </c>
      <c r="BA27">
        <v>25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Y27*Source!I40</f>
        <v>0</v>
      </c>
      <c r="CY27">
        <f>AD27</f>
        <v>0</v>
      </c>
      <c r="CZ27">
        <f>AH27</f>
        <v>0</v>
      </c>
      <c r="DA27">
        <f>AL27</f>
        <v>1</v>
      </c>
      <c r="DB27">
        <f>ROUND((ROUND(AT27*CZ27,2)*1.15),6)</f>
        <v>0</v>
      </c>
      <c r="DC27">
        <f>ROUND((ROUND(AT27*AG27,2)*1.15),6)</f>
        <v>0</v>
      </c>
    </row>
    <row r="28" spans="1:107" x14ac:dyDescent="0.2">
      <c r="A28">
        <f>ROW(Source!A40)</f>
        <v>40</v>
      </c>
      <c r="B28">
        <v>44176454</v>
      </c>
      <c r="C28">
        <v>44176009</v>
      </c>
      <c r="D28">
        <v>0</v>
      </c>
      <c r="E28">
        <v>1</v>
      </c>
      <c r="F28">
        <v>1</v>
      </c>
      <c r="G28">
        <v>34959076</v>
      </c>
      <c r="H28">
        <v>3</v>
      </c>
      <c r="I28" t="s">
        <v>421</v>
      </c>
      <c r="J28" t="s">
        <v>422</v>
      </c>
      <c r="K28" t="s">
        <v>423</v>
      </c>
      <c r="L28">
        <v>1348</v>
      </c>
      <c r="N28">
        <v>1009</v>
      </c>
      <c r="O28" t="s">
        <v>75</v>
      </c>
      <c r="P28" t="s">
        <v>75</v>
      </c>
      <c r="Q28">
        <v>1000</v>
      </c>
      <c r="W28">
        <v>0</v>
      </c>
      <c r="X28">
        <v>-1423428334</v>
      </c>
      <c r="Y28">
        <v>2E-3</v>
      </c>
      <c r="AA28">
        <v>6534.46</v>
      </c>
      <c r="AB28">
        <v>0</v>
      </c>
      <c r="AC28">
        <v>0</v>
      </c>
      <c r="AD28">
        <v>0</v>
      </c>
      <c r="AE28">
        <v>6521.42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6</v>
      </c>
      <c r="AT28">
        <v>2E-3</v>
      </c>
      <c r="AU28" t="s">
        <v>6</v>
      </c>
      <c r="AV28">
        <v>0</v>
      </c>
      <c r="AW28">
        <v>2</v>
      </c>
      <c r="AX28">
        <v>44176021</v>
      </c>
      <c r="AY28">
        <v>1</v>
      </c>
      <c r="AZ28">
        <v>0</v>
      </c>
      <c r="BA28">
        <v>26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Y28*Source!I40</f>
        <v>0</v>
      </c>
      <c r="CY28">
        <f>AA28</f>
        <v>6534.46</v>
      </c>
      <c r="CZ28">
        <f>AE28</f>
        <v>6521.42</v>
      </c>
      <c r="DA28">
        <f>AI28</f>
        <v>1</v>
      </c>
      <c r="DB28">
        <f>ROUND(ROUND(AT28*CZ28,2),6)</f>
        <v>13.04</v>
      </c>
      <c r="DC28">
        <f>ROUND(ROUND(AT28*AG28,2),6)</f>
        <v>0</v>
      </c>
    </row>
    <row r="29" spans="1:107" x14ac:dyDescent="0.2">
      <c r="A29">
        <f>ROW(Source!A40)</f>
        <v>40</v>
      </c>
      <c r="B29">
        <v>44176454</v>
      </c>
      <c r="C29">
        <v>44176009</v>
      </c>
      <c r="D29">
        <v>0</v>
      </c>
      <c r="E29">
        <v>1</v>
      </c>
      <c r="F29">
        <v>1</v>
      </c>
      <c r="G29">
        <v>34959076</v>
      </c>
      <c r="H29">
        <v>3</v>
      </c>
      <c r="I29" t="s">
        <v>424</v>
      </c>
      <c r="J29" t="s">
        <v>425</v>
      </c>
      <c r="K29" t="s">
        <v>426</v>
      </c>
      <c r="L29">
        <v>1339</v>
      </c>
      <c r="N29">
        <v>1007</v>
      </c>
      <c r="O29" t="s">
        <v>70</v>
      </c>
      <c r="P29" t="s">
        <v>70</v>
      </c>
      <c r="Q29">
        <v>1</v>
      </c>
      <c r="W29">
        <v>0</v>
      </c>
      <c r="X29">
        <v>-744383497</v>
      </c>
      <c r="Y29">
        <v>5.3999999999999999E-2</v>
      </c>
      <c r="AA29">
        <v>1832.22</v>
      </c>
      <c r="AB29">
        <v>0</v>
      </c>
      <c r="AC29">
        <v>0</v>
      </c>
      <c r="AD29">
        <v>0</v>
      </c>
      <c r="AE29">
        <v>1828.56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6</v>
      </c>
      <c r="AT29">
        <v>5.3999999999999999E-2</v>
      </c>
      <c r="AU29" t="s">
        <v>6</v>
      </c>
      <c r="AV29">
        <v>0</v>
      </c>
      <c r="AW29">
        <v>2</v>
      </c>
      <c r="AX29">
        <v>44176022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Y29*Source!I40</f>
        <v>0</v>
      </c>
      <c r="CY29">
        <f>AA29</f>
        <v>1832.22</v>
      </c>
      <c r="CZ29">
        <f>AE29</f>
        <v>1828.56</v>
      </c>
      <c r="DA29">
        <f>AI29</f>
        <v>1</v>
      </c>
      <c r="DB29">
        <f>ROUND(ROUND(AT29*CZ29,2),6)</f>
        <v>98.74</v>
      </c>
      <c r="DC29">
        <f>ROUND(ROUND(AT29*AG29,2),6)</f>
        <v>0</v>
      </c>
    </row>
    <row r="30" spans="1:107" x14ac:dyDescent="0.2">
      <c r="A30">
        <f>ROW(Source!A40)</f>
        <v>40</v>
      </c>
      <c r="B30">
        <v>44176454</v>
      </c>
      <c r="C30">
        <v>44176009</v>
      </c>
      <c r="D30">
        <v>0</v>
      </c>
      <c r="E30">
        <v>1</v>
      </c>
      <c r="F30">
        <v>1</v>
      </c>
      <c r="G30">
        <v>34959076</v>
      </c>
      <c r="H30">
        <v>3</v>
      </c>
      <c r="I30" t="s">
        <v>427</v>
      </c>
      <c r="J30" t="s">
        <v>428</v>
      </c>
      <c r="K30" t="s">
        <v>429</v>
      </c>
      <c r="L30">
        <v>1339</v>
      </c>
      <c r="N30">
        <v>1007</v>
      </c>
      <c r="O30" t="s">
        <v>70</v>
      </c>
      <c r="P30" t="s">
        <v>70</v>
      </c>
      <c r="Q30">
        <v>1</v>
      </c>
      <c r="W30">
        <v>0</v>
      </c>
      <c r="X30">
        <v>1148250626</v>
      </c>
      <c r="Y30">
        <v>6.7000000000000004E-2</v>
      </c>
      <c r="AA30">
        <v>2477.0700000000002</v>
      </c>
      <c r="AB30">
        <v>0</v>
      </c>
      <c r="AC30">
        <v>0</v>
      </c>
      <c r="AD30">
        <v>0</v>
      </c>
      <c r="AE30">
        <v>2472.13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6</v>
      </c>
      <c r="AT30">
        <v>6.7000000000000004E-2</v>
      </c>
      <c r="AU30" t="s">
        <v>6</v>
      </c>
      <c r="AV30">
        <v>0</v>
      </c>
      <c r="AW30">
        <v>2</v>
      </c>
      <c r="AX30">
        <v>44176023</v>
      </c>
      <c r="AY30">
        <v>1</v>
      </c>
      <c r="AZ30">
        <v>0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Y30*Source!I40</f>
        <v>0</v>
      </c>
      <c r="CY30">
        <f>AA30</f>
        <v>2477.0700000000002</v>
      </c>
      <c r="CZ30">
        <f>AE30</f>
        <v>2472.13</v>
      </c>
      <c r="DA30">
        <f>AI30</f>
        <v>1</v>
      </c>
      <c r="DB30">
        <f>ROUND(ROUND(AT30*CZ30,2),6)</f>
        <v>165.63</v>
      </c>
      <c r="DC30">
        <f>ROUND(ROUND(AT30*AG30,2),6)</f>
        <v>0</v>
      </c>
    </row>
    <row r="31" spans="1:107" x14ac:dyDescent="0.2">
      <c r="A31">
        <f>ROW(Source!A40)</f>
        <v>40</v>
      </c>
      <c r="B31">
        <v>44176454</v>
      </c>
      <c r="C31">
        <v>44176009</v>
      </c>
      <c r="D31">
        <v>0</v>
      </c>
      <c r="E31">
        <v>1</v>
      </c>
      <c r="F31">
        <v>1</v>
      </c>
      <c r="G31">
        <v>34959076</v>
      </c>
      <c r="H31">
        <v>3</v>
      </c>
      <c r="I31" t="s">
        <v>101</v>
      </c>
      <c r="J31" t="s">
        <v>103</v>
      </c>
      <c r="K31" t="s">
        <v>102</v>
      </c>
      <c r="L31">
        <v>1339</v>
      </c>
      <c r="N31">
        <v>1007</v>
      </c>
      <c r="O31" t="s">
        <v>70</v>
      </c>
      <c r="P31" t="s">
        <v>70</v>
      </c>
      <c r="Q31">
        <v>1</v>
      </c>
      <c r="W31">
        <v>0</v>
      </c>
      <c r="X31">
        <v>191691657</v>
      </c>
      <c r="Y31">
        <v>0.312</v>
      </c>
      <c r="AA31">
        <v>3860.4</v>
      </c>
      <c r="AB31">
        <v>0</v>
      </c>
      <c r="AC31">
        <v>0</v>
      </c>
      <c r="AD31">
        <v>0</v>
      </c>
      <c r="AE31">
        <v>517.14</v>
      </c>
      <c r="AF31">
        <v>0</v>
      </c>
      <c r="AG31">
        <v>0</v>
      </c>
      <c r="AH31">
        <v>0</v>
      </c>
      <c r="AI31">
        <v>7.45</v>
      </c>
      <c r="AJ31">
        <v>1</v>
      </c>
      <c r="AK31">
        <v>1</v>
      </c>
      <c r="AL31">
        <v>1</v>
      </c>
      <c r="AN31">
        <v>0</v>
      </c>
      <c r="AO31">
        <v>0</v>
      </c>
      <c r="AP31">
        <v>0</v>
      </c>
      <c r="AQ31">
        <v>0</v>
      </c>
      <c r="AR31">
        <v>0</v>
      </c>
      <c r="AS31" t="s">
        <v>6</v>
      </c>
      <c r="AT31">
        <v>0.312</v>
      </c>
      <c r="AU31" t="s">
        <v>6</v>
      </c>
      <c r="AV31">
        <v>0</v>
      </c>
      <c r="AW31">
        <v>1</v>
      </c>
      <c r="AX31">
        <v>-1</v>
      </c>
      <c r="AY31">
        <v>0</v>
      </c>
      <c r="AZ31">
        <v>0</v>
      </c>
      <c r="BA31" t="s">
        <v>6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Y31*Source!I40</f>
        <v>0</v>
      </c>
      <c r="CY31">
        <f>AA31</f>
        <v>3860.4</v>
      </c>
      <c r="CZ31">
        <f>AE31</f>
        <v>517.14</v>
      </c>
      <c r="DA31">
        <f>AI31</f>
        <v>7.45</v>
      </c>
      <c r="DB31">
        <f>ROUND(ROUND(AT31*CZ31,2),6)</f>
        <v>161.35</v>
      </c>
      <c r="DC31">
        <f>ROUND(ROUND(AT31*AG31,2),6)</f>
        <v>0</v>
      </c>
    </row>
    <row r="32" spans="1:107" x14ac:dyDescent="0.2">
      <c r="A32">
        <f>ROW(Source!A42)</f>
        <v>42</v>
      </c>
      <c r="B32">
        <v>44176454</v>
      </c>
      <c r="C32">
        <v>44176026</v>
      </c>
      <c r="D32">
        <v>34984826</v>
      </c>
      <c r="E32">
        <v>34959076</v>
      </c>
      <c r="F32">
        <v>1</v>
      </c>
      <c r="G32">
        <v>34959076</v>
      </c>
      <c r="H32">
        <v>1</v>
      </c>
      <c r="I32" t="s">
        <v>392</v>
      </c>
      <c r="J32" t="s">
        <v>6</v>
      </c>
      <c r="K32" t="s">
        <v>393</v>
      </c>
      <c r="L32">
        <v>1191</v>
      </c>
      <c r="N32">
        <v>1013</v>
      </c>
      <c r="O32" t="s">
        <v>394</v>
      </c>
      <c r="P32" t="s">
        <v>394</v>
      </c>
      <c r="Q32">
        <v>1</v>
      </c>
      <c r="W32">
        <v>0</v>
      </c>
      <c r="X32">
        <v>476480486</v>
      </c>
      <c r="Y32">
        <v>3.4959999999999996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6</v>
      </c>
      <c r="AT32">
        <v>3.04</v>
      </c>
      <c r="AU32" t="s">
        <v>29</v>
      </c>
      <c r="AV32">
        <v>1</v>
      </c>
      <c r="AW32">
        <v>2</v>
      </c>
      <c r="AX32">
        <v>44176031</v>
      </c>
      <c r="AY32">
        <v>1</v>
      </c>
      <c r="AZ32">
        <v>0</v>
      </c>
      <c r="BA32">
        <v>30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Y32*Source!I42</f>
        <v>0</v>
      </c>
      <c r="CY32">
        <f>AD32</f>
        <v>0</v>
      </c>
      <c r="CZ32">
        <f>AH32</f>
        <v>0</v>
      </c>
      <c r="DA32">
        <f>AL32</f>
        <v>1</v>
      </c>
      <c r="DB32">
        <f>ROUND((ROUND(AT32*CZ32,2)*1.15),6)</f>
        <v>0</v>
      </c>
      <c r="DC32">
        <f>ROUND((ROUND(AT32*AG32,2)*1.15),6)</f>
        <v>0</v>
      </c>
    </row>
    <row r="33" spans="1:107" x14ac:dyDescent="0.2">
      <c r="A33">
        <f>ROW(Source!A42)</f>
        <v>42</v>
      </c>
      <c r="B33">
        <v>44176454</v>
      </c>
      <c r="C33">
        <v>44176026</v>
      </c>
      <c r="D33">
        <v>35042233</v>
      </c>
      <c r="E33">
        <v>1</v>
      </c>
      <c r="F33">
        <v>1</v>
      </c>
      <c r="G33">
        <v>34959076</v>
      </c>
      <c r="H33">
        <v>3</v>
      </c>
      <c r="I33" t="s">
        <v>112</v>
      </c>
      <c r="J33" t="s">
        <v>114</v>
      </c>
      <c r="K33" t="s">
        <v>113</v>
      </c>
      <c r="L33">
        <v>1348</v>
      </c>
      <c r="N33">
        <v>1009</v>
      </c>
      <c r="O33" t="s">
        <v>75</v>
      </c>
      <c r="P33" t="s">
        <v>75</v>
      </c>
      <c r="Q33">
        <v>1000</v>
      </c>
      <c r="W33">
        <v>0</v>
      </c>
      <c r="X33">
        <v>1462922659</v>
      </c>
      <c r="Y33">
        <v>1.5E-3</v>
      </c>
      <c r="AA33">
        <v>256482.51</v>
      </c>
      <c r="AB33">
        <v>0</v>
      </c>
      <c r="AC33">
        <v>0</v>
      </c>
      <c r="AD33">
        <v>0</v>
      </c>
      <c r="AE33">
        <v>201954.73</v>
      </c>
      <c r="AF33">
        <v>0</v>
      </c>
      <c r="AG33">
        <v>0</v>
      </c>
      <c r="AH33">
        <v>0</v>
      </c>
      <c r="AI33">
        <v>1.27</v>
      </c>
      <c r="AJ33">
        <v>1</v>
      </c>
      <c r="AK33">
        <v>1</v>
      </c>
      <c r="AL33">
        <v>1</v>
      </c>
      <c r="AN33">
        <v>0</v>
      </c>
      <c r="AO33">
        <v>0</v>
      </c>
      <c r="AP33">
        <v>0</v>
      </c>
      <c r="AQ33">
        <v>0</v>
      </c>
      <c r="AR33">
        <v>0</v>
      </c>
      <c r="AS33" t="s">
        <v>6</v>
      </c>
      <c r="AT33">
        <v>1.5E-3</v>
      </c>
      <c r="AU33" t="s">
        <v>6</v>
      </c>
      <c r="AV33">
        <v>0</v>
      </c>
      <c r="AW33">
        <v>1</v>
      </c>
      <c r="AX33">
        <v>-1</v>
      </c>
      <c r="AY33">
        <v>0</v>
      </c>
      <c r="AZ33">
        <v>0</v>
      </c>
      <c r="BA33" t="s">
        <v>6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Y33*Source!I42</f>
        <v>0</v>
      </c>
      <c r="CY33">
        <f>AA33</f>
        <v>256482.51</v>
      </c>
      <c r="CZ33">
        <f>AE33</f>
        <v>201954.73</v>
      </c>
      <c r="DA33">
        <f>AI33</f>
        <v>1.27</v>
      </c>
      <c r="DB33">
        <f>ROUND(ROUND(AT33*CZ33,2),6)</f>
        <v>302.93</v>
      </c>
      <c r="DC33">
        <f>ROUND(ROUND(AT33*AG33,2),6)</f>
        <v>0</v>
      </c>
    </row>
    <row r="34" spans="1:107" x14ac:dyDescent="0.2">
      <c r="A34">
        <f>ROW(Source!A44)</f>
        <v>44</v>
      </c>
      <c r="B34">
        <v>44176454</v>
      </c>
      <c r="C34">
        <v>44176034</v>
      </c>
      <c r="D34">
        <v>34984826</v>
      </c>
      <c r="E34">
        <v>34959076</v>
      </c>
      <c r="F34">
        <v>1</v>
      </c>
      <c r="G34">
        <v>34959076</v>
      </c>
      <c r="H34">
        <v>1</v>
      </c>
      <c r="I34" t="s">
        <v>392</v>
      </c>
      <c r="J34" t="s">
        <v>6</v>
      </c>
      <c r="K34" t="s">
        <v>393</v>
      </c>
      <c r="L34">
        <v>1191</v>
      </c>
      <c r="N34">
        <v>1013</v>
      </c>
      <c r="O34" t="s">
        <v>394</v>
      </c>
      <c r="P34" t="s">
        <v>394</v>
      </c>
      <c r="Q34">
        <v>1</v>
      </c>
      <c r="W34">
        <v>0</v>
      </c>
      <c r="X34">
        <v>476480486</v>
      </c>
      <c r="Y34">
        <v>33.775500000000001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6</v>
      </c>
      <c r="AT34">
        <v>29.37</v>
      </c>
      <c r="AU34" t="s">
        <v>29</v>
      </c>
      <c r="AV34">
        <v>1</v>
      </c>
      <c r="AW34">
        <v>2</v>
      </c>
      <c r="AX34">
        <v>44176053</v>
      </c>
      <c r="AY34">
        <v>1</v>
      </c>
      <c r="AZ34">
        <v>0</v>
      </c>
      <c r="BA34">
        <v>32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Y34*Source!I44</f>
        <v>0</v>
      </c>
      <c r="CY34">
        <f>AD34</f>
        <v>0</v>
      </c>
      <c r="CZ34">
        <f>AH34</f>
        <v>0</v>
      </c>
      <c r="DA34">
        <f>AL34</f>
        <v>1</v>
      </c>
      <c r="DB34">
        <f>ROUND((ROUND(AT34*CZ34,2)*1.15),6)</f>
        <v>0</v>
      </c>
      <c r="DC34">
        <f>ROUND((ROUND(AT34*AG34,2)*1.15),6)</f>
        <v>0</v>
      </c>
    </row>
    <row r="35" spans="1:107" x14ac:dyDescent="0.2">
      <c r="A35">
        <f>ROW(Source!A44)</f>
        <v>44</v>
      </c>
      <c r="B35">
        <v>44176454</v>
      </c>
      <c r="C35">
        <v>44176034</v>
      </c>
      <c r="D35">
        <v>35065495</v>
      </c>
      <c r="E35">
        <v>1</v>
      </c>
      <c r="F35">
        <v>1</v>
      </c>
      <c r="G35">
        <v>34959076</v>
      </c>
      <c r="H35">
        <v>2</v>
      </c>
      <c r="I35" t="s">
        <v>430</v>
      </c>
      <c r="J35" t="s">
        <v>431</v>
      </c>
      <c r="K35" t="s">
        <v>432</v>
      </c>
      <c r="L35">
        <v>1367</v>
      </c>
      <c r="N35">
        <v>1011</v>
      </c>
      <c r="O35" t="s">
        <v>398</v>
      </c>
      <c r="P35" t="s">
        <v>398</v>
      </c>
      <c r="Q35">
        <v>1</v>
      </c>
      <c r="W35">
        <v>0</v>
      </c>
      <c r="X35">
        <v>950854334</v>
      </c>
      <c r="Y35">
        <v>1.7249999999999998E-2</v>
      </c>
      <c r="AA35">
        <v>0</v>
      </c>
      <c r="AB35">
        <v>28.89</v>
      </c>
      <c r="AC35">
        <v>2.2400000000000002</v>
      </c>
      <c r="AD35">
        <v>0</v>
      </c>
      <c r="AE35">
        <v>0</v>
      </c>
      <c r="AF35">
        <v>2.36</v>
      </c>
      <c r="AG35">
        <v>0.1</v>
      </c>
      <c r="AH35">
        <v>0</v>
      </c>
      <c r="AI35">
        <v>1</v>
      </c>
      <c r="AJ35">
        <v>11.69</v>
      </c>
      <c r="AK35">
        <v>21.43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6</v>
      </c>
      <c r="AT35">
        <v>1.4999999999999999E-2</v>
      </c>
      <c r="AU35" t="s">
        <v>29</v>
      </c>
      <c r="AV35">
        <v>0</v>
      </c>
      <c r="AW35">
        <v>2</v>
      </c>
      <c r="AX35">
        <v>44176054</v>
      </c>
      <c r="AY35">
        <v>1</v>
      </c>
      <c r="AZ35">
        <v>0</v>
      </c>
      <c r="BA35">
        <v>33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Y35*Source!I44</f>
        <v>0</v>
      </c>
      <c r="CY35">
        <f>AB35</f>
        <v>28.89</v>
      </c>
      <c r="CZ35">
        <f>AF35</f>
        <v>2.36</v>
      </c>
      <c r="DA35">
        <f>AJ35</f>
        <v>11.69</v>
      </c>
      <c r="DB35">
        <f>ROUND((ROUND(AT35*CZ35,2)*1.15),6)</f>
        <v>4.5999999999999999E-2</v>
      </c>
      <c r="DC35">
        <f>ROUND((ROUND(AT35*AG35,2)*1.15),6)</f>
        <v>0</v>
      </c>
    </row>
    <row r="36" spans="1:107" x14ac:dyDescent="0.2">
      <c r="A36">
        <f>ROW(Source!A44)</f>
        <v>44</v>
      </c>
      <c r="B36">
        <v>44176454</v>
      </c>
      <c r="C36">
        <v>44176034</v>
      </c>
      <c r="D36">
        <v>0</v>
      </c>
      <c r="E36">
        <v>1</v>
      </c>
      <c r="F36">
        <v>1</v>
      </c>
      <c r="G36">
        <v>34959076</v>
      </c>
      <c r="H36">
        <v>3</v>
      </c>
      <c r="I36" t="s">
        <v>433</v>
      </c>
      <c r="J36" t="s">
        <v>434</v>
      </c>
      <c r="K36" t="s">
        <v>435</v>
      </c>
      <c r="L36">
        <v>1348</v>
      </c>
      <c r="N36">
        <v>1009</v>
      </c>
      <c r="O36" t="s">
        <v>75</v>
      </c>
      <c r="P36" t="s">
        <v>75</v>
      </c>
      <c r="Q36">
        <v>1000</v>
      </c>
      <c r="W36">
        <v>0</v>
      </c>
      <c r="X36">
        <v>-857364310</v>
      </c>
      <c r="Y36">
        <v>1.32E-3</v>
      </c>
      <c r="AA36">
        <v>6500.22</v>
      </c>
      <c r="AB36">
        <v>0</v>
      </c>
      <c r="AC36">
        <v>0</v>
      </c>
      <c r="AD36">
        <v>0</v>
      </c>
      <c r="AE36">
        <v>6500.22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6</v>
      </c>
      <c r="AT36">
        <v>1.32E-3</v>
      </c>
      <c r="AU36" t="s">
        <v>6</v>
      </c>
      <c r="AV36">
        <v>0</v>
      </c>
      <c r="AW36">
        <v>2</v>
      </c>
      <c r="AX36">
        <v>44176055</v>
      </c>
      <c r="AY36">
        <v>1</v>
      </c>
      <c r="AZ36">
        <v>0</v>
      </c>
      <c r="BA36">
        <v>34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Y36*Source!I44</f>
        <v>0</v>
      </c>
      <c r="CY36">
        <f t="shared" ref="CY36:CY42" si="0">AA36</f>
        <v>6500.22</v>
      </c>
      <c r="CZ36">
        <f t="shared" ref="CZ36:CZ42" si="1">AE36</f>
        <v>6500.22</v>
      </c>
      <c r="DA36">
        <f t="shared" ref="DA36:DA42" si="2">AI36</f>
        <v>1</v>
      </c>
      <c r="DB36">
        <f t="shared" ref="DB36:DB42" si="3">ROUND(ROUND(AT36*CZ36,2),6)</f>
        <v>8.58</v>
      </c>
      <c r="DC36">
        <f t="shared" ref="DC36:DC42" si="4">ROUND(ROUND(AT36*AG36,2),6)</f>
        <v>0</v>
      </c>
    </row>
    <row r="37" spans="1:107" x14ac:dyDescent="0.2">
      <c r="A37">
        <f>ROW(Source!A44)</f>
        <v>44</v>
      </c>
      <c r="B37">
        <v>44176454</v>
      </c>
      <c r="C37">
        <v>44176034</v>
      </c>
      <c r="D37">
        <v>0</v>
      </c>
      <c r="E37">
        <v>1</v>
      </c>
      <c r="F37">
        <v>1</v>
      </c>
      <c r="G37">
        <v>34959076</v>
      </c>
      <c r="H37">
        <v>3</v>
      </c>
      <c r="I37" t="s">
        <v>421</v>
      </c>
      <c r="J37" t="s">
        <v>422</v>
      </c>
      <c r="K37" t="s">
        <v>423</v>
      </c>
      <c r="L37">
        <v>1348</v>
      </c>
      <c r="N37">
        <v>1009</v>
      </c>
      <c r="O37" t="s">
        <v>75</v>
      </c>
      <c r="P37" t="s">
        <v>75</v>
      </c>
      <c r="Q37">
        <v>1000</v>
      </c>
      <c r="W37">
        <v>0</v>
      </c>
      <c r="X37">
        <v>-1423428334</v>
      </c>
      <c r="Y37">
        <v>3.0000000000000001E-5</v>
      </c>
      <c r="AA37">
        <v>6521.42</v>
      </c>
      <c r="AB37">
        <v>0</v>
      </c>
      <c r="AC37">
        <v>0</v>
      </c>
      <c r="AD37">
        <v>0</v>
      </c>
      <c r="AE37">
        <v>6521.42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6</v>
      </c>
      <c r="AT37">
        <v>3.0000000000000001E-5</v>
      </c>
      <c r="AU37" t="s">
        <v>6</v>
      </c>
      <c r="AV37">
        <v>0</v>
      </c>
      <c r="AW37">
        <v>2</v>
      </c>
      <c r="AX37">
        <v>44176056</v>
      </c>
      <c r="AY37">
        <v>1</v>
      </c>
      <c r="AZ37">
        <v>0</v>
      </c>
      <c r="BA37">
        <v>35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Y37*Source!I44</f>
        <v>0</v>
      </c>
      <c r="CY37">
        <f t="shared" si="0"/>
        <v>6521.42</v>
      </c>
      <c r="CZ37">
        <f t="shared" si="1"/>
        <v>6521.42</v>
      </c>
      <c r="DA37">
        <f t="shared" si="2"/>
        <v>1</v>
      </c>
      <c r="DB37">
        <f t="shared" si="3"/>
        <v>0.2</v>
      </c>
      <c r="DC37">
        <f t="shared" si="4"/>
        <v>0</v>
      </c>
    </row>
    <row r="38" spans="1:107" x14ac:dyDescent="0.2">
      <c r="A38">
        <f>ROW(Source!A44)</f>
        <v>44</v>
      </c>
      <c r="B38">
        <v>44176454</v>
      </c>
      <c r="C38">
        <v>44176034</v>
      </c>
      <c r="D38">
        <v>0</v>
      </c>
      <c r="E38">
        <v>1</v>
      </c>
      <c r="F38">
        <v>1</v>
      </c>
      <c r="G38">
        <v>34959076</v>
      </c>
      <c r="H38">
        <v>3</v>
      </c>
      <c r="I38" t="s">
        <v>436</v>
      </c>
      <c r="J38" t="s">
        <v>437</v>
      </c>
      <c r="K38" t="s">
        <v>438</v>
      </c>
      <c r="L38">
        <v>1339</v>
      </c>
      <c r="N38">
        <v>1007</v>
      </c>
      <c r="O38" t="s">
        <v>70</v>
      </c>
      <c r="P38" t="s">
        <v>70</v>
      </c>
      <c r="Q38">
        <v>1</v>
      </c>
      <c r="W38">
        <v>0</v>
      </c>
      <c r="X38">
        <v>977517141</v>
      </c>
      <c r="Y38">
        <v>1E-3</v>
      </c>
      <c r="AA38">
        <v>1828.56</v>
      </c>
      <c r="AB38">
        <v>0</v>
      </c>
      <c r="AC38">
        <v>0</v>
      </c>
      <c r="AD38">
        <v>0</v>
      </c>
      <c r="AE38">
        <v>1828.56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6</v>
      </c>
      <c r="AT38">
        <v>1E-3</v>
      </c>
      <c r="AU38" t="s">
        <v>6</v>
      </c>
      <c r="AV38">
        <v>0</v>
      </c>
      <c r="AW38">
        <v>2</v>
      </c>
      <c r="AX38">
        <v>44176057</v>
      </c>
      <c r="AY38">
        <v>1</v>
      </c>
      <c r="AZ38">
        <v>0</v>
      </c>
      <c r="BA38">
        <v>36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Y38*Source!I44</f>
        <v>0</v>
      </c>
      <c r="CY38">
        <f t="shared" si="0"/>
        <v>1828.56</v>
      </c>
      <c r="CZ38">
        <f t="shared" si="1"/>
        <v>1828.56</v>
      </c>
      <c r="DA38">
        <f t="shared" si="2"/>
        <v>1</v>
      </c>
      <c r="DB38">
        <f t="shared" si="3"/>
        <v>1.83</v>
      </c>
      <c r="DC38">
        <f t="shared" si="4"/>
        <v>0</v>
      </c>
    </row>
    <row r="39" spans="1:107" x14ac:dyDescent="0.2">
      <c r="A39">
        <f>ROW(Source!A44)</f>
        <v>44</v>
      </c>
      <c r="B39">
        <v>44176454</v>
      </c>
      <c r="C39">
        <v>44176034</v>
      </c>
      <c r="D39">
        <v>0</v>
      </c>
      <c r="E39">
        <v>1</v>
      </c>
      <c r="F39">
        <v>1</v>
      </c>
      <c r="G39">
        <v>34959076</v>
      </c>
      <c r="H39">
        <v>3</v>
      </c>
      <c r="I39" t="s">
        <v>439</v>
      </c>
      <c r="J39" t="s">
        <v>440</v>
      </c>
      <c r="K39" t="s">
        <v>441</v>
      </c>
      <c r="L39">
        <v>1339</v>
      </c>
      <c r="N39">
        <v>1007</v>
      </c>
      <c r="O39" t="s">
        <v>70</v>
      </c>
      <c r="P39" t="s">
        <v>70</v>
      </c>
      <c r="Q39">
        <v>1</v>
      </c>
      <c r="W39">
        <v>0</v>
      </c>
      <c r="X39">
        <v>-14858819</v>
      </c>
      <c r="Y39">
        <v>2E-3</v>
      </c>
      <c r="AA39">
        <v>1828.56</v>
      </c>
      <c r="AB39">
        <v>0</v>
      </c>
      <c r="AC39">
        <v>0</v>
      </c>
      <c r="AD39">
        <v>0</v>
      </c>
      <c r="AE39">
        <v>1828.56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6</v>
      </c>
      <c r="AT39">
        <v>2E-3</v>
      </c>
      <c r="AU39" t="s">
        <v>6</v>
      </c>
      <c r="AV39">
        <v>0</v>
      </c>
      <c r="AW39">
        <v>2</v>
      </c>
      <c r="AX39">
        <v>44176058</v>
      </c>
      <c r="AY39">
        <v>1</v>
      </c>
      <c r="AZ39">
        <v>0</v>
      </c>
      <c r="BA39">
        <v>37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Y39*Source!I44</f>
        <v>0</v>
      </c>
      <c r="CY39">
        <f t="shared" si="0"/>
        <v>1828.56</v>
      </c>
      <c r="CZ39">
        <f t="shared" si="1"/>
        <v>1828.56</v>
      </c>
      <c r="DA39">
        <f t="shared" si="2"/>
        <v>1</v>
      </c>
      <c r="DB39">
        <f t="shared" si="3"/>
        <v>3.66</v>
      </c>
      <c r="DC39">
        <f t="shared" si="4"/>
        <v>0</v>
      </c>
    </row>
    <row r="40" spans="1:107" x14ac:dyDescent="0.2">
      <c r="A40">
        <f>ROW(Source!A44)</f>
        <v>44</v>
      </c>
      <c r="B40">
        <v>44176454</v>
      </c>
      <c r="C40">
        <v>44176034</v>
      </c>
      <c r="D40">
        <v>0</v>
      </c>
      <c r="E40">
        <v>1</v>
      </c>
      <c r="F40">
        <v>1</v>
      </c>
      <c r="G40">
        <v>34959076</v>
      </c>
      <c r="H40">
        <v>3</v>
      </c>
      <c r="I40" t="s">
        <v>442</v>
      </c>
      <c r="J40" t="s">
        <v>443</v>
      </c>
      <c r="K40" t="s">
        <v>444</v>
      </c>
      <c r="L40">
        <v>1339</v>
      </c>
      <c r="N40">
        <v>1007</v>
      </c>
      <c r="O40" t="s">
        <v>70</v>
      </c>
      <c r="P40" t="s">
        <v>70</v>
      </c>
      <c r="Q40">
        <v>1</v>
      </c>
      <c r="W40">
        <v>0</v>
      </c>
      <c r="X40">
        <v>-348890864</v>
      </c>
      <c r="Y40">
        <v>0.02</v>
      </c>
      <c r="AA40">
        <v>53.57</v>
      </c>
      <c r="AB40">
        <v>0</v>
      </c>
      <c r="AC40">
        <v>0</v>
      </c>
      <c r="AD40">
        <v>0</v>
      </c>
      <c r="AE40">
        <v>53.57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6</v>
      </c>
      <c r="AT40">
        <v>0.02</v>
      </c>
      <c r="AU40" t="s">
        <v>6</v>
      </c>
      <c r="AV40">
        <v>0</v>
      </c>
      <c r="AW40">
        <v>2</v>
      </c>
      <c r="AX40">
        <v>44176059</v>
      </c>
      <c r="AY40">
        <v>1</v>
      </c>
      <c r="AZ40">
        <v>0</v>
      </c>
      <c r="BA40">
        <v>38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Y40*Source!I44</f>
        <v>0</v>
      </c>
      <c r="CY40">
        <f t="shared" si="0"/>
        <v>53.57</v>
      </c>
      <c r="CZ40">
        <f t="shared" si="1"/>
        <v>53.57</v>
      </c>
      <c r="DA40">
        <f t="shared" si="2"/>
        <v>1</v>
      </c>
      <c r="DB40">
        <f t="shared" si="3"/>
        <v>1.07</v>
      </c>
      <c r="DC40">
        <f t="shared" si="4"/>
        <v>0</v>
      </c>
    </row>
    <row r="41" spans="1:107" x14ac:dyDescent="0.2">
      <c r="A41">
        <f>ROW(Source!A44)</f>
        <v>44</v>
      </c>
      <c r="B41">
        <v>44176454</v>
      </c>
      <c r="C41">
        <v>44176034</v>
      </c>
      <c r="D41">
        <v>0</v>
      </c>
      <c r="E41">
        <v>1</v>
      </c>
      <c r="F41">
        <v>1</v>
      </c>
      <c r="G41">
        <v>34959076</v>
      </c>
      <c r="H41">
        <v>3</v>
      </c>
      <c r="I41" t="s">
        <v>155</v>
      </c>
      <c r="J41" t="s">
        <v>445</v>
      </c>
      <c r="K41" t="s">
        <v>446</v>
      </c>
      <c r="L41">
        <v>1339</v>
      </c>
      <c r="N41">
        <v>1007</v>
      </c>
      <c r="O41" t="s">
        <v>70</v>
      </c>
      <c r="P41" t="s">
        <v>70</v>
      </c>
      <c r="Q41">
        <v>1</v>
      </c>
      <c r="W41">
        <v>0</v>
      </c>
      <c r="X41">
        <v>516329150</v>
      </c>
      <c r="Y41">
        <v>0.08</v>
      </c>
      <c r="AA41">
        <v>5.91</v>
      </c>
      <c r="AB41">
        <v>0</v>
      </c>
      <c r="AC41">
        <v>0</v>
      </c>
      <c r="AD41">
        <v>0</v>
      </c>
      <c r="AE41">
        <v>5.91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6</v>
      </c>
      <c r="AT41">
        <v>0.08</v>
      </c>
      <c r="AU41" t="s">
        <v>6</v>
      </c>
      <c r="AV41">
        <v>0</v>
      </c>
      <c r="AW41">
        <v>2</v>
      </c>
      <c r="AX41">
        <v>44176060</v>
      </c>
      <c r="AY41">
        <v>1</v>
      </c>
      <c r="AZ41">
        <v>0</v>
      </c>
      <c r="BA41">
        <v>39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Y41*Source!I44</f>
        <v>0</v>
      </c>
      <c r="CY41">
        <f t="shared" si="0"/>
        <v>5.91</v>
      </c>
      <c r="CZ41">
        <f t="shared" si="1"/>
        <v>5.91</v>
      </c>
      <c r="DA41">
        <f t="shared" si="2"/>
        <v>1</v>
      </c>
      <c r="DB41">
        <f t="shared" si="3"/>
        <v>0.47</v>
      </c>
      <c r="DC41">
        <f t="shared" si="4"/>
        <v>0</v>
      </c>
    </row>
    <row r="42" spans="1:107" x14ac:dyDescent="0.2">
      <c r="A42">
        <f>ROW(Source!A44)</f>
        <v>44</v>
      </c>
      <c r="B42">
        <v>44176454</v>
      </c>
      <c r="C42">
        <v>44176034</v>
      </c>
      <c r="D42">
        <v>0</v>
      </c>
      <c r="E42">
        <v>1</v>
      </c>
      <c r="F42">
        <v>1</v>
      </c>
      <c r="G42">
        <v>34959076</v>
      </c>
      <c r="H42">
        <v>3</v>
      </c>
      <c r="I42" t="s">
        <v>447</v>
      </c>
      <c r="J42" t="s">
        <v>448</v>
      </c>
      <c r="K42" t="s">
        <v>449</v>
      </c>
      <c r="L42">
        <v>1327</v>
      </c>
      <c r="N42">
        <v>1005</v>
      </c>
      <c r="O42" t="s">
        <v>338</v>
      </c>
      <c r="P42" t="s">
        <v>338</v>
      </c>
      <c r="Q42">
        <v>1</v>
      </c>
      <c r="W42">
        <v>0</v>
      </c>
      <c r="X42">
        <v>1568809848</v>
      </c>
      <c r="Y42">
        <v>1.2</v>
      </c>
      <c r="AA42">
        <v>5.51</v>
      </c>
      <c r="AB42">
        <v>0</v>
      </c>
      <c r="AC42">
        <v>0</v>
      </c>
      <c r="AD42">
        <v>0</v>
      </c>
      <c r="AE42">
        <v>5.51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6</v>
      </c>
      <c r="AT42">
        <v>1.2</v>
      </c>
      <c r="AU42" t="s">
        <v>6</v>
      </c>
      <c r="AV42">
        <v>0</v>
      </c>
      <c r="AW42">
        <v>2</v>
      </c>
      <c r="AX42">
        <v>44176061</v>
      </c>
      <c r="AY42">
        <v>1</v>
      </c>
      <c r="AZ42">
        <v>0</v>
      </c>
      <c r="BA42">
        <v>40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Y42*Source!I44</f>
        <v>0</v>
      </c>
      <c r="CY42">
        <f t="shared" si="0"/>
        <v>5.51</v>
      </c>
      <c r="CZ42">
        <f t="shared" si="1"/>
        <v>5.51</v>
      </c>
      <c r="DA42">
        <f t="shared" si="2"/>
        <v>1</v>
      </c>
      <c r="DB42">
        <f t="shared" si="3"/>
        <v>6.61</v>
      </c>
      <c r="DC42">
        <f t="shared" si="4"/>
        <v>0</v>
      </c>
    </row>
    <row r="43" spans="1:107" x14ac:dyDescent="0.2">
      <c r="A43">
        <f>ROW(Source!A45)</f>
        <v>45</v>
      </c>
      <c r="B43">
        <v>44176454</v>
      </c>
      <c r="C43">
        <v>44176062</v>
      </c>
      <c r="D43">
        <v>34984826</v>
      </c>
      <c r="E43">
        <v>34959076</v>
      </c>
      <c r="F43">
        <v>1</v>
      </c>
      <c r="G43">
        <v>34959076</v>
      </c>
      <c r="H43">
        <v>1</v>
      </c>
      <c r="I43" t="s">
        <v>392</v>
      </c>
      <c r="J43" t="s">
        <v>6</v>
      </c>
      <c r="K43" t="s">
        <v>393</v>
      </c>
      <c r="L43">
        <v>1191</v>
      </c>
      <c r="N43">
        <v>1013</v>
      </c>
      <c r="O43" t="s">
        <v>394</v>
      </c>
      <c r="P43" t="s">
        <v>394</v>
      </c>
      <c r="Q43">
        <v>1</v>
      </c>
      <c r="W43">
        <v>0</v>
      </c>
      <c r="X43">
        <v>476480486</v>
      </c>
      <c r="Y43">
        <v>5.7499999999999996E-2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6</v>
      </c>
      <c r="AT43">
        <v>0.05</v>
      </c>
      <c r="AU43" t="s">
        <v>29</v>
      </c>
      <c r="AV43">
        <v>1</v>
      </c>
      <c r="AW43">
        <v>2</v>
      </c>
      <c r="AX43">
        <v>44176065</v>
      </c>
      <c r="AY43">
        <v>1</v>
      </c>
      <c r="AZ43">
        <v>0</v>
      </c>
      <c r="BA43">
        <v>41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Y43*Source!I45</f>
        <v>0</v>
      </c>
      <c r="CY43">
        <f>AD43</f>
        <v>0</v>
      </c>
      <c r="CZ43">
        <f>AH43</f>
        <v>0</v>
      </c>
      <c r="DA43">
        <f>AL43</f>
        <v>1</v>
      </c>
      <c r="DB43">
        <f>ROUND((ROUND(AT43*CZ43,2)*1.15),6)</f>
        <v>0</v>
      </c>
      <c r="DC43">
        <f>ROUND((ROUND(AT43*AG43,2)*1.15),6)</f>
        <v>0</v>
      </c>
    </row>
    <row r="44" spans="1:107" x14ac:dyDescent="0.2">
      <c r="A44">
        <f>ROW(Source!A46)</f>
        <v>46</v>
      </c>
      <c r="B44">
        <v>44176454</v>
      </c>
      <c r="C44">
        <v>44176066</v>
      </c>
      <c r="D44">
        <v>34984826</v>
      </c>
      <c r="E44">
        <v>34959076</v>
      </c>
      <c r="F44">
        <v>1</v>
      </c>
      <c r="G44">
        <v>34959076</v>
      </c>
      <c r="H44">
        <v>1</v>
      </c>
      <c r="I44" t="s">
        <v>392</v>
      </c>
      <c r="J44" t="s">
        <v>6</v>
      </c>
      <c r="K44" t="s">
        <v>393</v>
      </c>
      <c r="L44">
        <v>1191</v>
      </c>
      <c r="N44">
        <v>1013</v>
      </c>
      <c r="O44" t="s">
        <v>394</v>
      </c>
      <c r="P44" t="s">
        <v>394</v>
      </c>
      <c r="Q44">
        <v>1</v>
      </c>
      <c r="W44">
        <v>0</v>
      </c>
      <c r="X44">
        <v>476480486</v>
      </c>
      <c r="Y44">
        <v>0.17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6</v>
      </c>
      <c r="AT44">
        <v>0.17</v>
      </c>
      <c r="AU44" t="s">
        <v>6</v>
      </c>
      <c r="AV44">
        <v>1</v>
      </c>
      <c r="AW44">
        <v>2</v>
      </c>
      <c r="AX44">
        <v>44176069</v>
      </c>
      <c r="AY44">
        <v>1</v>
      </c>
      <c r="AZ44">
        <v>0</v>
      </c>
      <c r="BA44">
        <v>42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Y44*Source!I46</f>
        <v>0</v>
      </c>
      <c r="CY44">
        <f>AD44</f>
        <v>0</v>
      </c>
      <c r="CZ44">
        <f>AH44</f>
        <v>0</v>
      </c>
      <c r="DA44">
        <f>AL44</f>
        <v>1</v>
      </c>
      <c r="DB44">
        <f t="shared" ref="DB44:DB62" si="5">ROUND(ROUND(AT44*CZ44,2),6)</f>
        <v>0</v>
      </c>
      <c r="DC44">
        <f t="shared" ref="DC44:DC62" si="6">ROUND(ROUND(AT44*AG44,2),6)</f>
        <v>0</v>
      </c>
    </row>
    <row r="45" spans="1:107" x14ac:dyDescent="0.2">
      <c r="A45">
        <f>ROW(Source!A47)</f>
        <v>47</v>
      </c>
      <c r="B45">
        <v>44176454</v>
      </c>
      <c r="C45">
        <v>44176070</v>
      </c>
      <c r="D45">
        <v>34984826</v>
      </c>
      <c r="E45">
        <v>34959076</v>
      </c>
      <c r="F45">
        <v>1</v>
      </c>
      <c r="G45">
        <v>34959076</v>
      </c>
      <c r="H45">
        <v>1</v>
      </c>
      <c r="I45" t="s">
        <v>392</v>
      </c>
      <c r="J45" t="s">
        <v>6</v>
      </c>
      <c r="K45" t="s">
        <v>393</v>
      </c>
      <c r="L45">
        <v>1191</v>
      </c>
      <c r="N45">
        <v>1013</v>
      </c>
      <c r="O45" t="s">
        <v>394</v>
      </c>
      <c r="P45" t="s">
        <v>394</v>
      </c>
      <c r="Q45">
        <v>1</v>
      </c>
      <c r="W45">
        <v>0</v>
      </c>
      <c r="X45">
        <v>476480486</v>
      </c>
      <c r="Y45">
        <v>110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6</v>
      </c>
      <c r="AT45">
        <v>110</v>
      </c>
      <c r="AU45" t="s">
        <v>6</v>
      </c>
      <c r="AV45">
        <v>1</v>
      </c>
      <c r="AW45">
        <v>2</v>
      </c>
      <c r="AX45">
        <v>44176084</v>
      </c>
      <c r="AY45">
        <v>1</v>
      </c>
      <c r="AZ45">
        <v>0</v>
      </c>
      <c r="BA45">
        <v>43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Y45*Source!I47</f>
        <v>0</v>
      </c>
      <c r="CY45">
        <f>AD45</f>
        <v>0</v>
      </c>
      <c r="CZ45">
        <f>AH45</f>
        <v>0</v>
      </c>
      <c r="DA45">
        <f>AL45</f>
        <v>1</v>
      </c>
      <c r="DB45">
        <f t="shared" si="5"/>
        <v>0</v>
      </c>
      <c r="DC45">
        <f t="shared" si="6"/>
        <v>0</v>
      </c>
    </row>
    <row r="46" spans="1:107" x14ac:dyDescent="0.2">
      <c r="A46">
        <f>ROW(Source!A47)</f>
        <v>47</v>
      </c>
      <c r="B46">
        <v>44176454</v>
      </c>
      <c r="C46">
        <v>44176070</v>
      </c>
      <c r="D46">
        <v>35065171</v>
      </c>
      <c r="E46">
        <v>1</v>
      </c>
      <c r="F46">
        <v>1</v>
      </c>
      <c r="G46">
        <v>34959076</v>
      </c>
      <c r="H46">
        <v>2</v>
      </c>
      <c r="I46" t="s">
        <v>450</v>
      </c>
      <c r="J46" t="s">
        <v>451</v>
      </c>
      <c r="K46" t="s">
        <v>452</v>
      </c>
      <c r="L46">
        <v>1367</v>
      </c>
      <c r="N46">
        <v>1011</v>
      </c>
      <c r="O46" t="s">
        <v>398</v>
      </c>
      <c r="P46" t="s">
        <v>398</v>
      </c>
      <c r="Q46">
        <v>1</v>
      </c>
      <c r="W46">
        <v>0</v>
      </c>
      <c r="X46">
        <v>-243982840</v>
      </c>
      <c r="Y46">
        <v>43</v>
      </c>
      <c r="AA46">
        <v>0</v>
      </c>
      <c r="AB46">
        <v>39.42</v>
      </c>
      <c r="AC46">
        <v>6.76</v>
      </c>
      <c r="AD46">
        <v>0</v>
      </c>
      <c r="AE46">
        <v>0</v>
      </c>
      <c r="AF46">
        <v>6.22</v>
      </c>
      <c r="AG46">
        <v>0.28999999999999998</v>
      </c>
      <c r="AH46">
        <v>0</v>
      </c>
      <c r="AI46">
        <v>1</v>
      </c>
      <c r="AJ46">
        <v>5.83</v>
      </c>
      <c r="AK46">
        <v>21.43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6</v>
      </c>
      <c r="AT46">
        <v>43</v>
      </c>
      <c r="AU46" t="s">
        <v>6</v>
      </c>
      <c r="AV46">
        <v>0</v>
      </c>
      <c r="AW46">
        <v>2</v>
      </c>
      <c r="AX46">
        <v>44176085</v>
      </c>
      <c r="AY46">
        <v>1</v>
      </c>
      <c r="AZ46">
        <v>0</v>
      </c>
      <c r="BA46">
        <v>44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Y46*Source!I47</f>
        <v>0</v>
      </c>
      <c r="CY46">
        <f t="shared" ref="CY46:CY52" si="7">AB46</f>
        <v>39.42</v>
      </c>
      <c r="CZ46">
        <f t="shared" ref="CZ46:CZ52" si="8">AF46</f>
        <v>6.22</v>
      </c>
      <c r="DA46">
        <f t="shared" ref="DA46:DA52" si="9">AJ46</f>
        <v>5.83</v>
      </c>
      <c r="DB46">
        <f t="shared" si="5"/>
        <v>267.45999999999998</v>
      </c>
      <c r="DC46">
        <f t="shared" si="6"/>
        <v>12.47</v>
      </c>
    </row>
    <row r="47" spans="1:107" x14ac:dyDescent="0.2">
      <c r="A47">
        <f>ROW(Source!A47)</f>
        <v>47</v>
      </c>
      <c r="B47">
        <v>44176454</v>
      </c>
      <c r="C47">
        <v>44176070</v>
      </c>
      <c r="D47">
        <v>35065173</v>
      </c>
      <c r="E47">
        <v>1</v>
      </c>
      <c r="F47">
        <v>1</v>
      </c>
      <c r="G47">
        <v>34959076</v>
      </c>
      <c r="H47">
        <v>2</v>
      </c>
      <c r="I47" t="s">
        <v>453</v>
      </c>
      <c r="J47" t="s">
        <v>454</v>
      </c>
      <c r="K47" t="s">
        <v>455</v>
      </c>
      <c r="L47">
        <v>1367</v>
      </c>
      <c r="N47">
        <v>1011</v>
      </c>
      <c r="O47" t="s">
        <v>398</v>
      </c>
      <c r="P47" t="s">
        <v>398</v>
      </c>
      <c r="Q47">
        <v>1</v>
      </c>
      <c r="W47">
        <v>0</v>
      </c>
      <c r="X47">
        <v>-157737218</v>
      </c>
      <c r="Y47">
        <v>0.9</v>
      </c>
      <c r="AA47">
        <v>0</v>
      </c>
      <c r="AB47">
        <v>6.03</v>
      </c>
      <c r="AC47">
        <v>2.1</v>
      </c>
      <c r="AD47">
        <v>0</v>
      </c>
      <c r="AE47">
        <v>0</v>
      </c>
      <c r="AF47">
        <v>1.0900000000000001</v>
      </c>
      <c r="AG47">
        <v>0.09</v>
      </c>
      <c r="AH47">
        <v>0</v>
      </c>
      <c r="AI47">
        <v>1</v>
      </c>
      <c r="AJ47">
        <v>5.09</v>
      </c>
      <c r="AK47">
        <v>21.43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6</v>
      </c>
      <c r="AT47">
        <v>0.9</v>
      </c>
      <c r="AU47" t="s">
        <v>6</v>
      </c>
      <c r="AV47">
        <v>0</v>
      </c>
      <c r="AW47">
        <v>2</v>
      </c>
      <c r="AX47">
        <v>44176086</v>
      </c>
      <c r="AY47">
        <v>1</v>
      </c>
      <c r="AZ47">
        <v>0</v>
      </c>
      <c r="BA47">
        <v>45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Y47*Source!I47</f>
        <v>0</v>
      </c>
      <c r="CY47">
        <f t="shared" si="7"/>
        <v>6.03</v>
      </c>
      <c r="CZ47">
        <f t="shared" si="8"/>
        <v>1.0900000000000001</v>
      </c>
      <c r="DA47">
        <f t="shared" si="9"/>
        <v>5.09</v>
      </c>
      <c r="DB47">
        <f t="shared" si="5"/>
        <v>0.98</v>
      </c>
      <c r="DC47">
        <f t="shared" si="6"/>
        <v>0.08</v>
      </c>
    </row>
    <row r="48" spans="1:107" x14ac:dyDescent="0.2">
      <c r="A48">
        <f>ROW(Source!A47)</f>
        <v>47</v>
      </c>
      <c r="B48">
        <v>44176454</v>
      </c>
      <c r="C48">
        <v>44176070</v>
      </c>
      <c r="D48">
        <v>35065507</v>
      </c>
      <c r="E48">
        <v>1</v>
      </c>
      <c r="F48">
        <v>1</v>
      </c>
      <c r="G48">
        <v>34959076</v>
      </c>
      <c r="H48">
        <v>2</v>
      </c>
      <c r="I48" t="s">
        <v>456</v>
      </c>
      <c r="J48" t="s">
        <v>457</v>
      </c>
      <c r="K48" t="s">
        <v>458</v>
      </c>
      <c r="L48">
        <v>1367</v>
      </c>
      <c r="N48">
        <v>1011</v>
      </c>
      <c r="O48" t="s">
        <v>398</v>
      </c>
      <c r="P48" t="s">
        <v>398</v>
      </c>
      <c r="Q48">
        <v>1</v>
      </c>
      <c r="W48">
        <v>0</v>
      </c>
      <c r="X48">
        <v>-875577540</v>
      </c>
      <c r="Y48">
        <v>0.4</v>
      </c>
      <c r="AA48">
        <v>0</v>
      </c>
      <c r="AB48">
        <v>5.5</v>
      </c>
      <c r="AC48">
        <v>0.93</v>
      </c>
      <c r="AD48">
        <v>0</v>
      </c>
      <c r="AE48">
        <v>0</v>
      </c>
      <c r="AF48">
        <v>0.68</v>
      </c>
      <c r="AG48">
        <v>0.04</v>
      </c>
      <c r="AH48">
        <v>0</v>
      </c>
      <c r="AI48">
        <v>1</v>
      </c>
      <c r="AJ48">
        <v>7.44</v>
      </c>
      <c r="AK48">
        <v>21.43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6</v>
      </c>
      <c r="AT48">
        <v>0.4</v>
      </c>
      <c r="AU48" t="s">
        <v>6</v>
      </c>
      <c r="AV48">
        <v>0</v>
      </c>
      <c r="AW48">
        <v>2</v>
      </c>
      <c r="AX48">
        <v>44176087</v>
      </c>
      <c r="AY48">
        <v>1</v>
      </c>
      <c r="AZ48">
        <v>0</v>
      </c>
      <c r="BA48">
        <v>46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Y48*Source!I47</f>
        <v>0</v>
      </c>
      <c r="CY48">
        <f t="shared" si="7"/>
        <v>5.5</v>
      </c>
      <c r="CZ48">
        <f t="shared" si="8"/>
        <v>0.68</v>
      </c>
      <c r="DA48">
        <f t="shared" si="9"/>
        <v>7.44</v>
      </c>
      <c r="DB48">
        <f t="shared" si="5"/>
        <v>0.27</v>
      </c>
      <c r="DC48">
        <f t="shared" si="6"/>
        <v>0.02</v>
      </c>
    </row>
    <row r="49" spans="1:107" x14ac:dyDescent="0.2">
      <c r="A49">
        <f>ROW(Source!A47)</f>
        <v>47</v>
      </c>
      <c r="B49">
        <v>44176454</v>
      </c>
      <c r="C49">
        <v>44176070</v>
      </c>
      <c r="D49">
        <v>35065525</v>
      </c>
      <c r="E49">
        <v>1</v>
      </c>
      <c r="F49">
        <v>1</v>
      </c>
      <c r="G49">
        <v>34959076</v>
      </c>
      <c r="H49">
        <v>2</v>
      </c>
      <c r="I49" t="s">
        <v>459</v>
      </c>
      <c r="J49" t="s">
        <v>460</v>
      </c>
      <c r="K49" t="s">
        <v>461</v>
      </c>
      <c r="L49">
        <v>1367</v>
      </c>
      <c r="N49">
        <v>1011</v>
      </c>
      <c r="O49" t="s">
        <v>398</v>
      </c>
      <c r="P49" t="s">
        <v>398</v>
      </c>
      <c r="Q49">
        <v>1</v>
      </c>
      <c r="W49">
        <v>0</v>
      </c>
      <c r="X49">
        <v>-1671691274</v>
      </c>
      <c r="Y49">
        <v>2.4</v>
      </c>
      <c r="AA49">
        <v>0</v>
      </c>
      <c r="AB49">
        <v>10.56</v>
      </c>
      <c r="AC49">
        <v>3.49</v>
      </c>
      <c r="AD49">
        <v>0</v>
      </c>
      <c r="AE49">
        <v>0</v>
      </c>
      <c r="AF49">
        <v>2.0499999999999998</v>
      </c>
      <c r="AG49">
        <v>0.15</v>
      </c>
      <c r="AH49">
        <v>0</v>
      </c>
      <c r="AI49">
        <v>1</v>
      </c>
      <c r="AJ49">
        <v>4.74</v>
      </c>
      <c r="AK49">
        <v>21.43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6</v>
      </c>
      <c r="AT49">
        <v>2.4</v>
      </c>
      <c r="AU49" t="s">
        <v>6</v>
      </c>
      <c r="AV49">
        <v>0</v>
      </c>
      <c r="AW49">
        <v>2</v>
      </c>
      <c r="AX49">
        <v>44176088</v>
      </c>
      <c r="AY49">
        <v>1</v>
      </c>
      <c r="AZ49">
        <v>0</v>
      </c>
      <c r="BA49">
        <v>47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Y49*Source!I47</f>
        <v>0</v>
      </c>
      <c r="CY49">
        <f t="shared" si="7"/>
        <v>10.56</v>
      </c>
      <c r="CZ49">
        <f t="shared" si="8"/>
        <v>2.0499999999999998</v>
      </c>
      <c r="DA49">
        <f t="shared" si="9"/>
        <v>4.74</v>
      </c>
      <c r="DB49">
        <f t="shared" si="5"/>
        <v>4.92</v>
      </c>
      <c r="DC49">
        <f t="shared" si="6"/>
        <v>0.36</v>
      </c>
    </row>
    <row r="50" spans="1:107" x14ac:dyDescent="0.2">
      <c r="A50">
        <f>ROW(Source!A47)</f>
        <v>47</v>
      </c>
      <c r="B50">
        <v>44176454</v>
      </c>
      <c r="C50">
        <v>44176070</v>
      </c>
      <c r="D50">
        <v>35065495</v>
      </c>
      <c r="E50">
        <v>1</v>
      </c>
      <c r="F50">
        <v>1</v>
      </c>
      <c r="G50">
        <v>34959076</v>
      </c>
      <c r="H50">
        <v>2</v>
      </c>
      <c r="I50" t="s">
        <v>430</v>
      </c>
      <c r="J50" t="s">
        <v>431</v>
      </c>
      <c r="K50" t="s">
        <v>432</v>
      </c>
      <c r="L50">
        <v>1367</v>
      </c>
      <c r="N50">
        <v>1011</v>
      </c>
      <c r="O50" t="s">
        <v>398</v>
      </c>
      <c r="P50" t="s">
        <v>398</v>
      </c>
      <c r="Q50">
        <v>1</v>
      </c>
      <c r="W50">
        <v>0</v>
      </c>
      <c r="X50">
        <v>950854334</v>
      </c>
      <c r="Y50">
        <v>0.3</v>
      </c>
      <c r="AA50">
        <v>0</v>
      </c>
      <c r="AB50">
        <v>29.99</v>
      </c>
      <c r="AC50">
        <v>2.33</v>
      </c>
      <c r="AD50">
        <v>0</v>
      </c>
      <c r="AE50">
        <v>0</v>
      </c>
      <c r="AF50">
        <v>2.36</v>
      </c>
      <c r="AG50">
        <v>0.1</v>
      </c>
      <c r="AH50">
        <v>0</v>
      </c>
      <c r="AI50">
        <v>1</v>
      </c>
      <c r="AJ50">
        <v>11.69</v>
      </c>
      <c r="AK50">
        <v>21.43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6</v>
      </c>
      <c r="AT50">
        <v>0.3</v>
      </c>
      <c r="AU50" t="s">
        <v>6</v>
      </c>
      <c r="AV50">
        <v>0</v>
      </c>
      <c r="AW50">
        <v>2</v>
      </c>
      <c r="AX50">
        <v>44176089</v>
      </c>
      <c r="AY50">
        <v>1</v>
      </c>
      <c r="AZ50">
        <v>0</v>
      </c>
      <c r="BA50">
        <v>48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Y50*Source!I47</f>
        <v>0</v>
      </c>
      <c r="CY50">
        <f t="shared" si="7"/>
        <v>29.99</v>
      </c>
      <c r="CZ50">
        <f t="shared" si="8"/>
        <v>2.36</v>
      </c>
      <c r="DA50">
        <f t="shared" si="9"/>
        <v>11.69</v>
      </c>
      <c r="DB50">
        <f t="shared" si="5"/>
        <v>0.71</v>
      </c>
      <c r="DC50">
        <f t="shared" si="6"/>
        <v>0.03</v>
      </c>
    </row>
    <row r="51" spans="1:107" x14ac:dyDescent="0.2">
      <c r="A51">
        <f>ROW(Source!A47)</f>
        <v>47</v>
      </c>
      <c r="B51">
        <v>44176454</v>
      </c>
      <c r="C51">
        <v>44176070</v>
      </c>
      <c r="D51">
        <v>35065548</v>
      </c>
      <c r="E51">
        <v>1</v>
      </c>
      <c r="F51">
        <v>1</v>
      </c>
      <c r="G51">
        <v>34959076</v>
      </c>
      <c r="H51">
        <v>2</v>
      </c>
      <c r="I51" t="s">
        <v>462</v>
      </c>
      <c r="J51" t="s">
        <v>463</v>
      </c>
      <c r="K51" t="s">
        <v>464</v>
      </c>
      <c r="L51">
        <v>1367</v>
      </c>
      <c r="N51">
        <v>1011</v>
      </c>
      <c r="O51" t="s">
        <v>398</v>
      </c>
      <c r="P51" t="s">
        <v>398</v>
      </c>
      <c r="Q51">
        <v>1</v>
      </c>
      <c r="W51">
        <v>0</v>
      </c>
      <c r="X51">
        <v>-1280649501</v>
      </c>
      <c r="Y51">
        <v>0.8</v>
      </c>
      <c r="AA51">
        <v>0</v>
      </c>
      <c r="AB51">
        <v>364.82</v>
      </c>
      <c r="AC51">
        <v>313.54000000000002</v>
      </c>
      <c r="AD51">
        <v>0</v>
      </c>
      <c r="AE51">
        <v>0</v>
      </c>
      <c r="AF51">
        <v>18.309999999999999</v>
      </c>
      <c r="AG51">
        <v>13.46</v>
      </c>
      <c r="AH51">
        <v>0</v>
      </c>
      <c r="AI51">
        <v>1</v>
      </c>
      <c r="AJ51">
        <v>18.329999999999998</v>
      </c>
      <c r="AK51">
        <v>21.43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6</v>
      </c>
      <c r="AT51">
        <v>0.8</v>
      </c>
      <c r="AU51" t="s">
        <v>6</v>
      </c>
      <c r="AV51">
        <v>0</v>
      </c>
      <c r="AW51">
        <v>2</v>
      </c>
      <c r="AX51">
        <v>44176090</v>
      </c>
      <c r="AY51">
        <v>1</v>
      </c>
      <c r="AZ51">
        <v>0</v>
      </c>
      <c r="BA51">
        <v>49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Y51*Source!I47</f>
        <v>0</v>
      </c>
      <c r="CY51">
        <f t="shared" si="7"/>
        <v>364.82</v>
      </c>
      <c r="CZ51">
        <f t="shared" si="8"/>
        <v>18.309999999999999</v>
      </c>
      <c r="DA51">
        <f t="shared" si="9"/>
        <v>18.329999999999998</v>
      </c>
      <c r="DB51">
        <f t="shared" si="5"/>
        <v>14.65</v>
      </c>
      <c r="DC51">
        <f t="shared" si="6"/>
        <v>10.77</v>
      </c>
    </row>
    <row r="52" spans="1:107" x14ac:dyDescent="0.2">
      <c r="A52">
        <f>ROW(Source!A47)</f>
        <v>47</v>
      </c>
      <c r="B52">
        <v>44176454</v>
      </c>
      <c r="C52">
        <v>44176070</v>
      </c>
      <c r="D52">
        <v>34984824</v>
      </c>
      <c r="E52">
        <v>34959076</v>
      </c>
      <c r="F52">
        <v>1</v>
      </c>
      <c r="G52">
        <v>34959076</v>
      </c>
      <c r="H52">
        <v>2</v>
      </c>
      <c r="I52" t="s">
        <v>414</v>
      </c>
      <c r="J52" t="s">
        <v>6</v>
      </c>
      <c r="K52" t="s">
        <v>415</v>
      </c>
      <c r="L52">
        <v>1344</v>
      </c>
      <c r="N52">
        <v>1008</v>
      </c>
      <c r="O52" t="s">
        <v>410</v>
      </c>
      <c r="P52" t="s">
        <v>410</v>
      </c>
      <c r="Q52">
        <v>1</v>
      </c>
      <c r="W52">
        <v>0</v>
      </c>
      <c r="X52">
        <v>-1180195794</v>
      </c>
      <c r="Y52">
        <v>37.22</v>
      </c>
      <c r="AA52">
        <v>0</v>
      </c>
      <c r="AB52">
        <v>1.0900000000000001</v>
      </c>
      <c r="AC52">
        <v>0</v>
      </c>
      <c r="AD52">
        <v>0</v>
      </c>
      <c r="AE52">
        <v>0</v>
      </c>
      <c r="AF52">
        <v>1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6</v>
      </c>
      <c r="AT52">
        <v>37.22</v>
      </c>
      <c r="AU52" t="s">
        <v>6</v>
      </c>
      <c r="AV52">
        <v>0</v>
      </c>
      <c r="AW52">
        <v>2</v>
      </c>
      <c r="AX52">
        <v>44176091</v>
      </c>
      <c r="AY52">
        <v>1</v>
      </c>
      <c r="AZ52">
        <v>0</v>
      </c>
      <c r="BA52">
        <v>50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Y52*Source!I47</f>
        <v>0</v>
      </c>
      <c r="CY52">
        <f t="shared" si="7"/>
        <v>1.0900000000000001</v>
      </c>
      <c r="CZ52">
        <f t="shared" si="8"/>
        <v>1</v>
      </c>
      <c r="DA52">
        <f t="shared" si="9"/>
        <v>1</v>
      </c>
      <c r="DB52">
        <f t="shared" si="5"/>
        <v>37.22</v>
      </c>
      <c r="DC52">
        <f t="shared" si="6"/>
        <v>0</v>
      </c>
    </row>
    <row r="53" spans="1:107" x14ac:dyDescent="0.2">
      <c r="A53">
        <f>ROW(Source!A47)</f>
        <v>47</v>
      </c>
      <c r="B53">
        <v>44176454</v>
      </c>
      <c r="C53">
        <v>44176070</v>
      </c>
      <c r="D53">
        <v>35043041</v>
      </c>
      <c r="E53">
        <v>1</v>
      </c>
      <c r="F53">
        <v>1</v>
      </c>
      <c r="G53">
        <v>34959076</v>
      </c>
      <c r="H53">
        <v>3</v>
      </c>
      <c r="I53" t="s">
        <v>151</v>
      </c>
      <c r="J53" t="s">
        <v>153</v>
      </c>
      <c r="K53" t="s">
        <v>152</v>
      </c>
      <c r="L53">
        <v>1348</v>
      </c>
      <c r="N53">
        <v>1009</v>
      </c>
      <c r="O53" t="s">
        <v>75</v>
      </c>
      <c r="P53" t="s">
        <v>75</v>
      </c>
      <c r="Q53">
        <v>1000</v>
      </c>
      <c r="W53">
        <v>0</v>
      </c>
      <c r="X53">
        <v>783842418</v>
      </c>
      <c r="Y53">
        <v>0.273731</v>
      </c>
      <c r="AA53">
        <v>42078.3</v>
      </c>
      <c r="AB53">
        <v>0</v>
      </c>
      <c r="AC53">
        <v>0</v>
      </c>
      <c r="AD53">
        <v>0</v>
      </c>
      <c r="AE53">
        <v>7254.88</v>
      </c>
      <c r="AF53">
        <v>0</v>
      </c>
      <c r="AG53">
        <v>0</v>
      </c>
      <c r="AH53">
        <v>0</v>
      </c>
      <c r="AI53">
        <v>5.8</v>
      </c>
      <c r="AJ53">
        <v>1</v>
      </c>
      <c r="AK53">
        <v>1</v>
      </c>
      <c r="AL53">
        <v>1</v>
      </c>
      <c r="AN53">
        <v>0</v>
      </c>
      <c r="AO53">
        <v>0</v>
      </c>
      <c r="AP53">
        <v>0</v>
      </c>
      <c r="AQ53">
        <v>0</v>
      </c>
      <c r="AR53">
        <v>0</v>
      </c>
      <c r="AS53" t="s">
        <v>6</v>
      </c>
      <c r="AT53">
        <v>0.273731</v>
      </c>
      <c r="AU53" t="s">
        <v>6</v>
      </c>
      <c r="AV53">
        <v>0</v>
      </c>
      <c r="AW53">
        <v>1</v>
      </c>
      <c r="AX53">
        <v>-1</v>
      </c>
      <c r="AY53">
        <v>0</v>
      </c>
      <c r="AZ53">
        <v>0</v>
      </c>
      <c r="BA53" t="s">
        <v>6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Y53*Source!I47</f>
        <v>0</v>
      </c>
      <c r="CY53">
        <f>AA53</f>
        <v>42078.3</v>
      </c>
      <c r="CZ53">
        <f>AE53</f>
        <v>7254.88</v>
      </c>
      <c r="DA53">
        <f>AI53</f>
        <v>5.8</v>
      </c>
      <c r="DB53">
        <f t="shared" si="5"/>
        <v>1985.89</v>
      </c>
      <c r="DC53">
        <f t="shared" si="6"/>
        <v>0</v>
      </c>
    </row>
    <row r="54" spans="1:107" x14ac:dyDescent="0.2">
      <c r="A54">
        <f>ROW(Source!A47)</f>
        <v>47</v>
      </c>
      <c r="B54">
        <v>44176454</v>
      </c>
      <c r="C54">
        <v>44176070</v>
      </c>
      <c r="D54">
        <v>35043022</v>
      </c>
      <c r="E54">
        <v>1</v>
      </c>
      <c r="F54">
        <v>1</v>
      </c>
      <c r="G54">
        <v>34959076</v>
      </c>
      <c r="H54">
        <v>3</v>
      </c>
      <c r="I54" t="s">
        <v>147</v>
      </c>
      <c r="J54" t="s">
        <v>149</v>
      </c>
      <c r="K54" t="s">
        <v>148</v>
      </c>
      <c r="L54">
        <v>1348</v>
      </c>
      <c r="N54">
        <v>1009</v>
      </c>
      <c r="O54" t="s">
        <v>75</v>
      </c>
      <c r="P54" t="s">
        <v>75</v>
      </c>
      <c r="Q54">
        <v>1000</v>
      </c>
      <c r="W54">
        <v>0</v>
      </c>
      <c r="X54">
        <v>-1357529113</v>
      </c>
      <c r="Y54">
        <v>0.786269</v>
      </c>
      <c r="AA54">
        <v>24346.51</v>
      </c>
      <c r="AB54">
        <v>0</v>
      </c>
      <c r="AC54">
        <v>0</v>
      </c>
      <c r="AD54">
        <v>0</v>
      </c>
      <c r="AE54">
        <v>7879.13</v>
      </c>
      <c r="AF54">
        <v>0</v>
      </c>
      <c r="AG54">
        <v>0</v>
      </c>
      <c r="AH54">
        <v>0</v>
      </c>
      <c r="AI54">
        <v>3.09</v>
      </c>
      <c r="AJ54">
        <v>1</v>
      </c>
      <c r="AK54">
        <v>1</v>
      </c>
      <c r="AL54">
        <v>1</v>
      </c>
      <c r="AN54">
        <v>0</v>
      </c>
      <c r="AO54">
        <v>0</v>
      </c>
      <c r="AP54">
        <v>0</v>
      </c>
      <c r="AQ54">
        <v>0</v>
      </c>
      <c r="AR54">
        <v>0</v>
      </c>
      <c r="AS54" t="s">
        <v>6</v>
      </c>
      <c r="AT54">
        <v>0.786269</v>
      </c>
      <c r="AU54" t="s">
        <v>6</v>
      </c>
      <c r="AV54">
        <v>0</v>
      </c>
      <c r="AW54">
        <v>1</v>
      </c>
      <c r="AX54">
        <v>-1</v>
      </c>
      <c r="AY54">
        <v>0</v>
      </c>
      <c r="AZ54">
        <v>0</v>
      </c>
      <c r="BA54" t="s">
        <v>6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Y54*Source!I47</f>
        <v>0</v>
      </c>
      <c r="CY54">
        <f>AA54</f>
        <v>24346.51</v>
      </c>
      <c r="CZ54">
        <f>AE54</f>
        <v>7879.13</v>
      </c>
      <c r="DA54">
        <f>AI54</f>
        <v>3.09</v>
      </c>
      <c r="DB54">
        <f t="shared" si="5"/>
        <v>6195.12</v>
      </c>
      <c r="DC54">
        <f t="shared" si="6"/>
        <v>0</v>
      </c>
    </row>
    <row r="55" spans="1:107" x14ac:dyDescent="0.2">
      <c r="A55">
        <f>ROW(Source!A47)</f>
        <v>47</v>
      </c>
      <c r="B55">
        <v>44176454</v>
      </c>
      <c r="C55">
        <v>44176070</v>
      </c>
      <c r="D55">
        <v>35042585</v>
      </c>
      <c r="E55">
        <v>1</v>
      </c>
      <c r="F55">
        <v>1</v>
      </c>
      <c r="G55">
        <v>34959076</v>
      </c>
      <c r="H55">
        <v>3</v>
      </c>
      <c r="I55" t="s">
        <v>465</v>
      </c>
      <c r="J55" t="s">
        <v>466</v>
      </c>
      <c r="K55" t="s">
        <v>467</v>
      </c>
      <c r="L55">
        <v>1348</v>
      </c>
      <c r="N55">
        <v>1009</v>
      </c>
      <c r="O55" t="s">
        <v>75</v>
      </c>
      <c r="P55" t="s">
        <v>75</v>
      </c>
      <c r="Q55">
        <v>1000</v>
      </c>
      <c r="W55">
        <v>0</v>
      </c>
      <c r="X55">
        <v>1310716689</v>
      </c>
      <c r="Y55">
        <v>1.9E-2</v>
      </c>
      <c r="AA55">
        <v>90113.38</v>
      </c>
      <c r="AB55">
        <v>0</v>
      </c>
      <c r="AC55">
        <v>0</v>
      </c>
      <c r="AD55">
        <v>0</v>
      </c>
      <c r="AE55">
        <v>7191.81</v>
      </c>
      <c r="AF55">
        <v>0</v>
      </c>
      <c r="AG55">
        <v>0</v>
      </c>
      <c r="AH55">
        <v>0</v>
      </c>
      <c r="AI55">
        <v>12.53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6</v>
      </c>
      <c r="AT55">
        <v>1.9E-2</v>
      </c>
      <c r="AU55" t="s">
        <v>6</v>
      </c>
      <c r="AV55">
        <v>0</v>
      </c>
      <c r="AW55">
        <v>2</v>
      </c>
      <c r="AX55">
        <v>44176094</v>
      </c>
      <c r="AY55">
        <v>1</v>
      </c>
      <c r="AZ55">
        <v>0</v>
      </c>
      <c r="BA55">
        <v>53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Y55*Source!I47</f>
        <v>0</v>
      </c>
      <c r="CY55">
        <f>AA55</f>
        <v>90113.38</v>
      </c>
      <c r="CZ55">
        <f>AE55</f>
        <v>7191.81</v>
      </c>
      <c r="DA55">
        <f>AI55</f>
        <v>12.53</v>
      </c>
      <c r="DB55">
        <f t="shared" si="5"/>
        <v>136.63999999999999</v>
      </c>
      <c r="DC55">
        <f t="shared" si="6"/>
        <v>0</v>
      </c>
    </row>
    <row r="56" spans="1:107" x14ac:dyDescent="0.2">
      <c r="A56">
        <f>ROW(Source!A47)</f>
        <v>47</v>
      </c>
      <c r="B56">
        <v>44176454</v>
      </c>
      <c r="C56">
        <v>44176070</v>
      </c>
      <c r="D56">
        <v>35043650</v>
      </c>
      <c r="E56">
        <v>1</v>
      </c>
      <c r="F56">
        <v>1</v>
      </c>
      <c r="G56">
        <v>34959076</v>
      </c>
      <c r="H56">
        <v>3</v>
      </c>
      <c r="I56" t="s">
        <v>155</v>
      </c>
      <c r="J56" t="s">
        <v>157</v>
      </c>
      <c r="K56" t="s">
        <v>156</v>
      </c>
      <c r="L56">
        <v>1339</v>
      </c>
      <c r="N56">
        <v>1007</v>
      </c>
      <c r="O56" t="s">
        <v>70</v>
      </c>
      <c r="P56" t="s">
        <v>70</v>
      </c>
      <c r="Q56">
        <v>1</v>
      </c>
      <c r="W56">
        <v>0</v>
      </c>
      <c r="X56">
        <v>-1236741395</v>
      </c>
      <c r="Y56">
        <v>0.6</v>
      </c>
      <c r="AA56">
        <v>48.11</v>
      </c>
      <c r="AB56">
        <v>0</v>
      </c>
      <c r="AC56">
        <v>0</v>
      </c>
      <c r="AD56">
        <v>0</v>
      </c>
      <c r="AE56">
        <v>5.91</v>
      </c>
      <c r="AF56">
        <v>0</v>
      </c>
      <c r="AG56">
        <v>0</v>
      </c>
      <c r="AH56">
        <v>0</v>
      </c>
      <c r="AI56">
        <v>8.14</v>
      </c>
      <c r="AJ56">
        <v>1</v>
      </c>
      <c r="AK56">
        <v>1</v>
      </c>
      <c r="AL56">
        <v>1</v>
      </c>
      <c r="AN56">
        <v>0</v>
      </c>
      <c r="AO56">
        <v>0</v>
      </c>
      <c r="AP56">
        <v>0</v>
      </c>
      <c r="AQ56">
        <v>0</v>
      </c>
      <c r="AR56">
        <v>0</v>
      </c>
      <c r="AS56" t="s">
        <v>6</v>
      </c>
      <c r="AT56">
        <v>0.6</v>
      </c>
      <c r="AU56" t="s">
        <v>6</v>
      </c>
      <c r="AV56">
        <v>0</v>
      </c>
      <c r="AW56">
        <v>1</v>
      </c>
      <c r="AX56">
        <v>-1</v>
      </c>
      <c r="AY56">
        <v>0</v>
      </c>
      <c r="AZ56">
        <v>0</v>
      </c>
      <c r="BA56" t="s">
        <v>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Y56*Source!I47</f>
        <v>0</v>
      </c>
      <c r="CY56">
        <f>AA56</f>
        <v>48.11</v>
      </c>
      <c r="CZ56">
        <f>AE56</f>
        <v>5.91</v>
      </c>
      <c r="DA56">
        <f>AI56</f>
        <v>8.14</v>
      </c>
      <c r="DB56">
        <f t="shared" si="5"/>
        <v>3.55</v>
      </c>
      <c r="DC56">
        <f t="shared" si="6"/>
        <v>0</v>
      </c>
    </row>
    <row r="57" spans="1:107" x14ac:dyDescent="0.2">
      <c r="A57">
        <f>ROW(Source!A47)</f>
        <v>47</v>
      </c>
      <c r="B57">
        <v>44176454</v>
      </c>
      <c r="C57">
        <v>44176070</v>
      </c>
      <c r="D57">
        <v>35043138</v>
      </c>
      <c r="E57">
        <v>1</v>
      </c>
      <c r="F57">
        <v>1</v>
      </c>
      <c r="G57">
        <v>34959076</v>
      </c>
      <c r="H57">
        <v>3</v>
      </c>
      <c r="I57" t="s">
        <v>143</v>
      </c>
      <c r="J57" t="s">
        <v>145</v>
      </c>
      <c r="K57" t="s">
        <v>144</v>
      </c>
      <c r="L57">
        <v>1339</v>
      </c>
      <c r="N57">
        <v>1007</v>
      </c>
      <c r="O57" t="s">
        <v>70</v>
      </c>
      <c r="P57" t="s">
        <v>70</v>
      </c>
      <c r="Q57">
        <v>1</v>
      </c>
      <c r="W57">
        <v>0</v>
      </c>
      <c r="X57">
        <v>138241181</v>
      </c>
      <c r="Y57">
        <v>0.2</v>
      </c>
      <c r="AA57">
        <v>67.47</v>
      </c>
      <c r="AB57">
        <v>0</v>
      </c>
      <c r="AC57">
        <v>0</v>
      </c>
      <c r="AD57">
        <v>0</v>
      </c>
      <c r="AE57">
        <v>5.67</v>
      </c>
      <c r="AF57">
        <v>0</v>
      </c>
      <c r="AG57">
        <v>0</v>
      </c>
      <c r="AH57">
        <v>0</v>
      </c>
      <c r="AI57">
        <v>11.9</v>
      </c>
      <c r="AJ57">
        <v>1</v>
      </c>
      <c r="AK57">
        <v>1</v>
      </c>
      <c r="AL57">
        <v>1</v>
      </c>
      <c r="AN57">
        <v>0</v>
      </c>
      <c r="AO57">
        <v>0</v>
      </c>
      <c r="AP57">
        <v>0</v>
      </c>
      <c r="AQ57">
        <v>0</v>
      </c>
      <c r="AR57">
        <v>0</v>
      </c>
      <c r="AS57" t="s">
        <v>6</v>
      </c>
      <c r="AT57">
        <v>0.2</v>
      </c>
      <c r="AU57" t="s">
        <v>6</v>
      </c>
      <c r="AV57">
        <v>0</v>
      </c>
      <c r="AW57">
        <v>1</v>
      </c>
      <c r="AX57">
        <v>-1</v>
      </c>
      <c r="AY57">
        <v>0</v>
      </c>
      <c r="AZ57">
        <v>0</v>
      </c>
      <c r="BA57" t="s">
        <v>6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Y57*Source!I47</f>
        <v>0</v>
      </c>
      <c r="CY57">
        <f>AA57</f>
        <v>67.47</v>
      </c>
      <c r="CZ57">
        <f>AE57</f>
        <v>5.67</v>
      </c>
      <c r="DA57">
        <f>AI57</f>
        <v>11.9</v>
      </c>
      <c r="DB57">
        <f t="shared" si="5"/>
        <v>1.1299999999999999</v>
      </c>
      <c r="DC57">
        <f t="shared" si="6"/>
        <v>0</v>
      </c>
    </row>
    <row r="58" spans="1:107" x14ac:dyDescent="0.2">
      <c r="A58">
        <f>ROW(Source!A52)</f>
        <v>52</v>
      </c>
      <c r="B58">
        <v>44176454</v>
      </c>
      <c r="C58">
        <v>44176100</v>
      </c>
      <c r="D58">
        <v>34984826</v>
      </c>
      <c r="E58">
        <v>34959076</v>
      </c>
      <c r="F58">
        <v>1</v>
      </c>
      <c r="G58">
        <v>34959076</v>
      </c>
      <c r="H58">
        <v>1</v>
      </c>
      <c r="I58" t="s">
        <v>392</v>
      </c>
      <c r="J58" t="s">
        <v>6</v>
      </c>
      <c r="K58" t="s">
        <v>393</v>
      </c>
      <c r="L58">
        <v>1191</v>
      </c>
      <c r="N58">
        <v>1013</v>
      </c>
      <c r="O58" t="s">
        <v>394</v>
      </c>
      <c r="P58" t="s">
        <v>394</v>
      </c>
      <c r="Q58">
        <v>1</v>
      </c>
      <c r="W58">
        <v>0</v>
      </c>
      <c r="X58">
        <v>476480486</v>
      </c>
      <c r="Y58">
        <v>2.4300000000000002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6</v>
      </c>
      <c r="AT58">
        <v>2.4300000000000002</v>
      </c>
      <c r="AU58" t="s">
        <v>6</v>
      </c>
      <c r="AV58">
        <v>1</v>
      </c>
      <c r="AW58">
        <v>2</v>
      </c>
      <c r="AX58">
        <v>44176106</v>
      </c>
      <c r="AY58">
        <v>1</v>
      </c>
      <c r="AZ58">
        <v>0</v>
      </c>
      <c r="BA58">
        <v>55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Y58*Source!I52</f>
        <v>0</v>
      </c>
      <c r="CY58">
        <f>AD58</f>
        <v>0</v>
      </c>
      <c r="CZ58">
        <f>AH58</f>
        <v>0</v>
      </c>
      <c r="DA58">
        <f>AL58</f>
        <v>1</v>
      </c>
      <c r="DB58">
        <f t="shared" si="5"/>
        <v>0</v>
      </c>
      <c r="DC58">
        <f t="shared" si="6"/>
        <v>0</v>
      </c>
    </row>
    <row r="59" spans="1:107" x14ac:dyDescent="0.2">
      <c r="A59">
        <f>ROW(Source!A52)</f>
        <v>52</v>
      </c>
      <c r="B59">
        <v>44176454</v>
      </c>
      <c r="C59">
        <v>44176100</v>
      </c>
      <c r="D59">
        <v>35065080</v>
      </c>
      <c r="E59">
        <v>1</v>
      </c>
      <c r="F59">
        <v>1</v>
      </c>
      <c r="G59">
        <v>34959076</v>
      </c>
      <c r="H59">
        <v>2</v>
      </c>
      <c r="I59" t="s">
        <v>468</v>
      </c>
      <c r="J59" t="s">
        <v>469</v>
      </c>
      <c r="K59" t="s">
        <v>470</v>
      </c>
      <c r="L59">
        <v>1367</v>
      </c>
      <c r="N59">
        <v>1011</v>
      </c>
      <c r="O59" t="s">
        <v>398</v>
      </c>
      <c r="P59" t="s">
        <v>398</v>
      </c>
      <c r="Q59">
        <v>1</v>
      </c>
      <c r="W59">
        <v>0</v>
      </c>
      <c r="X59">
        <v>-421688854</v>
      </c>
      <c r="Y59">
        <v>0.65</v>
      </c>
      <c r="AA59">
        <v>0</v>
      </c>
      <c r="AB59">
        <v>96.65</v>
      </c>
      <c r="AC59">
        <v>30.51</v>
      </c>
      <c r="AD59">
        <v>0</v>
      </c>
      <c r="AE59">
        <v>0</v>
      </c>
      <c r="AF59">
        <v>17.32</v>
      </c>
      <c r="AG59">
        <v>1.36</v>
      </c>
      <c r="AH59">
        <v>0</v>
      </c>
      <c r="AI59">
        <v>1</v>
      </c>
      <c r="AJ59">
        <v>5.33</v>
      </c>
      <c r="AK59">
        <v>21.43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6</v>
      </c>
      <c r="AT59">
        <v>0.65</v>
      </c>
      <c r="AU59" t="s">
        <v>6</v>
      </c>
      <c r="AV59">
        <v>0</v>
      </c>
      <c r="AW59">
        <v>2</v>
      </c>
      <c r="AX59">
        <v>44176107</v>
      </c>
      <c r="AY59">
        <v>1</v>
      </c>
      <c r="AZ59">
        <v>0</v>
      </c>
      <c r="BA59">
        <v>56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Y59*Source!I52</f>
        <v>0</v>
      </c>
      <c r="CY59">
        <f>AB59</f>
        <v>96.65</v>
      </c>
      <c r="CZ59">
        <f>AF59</f>
        <v>17.32</v>
      </c>
      <c r="DA59">
        <f>AJ59</f>
        <v>5.33</v>
      </c>
      <c r="DB59">
        <f t="shared" si="5"/>
        <v>11.26</v>
      </c>
      <c r="DC59">
        <f t="shared" si="6"/>
        <v>0.88</v>
      </c>
    </row>
    <row r="60" spans="1:107" x14ac:dyDescent="0.2">
      <c r="A60">
        <f>ROW(Source!A52)</f>
        <v>52</v>
      </c>
      <c r="B60">
        <v>44176454</v>
      </c>
      <c r="C60">
        <v>44176100</v>
      </c>
      <c r="D60">
        <v>34984824</v>
      </c>
      <c r="E60">
        <v>34959076</v>
      </c>
      <c r="F60">
        <v>1</v>
      </c>
      <c r="G60">
        <v>34959076</v>
      </c>
      <c r="H60">
        <v>2</v>
      </c>
      <c r="I60" t="s">
        <v>414</v>
      </c>
      <c r="J60" t="s">
        <v>6</v>
      </c>
      <c r="K60" t="s">
        <v>415</v>
      </c>
      <c r="L60">
        <v>1344</v>
      </c>
      <c r="N60">
        <v>1008</v>
      </c>
      <c r="O60" t="s">
        <v>410</v>
      </c>
      <c r="P60" t="s">
        <v>410</v>
      </c>
      <c r="Q60">
        <v>1</v>
      </c>
      <c r="W60">
        <v>0</v>
      </c>
      <c r="X60">
        <v>-1180195794</v>
      </c>
      <c r="Y60">
        <v>1.49</v>
      </c>
      <c r="AA60">
        <v>0</v>
      </c>
      <c r="AB60">
        <v>1.05</v>
      </c>
      <c r="AC60">
        <v>0</v>
      </c>
      <c r="AD60">
        <v>0</v>
      </c>
      <c r="AE60">
        <v>0</v>
      </c>
      <c r="AF60">
        <v>1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6</v>
      </c>
      <c r="AT60">
        <v>1.49</v>
      </c>
      <c r="AU60" t="s">
        <v>6</v>
      </c>
      <c r="AV60">
        <v>0</v>
      </c>
      <c r="AW60">
        <v>2</v>
      </c>
      <c r="AX60">
        <v>44176108</v>
      </c>
      <c r="AY60">
        <v>1</v>
      </c>
      <c r="AZ60">
        <v>0</v>
      </c>
      <c r="BA60">
        <v>57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Y60*Source!I52</f>
        <v>0</v>
      </c>
      <c r="CY60">
        <f>AB60</f>
        <v>1.05</v>
      </c>
      <c r="CZ60">
        <f>AF60</f>
        <v>1</v>
      </c>
      <c r="DA60">
        <f>AJ60</f>
        <v>1</v>
      </c>
      <c r="DB60">
        <f t="shared" si="5"/>
        <v>1.49</v>
      </c>
      <c r="DC60">
        <f t="shared" si="6"/>
        <v>0</v>
      </c>
    </row>
    <row r="61" spans="1:107" x14ac:dyDescent="0.2">
      <c r="A61">
        <f>ROW(Source!A52)</f>
        <v>52</v>
      </c>
      <c r="B61">
        <v>44176454</v>
      </c>
      <c r="C61">
        <v>44176100</v>
      </c>
      <c r="D61">
        <v>35042176</v>
      </c>
      <c r="E61">
        <v>1</v>
      </c>
      <c r="F61">
        <v>1</v>
      </c>
      <c r="G61">
        <v>34959076</v>
      </c>
      <c r="H61">
        <v>3</v>
      </c>
      <c r="I61" t="s">
        <v>166</v>
      </c>
      <c r="J61" t="s">
        <v>169</v>
      </c>
      <c r="K61" t="s">
        <v>167</v>
      </c>
      <c r="L61">
        <v>1346</v>
      </c>
      <c r="N61">
        <v>1009</v>
      </c>
      <c r="O61" t="s">
        <v>168</v>
      </c>
      <c r="P61" t="s">
        <v>168</v>
      </c>
      <c r="Q61">
        <v>1</v>
      </c>
      <c r="W61">
        <v>0</v>
      </c>
      <c r="X61">
        <v>941252930</v>
      </c>
      <c r="Y61">
        <v>19</v>
      </c>
      <c r="AA61">
        <v>144.94999999999999</v>
      </c>
      <c r="AB61">
        <v>0</v>
      </c>
      <c r="AC61">
        <v>0</v>
      </c>
      <c r="AD61">
        <v>0</v>
      </c>
      <c r="AE61">
        <v>47.37</v>
      </c>
      <c r="AF61">
        <v>0</v>
      </c>
      <c r="AG61">
        <v>0</v>
      </c>
      <c r="AH61">
        <v>0</v>
      </c>
      <c r="AI61">
        <v>3.06</v>
      </c>
      <c r="AJ61">
        <v>1</v>
      </c>
      <c r="AK61">
        <v>1</v>
      </c>
      <c r="AL61">
        <v>1</v>
      </c>
      <c r="AN61">
        <v>0</v>
      </c>
      <c r="AO61">
        <v>0</v>
      </c>
      <c r="AP61">
        <v>0</v>
      </c>
      <c r="AQ61">
        <v>0</v>
      </c>
      <c r="AR61">
        <v>0</v>
      </c>
      <c r="AS61" t="s">
        <v>6</v>
      </c>
      <c r="AT61">
        <v>19</v>
      </c>
      <c r="AU61" t="s">
        <v>6</v>
      </c>
      <c r="AV61">
        <v>0</v>
      </c>
      <c r="AW61">
        <v>1</v>
      </c>
      <c r="AX61">
        <v>-1</v>
      </c>
      <c r="AY61">
        <v>0</v>
      </c>
      <c r="AZ61">
        <v>0</v>
      </c>
      <c r="BA61" t="s">
        <v>6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Y61*Source!I52</f>
        <v>0</v>
      </c>
      <c r="CY61">
        <f>AA61</f>
        <v>144.94999999999999</v>
      </c>
      <c r="CZ61">
        <f>AE61</f>
        <v>47.37</v>
      </c>
      <c r="DA61">
        <f>AI61</f>
        <v>3.06</v>
      </c>
      <c r="DB61">
        <f t="shared" si="5"/>
        <v>900.03</v>
      </c>
      <c r="DC61">
        <f t="shared" si="6"/>
        <v>0</v>
      </c>
    </row>
    <row r="62" spans="1:107" x14ac:dyDescent="0.2">
      <c r="A62">
        <f>ROW(Source!A52)</f>
        <v>52</v>
      </c>
      <c r="B62">
        <v>44176454</v>
      </c>
      <c r="C62">
        <v>44176100</v>
      </c>
      <c r="D62">
        <v>35043555</v>
      </c>
      <c r="E62">
        <v>1</v>
      </c>
      <c r="F62">
        <v>1</v>
      </c>
      <c r="G62">
        <v>34959076</v>
      </c>
      <c r="H62">
        <v>3</v>
      </c>
      <c r="I62" t="s">
        <v>471</v>
      </c>
      <c r="J62" t="s">
        <v>472</v>
      </c>
      <c r="K62" t="s">
        <v>473</v>
      </c>
      <c r="L62">
        <v>1348</v>
      </c>
      <c r="N62">
        <v>1009</v>
      </c>
      <c r="O62" t="s">
        <v>75</v>
      </c>
      <c r="P62" t="s">
        <v>75</v>
      </c>
      <c r="Q62">
        <v>1000</v>
      </c>
      <c r="W62">
        <v>0</v>
      </c>
      <c r="X62">
        <v>-904493642</v>
      </c>
      <c r="Y62">
        <v>4.0000000000000001E-3</v>
      </c>
      <c r="AA62">
        <v>84594.31</v>
      </c>
      <c r="AB62">
        <v>0</v>
      </c>
      <c r="AC62">
        <v>0</v>
      </c>
      <c r="AD62">
        <v>0</v>
      </c>
      <c r="AE62">
        <v>6303.6</v>
      </c>
      <c r="AF62">
        <v>0</v>
      </c>
      <c r="AG62">
        <v>0</v>
      </c>
      <c r="AH62">
        <v>0</v>
      </c>
      <c r="AI62">
        <v>13.42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6</v>
      </c>
      <c r="AT62">
        <v>4.0000000000000001E-3</v>
      </c>
      <c r="AU62" t="s">
        <v>6</v>
      </c>
      <c r="AV62">
        <v>0</v>
      </c>
      <c r="AW62">
        <v>2</v>
      </c>
      <c r="AX62">
        <v>44176109</v>
      </c>
      <c r="AY62">
        <v>1</v>
      </c>
      <c r="AZ62">
        <v>0</v>
      </c>
      <c r="BA62">
        <v>58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Y62*Source!I52</f>
        <v>0</v>
      </c>
      <c r="CY62">
        <f>AA62</f>
        <v>84594.31</v>
      </c>
      <c r="CZ62">
        <f>AE62</f>
        <v>6303.6</v>
      </c>
      <c r="DA62">
        <f>AI62</f>
        <v>13.42</v>
      </c>
      <c r="DB62">
        <f t="shared" si="5"/>
        <v>25.21</v>
      </c>
      <c r="DC62">
        <f t="shared" si="6"/>
        <v>0</v>
      </c>
    </row>
    <row r="63" spans="1:107" x14ac:dyDescent="0.2">
      <c r="A63">
        <f>ROW(Source!A101)</f>
        <v>101</v>
      </c>
      <c r="B63">
        <v>44176454</v>
      </c>
      <c r="C63">
        <v>44176129</v>
      </c>
      <c r="D63">
        <v>34984826</v>
      </c>
      <c r="E63">
        <v>34959076</v>
      </c>
      <c r="F63">
        <v>1</v>
      </c>
      <c r="G63">
        <v>34959076</v>
      </c>
      <c r="H63">
        <v>1</v>
      </c>
      <c r="I63" t="s">
        <v>392</v>
      </c>
      <c r="J63" t="s">
        <v>6</v>
      </c>
      <c r="K63" t="s">
        <v>393</v>
      </c>
      <c r="L63">
        <v>1191</v>
      </c>
      <c r="N63">
        <v>1013</v>
      </c>
      <c r="O63" t="s">
        <v>394</v>
      </c>
      <c r="P63" t="s">
        <v>394</v>
      </c>
      <c r="Q63">
        <v>1</v>
      </c>
      <c r="W63">
        <v>0</v>
      </c>
      <c r="X63">
        <v>476480486</v>
      </c>
      <c r="Y63">
        <v>0.57499999999999996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6</v>
      </c>
      <c r="AT63">
        <v>0.5</v>
      </c>
      <c r="AU63" t="s">
        <v>283</v>
      </c>
      <c r="AV63">
        <v>1</v>
      </c>
      <c r="AW63">
        <v>2</v>
      </c>
      <c r="AX63">
        <v>44176131</v>
      </c>
      <c r="AY63">
        <v>1</v>
      </c>
      <c r="AZ63">
        <v>0</v>
      </c>
      <c r="BA63">
        <v>66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Y63*Source!I101</f>
        <v>1043.625</v>
      </c>
      <c r="CY63">
        <f>AD63</f>
        <v>0</v>
      </c>
      <c r="CZ63">
        <f>AH63</f>
        <v>0</v>
      </c>
      <c r="DA63">
        <f>AL63</f>
        <v>1</v>
      </c>
      <c r="DB63">
        <f>ROUND((ROUND(AT63*CZ63,2)*1.15),6)</f>
        <v>0</v>
      </c>
      <c r="DC63">
        <f>ROUND((ROUND(AT63*AG63,2)*1.15),6)</f>
        <v>0</v>
      </c>
    </row>
    <row r="64" spans="1:107" x14ac:dyDescent="0.2">
      <c r="A64">
        <f>ROW(Source!A103)</f>
        <v>103</v>
      </c>
      <c r="B64">
        <v>44176454</v>
      </c>
      <c r="C64">
        <v>44176133</v>
      </c>
      <c r="D64">
        <v>34984826</v>
      </c>
      <c r="E64">
        <v>34959076</v>
      </c>
      <c r="F64">
        <v>1</v>
      </c>
      <c r="G64">
        <v>34959076</v>
      </c>
      <c r="H64">
        <v>1</v>
      </c>
      <c r="I64" t="s">
        <v>392</v>
      </c>
      <c r="J64" t="s">
        <v>6</v>
      </c>
      <c r="K64" t="s">
        <v>393</v>
      </c>
      <c r="L64">
        <v>1191</v>
      </c>
      <c r="N64">
        <v>1013</v>
      </c>
      <c r="O64" t="s">
        <v>394</v>
      </c>
      <c r="P64" t="s">
        <v>394</v>
      </c>
      <c r="Q64">
        <v>1</v>
      </c>
      <c r="W64">
        <v>0</v>
      </c>
      <c r="X64">
        <v>476480486</v>
      </c>
      <c r="Y64">
        <v>30.221999999999994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6</v>
      </c>
      <c r="AT64">
        <v>87.6</v>
      </c>
      <c r="AU64" t="s">
        <v>295</v>
      </c>
      <c r="AV64">
        <v>1</v>
      </c>
      <c r="AW64">
        <v>2</v>
      </c>
      <c r="AX64">
        <v>44176135</v>
      </c>
      <c r="AY64">
        <v>1</v>
      </c>
      <c r="AZ64">
        <v>0</v>
      </c>
      <c r="BA64">
        <v>67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Y64*Source!I103</f>
        <v>113.93693999999998</v>
      </c>
      <c r="CY64">
        <f>AD64</f>
        <v>0</v>
      </c>
      <c r="CZ64">
        <f>AH64</f>
        <v>0</v>
      </c>
      <c r="DA64">
        <f>AL64</f>
        <v>1</v>
      </c>
      <c r="DB64">
        <f>ROUND(((ROUND(AT64*CZ64,2)*0.3)*1.15),6)</f>
        <v>0</v>
      </c>
      <c r="DC64">
        <f>ROUND(((ROUND(AT64*AG64,2)*0.3)*1.15),6)</f>
        <v>0</v>
      </c>
    </row>
    <row r="65" spans="1:107" x14ac:dyDescent="0.2">
      <c r="A65">
        <f>ROW(Source!A106)</f>
        <v>106</v>
      </c>
      <c r="B65">
        <v>44176454</v>
      </c>
      <c r="C65">
        <v>44176140</v>
      </c>
      <c r="D65">
        <v>34984826</v>
      </c>
      <c r="E65">
        <v>34959076</v>
      </c>
      <c r="F65">
        <v>1</v>
      </c>
      <c r="G65">
        <v>34959076</v>
      </c>
      <c r="H65">
        <v>1</v>
      </c>
      <c r="I65" t="s">
        <v>392</v>
      </c>
      <c r="J65" t="s">
        <v>6</v>
      </c>
      <c r="K65" t="s">
        <v>393</v>
      </c>
      <c r="L65">
        <v>1191</v>
      </c>
      <c r="N65">
        <v>1013</v>
      </c>
      <c r="O65" t="s">
        <v>394</v>
      </c>
      <c r="P65" t="s">
        <v>394</v>
      </c>
      <c r="Q65">
        <v>1</v>
      </c>
      <c r="W65">
        <v>0</v>
      </c>
      <c r="X65">
        <v>476480486</v>
      </c>
      <c r="Y65">
        <v>53.957999999999991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6</v>
      </c>
      <c r="AT65">
        <v>39.1</v>
      </c>
      <c r="AU65" t="s">
        <v>93</v>
      </c>
      <c r="AV65">
        <v>1</v>
      </c>
      <c r="AW65">
        <v>2</v>
      </c>
      <c r="AX65">
        <v>44176142</v>
      </c>
      <c r="AY65">
        <v>1</v>
      </c>
      <c r="AZ65">
        <v>0</v>
      </c>
      <c r="BA65">
        <v>70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Y65*Source!I106</f>
        <v>0</v>
      </c>
      <c r="CY65">
        <f>AD65</f>
        <v>0</v>
      </c>
      <c r="CZ65">
        <f>AH65</f>
        <v>0</v>
      </c>
      <c r="DA65">
        <f>AL65</f>
        <v>1</v>
      </c>
      <c r="DB65">
        <f>ROUND(((ROUND(AT65*CZ65,2)*1.15)*1.2),6)</f>
        <v>0</v>
      </c>
      <c r="DC65">
        <f>ROUND(((ROUND(AT65*AG65,2)*1.15)*1.2),6)</f>
        <v>0</v>
      </c>
    </row>
    <row r="66" spans="1:107" x14ac:dyDescent="0.2">
      <c r="A66">
        <f>ROW(Source!A108)</f>
        <v>108</v>
      </c>
      <c r="B66">
        <v>44176454</v>
      </c>
      <c r="C66">
        <v>44176145</v>
      </c>
      <c r="D66">
        <v>34984826</v>
      </c>
      <c r="E66">
        <v>34959076</v>
      </c>
      <c r="F66">
        <v>1</v>
      </c>
      <c r="G66">
        <v>34959076</v>
      </c>
      <c r="H66">
        <v>1</v>
      </c>
      <c r="I66" t="s">
        <v>392</v>
      </c>
      <c r="J66" t="s">
        <v>6</v>
      </c>
      <c r="K66" t="s">
        <v>393</v>
      </c>
      <c r="L66">
        <v>1191</v>
      </c>
      <c r="N66">
        <v>1013</v>
      </c>
      <c r="O66" t="s">
        <v>394</v>
      </c>
      <c r="P66" t="s">
        <v>394</v>
      </c>
      <c r="Q66">
        <v>1</v>
      </c>
      <c r="W66">
        <v>0</v>
      </c>
      <c r="X66">
        <v>476480486</v>
      </c>
      <c r="Y66">
        <v>10.432799999999999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6</v>
      </c>
      <c r="AT66">
        <v>25.2</v>
      </c>
      <c r="AU66" t="s">
        <v>316</v>
      </c>
      <c r="AV66">
        <v>1</v>
      </c>
      <c r="AW66">
        <v>2</v>
      </c>
      <c r="AX66">
        <v>44176147</v>
      </c>
      <c r="AY66">
        <v>1</v>
      </c>
      <c r="AZ66">
        <v>0</v>
      </c>
      <c r="BA66">
        <v>72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Y66*Source!I108</f>
        <v>0</v>
      </c>
      <c r="CY66">
        <f>AD66</f>
        <v>0</v>
      </c>
      <c r="CZ66">
        <f>AH66</f>
        <v>0</v>
      </c>
      <c r="DA66">
        <f>AL66</f>
        <v>1</v>
      </c>
      <c r="DB66">
        <f>ROUND((((ROUND(AT66*CZ66,2)*0.3)*1.15)*1.2),6)</f>
        <v>0</v>
      </c>
      <c r="DC66">
        <f>ROUND((((ROUND(AT66*AG66,2)*0.3)*1.15)*1.2),6)</f>
        <v>0</v>
      </c>
    </row>
    <row r="67" spans="1:107" x14ac:dyDescent="0.2">
      <c r="A67">
        <f>ROW(Source!A118)</f>
        <v>118</v>
      </c>
      <c r="B67">
        <v>44176454</v>
      </c>
      <c r="C67">
        <v>44176162</v>
      </c>
      <c r="D67">
        <v>34984826</v>
      </c>
      <c r="E67">
        <v>34959076</v>
      </c>
      <c r="F67">
        <v>1</v>
      </c>
      <c r="G67">
        <v>34959076</v>
      </c>
      <c r="H67">
        <v>1</v>
      </c>
      <c r="I67" t="s">
        <v>392</v>
      </c>
      <c r="J67" t="s">
        <v>6</v>
      </c>
      <c r="K67" t="s">
        <v>393</v>
      </c>
      <c r="L67">
        <v>1191</v>
      </c>
      <c r="N67">
        <v>1013</v>
      </c>
      <c r="O67" t="s">
        <v>394</v>
      </c>
      <c r="P67" t="s">
        <v>394</v>
      </c>
      <c r="Q67">
        <v>1</v>
      </c>
      <c r="W67">
        <v>0</v>
      </c>
      <c r="X67">
        <v>476480486</v>
      </c>
      <c r="Y67">
        <v>18.561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6</v>
      </c>
      <c r="AT67">
        <v>16.14</v>
      </c>
      <c r="AU67" t="s">
        <v>29</v>
      </c>
      <c r="AV67">
        <v>1</v>
      </c>
      <c r="AW67">
        <v>2</v>
      </c>
      <c r="AX67">
        <v>44176164</v>
      </c>
      <c r="AY67">
        <v>1</v>
      </c>
      <c r="AZ67">
        <v>0</v>
      </c>
      <c r="BA67">
        <v>78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Y67*Source!I118</f>
        <v>890.928</v>
      </c>
      <c r="CY67">
        <f>AD67</f>
        <v>0</v>
      </c>
      <c r="CZ67">
        <f>AH67</f>
        <v>0</v>
      </c>
      <c r="DA67">
        <f>AL67</f>
        <v>1</v>
      </c>
      <c r="DB67">
        <f>ROUND((ROUND(AT67*CZ67,2)*1.15),6)</f>
        <v>0</v>
      </c>
      <c r="DC67">
        <f>ROUND((ROUND(AT67*AG67,2)*1.15),6)</f>
        <v>0</v>
      </c>
    </row>
    <row r="68" spans="1:107" x14ac:dyDescent="0.2">
      <c r="A68">
        <f>ROW(Source!A156)</f>
        <v>156</v>
      </c>
      <c r="B68">
        <v>44176454</v>
      </c>
      <c r="C68">
        <v>44176167</v>
      </c>
      <c r="D68">
        <v>34984824</v>
      </c>
      <c r="E68">
        <v>34959076</v>
      </c>
      <c r="F68">
        <v>1</v>
      </c>
      <c r="G68">
        <v>34959076</v>
      </c>
      <c r="H68">
        <v>2</v>
      </c>
      <c r="I68" t="s">
        <v>414</v>
      </c>
      <c r="J68" t="s">
        <v>6</v>
      </c>
      <c r="K68" t="s">
        <v>415</v>
      </c>
      <c r="L68">
        <v>1344</v>
      </c>
      <c r="N68">
        <v>1008</v>
      </c>
      <c r="O68" t="s">
        <v>410</v>
      </c>
      <c r="P68" t="s">
        <v>410</v>
      </c>
      <c r="Q68">
        <v>1</v>
      </c>
      <c r="W68">
        <v>0</v>
      </c>
      <c r="X68">
        <v>-1180195794</v>
      </c>
      <c r="Y68">
        <v>34.29</v>
      </c>
      <c r="AA68">
        <v>0</v>
      </c>
      <c r="AB68">
        <v>1</v>
      </c>
      <c r="AC68">
        <v>0</v>
      </c>
      <c r="AD68">
        <v>0</v>
      </c>
      <c r="AE68">
        <v>0</v>
      </c>
      <c r="AF68">
        <v>1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6</v>
      </c>
      <c r="AT68">
        <v>34.29</v>
      </c>
      <c r="AU68" t="s">
        <v>6</v>
      </c>
      <c r="AV68">
        <v>0</v>
      </c>
      <c r="AW68">
        <v>2</v>
      </c>
      <c r="AX68">
        <v>44176169</v>
      </c>
      <c r="AY68">
        <v>1</v>
      </c>
      <c r="AZ68">
        <v>0</v>
      </c>
      <c r="BA68">
        <v>80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Y68*Source!I156</f>
        <v>129.27330000000001</v>
      </c>
      <c r="CY68">
        <f>AB68</f>
        <v>1</v>
      </c>
      <c r="CZ68">
        <f>AF68</f>
        <v>1</v>
      </c>
      <c r="DA68">
        <f>AJ68</f>
        <v>1</v>
      </c>
      <c r="DB68">
        <f>ROUND(ROUND(AT68*CZ68,2),6)</f>
        <v>34.29</v>
      </c>
      <c r="DC68">
        <f>ROUND(ROUND(AT68*AG68,2),6)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44175938</v>
      </c>
      <c r="C1">
        <v>44175931</v>
      </c>
      <c r="D1">
        <v>34984826</v>
      </c>
      <c r="E1">
        <v>34959076</v>
      </c>
      <c r="F1">
        <v>1</v>
      </c>
      <c r="G1">
        <v>34959076</v>
      </c>
      <c r="H1">
        <v>1</v>
      </c>
      <c r="I1" t="s">
        <v>392</v>
      </c>
      <c r="J1" t="s">
        <v>6</v>
      </c>
      <c r="K1" t="s">
        <v>393</v>
      </c>
      <c r="L1">
        <v>1191</v>
      </c>
      <c r="N1">
        <v>1013</v>
      </c>
      <c r="O1" t="s">
        <v>394</v>
      </c>
      <c r="P1" t="s">
        <v>394</v>
      </c>
      <c r="Q1">
        <v>1</v>
      </c>
      <c r="X1">
        <v>206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29</v>
      </c>
      <c r="AG1">
        <v>236.89999999999998</v>
      </c>
      <c r="AH1">
        <v>2</v>
      </c>
      <c r="AI1">
        <v>44175932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44175939</v>
      </c>
      <c r="C2">
        <v>44175931</v>
      </c>
      <c r="D2">
        <v>35065072</v>
      </c>
      <c r="E2">
        <v>1</v>
      </c>
      <c r="F2">
        <v>1</v>
      </c>
      <c r="G2">
        <v>34959076</v>
      </c>
      <c r="H2">
        <v>2</v>
      </c>
      <c r="I2" t="s">
        <v>395</v>
      </c>
      <c r="J2" t="s">
        <v>396</v>
      </c>
      <c r="K2" t="s">
        <v>397</v>
      </c>
      <c r="L2">
        <v>1367</v>
      </c>
      <c r="N2">
        <v>1011</v>
      </c>
      <c r="O2" t="s">
        <v>398</v>
      </c>
      <c r="P2" t="s">
        <v>398</v>
      </c>
      <c r="Q2">
        <v>1</v>
      </c>
      <c r="X2">
        <v>100</v>
      </c>
      <c r="Y2">
        <v>0</v>
      </c>
      <c r="Z2">
        <v>41.62</v>
      </c>
      <c r="AA2">
        <v>13.33</v>
      </c>
      <c r="AB2">
        <v>0</v>
      </c>
      <c r="AC2">
        <v>0</v>
      </c>
      <c r="AD2">
        <v>1</v>
      </c>
      <c r="AE2">
        <v>0</v>
      </c>
      <c r="AF2" t="s">
        <v>29</v>
      </c>
      <c r="AG2">
        <v>114.99999999999999</v>
      </c>
      <c r="AH2">
        <v>2</v>
      </c>
      <c r="AI2">
        <v>44175933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44175940</v>
      </c>
      <c r="C3">
        <v>44175931</v>
      </c>
      <c r="D3">
        <v>35065539</v>
      </c>
      <c r="E3">
        <v>1</v>
      </c>
      <c r="F3">
        <v>1</v>
      </c>
      <c r="G3">
        <v>34959076</v>
      </c>
      <c r="H3">
        <v>2</v>
      </c>
      <c r="I3" t="s">
        <v>399</v>
      </c>
      <c r="J3" t="s">
        <v>400</v>
      </c>
      <c r="K3" t="s">
        <v>401</v>
      </c>
      <c r="L3">
        <v>1367</v>
      </c>
      <c r="N3">
        <v>1011</v>
      </c>
      <c r="O3" t="s">
        <v>398</v>
      </c>
      <c r="P3" t="s">
        <v>398</v>
      </c>
      <c r="Q3">
        <v>1</v>
      </c>
      <c r="X3">
        <v>200</v>
      </c>
      <c r="Y3">
        <v>0</v>
      </c>
      <c r="Z3">
        <v>3.16</v>
      </c>
      <c r="AA3">
        <v>0.04</v>
      </c>
      <c r="AB3">
        <v>0</v>
      </c>
      <c r="AC3">
        <v>0</v>
      </c>
      <c r="AD3">
        <v>1</v>
      </c>
      <c r="AE3">
        <v>0</v>
      </c>
      <c r="AF3" t="s">
        <v>29</v>
      </c>
      <c r="AG3">
        <v>229.99999999999997</v>
      </c>
      <c r="AH3">
        <v>2</v>
      </c>
      <c r="AI3">
        <v>44175934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44175944</v>
      </c>
      <c r="C4">
        <v>44175941</v>
      </c>
      <c r="D4">
        <v>34984826</v>
      </c>
      <c r="E4">
        <v>34959076</v>
      </c>
      <c r="F4">
        <v>1</v>
      </c>
      <c r="G4">
        <v>34959076</v>
      </c>
      <c r="H4">
        <v>1</v>
      </c>
      <c r="I4" t="s">
        <v>392</v>
      </c>
      <c r="J4" t="s">
        <v>6</v>
      </c>
      <c r="K4" t="s">
        <v>393</v>
      </c>
      <c r="L4">
        <v>1191</v>
      </c>
      <c r="N4">
        <v>1013</v>
      </c>
      <c r="O4" t="s">
        <v>394</v>
      </c>
      <c r="P4" t="s">
        <v>394</v>
      </c>
      <c r="Q4">
        <v>1</v>
      </c>
      <c r="X4">
        <v>1.02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6</v>
      </c>
      <c r="AG4">
        <v>1.02</v>
      </c>
      <c r="AH4">
        <v>2</v>
      </c>
      <c r="AI4">
        <v>44175942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44175956</v>
      </c>
      <c r="C5">
        <v>44175945</v>
      </c>
      <c r="D5">
        <v>34984826</v>
      </c>
      <c r="E5">
        <v>34959076</v>
      </c>
      <c r="F5">
        <v>1</v>
      </c>
      <c r="G5">
        <v>34959076</v>
      </c>
      <c r="H5">
        <v>1</v>
      </c>
      <c r="I5" t="s">
        <v>392</v>
      </c>
      <c r="J5" t="s">
        <v>6</v>
      </c>
      <c r="K5" t="s">
        <v>393</v>
      </c>
      <c r="L5">
        <v>1191</v>
      </c>
      <c r="N5">
        <v>1013</v>
      </c>
      <c r="O5" t="s">
        <v>394</v>
      </c>
      <c r="P5" t="s">
        <v>394</v>
      </c>
      <c r="Q5">
        <v>1</v>
      </c>
      <c r="X5">
        <v>144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45</v>
      </c>
      <c r="AG5">
        <v>198.72</v>
      </c>
      <c r="AH5">
        <v>2</v>
      </c>
      <c r="AI5">
        <v>44175946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44175957</v>
      </c>
      <c r="C6">
        <v>44175945</v>
      </c>
      <c r="D6">
        <v>35047318</v>
      </c>
      <c r="E6">
        <v>1</v>
      </c>
      <c r="F6">
        <v>1</v>
      </c>
      <c r="G6">
        <v>34959076</v>
      </c>
      <c r="H6">
        <v>3</v>
      </c>
      <c r="I6" t="s">
        <v>55</v>
      </c>
      <c r="J6" t="s">
        <v>57</v>
      </c>
      <c r="K6" t="s">
        <v>56</v>
      </c>
      <c r="L6">
        <v>1301</v>
      </c>
      <c r="N6">
        <v>1003</v>
      </c>
      <c r="O6" t="s">
        <v>52</v>
      </c>
      <c r="P6" t="s">
        <v>52</v>
      </c>
      <c r="Q6">
        <v>1</v>
      </c>
      <c r="X6">
        <v>990</v>
      </c>
      <c r="Y6">
        <v>15.01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6</v>
      </c>
      <c r="AG6">
        <v>990</v>
      </c>
      <c r="AH6">
        <v>2</v>
      </c>
      <c r="AI6">
        <v>44175951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44175958</v>
      </c>
      <c r="C7">
        <v>44175945</v>
      </c>
      <c r="D7">
        <v>35047149</v>
      </c>
      <c r="E7">
        <v>1</v>
      </c>
      <c r="F7">
        <v>1</v>
      </c>
      <c r="G7">
        <v>34959076</v>
      </c>
      <c r="H7">
        <v>3</v>
      </c>
      <c r="I7" t="s">
        <v>404</v>
      </c>
      <c r="J7" t="s">
        <v>474</v>
      </c>
      <c r="K7" t="s">
        <v>475</v>
      </c>
      <c r="L7">
        <v>1358</v>
      </c>
      <c r="N7">
        <v>1010</v>
      </c>
      <c r="O7" t="s">
        <v>407</v>
      </c>
      <c r="P7" t="s">
        <v>407</v>
      </c>
      <c r="Q7">
        <v>10</v>
      </c>
      <c r="X7">
        <v>32</v>
      </c>
      <c r="Y7">
        <v>144.77000000000001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6</v>
      </c>
      <c r="AG7">
        <v>32</v>
      </c>
      <c r="AH7">
        <v>2</v>
      </c>
      <c r="AI7">
        <v>44175947</v>
      </c>
      <c r="AJ7">
        <v>9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44175959</v>
      </c>
      <c r="C8">
        <v>44175945</v>
      </c>
      <c r="D8">
        <v>34984822</v>
      </c>
      <c r="E8">
        <v>34959076</v>
      </c>
      <c r="F8">
        <v>1</v>
      </c>
      <c r="G8">
        <v>34959076</v>
      </c>
      <c r="H8">
        <v>3</v>
      </c>
      <c r="I8" t="s">
        <v>408</v>
      </c>
      <c r="J8" t="s">
        <v>6</v>
      </c>
      <c r="K8" t="s">
        <v>409</v>
      </c>
      <c r="L8">
        <v>1344</v>
      </c>
      <c r="N8">
        <v>1008</v>
      </c>
      <c r="O8" t="s">
        <v>410</v>
      </c>
      <c r="P8" t="s">
        <v>410</v>
      </c>
      <c r="Q8">
        <v>1</v>
      </c>
      <c r="X8">
        <v>61.6</v>
      </c>
      <c r="Y8">
        <v>1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6</v>
      </c>
      <c r="AG8">
        <v>61.6</v>
      </c>
      <c r="AH8">
        <v>2</v>
      </c>
      <c r="AI8">
        <v>44175948</v>
      </c>
      <c r="AJ8">
        <v>10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ROW(Source!A33)</f>
        <v>33</v>
      </c>
      <c r="B9">
        <v>44175971</v>
      </c>
      <c r="C9">
        <v>44175962</v>
      </c>
      <c r="D9">
        <v>34984826</v>
      </c>
      <c r="E9">
        <v>34959076</v>
      </c>
      <c r="F9">
        <v>1</v>
      </c>
      <c r="G9">
        <v>34959076</v>
      </c>
      <c r="H9">
        <v>1</v>
      </c>
      <c r="I9" t="s">
        <v>392</v>
      </c>
      <c r="J9" t="s">
        <v>6</v>
      </c>
      <c r="K9" t="s">
        <v>393</v>
      </c>
      <c r="L9">
        <v>1191</v>
      </c>
      <c r="N9">
        <v>1013</v>
      </c>
      <c r="O9" t="s">
        <v>394</v>
      </c>
      <c r="P9" t="s">
        <v>394</v>
      </c>
      <c r="Q9">
        <v>1</v>
      </c>
      <c r="X9">
        <v>65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29</v>
      </c>
      <c r="AG9">
        <v>74.75</v>
      </c>
      <c r="AH9">
        <v>2</v>
      </c>
      <c r="AI9">
        <v>44175963</v>
      </c>
      <c r="AJ9">
        <v>11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ROW(Source!A33)</f>
        <v>33</v>
      </c>
      <c r="B10">
        <v>44175972</v>
      </c>
      <c r="C10">
        <v>44175962</v>
      </c>
      <c r="D10">
        <v>35064968</v>
      </c>
      <c r="E10">
        <v>1</v>
      </c>
      <c r="F10">
        <v>1</v>
      </c>
      <c r="G10">
        <v>34959076</v>
      </c>
      <c r="H10">
        <v>2</v>
      </c>
      <c r="I10" t="s">
        <v>411</v>
      </c>
      <c r="J10" t="s">
        <v>412</v>
      </c>
      <c r="K10" t="s">
        <v>413</v>
      </c>
      <c r="L10">
        <v>1367</v>
      </c>
      <c r="N10">
        <v>1011</v>
      </c>
      <c r="O10" t="s">
        <v>398</v>
      </c>
      <c r="P10" t="s">
        <v>398</v>
      </c>
      <c r="Q10">
        <v>1</v>
      </c>
      <c r="X10">
        <v>4.7</v>
      </c>
      <c r="Y10">
        <v>0</v>
      </c>
      <c r="Z10">
        <v>52.95</v>
      </c>
      <c r="AA10">
        <v>13.2</v>
      </c>
      <c r="AB10">
        <v>0</v>
      </c>
      <c r="AC10">
        <v>0</v>
      </c>
      <c r="AD10">
        <v>1</v>
      </c>
      <c r="AE10">
        <v>0</v>
      </c>
      <c r="AF10" t="s">
        <v>29</v>
      </c>
      <c r="AG10">
        <v>5.4049999999999994</v>
      </c>
      <c r="AH10">
        <v>2</v>
      </c>
      <c r="AI10">
        <v>44175964</v>
      </c>
      <c r="AJ10">
        <v>12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ROW(Source!A33)</f>
        <v>33</v>
      </c>
      <c r="B11">
        <v>44175973</v>
      </c>
      <c r="C11">
        <v>44175962</v>
      </c>
      <c r="D11">
        <v>34984824</v>
      </c>
      <c r="E11">
        <v>34959076</v>
      </c>
      <c r="F11">
        <v>1</v>
      </c>
      <c r="G11">
        <v>34959076</v>
      </c>
      <c r="H11">
        <v>2</v>
      </c>
      <c r="I11" t="s">
        <v>414</v>
      </c>
      <c r="J11" t="s">
        <v>6</v>
      </c>
      <c r="K11" t="s">
        <v>415</v>
      </c>
      <c r="L11">
        <v>1344</v>
      </c>
      <c r="N11">
        <v>1008</v>
      </c>
      <c r="O11" t="s">
        <v>410</v>
      </c>
      <c r="P11" t="s">
        <v>410</v>
      </c>
      <c r="Q11">
        <v>1</v>
      </c>
      <c r="X11">
        <v>26.04</v>
      </c>
      <c r="Y11">
        <v>0</v>
      </c>
      <c r="Z11">
        <v>1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29</v>
      </c>
      <c r="AG11">
        <v>29.945999999999998</v>
      </c>
      <c r="AH11">
        <v>2</v>
      </c>
      <c r="AI11">
        <v>44175965</v>
      </c>
      <c r="AJ11">
        <v>13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ROW(Source!A33)</f>
        <v>33</v>
      </c>
      <c r="B12">
        <v>44175974</v>
      </c>
      <c r="C12">
        <v>44175962</v>
      </c>
      <c r="D12">
        <v>34991838</v>
      </c>
      <c r="E12">
        <v>34959076</v>
      </c>
      <c r="F12">
        <v>1</v>
      </c>
      <c r="G12">
        <v>34959076</v>
      </c>
      <c r="H12">
        <v>3</v>
      </c>
      <c r="I12" t="s">
        <v>476</v>
      </c>
      <c r="J12" t="s">
        <v>6</v>
      </c>
      <c r="K12" t="s">
        <v>69</v>
      </c>
      <c r="L12">
        <v>1339</v>
      </c>
      <c r="N12">
        <v>1007</v>
      </c>
      <c r="O12" t="s">
        <v>70</v>
      </c>
      <c r="P12" t="s">
        <v>70</v>
      </c>
      <c r="Q12">
        <v>1</v>
      </c>
      <c r="X12">
        <v>8.4000000000000005E-2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 t="s">
        <v>6</v>
      </c>
      <c r="AG12">
        <v>8.4000000000000005E-2</v>
      </c>
      <c r="AH12">
        <v>3</v>
      </c>
      <c r="AI12">
        <v>-1</v>
      </c>
      <c r="AJ12" t="s">
        <v>6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ROW(Source!A33)</f>
        <v>33</v>
      </c>
      <c r="B13">
        <v>44175975</v>
      </c>
      <c r="C13">
        <v>44175962</v>
      </c>
      <c r="D13">
        <v>35043099</v>
      </c>
      <c r="E13">
        <v>1</v>
      </c>
      <c r="F13">
        <v>1</v>
      </c>
      <c r="G13">
        <v>34959076</v>
      </c>
      <c r="H13">
        <v>3</v>
      </c>
      <c r="I13" t="s">
        <v>416</v>
      </c>
      <c r="J13" t="s">
        <v>417</v>
      </c>
      <c r="K13" t="s">
        <v>418</v>
      </c>
      <c r="L13">
        <v>1327</v>
      </c>
      <c r="N13">
        <v>1005</v>
      </c>
      <c r="O13" t="s">
        <v>338</v>
      </c>
      <c r="P13" t="s">
        <v>338</v>
      </c>
      <c r="Q13">
        <v>1</v>
      </c>
      <c r="X13">
        <v>2.77</v>
      </c>
      <c r="Y13">
        <v>33.56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6</v>
      </c>
      <c r="AG13">
        <v>2.77</v>
      </c>
      <c r="AH13">
        <v>2</v>
      </c>
      <c r="AI13">
        <v>44175966</v>
      </c>
      <c r="AJ13">
        <v>14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ROW(Source!A33)</f>
        <v>33</v>
      </c>
      <c r="B14">
        <v>44175976</v>
      </c>
      <c r="C14">
        <v>44175962</v>
      </c>
      <c r="D14">
        <v>34985283</v>
      </c>
      <c r="E14">
        <v>34959076</v>
      </c>
      <c r="F14">
        <v>1</v>
      </c>
      <c r="G14">
        <v>34959076</v>
      </c>
      <c r="H14">
        <v>3</v>
      </c>
      <c r="I14" t="s">
        <v>477</v>
      </c>
      <c r="J14" t="s">
        <v>6</v>
      </c>
      <c r="K14" t="s">
        <v>478</v>
      </c>
      <c r="L14">
        <v>1348</v>
      </c>
      <c r="N14">
        <v>1009</v>
      </c>
      <c r="O14" t="s">
        <v>75</v>
      </c>
      <c r="P14" t="s">
        <v>75</v>
      </c>
      <c r="Q14">
        <v>1000</v>
      </c>
      <c r="X14">
        <v>0.48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 t="s">
        <v>6</v>
      </c>
      <c r="AG14">
        <v>0.48</v>
      </c>
      <c r="AH14">
        <v>3</v>
      </c>
      <c r="AI14">
        <v>-1</v>
      </c>
      <c r="AJ14" t="s">
        <v>6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ROW(Source!A33)</f>
        <v>33</v>
      </c>
      <c r="B15">
        <v>44175977</v>
      </c>
      <c r="C15">
        <v>44175962</v>
      </c>
      <c r="D15">
        <v>34986803</v>
      </c>
      <c r="E15">
        <v>34959076</v>
      </c>
      <c r="F15">
        <v>1</v>
      </c>
      <c r="G15">
        <v>34959076</v>
      </c>
      <c r="H15">
        <v>3</v>
      </c>
      <c r="I15" t="s">
        <v>479</v>
      </c>
      <c r="J15" t="s">
        <v>6</v>
      </c>
      <c r="K15" t="s">
        <v>480</v>
      </c>
      <c r="L15">
        <v>1339</v>
      </c>
      <c r="N15">
        <v>1007</v>
      </c>
      <c r="O15" t="s">
        <v>70</v>
      </c>
      <c r="P15" t="s">
        <v>70</v>
      </c>
      <c r="Q15">
        <v>1</v>
      </c>
      <c r="X15">
        <v>1.208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6</v>
      </c>
      <c r="AG15">
        <v>1.208</v>
      </c>
      <c r="AH15">
        <v>3</v>
      </c>
      <c r="AI15">
        <v>-1</v>
      </c>
      <c r="AJ15" t="s">
        <v>6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ROW(Source!A33)</f>
        <v>33</v>
      </c>
      <c r="B16">
        <v>44175978</v>
      </c>
      <c r="C16">
        <v>44175962</v>
      </c>
      <c r="D16">
        <v>34984822</v>
      </c>
      <c r="E16">
        <v>34959076</v>
      </c>
      <c r="F16">
        <v>1</v>
      </c>
      <c r="G16">
        <v>34959076</v>
      </c>
      <c r="H16">
        <v>3</v>
      </c>
      <c r="I16" t="s">
        <v>408</v>
      </c>
      <c r="J16" t="s">
        <v>6</v>
      </c>
      <c r="K16" t="s">
        <v>409</v>
      </c>
      <c r="L16">
        <v>1344</v>
      </c>
      <c r="N16">
        <v>1008</v>
      </c>
      <c r="O16" t="s">
        <v>410</v>
      </c>
      <c r="P16" t="s">
        <v>410</v>
      </c>
      <c r="Q16">
        <v>1</v>
      </c>
      <c r="X16">
        <v>2.25</v>
      </c>
      <c r="Y16">
        <v>1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6</v>
      </c>
      <c r="AG16">
        <v>2.25</v>
      </c>
      <c r="AH16">
        <v>2</v>
      </c>
      <c r="AI16">
        <v>44175967</v>
      </c>
      <c r="AJ16">
        <v>18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ROW(Source!A37)</f>
        <v>37</v>
      </c>
      <c r="B17">
        <v>44175991</v>
      </c>
      <c r="C17">
        <v>44175982</v>
      </c>
      <c r="D17">
        <v>34984826</v>
      </c>
      <c r="E17">
        <v>34959076</v>
      </c>
      <c r="F17">
        <v>1</v>
      </c>
      <c r="G17">
        <v>34959076</v>
      </c>
      <c r="H17">
        <v>1</v>
      </c>
      <c r="I17" t="s">
        <v>392</v>
      </c>
      <c r="J17" t="s">
        <v>6</v>
      </c>
      <c r="K17" t="s">
        <v>393</v>
      </c>
      <c r="L17">
        <v>1191</v>
      </c>
      <c r="N17">
        <v>1013</v>
      </c>
      <c r="O17" t="s">
        <v>394</v>
      </c>
      <c r="P17" t="s">
        <v>394</v>
      </c>
      <c r="Q17">
        <v>1</v>
      </c>
      <c r="X17">
        <v>39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29</v>
      </c>
      <c r="AG17">
        <v>44.849999999999994</v>
      </c>
      <c r="AH17">
        <v>2</v>
      </c>
      <c r="AI17">
        <v>44175983</v>
      </c>
      <c r="AJ17">
        <v>19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ROW(Source!A37)</f>
        <v>37</v>
      </c>
      <c r="B18">
        <v>44175992</v>
      </c>
      <c r="C18">
        <v>44175982</v>
      </c>
      <c r="D18">
        <v>34984824</v>
      </c>
      <c r="E18">
        <v>34959076</v>
      </c>
      <c r="F18">
        <v>1</v>
      </c>
      <c r="G18">
        <v>34959076</v>
      </c>
      <c r="H18">
        <v>2</v>
      </c>
      <c r="I18" t="s">
        <v>414</v>
      </c>
      <c r="J18" t="s">
        <v>6</v>
      </c>
      <c r="K18" t="s">
        <v>415</v>
      </c>
      <c r="L18">
        <v>1344</v>
      </c>
      <c r="N18">
        <v>1008</v>
      </c>
      <c r="O18" t="s">
        <v>410</v>
      </c>
      <c r="P18" t="s">
        <v>410</v>
      </c>
      <c r="Q18">
        <v>1</v>
      </c>
      <c r="X18">
        <v>71.290000000000006</v>
      </c>
      <c r="Y18">
        <v>0</v>
      </c>
      <c r="Z18">
        <v>1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29</v>
      </c>
      <c r="AG18">
        <v>81.983500000000006</v>
      </c>
      <c r="AH18">
        <v>2</v>
      </c>
      <c r="AI18">
        <v>44175984</v>
      </c>
      <c r="AJ18">
        <v>20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ROW(Source!A37)</f>
        <v>37</v>
      </c>
      <c r="B19">
        <v>44175993</v>
      </c>
      <c r="C19">
        <v>44175982</v>
      </c>
      <c r="D19">
        <v>34991021</v>
      </c>
      <c r="E19">
        <v>34959076</v>
      </c>
      <c r="F19">
        <v>1</v>
      </c>
      <c r="G19">
        <v>34959076</v>
      </c>
      <c r="H19">
        <v>3</v>
      </c>
      <c r="I19" t="s">
        <v>481</v>
      </c>
      <c r="J19" t="s">
        <v>6</v>
      </c>
      <c r="K19" t="s">
        <v>482</v>
      </c>
      <c r="L19">
        <v>1348</v>
      </c>
      <c r="N19">
        <v>1009</v>
      </c>
      <c r="O19" t="s">
        <v>75</v>
      </c>
      <c r="P19" t="s">
        <v>75</v>
      </c>
      <c r="Q19">
        <v>1000</v>
      </c>
      <c r="X19">
        <v>0.24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 t="s">
        <v>6</v>
      </c>
      <c r="AG19">
        <v>0.24</v>
      </c>
      <c r="AH19">
        <v>3</v>
      </c>
      <c r="AI19">
        <v>-1</v>
      </c>
      <c r="AJ19" t="s">
        <v>6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ROW(Source!A37)</f>
        <v>37</v>
      </c>
      <c r="B20">
        <v>44175994</v>
      </c>
      <c r="C20">
        <v>44175982</v>
      </c>
      <c r="D20">
        <v>34984822</v>
      </c>
      <c r="E20">
        <v>34959076</v>
      </c>
      <c r="F20">
        <v>1</v>
      </c>
      <c r="G20">
        <v>34959076</v>
      </c>
      <c r="H20">
        <v>3</v>
      </c>
      <c r="I20" t="s">
        <v>408</v>
      </c>
      <c r="J20" t="s">
        <v>6</v>
      </c>
      <c r="K20" t="s">
        <v>409</v>
      </c>
      <c r="L20">
        <v>1344</v>
      </c>
      <c r="N20">
        <v>1008</v>
      </c>
      <c r="O20" t="s">
        <v>410</v>
      </c>
      <c r="P20" t="s">
        <v>410</v>
      </c>
      <c r="Q20">
        <v>1</v>
      </c>
      <c r="X20">
        <v>27.72</v>
      </c>
      <c r="Y20">
        <v>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6</v>
      </c>
      <c r="AG20">
        <v>27.72</v>
      </c>
      <c r="AH20">
        <v>2</v>
      </c>
      <c r="AI20">
        <v>44175985</v>
      </c>
      <c r="AJ20">
        <v>22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ROW(Source!A39)</f>
        <v>39</v>
      </c>
      <c r="B21">
        <v>44176005</v>
      </c>
      <c r="C21">
        <v>44175996</v>
      </c>
      <c r="D21">
        <v>34984826</v>
      </c>
      <c r="E21">
        <v>34959076</v>
      </c>
      <c r="F21">
        <v>1</v>
      </c>
      <c r="G21">
        <v>34959076</v>
      </c>
      <c r="H21">
        <v>1</v>
      </c>
      <c r="I21" t="s">
        <v>392</v>
      </c>
      <c r="J21" t="s">
        <v>6</v>
      </c>
      <c r="K21" t="s">
        <v>393</v>
      </c>
      <c r="L21">
        <v>1191</v>
      </c>
      <c r="N21">
        <v>1013</v>
      </c>
      <c r="O21" t="s">
        <v>394</v>
      </c>
      <c r="P21" t="s">
        <v>394</v>
      </c>
      <c r="Q21">
        <v>1</v>
      </c>
      <c r="X21">
        <v>144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93</v>
      </c>
      <c r="AG21">
        <v>198.72</v>
      </c>
      <c r="AH21">
        <v>2</v>
      </c>
      <c r="AI21">
        <v>44175997</v>
      </c>
      <c r="AJ21">
        <v>23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ROW(Source!A39)</f>
        <v>39</v>
      </c>
      <c r="B22">
        <v>44176006</v>
      </c>
      <c r="C22">
        <v>44175996</v>
      </c>
      <c r="D22">
        <v>35047318</v>
      </c>
      <c r="E22">
        <v>1</v>
      </c>
      <c r="F22">
        <v>1</v>
      </c>
      <c r="G22">
        <v>34959076</v>
      </c>
      <c r="H22">
        <v>3</v>
      </c>
      <c r="I22" t="s">
        <v>55</v>
      </c>
      <c r="J22" t="s">
        <v>57</v>
      </c>
      <c r="K22" t="s">
        <v>56</v>
      </c>
      <c r="L22">
        <v>1301</v>
      </c>
      <c r="N22">
        <v>1003</v>
      </c>
      <c r="O22" t="s">
        <v>52</v>
      </c>
      <c r="P22" t="s">
        <v>52</v>
      </c>
      <c r="Q22">
        <v>1</v>
      </c>
      <c r="X22">
        <v>990</v>
      </c>
      <c r="Y22">
        <v>15.01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6</v>
      </c>
      <c r="AG22">
        <v>990</v>
      </c>
      <c r="AH22">
        <v>2</v>
      </c>
      <c r="AI22">
        <v>44175998</v>
      </c>
      <c r="AJ22">
        <v>24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ROW(Source!A39)</f>
        <v>39</v>
      </c>
      <c r="B23">
        <v>44176007</v>
      </c>
      <c r="C23">
        <v>44175996</v>
      </c>
      <c r="D23">
        <v>35047149</v>
      </c>
      <c r="E23">
        <v>1</v>
      </c>
      <c r="F23">
        <v>1</v>
      </c>
      <c r="G23">
        <v>34959076</v>
      </c>
      <c r="H23">
        <v>3</v>
      </c>
      <c r="I23" t="s">
        <v>404</v>
      </c>
      <c r="J23" t="s">
        <v>474</v>
      </c>
      <c r="K23" t="s">
        <v>475</v>
      </c>
      <c r="L23">
        <v>1358</v>
      </c>
      <c r="N23">
        <v>1010</v>
      </c>
      <c r="O23" t="s">
        <v>407</v>
      </c>
      <c r="P23" t="s">
        <v>407</v>
      </c>
      <c r="Q23">
        <v>10</v>
      </c>
      <c r="X23">
        <v>32</v>
      </c>
      <c r="Y23">
        <v>144.77000000000001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6</v>
      </c>
      <c r="AG23">
        <v>32</v>
      </c>
      <c r="AH23">
        <v>2</v>
      </c>
      <c r="AI23">
        <v>44175999</v>
      </c>
      <c r="AJ23">
        <v>25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ROW(Source!A39)</f>
        <v>39</v>
      </c>
      <c r="B24">
        <v>44176008</v>
      </c>
      <c r="C24">
        <v>44175996</v>
      </c>
      <c r="D24">
        <v>34984822</v>
      </c>
      <c r="E24">
        <v>34959076</v>
      </c>
      <c r="F24">
        <v>1</v>
      </c>
      <c r="G24">
        <v>34959076</v>
      </c>
      <c r="H24">
        <v>3</v>
      </c>
      <c r="I24" t="s">
        <v>408</v>
      </c>
      <c r="J24" t="s">
        <v>6</v>
      </c>
      <c r="K24" t="s">
        <v>409</v>
      </c>
      <c r="L24">
        <v>1344</v>
      </c>
      <c r="N24">
        <v>1008</v>
      </c>
      <c r="O24" t="s">
        <v>410</v>
      </c>
      <c r="P24" t="s">
        <v>410</v>
      </c>
      <c r="Q24">
        <v>1</v>
      </c>
      <c r="X24">
        <v>61.6</v>
      </c>
      <c r="Y24">
        <v>1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6</v>
      </c>
      <c r="AG24">
        <v>61.6</v>
      </c>
      <c r="AH24">
        <v>2</v>
      </c>
      <c r="AI24">
        <v>44176000</v>
      </c>
      <c r="AJ24">
        <v>26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ROW(Source!A40)</f>
        <v>40</v>
      </c>
      <c r="B25">
        <v>44176020</v>
      </c>
      <c r="C25">
        <v>44176009</v>
      </c>
      <c r="D25">
        <v>34984826</v>
      </c>
      <c r="E25">
        <v>34959076</v>
      </c>
      <c r="F25">
        <v>1</v>
      </c>
      <c r="G25">
        <v>34959076</v>
      </c>
      <c r="H25">
        <v>1</v>
      </c>
      <c r="I25" t="s">
        <v>392</v>
      </c>
      <c r="J25" t="s">
        <v>6</v>
      </c>
      <c r="K25" t="s">
        <v>393</v>
      </c>
      <c r="L25">
        <v>1191</v>
      </c>
      <c r="N25">
        <v>1013</v>
      </c>
      <c r="O25" t="s">
        <v>394</v>
      </c>
      <c r="P25" t="s">
        <v>394</v>
      </c>
      <c r="Q25">
        <v>1</v>
      </c>
      <c r="X25">
        <v>109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99</v>
      </c>
      <c r="AG25">
        <v>125.35</v>
      </c>
      <c r="AH25">
        <v>2</v>
      </c>
      <c r="AI25">
        <v>44176010</v>
      </c>
      <c r="AJ25">
        <v>27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ROW(Source!A40)</f>
        <v>40</v>
      </c>
      <c r="B26">
        <v>44176021</v>
      </c>
      <c r="C26">
        <v>44176009</v>
      </c>
      <c r="D26">
        <v>35043884</v>
      </c>
      <c r="E26">
        <v>1</v>
      </c>
      <c r="F26">
        <v>1</v>
      </c>
      <c r="G26">
        <v>34959076</v>
      </c>
      <c r="H26">
        <v>3</v>
      </c>
      <c r="I26" t="s">
        <v>421</v>
      </c>
      <c r="J26" t="s">
        <v>483</v>
      </c>
      <c r="K26" t="s">
        <v>484</v>
      </c>
      <c r="L26">
        <v>1348</v>
      </c>
      <c r="N26">
        <v>1009</v>
      </c>
      <c r="O26" t="s">
        <v>75</v>
      </c>
      <c r="P26" t="s">
        <v>75</v>
      </c>
      <c r="Q26">
        <v>1000</v>
      </c>
      <c r="X26">
        <v>2E-3</v>
      </c>
      <c r="Y26">
        <v>6521.42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6</v>
      </c>
      <c r="AG26">
        <v>2E-3</v>
      </c>
      <c r="AH26">
        <v>2</v>
      </c>
      <c r="AI26">
        <v>44176011</v>
      </c>
      <c r="AJ26">
        <v>28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ROW(Source!A40)</f>
        <v>40</v>
      </c>
      <c r="B27">
        <v>44176022</v>
      </c>
      <c r="C27">
        <v>44176009</v>
      </c>
      <c r="D27">
        <v>35043799</v>
      </c>
      <c r="E27">
        <v>1</v>
      </c>
      <c r="F27">
        <v>1</v>
      </c>
      <c r="G27">
        <v>34959076</v>
      </c>
      <c r="H27">
        <v>3</v>
      </c>
      <c r="I27" t="s">
        <v>424</v>
      </c>
      <c r="J27" t="s">
        <v>485</v>
      </c>
      <c r="K27" t="s">
        <v>486</v>
      </c>
      <c r="L27">
        <v>1339</v>
      </c>
      <c r="N27">
        <v>1007</v>
      </c>
      <c r="O27" t="s">
        <v>70</v>
      </c>
      <c r="P27" t="s">
        <v>70</v>
      </c>
      <c r="Q27">
        <v>1</v>
      </c>
      <c r="X27">
        <v>5.3999999999999999E-2</v>
      </c>
      <c r="Y27">
        <v>1828.56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6</v>
      </c>
      <c r="AG27">
        <v>5.3999999999999999E-2</v>
      </c>
      <c r="AH27">
        <v>2</v>
      </c>
      <c r="AI27">
        <v>44176012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ROW(Source!A40)</f>
        <v>40</v>
      </c>
      <c r="B28">
        <v>44176023</v>
      </c>
      <c r="C28">
        <v>44176009</v>
      </c>
      <c r="D28">
        <v>35043929</v>
      </c>
      <c r="E28">
        <v>1</v>
      </c>
      <c r="F28">
        <v>1</v>
      </c>
      <c r="G28">
        <v>34959076</v>
      </c>
      <c r="H28">
        <v>3</v>
      </c>
      <c r="I28" t="s">
        <v>427</v>
      </c>
      <c r="J28" t="s">
        <v>487</v>
      </c>
      <c r="K28" t="s">
        <v>488</v>
      </c>
      <c r="L28">
        <v>1339</v>
      </c>
      <c r="N28">
        <v>1007</v>
      </c>
      <c r="O28" t="s">
        <v>70</v>
      </c>
      <c r="P28" t="s">
        <v>70</v>
      </c>
      <c r="Q28">
        <v>1</v>
      </c>
      <c r="X28">
        <v>6.7000000000000004E-2</v>
      </c>
      <c r="Y28">
        <v>2472.13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6</v>
      </c>
      <c r="AG28">
        <v>6.7000000000000004E-2</v>
      </c>
      <c r="AH28">
        <v>2</v>
      </c>
      <c r="AI28">
        <v>44176013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ROW(Source!A40)</f>
        <v>40</v>
      </c>
      <c r="B29">
        <v>44176024</v>
      </c>
      <c r="C29">
        <v>44176009</v>
      </c>
      <c r="D29">
        <v>34985889</v>
      </c>
      <c r="E29">
        <v>34959076</v>
      </c>
      <c r="F29">
        <v>1</v>
      </c>
      <c r="G29">
        <v>34959076</v>
      </c>
      <c r="H29">
        <v>3</v>
      </c>
      <c r="I29" t="s">
        <v>489</v>
      </c>
      <c r="J29" t="s">
        <v>6</v>
      </c>
      <c r="K29" t="s">
        <v>490</v>
      </c>
      <c r="L29">
        <v>1339</v>
      </c>
      <c r="N29">
        <v>1007</v>
      </c>
      <c r="O29" t="s">
        <v>70</v>
      </c>
      <c r="P29" t="s">
        <v>70</v>
      </c>
      <c r="Q29">
        <v>1</v>
      </c>
      <c r="X29">
        <v>0.312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 t="s">
        <v>6</v>
      </c>
      <c r="AG29">
        <v>0.312</v>
      </c>
      <c r="AH29">
        <v>3</v>
      </c>
      <c r="AI29">
        <v>-1</v>
      </c>
      <c r="AJ29" t="s">
        <v>6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ROW(Source!A42)</f>
        <v>42</v>
      </c>
      <c r="B30">
        <v>44176031</v>
      </c>
      <c r="C30">
        <v>44176026</v>
      </c>
      <c r="D30">
        <v>34984826</v>
      </c>
      <c r="E30">
        <v>34959076</v>
      </c>
      <c r="F30">
        <v>1</v>
      </c>
      <c r="G30">
        <v>34959076</v>
      </c>
      <c r="H30">
        <v>1</v>
      </c>
      <c r="I30" t="s">
        <v>392</v>
      </c>
      <c r="J30" t="s">
        <v>6</v>
      </c>
      <c r="K30" t="s">
        <v>393</v>
      </c>
      <c r="L30">
        <v>1191</v>
      </c>
      <c r="N30">
        <v>1013</v>
      </c>
      <c r="O30" t="s">
        <v>394</v>
      </c>
      <c r="P30" t="s">
        <v>394</v>
      </c>
      <c r="Q30">
        <v>1</v>
      </c>
      <c r="X30">
        <v>3.04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29</v>
      </c>
      <c r="AG30">
        <v>3.4959999999999996</v>
      </c>
      <c r="AH30">
        <v>2</v>
      </c>
      <c r="AI30">
        <v>44176027</v>
      </c>
      <c r="AJ30">
        <v>32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ROW(Source!A42)</f>
        <v>42</v>
      </c>
      <c r="B31">
        <v>44176032</v>
      </c>
      <c r="C31">
        <v>44176026</v>
      </c>
      <c r="D31">
        <v>34986160</v>
      </c>
      <c r="E31">
        <v>34959076</v>
      </c>
      <c r="F31">
        <v>1</v>
      </c>
      <c r="G31">
        <v>34959076</v>
      </c>
      <c r="H31">
        <v>3</v>
      </c>
      <c r="I31" t="s">
        <v>491</v>
      </c>
      <c r="J31" t="s">
        <v>6</v>
      </c>
      <c r="K31" t="s">
        <v>492</v>
      </c>
      <c r="L31">
        <v>1346</v>
      </c>
      <c r="N31">
        <v>1009</v>
      </c>
      <c r="O31" t="s">
        <v>168</v>
      </c>
      <c r="P31" t="s">
        <v>168</v>
      </c>
      <c r="Q31">
        <v>1</v>
      </c>
      <c r="X31">
        <v>1.9570000000000001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 t="s">
        <v>6</v>
      </c>
      <c r="AG31">
        <v>1.9570000000000001</v>
      </c>
      <c r="AH31">
        <v>3</v>
      </c>
      <c r="AI31">
        <v>-1</v>
      </c>
      <c r="AJ31" t="s">
        <v>6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ROW(Source!A44)</f>
        <v>44</v>
      </c>
      <c r="B32">
        <v>44176053</v>
      </c>
      <c r="C32">
        <v>44176034</v>
      </c>
      <c r="D32">
        <v>34984826</v>
      </c>
      <c r="E32">
        <v>34959076</v>
      </c>
      <c r="F32">
        <v>1</v>
      </c>
      <c r="G32">
        <v>34959076</v>
      </c>
      <c r="H32">
        <v>1</v>
      </c>
      <c r="I32" t="s">
        <v>392</v>
      </c>
      <c r="J32" t="s">
        <v>6</v>
      </c>
      <c r="K32" t="s">
        <v>393</v>
      </c>
      <c r="L32">
        <v>1191</v>
      </c>
      <c r="N32">
        <v>1013</v>
      </c>
      <c r="O32" t="s">
        <v>394</v>
      </c>
      <c r="P32" t="s">
        <v>394</v>
      </c>
      <c r="Q32">
        <v>1</v>
      </c>
      <c r="X32">
        <v>29.37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29</v>
      </c>
      <c r="AG32">
        <v>33.775500000000001</v>
      </c>
      <c r="AH32">
        <v>2</v>
      </c>
      <c r="AI32">
        <v>44176035</v>
      </c>
      <c r="AJ32">
        <v>34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ROW(Source!A44)</f>
        <v>44</v>
      </c>
      <c r="B33">
        <v>44176054</v>
      </c>
      <c r="C33">
        <v>44176034</v>
      </c>
      <c r="D33">
        <v>35065495</v>
      </c>
      <c r="E33">
        <v>1</v>
      </c>
      <c r="F33">
        <v>1</v>
      </c>
      <c r="G33">
        <v>34959076</v>
      </c>
      <c r="H33">
        <v>2</v>
      </c>
      <c r="I33" t="s">
        <v>430</v>
      </c>
      <c r="J33" t="s">
        <v>431</v>
      </c>
      <c r="K33" t="s">
        <v>432</v>
      </c>
      <c r="L33">
        <v>1367</v>
      </c>
      <c r="N33">
        <v>1011</v>
      </c>
      <c r="O33" t="s">
        <v>398</v>
      </c>
      <c r="P33" t="s">
        <v>398</v>
      </c>
      <c r="Q33">
        <v>1</v>
      </c>
      <c r="X33">
        <v>1.4999999999999999E-2</v>
      </c>
      <c r="Y33">
        <v>0</v>
      </c>
      <c r="Z33">
        <v>2.36</v>
      </c>
      <c r="AA33">
        <v>0.1</v>
      </c>
      <c r="AB33">
        <v>0</v>
      </c>
      <c r="AC33">
        <v>0</v>
      </c>
      <c r="AD33">
        <v>1</v>
      </c>
      <c r="AE33">
        <v>0</v>
      </c>
      <c r="AF33" t="s">
        <v>29</v>
      </c>
      <c r="AG33">
        <v>1.7249999999999998E-2</v>
      </c>
      <c r="AH33">
        <v>2</v>
      </c>
      <c r="AI33">
        <v>44176036</v>
      </c>
      <c r="AJ33">
        <v>35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ROW(Source!A44)</f>
        <v>44</v>
      </c>
      <c r="B34">
        <v>44176055</v>
      </c>
      <c r="C34">
        <v>44176034</v>
      </c>
      <c r="D34">
        <v>35043043</v>
      </c>
      <c r="E34">
        <v>1</v>
      </c>
      <c r="F34">
        <v>1</v>
      </c>
      <c r="G34">
        <v>34959076</v>
      </c>
      <c r="H34">
        <v>3</v>
      </c>
      <c r="I34" t="s">
        <v>433</v>
      </c>
      <c r="J34" t="s">
        <v>493</v>
      </c>
      <c r="K34" t="s">
        <v>494</v>
      </c>
      <c r="L34">
        <v>1348</v>
      </c>
      <c r="N34">
        <v>1009</v>
      </c>
      <c r="O34" t="s">
        <v>75</v>
      </c>
      <c r="P34" t="s">
        <v>75</v>
      </c>
      <c r="Q34">
        <v>1000</v>
      </c>
      <c r="X34">
        <v>1.32E-3</v>
      </c>
      <c r="Y34">
        <v>6500.22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6</v>
      </c>
      <c r="AG34">
        <v>1.32E-3</v>
      </c>
      <c r="AH34">
        <v>2</v>
      </c>
      <c r="AI34">
        <v>44176037</v>
      </c>
      <c r="AJ34">
        <v>36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ROW(Source!A44)</f>
        <v>44</v>
      </c>
      <c r="B35">
        <v>44176056</v>
      </c>
      <c r="C35">
        <v>44176034</v>
      </c>
      <c r="D35">
        <v>35043884</v>
      </c>
      <c r="E35">
        <v>1</v>
      </c>
      <c r="F35">
        <v>1</v>
      </c>
      <c r="G35">
        <v>34959076</v>
      </c>
      <c r="H35">
        <v>3</v>
      </c>
      <c r="I35" t="s">
        <v>421</v>
      </c>
      <c r="J35" t="s">
        <v>483</v>
      </c>
      <c r="K35" t="s">
        <v>484</v>
      </c>
      <c r="L35">
        <v>1348</v>
      </c>
      <c r="N35">
        <v>1009</v>
      </c>
      <c r="O35" t="s">
        <v>75</v>
      </c>
      <c r="P35" t="s">
        <v>75</v>
      </c>
      <c r="Q35">
        <v>1000</v>
      </c>
      <c r="X35">
        <v>3.0000000000000001E-5</v>
      </c>
      <c r="Y35">
        <v>6521.42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6</v>
      </c>
      <c r="AG35">
        <v>3.0000000000000001E-5</v>
      </c>
      <c r="AH35">
        <v>2</v>
      </c>
      <c r="AI35">
        <v>44176038</v>
      </c>
      <c r="AJ35">
        <v>37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ROW(Source!A44)</f>
        <v>44</v>
      </c>
      <c r="B36">
        <v>44176057</v>
      </c>
      <c r="C36">
        <v>44176034</v>
      </c>
      <c r="D36">
        <v>35043794</v>
      </c>
      <c r="E36">
        <v>1</v>
      </c>
      <c r="F36">
        <v>1</v>
      </c>
      <c r="G36">
        <v>34959076</v>
      </c>
      <c r="H36">
        <v>3</v>
      </c>
      <c r="I36" t="s">
        <v>436</v>
      </c>
      <c r="J36" t="s">
        <v>495</v>
      </c>
      <c r="K36" t="s">
        <v>496</v>
      </c>
      <c r="L36">
        <v>1339</v>
      </c>
      <c r="N36">
        <v>1007</v>
      </c>
      <c r="O36" t="s">
        <v>70</v>
      </c>
      <c r="P36" t="s">
        <v>70</v>
      </c>
      <c r="Q36">
        <v>1</v>
      </c>
      <c r="X36">
        <v>1E-3</v>
      </c>
      <c r="Y36">
        <v>1828.56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6</v>
      </c>
      <c r="AG36">
        <v>1E-3</v>
      </c>
      <c r="AH36">
        <v>2</v>
      </c>
      <c r="AI36">
        <v>44176039</v>
      </c>
      <c r="AJ36">
        <v>38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ROW(Source!A44)</f>
        <v>44</v>
      </c>
      <c r="B37">
        <v>44176058</v>
      </c>
      <c r="C37">
        <v>44176034</v>
      </c>
      <c r="D37">
        <v>35043793</v>
      </c>
      <c r="E37">
        <v>1</v>
      </c>
      <c r="F37">
        <v>1</v>
      </c>
      <c r="G37">
        <v>34959076</v>
      </c>
      <c r="H37">
        <v>3</v>
      </c>
      <c r="I37" t="s">
        <v>439</v>
      </c>
      <c r="J37" t="s">
        <v>497</v>
      </c>
      <c r="K37" t="s">
        <v>498</v>
      </c>
      <c r="L37">
        <v>1339</v>
      </c>
      <c r="N37">
        <v>1007</v>
      </c>
      <c r="O37" t="s">
        <v>70</v>
      </c>
      <c r="P37" t="s">
        <v>70</v>
      </c>
      <c r="Q37">
        <v>1</v>
      </c>
      <c r="X37">
        <v>2E-3</v>
      </c>
      <c r="Y37">
        <v>1828.56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6</v>
      </c>
      <c r="AG37">
        <v>2E-3</v>
      </c>
      <c r="AH37">
        <v>2</v>
      </c>
      <c r="AI37">
        <v>44176040</v>
      </c>
      <c r="AJ37">
        <v>39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ROW(Source!A44)</f>
        <v>44</v>
      </c>
      <c r="B38">
        <v>44176059</v>
      </c>
      <c r="C38">
        <v>44176034</v>
      </c>
      <c r="D38">
        <v>35043978</v>
      </c>
      <c r="E38">
        <v>1</v>
      </c>
      <c r="F38">
        <v>1</v>
      </c>
      <c r="G38">
        <v>34959076</v>
      </c>
      <c r="H38">
        <v>3</v>
      </c>
      <c r="I38" t="s">
        <v>442</v>
      </c>
      <c r="J38" t="s">
        <v>499</v>
      </c>
      <c r="K38" t="s">
        <v>500</v>
      </c>
      <c r="L38">
        <v>1339</v>
      </c>
      <c r="N38">
        <v>1007</v>
      </c>
      <c r="O38" t="s">
        <v>70</v>
      </c>
      <c r="P38" t="s">
        <v>70</v>
      </c>
      <c r="Q38">
        <v>1</v>
      </c>
      <c r="X38">
        <v>0.02</v>
      </c>
      <c r="Y38">
        <v>53.57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6</v>
      </c>
      <c r="AG38">
        <v>0.02</v>
      </c>
      <c r="AH38">
        <v>2</v>
      </c>
      <c r="AI38">
        <v>44176041</v>
      </c>
      <c r="AJ38">
        <v>40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ROW(Source!A44)</f>
        <v>44</v>
      </c>
      <c r="B39">
        <v>44176060</v>
      </c>
      <c r="C39">
        <v>44176034</v>
      </c>
      <c r="D39">
        <v>35043650</v>
      </c>
      <c r="E39">
        <v>1</v>
      </c>
      <c r="F39">
        <v>1</v>
      </c>
      <c r="G39">
        <v>34959076</v>
      </c>
      <c r="H39">
        <v>3</v>
      </c>
      <c r="I39" t="s">
        <v>155</v>
      </c>
      <c r="J39" t="s">
        <v>157</v>
      </c>
      <c r="K39" t="s">
        <v>156</v>
      </c>
      <c r="L39">
        <v>1339</v>
      </c>
      <c r="N39">
        <v>1007</v>
      </c>
      <c r="O39" t="s">
        <v>70</v>
      </c>
      <c r="P39" t="s">
        <v>70</v>
      </c>
      <c r="Q39">
        <v>1</v>
      </c>
      <c r="X39">
        <v>0.08</v>
      </c>
      <c r="Y39">
        <v>5.91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6</v>
      </c>
      <c r="AG39">
        <v>0.08</v>
      </c>
      <c r="AH39">
        <v>2</v>
      </c>
      <c r="AI39">
        <v>44176042</v>
      </c>
      <c r="AJ39">
        <v>41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ROW(Source!A44)</f>
        <v>44</v>
      </c>
      <c r="B40">
        <v>44176061</v>
      </c>
      <c r="C40">
        <v>44176034</v>
      </c>
      <c r="D40">
        <v>35043339</v>
      </c>
      <c r="E40">
        <v>1</v>
      </c>
      <c r="F40">
        <v>1</v>
      </c>
      <c r="G40">
        <v>34959076</v>
      </c>
      <c r="H40">
        <v>3</v>
      </c>
      <c r="I40" t="s">
        <v>447</v>
      </c>
      <c r="J40" t="s">
        <v>501</v>
      </c>
      <c r="K40" t="s">
        <v>502</v>
      </c>
      <c r="L40">
        <v>1327</v>
      </c>
      <c r="N40">
        <v>1005</v>
      </c>
      <c r="O40" t="s">
        <v>338</v>
      </c>
      <c r="P40" t="s">
        <v>338</v>
      </c>
      <c r="Q40">
        <v>1</v>
      </c>
      <c r="X40">
        <v>1.2</v>
      </c>
      <c r="Y40">
        <v>5.51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6</v>
      </c>
      <c r="AG40">
        <v>1.2</v>
      </c>
      <c r="AH40">
        <v>2</v>
      </c>
      <c r="AI40">
        <v>44176043</v>
      </c>
      <c r="AJ40">
        <v>42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ROW(Source!A45)</f>
        <v>45</v>
      </c>
      <c r="B41">
        <v>44176065</v>
      </c>
      <c r="C41">
        <v>44176062</v>
      </c>
      <c r="D41">
        <v>34984826</v>
      </c>
      <c r="E41">
        <v>34959076</v>
      </c>
      <c r="F41">
        <v>1</v>
      </c>
      <c r="G41">
        <v>34959076</v>
      </c>
      <c r="H41">
        <v>1</v>
      </c>
      <c r="I41" t="s">
        <v>392</v>
      </c>
      <c r="J41" t="s">
        <v>6</v>
      </c>
      <c r="K41" t="s">
        <v>393</v>
      </c>
      <c r="L41">
        <v>1191</v>
      </c>
      <c r="N41">
        <v>1013</v>
      </c>
      <c r="O41" t="s">
        <v>394</v>
      </c>
      <c r="P41" t="s">
        <v>394</v>
      </c>
      <c r="Q41">
        <v>1</v>
      </c>
      <c r="X41">
        <v>0.05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29</v>
      </c>
      <c r="AG41">
        <v>5.7499999999999996E-2</v>
      </c>
      <c r="AH41">
        <v>2</v>
      </c>
      <c r="AI41">
        <v>44176063</v>
      </c>
      <c r="AJ41">
        <v>43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ROW(Source!A46)</f>
        <v>46</v>
      </c>
      <c r="B42">
        <v>44176069</v>
      </c>
      <c r="C42">
        <v>44176066</v>
      </c>
      <c r="D42">
        <v>34984826</v>
      </c>
      <c r="E42">
        <v>34959076</v>
      </c>
      <c r="F42">
        <v>1</v>
      </c>
      <c r="G42">
        <v>34959076</v>
      </c>
      <c r="H42">
        <v>1</v>
      </c>
      <c r="I42" t="s">
        <v>392</v>
      </c>
      <c r="J42" t="s">
        <v>6</v>
      </c>
      <c r="K42" t="s">
        <v>393</v>
      </c>
      <c r="L42">
        <v>1191</v>
      </c>
      <c r="N42">
        <v>1013</v>
      </c>
      <c r="O42" t="s">
        <v>394</v>
      </c>
      <c r="P42" t="s">
        <v>394</v>
      </c>
      <c r="Q42">
        <v>1</v>
      </c>
      <c r="X42">
        <v>0.17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6</v>
      </c>
      <c r="AG42">
        <v>0.17</v>
      </c>
      <c r="AH42">
        <v>2</v>
      </c>
      <c r="AI42">
        <v>44176067</v>
      </c>
      <c r="AJ42">
        <v>44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ROW(Source!A47)</f>
        <v>47</v>
      </c>
      <c r="B43">
        <v>44176084</v>
      </c>
      <c r="C43">
        <v>44176070</v>
      </c>
      <c r="D43">
        <v>34984826</v>
      </c>
      <c r="E43">
        <v>34959076</v>
      </c>
      <c r="F43">
        <v>1</v>
      </c>
      <c r="G43">
        <v>34959076</v>
      </c>
      <c r="H43">
        <v>1</v>
      </c>
      <c r="I43" t="s">
        <v>392</v>
      </c>
      <c r="J43" t="s">
        <v>6</v>
      </c>
      <c r="K43" t="s">
        <v>393</v>
      </c>
      <c r="L43">
        <v>1191</v>
      </c>
      <c r="N43">
        <v>1013</v>
      </c>
      <c r="O43" t="s">
        <v>394</v>
      </c>
      <c r="P43" t="s">
        <v>394</v>
      </c>
      <c r="Q43">
        <v>1</v>
      </c>
      <c r="X43">
        <v>110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6</v>
      </c>
      <c r="AG43">
        <v>110</v>
      </c>
      <c r="AH43">
        <v>2</v>
      </c>
      <c r="AI43">
        <v>44176071</v>
      </c>
      <c r="AJ43">
        <v>45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ROW(Source!A47)</f>
        <v>47</v>
      </c>
      <c r="B44">
        <v>44176085</v>
      </c>
      <c r="C44">
        <v>44176070</v>
      </c>
      <c r="D44">
        <v>35065171</v>
      </c>
      <c r="E44">
        <v>1</v>
      </c>
      <c r="F44">
        <v>1</v>
      </c>
      <c r="G44">
        <v>34959076</v>
      </c>
      <c r="H44">
        <v>2</v>
      </c>
      <c r="I44" t="s">
        <v>450</v>
      </c>
      <c r="J44" t="s">
        <v>451</v>
      </c>
      <c r="K44" t="s">
        <v>452</v>
      </c>
      <c r="L44">
        <v>1367</v>
      </c>
      <c r="N44">
        <v>1011</v>
      </c>
      <c r="O44" t="s">
        <v>398</v>
      </c>
      <c r="P44" t="s">
        <v>398</v>
      </c>
      <c r="Q44">
        <v>1</v>
      </c>
      <c r="X44">
        <v>43</v>
      </c>
      <c r="Y44">
        <v>0</v>
      </c>
      <c r="Z44">
        <v>6.22</v>
      </c>
      <c r="AA44">
        <v>0.28999999999999998</v>
      </c>
      <c r="AB44">
        <v>0</v>
      </c>
      <c r="AC44">
        <v>0</v>
      </c>
      <c r="AD44">
        <v>1</v>
      </c>
      <c r="AE44">
        <v>0</v>
      </c>
      <c r="AF44" t="s">
        <v>6</v>
      </c>
      <c r="AG44">
        <v>43</v>
      </c>
      <c r="AH44">
        <v>2</v>
      </c>
      <c r="AI44">
        <v>44176072</v>
      </c>
      <c r="AJ44">
        <v>46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ROW(Source!A47)</f>
        <v>47</v>
      </c>
      <c r="B45">
        <v>44176086</v>
      </c>
      <c r="C45">
        <v>44176070</v>
      </c>
      <c r="D45">
        <v>35065173</v>
      </c>
      <c r="E45">
        <v>1</v>
      </c>
      <c r="F45">
        <v>1</v>
      </c>
      <c r="G45">
        <v>34959076</v>
      </c>
      <c r="H45">
        <v>2</v>
      </c>
      <c r="I45" t="s">
        <v>453</v>
      </c>
      <c r="J45" t="s">
        <v>454</v>
      </c>
      <c r="K45" t="s">
        <v>455</v>
      </c>
      <c r="L45">
        <v>1367</v>
      </c>
      <c r="N45">
        <v>1011</v>
      </c>
      <c r="O45" t="s">
        <v>398</v>
      </c>
      <c r="P45" t="s">
        <v>398</v>
      </c>
      <c r="Q45">
        <v>1</v>
      </c>
      <c r="X45">
        <v>0.9</v>
      </c>
      <c r="Y45">
        <v>0</v>
      </c>
      <c r="Z45">
        <v>1.0900000000000001</v>
      </c>
      <c r="AA45">
        <v>0.09</v>
      </c>
      <c r="AB45">
        <v>0</v>
      </c>
      <c r="AC45">
        <v>0</v>
      </c>
      <c r="AD45">
        <v>1</v>
      </c>
      <c r="AE45">
        <v>0</v>
      </c>
      <c r="AF45" t="s">
        <v>6</v>
      </c>
      <c r="AG45">
        <v>0.9</v>
      </c>
      <c r="AH45">
        <v>2</v>
      </c>
      <c r="AI45">
        <v>44176073</v>
      </c>
      <c r="AJ45">
        <v>47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ROW(Source!A47)</f>
        <v>47</v>
      </c>
      <c r="B46">
        <v>44176087</v>
      </c>
      <c r="C46">
        <v>44176070</v>
      </c>
      <c r="D46">
        <v>35065507</v>
      </c>
      <c r="E46">
        <v>1</v>
      </c>
      <c r="F46">
        <v>1</v>
      </c>
      <c r="G46">
        <v>34959076</v>
      </c>
      <c r="H46">
        <v>2</v>
      </c>
      <c r="I46" t="s">
        <v>456</v>
      </c>
      <c r="J46" t="s">
        <v>457</v>
      </c>
      <c r="K46" t="s">
        <v>458</v>
      </c>
      <c r="L46">
        <v>1367</v>
      </c>
      <c r="N46">
        <v>1011</v>
      </c>
      <c r="O46" t="s">
        <v>398</v>
      </c>
      <c r="P46" t="s">
        <v>398</v>
      </c>
      <c r="Q46">
        <v>1</v>
      </c>
      <c r="X46">
        <v>0.4</v>
      </c>
      <c r="Y46">
        <v>0</v>
      </c>
      <c r="Z46">
        <v>0.68</v>
      </c>
      <c r="AA46">
        <v>0.04</v>
      </c>
      <c r="AB46">
        <v>0</v>
      </c>
      <c r="AC46">
        <v>0</v>
      </c>
      <c r="AD46">
        <v>1</v>
      </c>
      <c r="AE46">
        <v>0</v>
      </c>
      <c r="AF46" t="s">
        <v>6</v>
      </c>
      <c r="AG46">
        <v>0.4</v>
      </c>
      <c r="AH46">
        <v>2</v>
      </c>
      <c r="AI46">
        <v>44176074</v>
      </c>
      <c r="AJ46">
        <v>48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ROW(Source!A47)</f>
        <v>47</v>
      </c>
      <c r="B47">
        <v>44176088</v>
      </c>
      <c r="C47">
        <v>44176070</v>
      </c>
      <c r="D47">
        <v>35065525</v>
      </c>
      <c r="E47">
        <v>1</v>
      </c>
      <c r="F47">
        <v>1</v>
      </c>
      <c r="G47">
        <v>34959076</v>
      </c>
      <c r="H47">
        <v>2</v>
      </c>
      <c r="I47" t="s">
        <v>459</v>
      </c>
      <c r="J47" t="s">
        <v>460</v>
      </c>
      <c r="K47" t="s">
        <v>461</v>
      </c>
      <c r="L47">
        <v>1367</v>
      </c>
      <c r="N47">
        <v>1011</v>
      </c>
      <c r="O47" t="s">
        <v>398</v>
      </c>
      <c r="P47" t="s">
        <v>398</v>
      </c>
      <c r="Q47">
        <v>1</v>
      </c>
      <c r="X47">
        <v>2.4</v>
      </c>
      <c r="Y47">
        <v>0</v>
      </c>
      <c r="Z47">
        <v>2.0499999999999998</v>
      </c>
      <c r="AA47">
        <v>0.15</v>
      </c>
      <c r="AB47">
        <v>0</v>
      </c>
      <c r="AC47">
        <v>0</v>
      </c>
      <c r="AD47">
        <v>1</v>
      </c>
      <c r="AE47">
        <v>0</v>
      </c>
      <c r="AF47" t="s">
        <v>6</v>
      </c>
      <c r="AG47">
        <v>2.4</v>
      </c>
      <c r="AH47">
        <v>2</v>
      </c>
      <c r="AI47">
        <v>44176075</v>
      </c>
      <c r="AJ47">
        <v>49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ROW(Source!A47)</f>
        <v>47</v>
      </c>
      <c r="B48">
        <v>44176089</v>
      </c>
      <c r="C48">
        <v>44176070</v>
      </c>
      <c r="D48">
        <v>35065495</v>
      </c>
      <c r="E48">
        <v>1</v>
      </c>
      <c r="F48">
        <v>1</v>
      </c>
      <c r="G48">
        <v>34959076</v>
      </c>
      <c r="H48">
        <v>2</v>
      </c>
      <c r="I48" t="s">
        <v>430</v>
      </c>
      <c r="J48" t="s">
        <v>431</v>
      </c>
      <c r="K48" t="s">
        <v>432</v>
      </c>
      <c r="L48">
        <v>1367</v>
      </c>
      <c r="N48">
        <v>1011</v>
      </c>
      <c r="O48" t="s">
        <v>398</v>
      </c>
      <c r="P48" t="s">
        <v>398</v>
      </c>
      <c r="Q48">
        <v>1</v>
      </c>
      <c r="X48">
        <v>0.3</v>
      </c>
      <c r="Y48">
        <v>0</v>
      </c>
      <c r="Z48">
        <v>2.36</v>
      </c>
      <c r="AA48">
        <v>0.1</v>
      </c>
      <c r="AB48">
        <v>0</v>
      </c>
      <c r="AC48">
        <v>0</v>
      </c>
      <c r="AD48">
        <v>1</v>
      </c>
      <c r="AE48">
        <v>0</v>
      </c>
      <c r="AF48" t="s">
        <v>6</v>
      </c>
      <c r="AG48">
        <v>0.3</v>
      </c>
      <c r="AH48">
        <v>2</v>
      </c>
      <c r="AI48">
        <v>44176076</v>
      </c>
      <c r="AJ48">
        <v>50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ROW(Source!A47)</f>
        <v>47</v>
      </c>
      <c r="B49">
        <v>44176090</v>
      </c>
      <c r="C49">
        <v>44176070</v>
      </c>
      <c r="D49">
        <v>35065548</v>
      </c>
      <c r="E49">
        <v>1</v>
      </c>
      <c r="F49">
        <v>1</v>
      </c>
      <c r="G49">
        <v>34959076</v>
      </c>
      <c r="H49">
        <v>2</v>
      </c>
      <c r="I49" t="s">
        <v>462</v>
      </c>
      <c r="J49" t="s">
        <v>463</v>
      </c>
      <c r="K49" t="s">
        <v>464</v>
      </c>
      <c r="L49">
        <v>1367</v>
      </c>
      <c r="N49">
        <v>1011</v>
      </c>
      <c r="O49" t="s">
        <v>398</v>
      </c>
      <c r="P49" t="s">
        <v>398</v>
      </c>
      <c r="Q49">
        <v>1</v>
      </c>
      <c r="X49">
        <v>0.8</v>
      </c>
      <c r="Y49">
        <v>0</v>
      </c>
      <c r="Z49">
        <v>18.309999999999999</v>
      </c>
      <c r="AA49">
        <v>13.46</v>
      </c>
      <c r="AB49">
        <v>0</v>
      </c>
      <c r="AC49">
        <v>0</v>
      </c>
      <c r="AD49">
        <v>1</v>
      </c>
      <c r="AE49">
        <v>0</v>
      </c>
      <c r="AF49" t="s">
        <v>6</v>
      </c>
      <c r="AG49">
        <v>0.8</v>
      </c>
      <c r="AH49">
        <v>2</v>
      </c>
      <c r="AI49">
        <v>44176077</v>
      </c>
      <c r="AJ49">
        <v>51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ROW(Source!A47)</f>
        <v>47</v>
      </c>
      <c r="B50">
        <v>44176091</v>
      </c>
      <c r="C50">
        <v>44176070</v>
      </c>
      <c r="D50">
        <v>34984824</v>
      </c>
      <c r="E50">
        <v>34959076</v>
      </c>
      <c r="F50">
        <v>1</v>
      </c>
      <c r="G50">
        <v>34959076</v>
      </c>
      <c r="H50">
        <v>2</v>
      </c>
      <c r="I50" t="s">
        <v>414</v>
      </c>
      <c r="J50" t="s">
        <v>6</v>
      </c>
      <c r="K50" t="s">
        <v>415</v>
      </c>
      <c r="L50">
        <v>1344</v>
      </c>
      <c r="N50">
        <v>1008</v>
      </c>
      <c r="O50" t="s">
        <v>410</v>
      </c>
      <c r="P50" t="s">
        <v>410</v>
      </c>
      <c r="Q50">
        <v>1</v>
      </c>
      <c r="X50">
        <v>37.22</v>
      </c>
      <c r="Y50">
        <v>0</v>
      </c>
      <c r="Z50">
        <v>1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6</v>
      </c>
      <c r="AG50">
        <v>37.22</v>
      </c>
      <c r="AH50">
        <v>2</v>
      </c>
      <c r="AI50">
        <v>44176078</v>
      </c>
      <c r="AJ50">
        <v>52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ROW(Source!A47)</f>
        <v>47</v>
      </c>
      <c r="B51">
        <v>44176092</v>
      </c>
      <c r="C51">
        <v>44176070</v>
      </c>
      <c r="D51">
        <v>34989483</v>
      </c>
      <c r="E51">
        <v>34959076</v>
      </c>
      <c r="F51">
        <v>1</v>
      </c>
      <c r="G51">
        <v>34959076</v>
      </c>
      <c r="H51">
        <v>3</v>
      </c>
      <c r="I51" t="s">
        <v>503</v>
      </c>
      <c r="J51" t="s">
        <v>6</v>
      </c>
      <c r="K51" t="s">
        <v>504</v>
      </c>
      <c r="L51">
        <v>1339</v>
      </c>
      <c r="N51">
        <v>1007</v>
      </c>
      <c r="O51" t="s">
        <v>70</v>
      </c>
      <c r="P51" t="s">
        <v>70</v>
      </c>
      <c r="Q51">
        <v>1</v>
      </c>
      <c r="X51">
        <v>0.2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6</v>
      </c>
      <c r="AG51">
        <v>0.2</v>
      </c>
      <c r="AH51">
        <v>3</v>
      </c>
      <c r="AI51">
        <v>-1</v>
      </c>
      <c r="AJ51" t="s">
        <v>6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ROW(Source!A47)</f>
        <v>47</v>
      </c>
      <c r="B52">
        <v>44176093</v>
      </c>
      <c r="C52">
        <v>44176070</v>
      </c>
      <c r="D52">
        <v>34985217</v>
      </c>
      <c r="E52">
        <v>34959076</v>
      </c>
      <c r="F52">
        <v>1</v>
      </c>
      <c r="G52">
        <v>34959076</v>
      </c>
      <c r="H52">
        <v>3</v>
      </c>
      <c r="I52" t="s">
        <v>505</v>
      </c>
      <c r="J52" t="s">
        <v>6</v>
      </c>
      <c r="K52" t="s">
        <v>506</v>
      </c>
      <c r="L52">
        <v>1348</v>
      </c>
      <c r="N52">
        <v>1009</v>
      </c>
      <c r="O52" t="s">
        <v>75</v>
      </c>
      <c r="P52" t="s">
        <v>75</v>
      </c>
      <c r="Q52">
        <v>1000</v>
      </c>
      <c r="X52">
        <v>1.06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6</v>
      </c>
      <c r="AG52">
        <v>1.06</v>
      </c>
      <c r="AH52">
        <v>3</v>
      </c>
      <c r="AI52">
        <v>-1</v>
      </c>
      <c r="AJ52" t="s">
        <v>6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ROW(Source!A47)</f>
        <v>47</v>
      </c>
      <c r="B53">
        <v>44176094</v>
      </c>
      <c r="C53">
        <v>44176070</v>
      </c>
      <c r="D53">
        <v>35042585</v>
      </c>
      <c r="E53">
        <v>1</v>
      </c>
      <c r="F53">
        <v>1</v>
      </c>
      <c r="G53">
        <v>34959076</v>
      </c>
      <c r="H53">
        <v>3</v>
      </c>
      <c r="I53" t="s">
        <v>465</v>
      </c>
      <c r="J53" t="s">
        <v>466</v>
      </c>
      <c r="K53" t="s">
        <v>467</v>
      </c>
      <c r="L53">
        <v>1348</v>
      </c>
      <c r="N53">
        <v>1009</v>
      </c>
      <c r="O53" t="s">
        <v>75</v>
      </c>
      <c r="P53" t="s">
        <v>75</v>
      </c>
      <c r="Q53">
        <v>1000</v>
      </c>
      <c r="X53">
        <v>1.9E-2</v>
      </c>
      <c r="Y53">
        <v>7191.81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6</v>
      </c>
      <c r="AG53">
        <v>1.9E-2</v>
      </c>
      <c r="AH53">
        <v>2</v>
      </c>
      <c r="AI53">
        <v>44176080</v>
      </c>
      <c r="AJ53">
        <v>55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ROW(Source!A47)</f>
        <v>47</v>
      </c>
      <c r="B54">
        <v>44176095</v>
      </c>
      <c r="C54">
        <v>44176070</v>
      </c>
      <c r="D54">
        <v>34985213</v>
      </c>
      <c r="E54">
        <v>34959076</v>
      </c>
      <c r="F54">
        <v>1</v>
      </c>
      <c r="G54">
        <v>34959076</v>
      </c>
      <c r="H54">
        <v>3</v>
      </c>
      <c r="I54" t="s">
        <v>507</v>
      </c>
      <c r="J54" t="s">
        <v>6</v>
      </c>
      <c r="K54" t="s">
        <v>508</v>
      </c>
      <c r="L54">
        <v>1339</v>
      </c>
      <c r="N54">
        <v>1007</v>
      </c>
      <c r="O54" t="s">
        <v>70</v>
      </c>
      <c r="P54" t="s">
        <v>70</v>
      </c>
      <c r="Q54">
        <v>1</v>
      </c>
      <c r="X54">
        <v>0.6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 t="s">
        <v>6</v>
      </c>
      <c r="AG54">
        <v>0.6</v>
      </c>
      <c r="AH54">
        <v>3</v>
      </c>
      <c r="AI54">
        <v>-1</v>
      </c>
      <c r="AJ54" t="s">
        <v>6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ROW(Source!A52)</f>
        <v>52</v>
      </c>
      <c r="B55">
        <v>44176106</v>
      </c>
      <c r="C55">
        <v>44176100</v>
      </c>
      <c r="D55">
        <v>34984826</v>
      </c>
      <c r="E55">
        <v>34959076</v>
      </c>
      <c r="F55">
        <v>1</v>
      </c>
      <c r="G55">
        <v>34959076</v>
      </c>
      <c r="H55">
        <v>1</v>
      </c>
      <c r="I55" t="s">
        <v>392</v>
      </c>
      <c r="J55" t="s">
        <v>6</v>
      </c>
      <c r="K55" t="s">
        <v>393</v>
      </c>
      <c r="L55">
        <v>1191</v>
      </c>
      <c r="N55">
        <v>1013</v>
      </c>
      <c r="O55" t="s">
        <v>394</v>
      </c>
      <c r="P55" t="s">
        <v>394</v>
      </c>
      <c r="Q55">
        <v>1</v>
      </c>
      <c r="X55">
        <v>2.4300000000000002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6</v>
      </c>
      <c r="AG55">
        <v>2.4300000000000002</v>
      </c>
      <c r="AH55">
        <v>2</v>
      </c>
      <c r="AI55">
        <v>44176101</v>
      </c>
      <c r="AJ55">
        <v>58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ROW(Source!A52)</f>
        <v>52</v>
      </c>
      <c r="B56">
        <v>44176107</v>
      </c>
      <c r="C56">
        <v>44176100</v>
      </c>
      <c r="D56">
        <v>35065080</v>
      </c>
      <c r="E56">
        <v>1</v>
      </c>
      <c r="F56">
        <v>1</v>
      </c>
      <c r="G56">
        <v>34959076</v>
      </c>
      <c r="H56">
        <v>2</v>
      </c>
      <c r="I56" t="s">
        <v>468</v>
      </c>
      <c r="J56" t="s">
        <v>469</v>
      </c>
      <c r="K56" t="s">
        <v>470</v>
      </c>
      <c r="L56">
        <v>1367</v>
      </c>
      <c r="N56">
        <v>1011</v>
      </c>
      <c r="O56" t="s">
        <v>398</v>
      </c>
      <c r="P56" t="s">
        <v>398</v>
      </c>
      <c r="Q56">
        <v>1</v>
      </c>
      <c r="X56">
        <v>0.65</v>
      </c>
      <c r="Y56">
        <v>0</v>
      </c>
      <c r="Z56">
        <v>17.32</v>
      </c>
      <c r="AA56">
        <v>1.36</v>
      </c>
      <c r="AB56">
        <v>0</v>
      </c>
      <c r="AC56">
        <v>0</v>
      </c>
      <c r="AD56">
        <v>1</v>
      </c>
      <c r="AE56">
        <v>0</v>
      </c>
      <c r="AF56" t="s">
        <v>6</v>
      </c>
      <c r="AG56">
        <v>0.65</v>
      </c>
      <c r="AH56">
        <v>2</v>
      </c>
      <c r="AI56">
        <v>44176102</v>
      </c>
      <c r="AJ56">
        <v>59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ROW(Source!A52)</f>
        <v>52</v>
      </c>
      <c r="B57">
        <v>44176108</v>
      </c>
      <c r="C57">
        <v>44176100</v>
      </c>
      <c r="D57">
        <v>34984824</v>
      </c>
      <c r="E57">
        <v>34959076</v>
      </c>
      <c r="F57">
        <v>1</v>
      </c>
      <c r="G57">
        <v>34959076</v>
      </c>
      <c r="H57">
        <v>2</v>
      </c>
      <c r="I57" t="s">
        <v>414</v>
      </c>
      <c r="J57" t="s">
        <v>6</v>
      </c>
      <c r="K57" t="s">
        <v>415</v>
      </c>
      <c r="L57">
        <v>1344</v>
      </c>
      <c r="N57">
        <v>1008</v>
      </c>
      <c r="O57" t="s">
        <v>410</v>
      </c>
      <c r="P57" t="s">
        <v>410</v>
      </c>
      <c r="Q57">
        <v>1</v>
      </c>
      <c r="X57">
        <v>1.49</v>
      </c>
      <c r="Y57">
        <v>0</v>
      </c>
      <c r="Z57">
        <v>1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6</v>
      </c>
      <c r="AG57">
        <v>1.49</v>
      </c>
      <c r="AH57">
        <v>2</v>
      </c>
      <c r="AI57">
        <v>44176103</v>
      </c>
      <c r="AJ57">
        <v>60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ROW(Source!A52)</f>
        <v>52</v>
      </c>
      <c r="B58">
        <v>44176109</v>
      </c>
      <c r="C58">
        <v>44176100</v>
      </c>
      <c r="D58">
        <v>35043555</v>
      </c>
      <c r="E58">
        <v>1</v>
      </c>
      <c r="F58">
        <v>1</v>
      </c>
      <c r="G58">
        <v>34959076</v>
      </c>
      <c r="H58">
        <v>3</v>
      </c>
      <c r="I58" t="s">
        <v>471</v>
      </c>
      <c r="J58" t="s">
        <v>472</v>
      </c>
      <c r="K58" t="s">
        <v>473</v>
      </c>
      <c r="L58">
        <v>1348</v>
      </c>
      <c r="N58">
        <v>1009</v>
      </c>
      <c r="O58" t="s">
        <v>75</v>
      </c>
      <c r="P58" t="s">
        <v>75</v>
      </c>
      <c r="Q58">
        <v>1000</v>
      </c>
      <c r="X58">
        <v>4.0000000000000001E-3</v>
      </c>
      <c r="Y58">
        <v>6303.6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6</v>
      </c>
      <c r="AG58">
        <v>4.0000000000000001E-3</v>
      </c>
      <c r="AH58">
        <v>2</v>
      </c>
      <c r="AI58">
        <v>44176104</v>
      </c>
      <c r="AJ58">
        <v>62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ROW(Source!A52)</f>
        <v>52</v>
      </c>
      <c r="B59">
        <v>44176110</v>
      </c>
      <c r="C59">
        <v>44176100</v>
      </c>
      <c r="D59">
        <v>34988491</v>
      </c>
      <c r="E59">
        <v>34959076</v>
      </c>
      <c r="F59">
        <v>1</v>
      </c>
      <c r="G59">
        <v>34959076</v>
      </c>
      <c r="H59">
        <v>3</v>
      </c>
      <c r="I59" t="s">
        <v>509</v>
      </c>
      <c r="J59" t="s">
        <v>6</v>
      </c>
      <c r="K59" t="s">
        <v>510</v>
      </c>
      <c r="L59">
        <v>1346</v>
      </c>
      <c r="N59">
        <v>1009</v>
      </c>
      <c r="O59" t="s">
        <v>168</v>
      </c>
      <c r="P59" t="s">
        <v>168</v>
      </c>
      <c r="Q59">
        <v>1</v>
      </c>
      <c r="X59">
        <v>19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 t="s">
        <v>6</v>
      </c>
      <c r="AG59">
        <v>19</v>
      </c>
      <c r="AH59">
        <v>3</v>
      </c>
      <c r="AI59">
        <v>-1</v>
      </c>
      <c r="AJ59" t="s">
        <v>6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ROW(Source!A90)</f>
        <v>90</v>
      </c>
      <c r="B60">
        <v>44176113</v>
      </c>
      <c r="C60">
        <v>44176112</v>
      </c>
      <c r="D60">
        <v>34984826</v>
      </c>
      <c r="E60">
        <v>34959076</v>
      </c>
      <c r="F60">
        <v>1</v>
      </c>
      <c r="G60">
        <v>34959076</v>
      </c>
      <c r="H60">
        <v>1</v>
      </c>
      <c r="I60" t="s">
        <v>392</v>
      </c>
      <c r="J60" t="s">
        <v>6</v>
      </c>
      <c r="K60" t="s">
        <v>393</v>
      </c>
      <c r="L60">
        <v>1191</v>
      </c>
      <c r="N60">
        <v>1013</v>
      </c>
      <c r="O60" t="s">
        <v>394</v>
      </c>
      <c r="P60" t="s">
        <v>394</v>
      </c>
      <c r="Q60">
        <v>1</v>
      </c>
      <c r="X60">
        <v>26.7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231</v>
      </c>
      <c r="AG60">
        <v>11.053799999999999</v>
      </c>
      <c r="AH60">
        <v>3</v>
      </c>
      <c r="AI60">
        <v>-1</v>
      </c>
      <c r="AJ60" t="s">
        <v>6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ROW(Source!A91)</f>
        <v>91</v>
      </c>
      <c r="B61">
        <v>44176115</v>
      </c>
      <c r="C61">
        <v>44176114</v>
      </c>
      <c r="D61">
        <v>34984826</v>
      </c>
      <c r="E61">
        <v>34959076</v>
      </c>
      <c r="F61">
        <v>1</v>
      </c>
      <c r="G61">
        <v>34959076</v>
      </c>
      <c r="H61">
        <v>1</v>
      </c>
      <c r="I61" t="s">
        <v>392</v>
      </c>
      <c r="J61" t="s">
        <v>6</v>
      </c>
      <c r="K61" t="s">
        <v>393</v>
      </c>
      <c r="L61">
        <v>1191</v>
      </c>
      <c r="N61">
        <v>1013</v>
      </c>
      <c r="O61" t="s">
        <v>394</v>
      </c>
      <c r="P61" t="s">
        <v>394</v>
      </c>
      <c r="Q61">
        <v>1</v>
      </c>
      <c r="X61">
        <v>54.12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240</v>
      </c>
      <c r="AG61">
        <v>62.237999999999992</v>
      </c>
      <c r="AH61">
        <v>3</v>
      </c>
      <c r="AI61">
        <v>-1</v>
      </c>
      <c r="AJ61" t="s">
        <v>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ROW(Source!A91)</f>
        <v>91</v>
      </c>
      <c r="B62">
        <v>44176116</v>
      </c>
      <c r="C62">
        <v>44176114</v>
      </c>
      <c r="D62">
        <v>34989536</v>
      </c>
      <c r="E62">
        <v>34959076</v>
      </c>
      <c r="F62">
        <v>1</v>
      </c>
      <c r="G62">
        <v>34959076</v>
      </c>
      <c r="H62">
        <v>3</v>
      </c>
      <c r="I62" t="s">
        <v>511</v>
      </c>
      <c r="J62" t="s">
        <v>6</v>
      </c>
      <c r="K62" t="s">
        <v>512</v>
      </c>
      <c r="L62">
        <v>1303</v>
      </c>
      <c r="N62">
        <v>1003</v>
      </c>
      <c r="O62" t="s">
        <v>250</v>
      </c>
      <c r="P62" t="s">
        <v>250</v>
      </c>
      <c r="Q62">
        <v>1000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 t="s">
        <v>6</v>
      </c>
      <c r="AG62">
        <v>0</v>
      </c>
      <c r="AH62">
        <v>3</v>
      </c>
      <c r="AI62">
        <v>-1</v>
      </c>
      <c r="AJ62" t="s">
        <v>6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ROW(Source!A92)</f>
        <v>92</v>
      </c>
      <c r="B63">
        <v>44176118</v>
      </c>
      <c r="C63">
        <v>44176117</v>
      </c>
      <c r="D63">
        <v>34984826</v>
      </c>
      <c r="E63">
        <v>34959076</v>
      </c>
      <c r="F63">
        <v>1</v>
      </c>
      <c r="G63">
        <v>34959076</v>
      </c>
      <c r="H63">
        <v>1</v>
      </c>
      <c r="I63" t="s">
        <v>392</v>
      </c>
      <c r="J63" t="s">
        <v>6</v>
      </c>
      <c r="K63" t="s">
        <v>393</v>
      </c>
      <c r="L63">
        <v>1191</v>
      </c>
      <c r="N63">
        <v>1013</v>
      </c>
      <c r="O63" t="s">
        <v>394</v>
      </c>
      <c r="P63" t="s">
        <v>394</v>
      </c>
      <c r="Q63">
        <v>1</v>
      </c>
      <c r="X63">
        <v>20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247</v>
      </c>
      <c r="AG63">
        <v>27.599999999999998</v>
      </c>
      <c r="AH63">
        <v>3</v>
      </c>
      <c r="AI63">
        <v>-1</v>
      </c>
      <c r="AJ63" t="s">
        <v>6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ROW(Source!A94)</f>
        <v>94</v>
      </c>
      <c r="B64">
        <v>44176121</v>
      </c>
      <c r="C64">
        <v>44176120</v>
      </c>
      <c r="D64">
        <v>34984826</v>
      </c>
      <c r="E64">
        <v>34959076</v>
      </c>
      <c r="F64">
        <v>1</v>
      </c>
      <c r="G64">
        <v>34959076</v>
      </c>
      <c r="H64">
        <v>1</v>
      </c>
      <c r="I64" t="s">
        <v>392</v>
      </c>
      <c r="J64" t="s">
        <v>6</v>
      </c>
      <c r="K64" t="s">
        <v>393</v>
      </c>
      <c r="L64">
        <v>1191</v>
      </c>
      <c r="N64">
        <v>1013</v>
      </c>
      <c r="O64" t="s">
        <v>394</v>
      </c>
      <c r="P64" t="s">
        <v>394</v>
      </c>
      <c r="Q64">
        <v>1</v>
      </c>
      <c r="X64">
        <v>54.12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99</v>
      </c>
      <c r="AG64">
        <v>62.237999999999992</v>
      </c>
      <c r="AH64">
        <v>3</v>
      </c>
      <c r="AI64">
        <v>-1</v>
      </c>
      <c r="AJ64" t="s">
        <v>6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ROW(Source!A94)</f>
        <v>94</v>
      </c>
      <c r="B65">
        <v>44176122</v>
      </c>
      <c r="C65">
        <v>44176120</v>
      </c>
      <c r="D65">
        <v>34989536</v>
      </c>
      <c r="E65">
        <v>34959076</v>
      </c>
      <c r="F65">
        <v>1</v>
      </c>
      <c r="G65">
        <v>34959076</v>
      </c>
      <c r="H65">
        <v>3</v>
      </c>
      <c r="I65" t="s">
        <v>511</v>
      </c>
      <c r="J65" t="s">
        <v>6</v>
      </c>
      <c r="K65" t="s">
        <v>512</v>
      </c>
      <c r="L65">
        <v>1303</v>
      </c>
      <c r="N65">
        <v>1003</v>
      </c>
      <c r="O65" t="s">
        <v>250</v>
      </c>
      <c r="P65" t="s">
        <v>250</v>
      </c>
      <c r="Q65">
        <v>1000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 t="s">
        <v>6</v>
      </c>
      <c r="AG65">
        <v>0</v>
      </c>
      <c r="AH65">
        <v>3</v>
      </c>
      <c r="AI65">
        <v>-1</v>
      </c>
      <c r="AJ65" t="s">
        <v>6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ROW(Source!A101)</f>
        <v>101</v>
      </c>
      <c r="B66">
        <v>44176131</v>
      </c>
      <c r="C66">
        <v>44176129</v>
      </c>
      <c r="D66">
        <v>34984826</v>
      </c>
      <c r="E66">
        <v>34959076</v>
      </c>
      <c r="F66">
        <v>1</v>
      </c>
      <c r="G66">
        <v>34959076</v>
      </c>
      <c r="H66">
        <v>1</v>
      </c>
      <c r="I66" t="s">
        <v>392</v>
      </c>
      <c r="J66" t="s">
        <v>6</v>
      </c>
      <c r="K66" t="s">
        <v>393</v>
      </c>
      <c r="L66">
        <v>1191</v>
      </c>
      <c r="N66">
        <v>1013</v>
      </c>
      <c r="O66" t="s">
        <v>394</v>
      </c>
      <c r="P66" t="s">
        <v>394</v>
      </c>
      <c r="Q66">
        <v>1</v>
      </c>
      <c r="X66">
        <v>0.5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283</v>
      </c>
      <c r="AG66">
        <v>0.57499999999999996</v>
      </c>
      <c r="AH66">
        <v>2</v>
      </c>
      <c r="AI66">
        <v>44176130</v>
      </c>
      <c r="AJ66">
        <v>63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ROW(Source!A103)</f>
        <v>103</v>
      </c>
      <c r="B67">
        <v>44176135</v>
      </c>
      <c r="C67">
        <v>44176133</v>
      </c>
      <c r="D67">
        <v>34984826</v>
      </c>
      <c r="E67">
        <v>34959076</v>
      </c>
      <c r="F67">
        <v>1</v>
      </c>
      <c r="G67">
        <v>34959076</v>
      </c>
      <c r="H67">
        <v>1</v>
      </c>
      <c r="I67" t="s">
        <v>392</v>
      </c>
      <c r="J67" t="s">
        <v>6</v>
      </c>
      <c r="K67" t="s">
        <v>393</v>
      </c>
      <c r="L67">
        <v>1191</v>
      </c>
      <c r="N67">
        <v>1013</v>
      </c>
      <c r="O67" t="s">
        <v>394</v>
      </c>
      <c r="P67" t="s">
        <v>394</v>
      </c>
      <c r="Q67">
        <v>1</v>
      </c>
      <c r="X67">
        <v>87.6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295</v>
      </c>
      <c r="AG67">
        <v>30.221999999999994</v>
      </c>
      <c r="AH67">
        <v>2</v>
      </c>
      <c r="AI67">
        <v>44176134</v>
      </c>
      <c r="AJ67">
        <v>64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ROW(Source!A104)</f>
        <v>104</v>
      </c>
      <c r="B68">
        <v>44176137</v>
      </c>
      <c r="C68">
        <v>44176136</v>
      </c>
      <c r="D68">
        <v>34984826</v>
      </c>
      <c r="E68">
        <v>34959076</v>
      </c>
      <c r="F68">
        <v>1</v>
      </c>
      <c r="G68">
        <v>34959076</v>
      </c>
      <c r="H68">
        <v>1</v>
      </c>
      <c r="I68" t="s">
        <v>392</v>
      </c>
      <c r="J68" t="s">
        <v>6</v>
      </c>
      <c r="K68" t="s">
        <v>393</v>
      </c>
      <c r="L68">
        <v>1191</v>
      </c>
      <c r="N68">
        <v>1013</v>
      </c>
      <c r="O68" t="s">
        <v>394</v>
      </c>
      <c r="P68" t="s">
        <v>394</v>
      </c>
      <c r="Q68">
        <v>1</v>
      </c>
      <c r="X68">
        <v>87.6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301</v>
      </c>
      <c r="AG68">
        <v>48.355199999999996</v>
      </c>
      <c r="AH68">
        <v>3</v>
      </c>
      <c r="AI68">
        <v>-1</v>
      </c>
      <c r="AJ68" t="s">
        <v>6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ROW(Source!A105)</f>
        <v>105</v>
      </c>
      <c r="B69">
        <v>44176139</v>
      </c>
      <c r="C69">
        <v>44176138</v>
      </c>
      <c r="D69">
        <v>34984826</v>
      </c>
      <c r="E69">
        <v>34959076</v>
      </c>
      <c r="F69">
        <v>1</v>
      </c>
      <c r="G69">
        <v>34959076</v>
      </c>
      <c r="H69">
        <v>1</v>
      </c>
      <c r="I69" t="s">
        <v>392</v>
      </c>
      <c r="J69" t="s">
        <v>6</v>
      </c>
      <c r="K69" t="s">
        <v>393</v>
      </c>
      <c r="L69">
        <v>1191</v>
      </c>
      <c r="N69">
        <v>1013</v>
      </c>
      <c r="O69" t="s">
        <v>394</v>
      </c>
      <c r="P69" t="s">
        <v>394</v>
      </c>
      <c r="Q69">
        <v>1</v>
      </c>
      <c r="X69">
        <v>87.6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45</v>
      </c>
      <c r="AG69">
        <v>120.88799999999998</v>
      </c>
      <c r="AH69">
        <v>3</v>
      </c>
      <c r="AI69">
        <v>-1</v>
      </c>
      <c r="AJ69" t="s">
        <v>6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ROW(Source!A106)</f>
        <v>106</v>
      </c>
      <c r="B70">
        <v>44176142</v>
      </c>
      <c r="C70">
        <v>44176140</v>
      </c>
      <c r="D70">
        <v>34984826</v>
      </c>
      <c r="E70">
        <v>34959076</v>
      </c>
      <c r="F70">
        <v>1</v>
      </c>
      <c r="G70">
        <v>34959076</v>
      </c>
      <c r="H70">
        <v>1</v>
      </c>
      <c r="I70" t="s">
        <v>392</v>
      </c>
      <c r="J70" t="s">
        <v>6</v>
      </c>
      <c r="K70" t="s">
        <v>393</v>
      </c>
      <c r="L70">
        <v>1191</v>
      </c>
      <c r="N70">
        <v>1013</v>
      </c>
      <c r="O70" t="s">
        <v>394</v>
      </c>
      <c r="P70" t="s">
        <v>394</v>
      </c>
      <c r="Q70">
        <v>1</v>
      </c>
      <c r="X70">
        <v>39.1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93</v>
      </c>
      <c r="AG70">
        <v>53.957999999999991</v>
      </c>
      <c r="AH70">
        <v>2</v>
      </c>
      <c r="AI70">
        <v>44176141</v>
      </c>
      <c r="AJ70">
        <v>65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ROW(Source!A107)</f>
        <v>107</v>
      </c>
      <c r="B71">
        <v>44176144</v>
      </c>
      <c r="C71">
        <v>44176143</v>
      </c>
      <c r="D71">
        <v>34984826</v>
      </c>
      <c r="E71">
        <v>34959076</v>
      </c>
      <c r="F71">
        <v>1</v>
      </c>
      <c r="G71">
        <v>34959076</v>
      </c>
      <c r="H71">
        <v>1</v>
      </c>
      <c r="I71" t="s">
        <v>392</v>
      </c>
      <c r="J71" t="s">
        <v>6</v>
      </c>
      <c r="K71" t="s">
        <v>393</v>
      </c>
      <c r="L71">
        <v>1191</v>
      </c>
      <c r="N71">
        <v>1013</v>
      </c>
      <c r="O71" t="s">
        <v>394</v>
      </c>
      <c r="P71" t="s">
        <v>394</v>
      </c>
      <c r="Q71">
        <v>1</v>
      </c>
      <c r="X71">
        <v>87.6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45</v>
      </c>
      <c r="AG71">
        <v>120.88799999999998</v>
      </c>
      <c r="AH71">
        <v>3</v>
      </c>
      <c r="AI71">
        <v>-1</v>
      </c>
      <c r="AJ71" t="s">
        <v>6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ROW(Source!A108)</f>
        <v>108</v>
      </c>
      <c r="B72">
        <v>44176147</v>
      </c>
      <c r="C72">
        <v>44176145</v>
      </c>
      <c r="D72">
        <v>34984826</v>
      </c>
      <c r="E72">
        <v>34959076</v>
      </c>
      <c r="F72">
        <v>1</v>
      </c>
      <c r="G72">
        <v>34959076</v>
      </c>
      <c r="H72">
        <v>1</v>
      </c>
      <c r="I72" t="s">
        <v>392</v>
      </c>
      <c r="J72" t="s">
        <v>6</v>
      </c>
      <c r="K72" t="s">
        <v>393</v>
      </c>
      <c r="L72">
        <v>1191</v>
      </c>
      <c r="N72">
        <v>1013</v>
      </c>
      <c r="O72" t="s">
        <v>394</v>
      </c>
      <c r="P72" t="s">
        <v>394</v>
      </c>
      <c r="Q72">
        <v>1</v>
      </c>
      <c r="X72">
        <v>25.2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316</v>
      </c>
      <c r="AG72">
        <v>10.432799999999999</v>
      </c>
      <c r="AH72">
        <v>2</v>
      </c>
      <c r="AI72">
        <v>44176146</v>
      </c>
      <c r="AJ72">
        <v>66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ROW(Source!A109)</f>
        <v>109</v>
      </c>
      <c r="B73">
        <v>44176149</v>
      </c>
      <c r="C73">
        <v>44176148</v>
      </c>
      <c r="D73">
        <v>34984826</v>
      </c>
      <c r="E73">
        <v>34959076</v>
      </c>
      <c r="F73">
        <v>1</v>
      </c>
      <c r="G73">
        <v>34959076</v>
      </c>
      <c r="H73">
        <v>1</v>
      </c>
      <c r="I73" t="s">
        <v>392</v>
      </c>
      <c r="J73" t="s">
        <v>6</v>
      </c>
      <c r="K73" t="s">
        <v>393</v>
      </c>
      <c r="L73">
        <v>1191</v>
      </c>
      <c r="N73">
        <v>1013</v>
      </c>
      <c r="O73" t="s">
        <v>394</v>
      </c>
      <c r="P73" t="s">
        <v>394</v>
      </c>
      <c r="Q73">
        <v>1</v>
      </c>
      <c r="X73">
        <v>25.2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321</v>
      </c>
      <c r="AG73">
        <v>13.910400000000001</v>
      </c>
      <c r="AH73">
        <v>3</v>
      </c>
      <c r="AI73">
        <v>-1</v>
      </c>
      <c r="AJ73" t="s">
        <v>6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ROW(Source!A110)</f>
        <v>110</v>
      </c>
      <c r="B74">
        <v>44176151</v>
      </c>
      <c r="C74">
        <v>44176150</v>
      </c>
      <c r="D74">
        <v>34984826</v>
      </c>
      <c r="E74">
        <v>34959076</v>
      </c>
      <c r="F74">
        <v>1</v>
      </c>
      <c r="G74">
        <v>34959076</v>
      </c>
      <c r="H74">
        <v>1</v>
      </c>
      <c r="I74" t="s">
        <v>392</v>
      </c>
      <c r="J74" t="s">
        <v>6</v>
      </c>
      <c r="K74" t="s">
        <v>393</v>
      </c>
      <c r="L74">
        <v>1191</v>
      </c>
      <c r="N74">
        <v>1013</v>
      </c>
      <c r="O74" t="s">
        <v>394</v>
      </c>
      <c r="P74" t="s">
        <v>394</v>
      </c>
      <c r="Q74">
        <v>1</v>
      </c>
      <c r="X74">
        <v>25.2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1</v>
      </c>
      <c r="AF74" t="s">
        <v>247</v>
      </c>
      <c r="AG74">
        <v>34.775999999999996</v>
      </c>
      <c r="AH74">
        <v>3</v>
      </c>
      <c r="AI74">
        <v>-1</v>
      </c>
      <c r="AJ74" t="s">
        <v>6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ROW(Source!A111)</f>
        <v>111</v>
      </c>
      <c r="B75">
        <v>44176153</v>
      </c>
      <c r="C75">
        <v>44176152</v>
      </c>
      <c r="D75">
        <v>34984826</v>
      </c>
      <c r="E75">
        <v>34959076</v>
      </c>
      <c r="F75">
        <v>1</v>
      </c>
      <c r="G75">
        <v>34959076</v>
      </c>
      <c r="H75">
        <v>1</v>
      </c>
      <c r="I75" t="s">
        <v>392</v>
      </c>
      <c r="J75" t="s">
        <v>6</v>
      </c>
      <c r="K75" t="s">
        <v>393</v>
      </c>
      <c r="L75">
        <v>1191</v>
      </c>
      <c r="N75">
        <v>1013</v>
      </c>
      <c r="O75" t="s">
        <v>394</v>
      </c>
      <c r="P75" t="s">
        <v>394</v>
      </c>
      <c r="Q75">
        <v>1</v>
      </c>
      <c r="X75">
        <v>25.2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240</v>
      </c>
      <c r="AG75">
        <v>28.979999999999997</v>
      </c>
      <c r="AH75">
        <v>3</v>
      </c>
      <c r="AI75">
        <v>-1</v>
      </c>
      <c r="AJ75" t="s">
        <v>6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ROW(Source!A115)</f>
        <v>115</v>
      </c>
      <c r="B76">
        <v>44176158</v>
      </c>
      <c r="C76">
        <v>44176157</v>
      </c>
      <c r="D76">
        <v>34984826</v>
      </c>
      <c r="E76">
        <v>34959076</v>
      </c>
      <c r="F76">
        <v>1</v>
      </c>
      <c r="G76">
        <v>34959076</v>
      </c>
      <c r="H76">
        <v>1</v>
      </c>
      <c r="I76" t="s">
        <v>392</v>
      </c>
      <c r="J76" t="s">
        <v>6</v>
      </c>
      <c r="K76" t="s">
        <v>393</v>
      </c>
      <c r="L76">
        <v>1191</v>
      </c>
      <c r="N76">
        <v>1013</v>
      </c>
      <c r="O76" t="s">
        <v>394</v>
      </c>
      <c r="P76" t="s">
        <v>394</v>
      </c>
      <c r="Q76">
        <v>1</v>
      </c>
      <c r="X76">
        <v>7.2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247</v>
      </c>
      <c r="AG76">
        <v>9.9359999999999999</v>
      </c>
      <c r="AH76">
        <v>3</v>
      </c>
      <c r="AI76">
        <v>-1</v>
      </c>
      <c r="AJ76" t="s">
        <v>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ROW(Source!A116)</f>
        <v>116</v>
      </c>
      <c r="B77">
        <v>44176160</v>
      </c>
      <c r="C77">
        <v>44176159</v>
      </c>
      <c r="D77">
        <v>34984826</v>
      </c>
      <c r="E77">
        <v>34959076</v>
      </c>
      <c r="F77">
        <v>1</v>
      </c>
      <c r="G77">
        <v>34959076</v>
      </c>
      <c r="H77">
        <v>1</v>
      </c>
      <c r="I77" t="s">
        <v>392</v>
      </c>
      <c r="J77" t="s">
        <v>6</v>
      </c>
      <c r="K77" t="s">
        <v>393</v>
      </c>
      <c r="L77">
        <v>1191</v>
      </c>
      <c r="N77">
        <v>1013</v>
      </c>
      <c r="O77" t="s">
        <v>394</v>
      </c>
      <c r="P77" t="s">
        <v>394</v>
      </c>
      <c r="Q77">
        <v>1</v>
      </c>
      <c r="X77">
        <v>4.0999999999999996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247</v>
      </c>
      <c r="AG77">
        <v>5.6579999999999995</v>
      </c>
      <c r="AH77">
        <v>3</v>
      </c>
      <c r="AI77">
        <v>-1</v>
      </c>
      <c r="AJ77" t="s">
        <v>6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ROW(Source!A118)</f>
        <v>118</v>
      </c>
      <c r="B78">
        <v>44176164</v>
      </c>
      <c r="C78">
        <v>44176162</v>
      </c>
      <c r="D78">
        <v>34984826</v>
      </c>
      <c r="E78">
        <v>34959076</v>
      </c>
      <c r="F78">
        <v>1</v>
      </c>
      <c r="G78">
        <v>34959076</v>
      </c>
      <c r="H78">
        <v>1</v>
      </c>
      <c r="I78" t="s">
        <v>392</v>
      </c>
      <c r="J78" t="s">
        <v>6</v>
      </c>
      <c r="K78" t="s">
        <v>393</v>
      </c>
      <c r="L78">
        <v>1191</v>
      </c>
      <c r="N78">
        <v>1013</v>
      </c>
      <c r="O78" t="s">
        <v>394</v>
      </c>
      <c r="P78" t="s">
        <v>394</v>
      </c>
      <c r="Q78">
        <v>1</v>
      </c>
      <c r="X78">
        <v>16.14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29</v>
      </c>
      <c r="AG78">
        <v>18.561</v>
      </c>
      <c r="AH78">
        <v>2</v>
      </c>
      <c r="AI78">
        <v>44176163</v>
      </c>
      <c r="AJ78">
        <v>67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ROW(Source!A118)</f>
        <v>118</v>
      </c>
      <c r="B79">
        <v>44176165</v>
      </c>
      <c r="C79">
        <v>44176162</v>
      </c>
      <c r="D79">
        <v>34990512</v>
      </c>
      <c r="E79">
        <v>34959076</v>
      </c>
      <c r="F79">
        <v>1</v>
      </c>
      <c r="G79">
        <v>34959076</v>
      </c>
      <c r="H79">
        <v>3</v>
      </c>
      <c r="I79" t="s">
        <v>513</v>
      </c>
      <c r="J79" t="s">
        <v>6</v>
      </c>
      <c r="K79" t="s">
        <v>514</v>
      </c>
      <c r="L79">
        <v>1035</v>
      </c>
      <c r="N79">
        <v>1013</v>
      </c>
      <c r="O79" t="s">
        <v>363</v>
      </c>
      <c r="P79" t="s">
        <v>363</v>
      </c>
      <c r="Q79">
        <v>1</v>
      </c>
      <c r="X79">
        <v>1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 t="s">
        <v>6</v>
      </c>
      <c r="AG79">
        <v>1</v>
      </c>
      <c r="AH79">
        <v>3</v>
      </c>
      <c r="AI79">
        <v>-1</v>
      </c>
      <c r="AJ79" t="s">
        <v>6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ROW(Source!A156)</f>
        <v>156</v>
      </c>
      <c r="B80">
        <v>44176169</v>
      </c>
      <c r="C80">
        <v>44176167</v>
      </c>
      <c r="D80">
        <v>34984824</v>
      </c>
      <c r="E80">
        <v>34959076</v>
      </c>
      <c r="F80">
        <v>1</v>
      </c>
      <c r="G80">
        <v>34959076</v>
      </c>
      <c r="H80">
        <v>2</v>
      </c>
      <c r="I80" t="s">
        <v>414</v>
      </c>
      <c r="J80" t="s">
        <v>6</v>
      </c>
      <c r="K80" t="s">
        <v>415</v>
      </c>
      <c r="L80">
        <v>1344</v>
      </c>
      <c r="N80">
        <v>1008</v>
      </c>
      <c r="O80" t="s">
        <v>410</v>
      </c>
      <c r="P80" t="s">
        <v>410</v>
      </c>
      <c r="Q80">
        <v>1</v>
      </c>
      <c r="X80">
        <v>34.29</v>
      </c>
      <c r="Y80">
        <v>0</v>
      </c>
      <c r="Z80">
        <v>1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6</v>
      </c>
      <c r="AG80">
        <v>34.29</v>
      </c>
      <c r="AH80">
        <v>2</v>
      </c>
      <c r="AI80">
        <v>44176168</v>
      </c>
      <c r="AJ80">
        <v>68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ROW(Source!A157)</f>
        <v>157</v>
      </c>
      <c r="B81">
        <v>44176171</v>
      </c>
      <c r="C81">
        <v>44176170</v>
      </c>
      <c r="D81">
        <v>34984824</v>
      </c>
      <c r="E81">
        <v>34959076</v>
      </c>
      <c r="F81">
        <v>1</v>
      </c>
      <c r="G81">
        <v>34959076</v>
      </c>
      <c r="H81">
        <v>2</v>
      </c>
      <c r="I81" t="s">
        <v>414</v>
      </c>
      <c r="J81" t="s">
        <v>6</v>
      </c>
      <c r="K81" t="s">
        <v>415</v>
      </c>
      <c r="L81">
        <v>1344</v>
      </c>
      <c r="N81">
        <v>1008</v>
      </c>
      <c r="O81" t="s">
        <v>410</v>
      </c>
      <c r="P81" t="s">
        <v>410</v>
      </c>
      <c r="Q81">
        <v>1</v>
      </c>
      <c r="X81">
        <v>101</v>
      </c>
      <c r="Y81">
        <v>0</v>
      </c>
      <c r="Z81">
        <v>1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6</v>
      </c>
      <c r="AG81">
        <v>101</v>
      </c>
      <c r="AH81">
        <v>3</v>
      </c>
      <c r="AI81">
        <v>-1</v>
      </c>
      <c r="AJ81" t="s">
        <v>6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по ТСН-2001</vt:lpstr>
      <vt:lpstr>Source</vt:lpstr>
      <vt:lpstr>SourceObSm</vt:lpstr>
      <vt:lpstr>SmtRes</vt:lpstr>
      <vt:lpstr>EtalonRes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 Александр Николаевич</dc:creator>
  <cp:lastModifiedBy>Афоничев Александр Николаевич</cp:lastModifiedBy>
  <dcterms:created xsi:type="dcterms:W3CDTF">2019-09-10T06:38:04Z</dcterms:created>
  <dcterms:modified xsi:type="dcterms:W3CDTF">2019-09-10T12:00:44Z</dcterms:modified>
</cp:coreProperties>
</file>