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12" windowHeight="1106"/>
  </bookViews>
  <sheets>
    <sheet name="Смета по ТСН-2001(с доп.67" sheetId="7" r:id="rId1"/>
    <sheet name="Source" sheetId="1" r:id="rId2"/>
    <sheet name="SourceObSm" sheetId="2" r:id="rId3"/>
    <sheet name="SmtRes" sheetId="3" r:id="rId4"/>
    <sheet name="EtalonRes" sheetId="4" r:id="rId5"/>
    <sheet name="SrcPoprs" sheetId="5" r:id="rId6"/>
    <sheet name="SrcKA" sheetId="6" r:id="rId7"/>
  </sheets>
  <definedNames>
    <definedName name="_xlnm.Print_Titles" localSheetId="0">'Смета по ТСН-2001(с доп.67'!$26:$26</definedName>
    <definedName name="_xlnm.Print_Area" localSheetId="0">'Смета по ТСН-2001(с доп.67'!$A$1:$K$79</definedName>
  </definedNames>
  <calcPr calcId="125725" iterate="1"/>
</workbook>
</file>

<file path=xl/calcChain.xml><?xml version="1.0" encoding="utf-8"?>
<calcChain xmlns="http://schemas.openxmlformats.org/spreadsheetml/2006/main">
  <c r="A7" i="7"/>
  <c r="A2"/>
  <c r="J21"/>
  <c r="J18"/>
  <c r="J17"/>
  <c r="J16"/>
  <c r="J15"/>
  <c r="J14"/>
  <c r="I21"/>
  <c r="H78"/>
  <c r="J78"/>
  <c r="H77"/>
  <c r="J77"/>
  <c r="A76"/>
  <c r="H74"/>
  <c r="J74"/>
  <c r="H73"/>
  <c r="J73"/>
  <c r="A72"/>
  <c r="AA69"/>
  <c r="Y69"/>
  <c r="X69"/>
  <c r="K68"/>
  <c r="J69" s="1"/>
  <c r="J68"/>
  <c r="I68"/>
  <c r="Z69" s="1"/>
  <c r="H68"/>
  <c r="G68"/>
  <c r="F68"/>
  <c r="V68"/>
  <c r="T68"/>
  <c r="R68"/>
  <c r="U68"/>
  <c r="S68"/>
  <c r="Q68"/>
  <c r="E68"/>
  <c r="D68"/>
  <c r="B68"/>
  <c r="A67"/>
  <c r="H65"/>
  <c r="J65"/>
  <c r="H64"/>
  <c r="J64"/>
  <c r="A63"/>
  <c r="AA60"/>
  <c r="Z60"/>
  <c r="X60"/>
  <c r="H59"/>
  <c r="J59"/>
  <c r="I57"/>
  <c r="AB57" s="1"/>
  <c r="H57"/>
  <c r="G57"/>
  <c r="E57"/>
  <c r="J56"/>
  <c r="E56"/>
  <c r="J55"/>
  <c r="E55"/>
  <c r="J54"/>
  <c r="E54"/>
  <c r="K53"/>
  <c r="J53"/>
  <c r="I53"/>
  <c r="H53"/>
  <c r="G53"/>
  <c r="F53"/>
  <c r="K52"/>
  <c r="J52"/>
  <c r="I52"/>
  <c r="W52" s="1"/>
  <c r="H52"/>
  <c r="G52"/>
  <c r="F52"/>
  <c r="K51"/>
  <c r="J51"/>
  <c r="I51"/>
  <c r="H51"/>
  <c r="G51"/>
  <c r="F51"/>
  <c r="K50"/>
  <c r="J50"/>
  <c r="I50"/>
  <c r="H50"/>
  <c r="G50"/>
  <c r="F50"/>
  <c r="V49"/>
  <c r="K56" s="1"/>
  <c r="T49"/>
  <c r="K55" s="1"/>
  <c r="R49"/>
  <c r="K54" s="1"/>
  <c r="U49"/>
  <c r="I56" s="1"/>
  <c r="S49"/>
  <c r="I55" s="1"/>
  <c r="Q49"/>
  <c r="I54" s="1"/>
  <c r="E49"/>
  <c r="D49"/>
  <c r="B49"/>
  <c r="A48"/>
  <c r="H46"/>
  <c r="J46"/>
  <c r="H45"/>
  <c r="J45"/>
  <c r="A44"/>
  <c r="AA41"/>
  <c r="I17" s="1"/>
  <c r="Z41"/>
  <c r="I16" s="1"/>
  <c r="X41"/>
  <c r="I14" s="1"/>
  <c r="H40"/>
  <c r="J40"/>
  <c r="I38"/>
  <c r="AB38" s="1"/>
  <c r="I19" s="1"/>
  <c r="H38"/>
  <c r="G38"/>
  <c r="E38"/>
  <c r="J37"/>
  <c r="E37"/>
  <c r="J36"/>
  <c r="E36"/>
  <c r="K35"/>
  <c r="J35"/>
  <c r="I35"/>
  <c r="E35"/>
  <c r="K34"/>
  <c r="J34"/>
  <c r="W34"/>
  <c r="I34"/>
  <c r="H34"/>
  <c r="G34"/>
  <c r="F34"/>
  <c r="K33"/>
  <c r="J33"/>
  <c r="I33"/>
  <c r="H33"/>
  <c r="G33"/>
  <c r="F33"/>
  <c r="K32"/>
  <c r="J32"/>
  <c r="I32"/>
  <c r="H32"/>
  <c r="G32"/>
  <c r="F32"/>
  <c r="V31"/>
  <c r="K37" s="1"/>
  <c r="T31"/>
  <c r="K36" s="1"/>
  <c r="R31"/>
  <c r="U31"/>
  <c r="I37" s="1"/>
  <c r="S31"/>
  <c r="I36" s="1"/>
  <c r="Q31"/>
  <c r="E31"/>
  <c r="D31"/>
  <c r="A30"/>
  <c r="A28"/>
  <c r="A10"/>
  <c r="A1" i="4"/>
  <c r="A2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1" i="3"/>
  <c r="Y1"/>
  <c r="CV1" s="1"/>
  <c r="CU1"/>
  <c r="CY1"/>
  <c r="CZ1"/>
  <c r="DB1" s="1"/>
  <c r="DA1"/>
  <c r="DC1"/>
  <c r="A2"/>
  <c r="Y2"/>
  <c r="CW2"/>
  <c r="CX2"/>
  <c r="DI2" s="1"/>
  <c r="CY2"/>
  <c r="CZ2"/>
  <c r="DA2"/>
  <c r="DB2"/>
  <c r="DC2"/>
  <c r="DH2"/>
  <c r="A3"/>
  <c r="Y3"/>
  <c r="CW3" s="1"/>
  <c r="CY3"/>
  <c r="CZ3"/>
  <c r="DB3" s="1"/>
  <c r="DA3"/>
  <c r="DC3"/>
  <c r="A4"/>
  <c r="Y4"/>
  <c r="CW4"/>
  <c r="CX4"/>
  <c r="DI4" s="1"/>
  <c r="CY4"/>
  <c r="CZ4"/>
  <c r="DA4"/>
  <c r="DB4"/>
  <c r="DC4"/>
  <c r="DG4"/>
  <c r="DJ4" s="1"/>
  <c r="DH4"/>
  <c r="A5"/>
  <c r="Y5"/>
  <c r="CX5" s="1"/>
  <c r="CY5"/>
  <c r="CZ5"/>
  <c r="DB5" s="1"/>
  <c r="DA5"/>
  <c r="DC5"/>
  <c r="A6"/>
  <c r="Y6"/>
  <c r="CX6" s="1"/>
  <c r="CY6"/>
  <c r="CZ6"/>
  <c r="DB6" s="1"/>
  <c r="DA6"/>
  <c r="DC6"/>
  <c r="A7"/>
  <c r="Y7"/>
  <c r="CX7"/>
  <c r="DF7" s="1"/>
  <c r="DJ7" s="1"/>
  <c r="CY7"/>
  <c r="CZ7"/>
  <c r="DA7"/>
  <c r="DB7"/>
  <c r="DC7"/>
  <c r="A8"/>
  <c r="Y8"/>
  <c r="CX8" s="1"/>
  <c r="CY8"/>
  <c r="CZ8"/>
  <c r="DA8"/>
  <c r="DB8"/>
  <c r="DC8"/>
  <c r="A9"/>
  <c r="Y9"/>
  <c r="CX9" s="1"/>
  <c r="CY9"/>
  <c r="CZ9"/>
  <c r="DB9" s="1"/>
  <c r="DA9"/>
  <c r="DC9"/>
  <c r="A10"/>
  <c r="Y10"/>
  <c r="CX10" s="1"/>
  <c r="CY10"/>
  <c r="CZ10"/>
  <c r="DB10" s="1"/>
  <c r="DA10"/>
  <c r="DC10"/>
  <c r="A11"/>
  <c r="Y11"/>
  <c r="CU11"/>
  <c r="CV11"/>
  <c r="CX11"/>
  <c r="DI11" s="1"/>
  <c r="DJ11" s="1"/>
  <c r="CY11"/>
  <c r="CZ11"/>
  <c r="DB11" s="1"/>
  <c r="DA11"/>
  <c r="DC11"/>
  <c r="DG11"/>
  <c r="DH11"/>
  <c r="A12"/>
  <c r="Y12"/>
  <c r="CW12" s="1"/>
  <c r="CX12"/>
  <c r="DF12" s="1"/>
  <c r="CY12"/>
  <c r="CZ12"/>
  <c r="DA12"/>
  <c r="DB12"/>
  <c r="DC12"/>
  <c r="A13"/>
  <c r="Y13"/>
  <c r="CX13" s="1"/>
  <c r="CY13"/>
  <c r="CZ13"/>
  <c r="DB13" s="1"/>
  <c r="DA13"/>
  <c r="DC13"/>
  <c r="A14"/>
  <c r="Y14"/>
  <c r="CW14" s="1"/>
  <c r="CX14"/>
  <c r="DF14" s="1"/>
  <c r="CY14"/>
  <c r="CZ14"/>
  <c r="DA14"/>
  <c r="DB14"/>
  <c r="DC14"/>
  <c r="DH14"/>
  <c r="A15"/>
  <c r="Y15"/>
  <c r="CX15" s="1"/>
  <c r="CY15"/>
  <c r="CZ15"/>
  <c r="DA15"/>
  <c r="DB15"/>
  <c r="DC15"/>
  <c r="A16"/>
  <c r="Y16"/>
  <c r="CX16" s="1"/>
  <c r="CY16"/>
  <c r="CZ16"/>
  <c r="DB16" s="1"/>
  <c r="DA16"/>
  <c r="DC16"/>
  <c r="A17"/>
  <c r="Y17"/>
  <c r="CX17"/>
  <c r="DG17" s="1"/>
  <c r="CY17"/>
  <c r="CZ17"/>
  <c r="DB17" s="1"/>
  <c r="DA17"/>
  <c r="DC17"/>
  <c r="DI17"/>
  <c r="A18"/>
  <c r="Y18"/>
  <c r="CX18"/>
  <c r="DF18" s="1"/>
  <c r="DJ18" s="1"/>
  <c r="CY18"/>
  <c r="CZ18"/>
  <c r="DA18"/>
  <c r="DB18"/>
  <c r="DC18"/>
  <c r="A19"/>
  <c r="Y19"/>
  <c r="CX19" s="1"/>
  <c r="CY19"/>
  <c r="CZ19"/>
  <c r="DA19"/>
  <c r="DB19"/>
  <c r="DC19"/>
  <c r="A20"/>
  <c r="Y20"/>
  <c r="CX20" s="1"/>
  <c r="CY20"/>
  <c r="CZ20"/>
  <c r="DB20" s="1"/>
  <c r="DA20"/>
  <c r="DC20"/>
  <c r="A21"/>
  <c r="Y21"/>
  <c r="CU21"/>
  <c r="CV21"/>
  <c r="CX21"/>
  <c r="DI21" s="1"/>
  <c r="DJ21" s="1"/>
  <c r="CY21"/>
  <c r="CZ21"/>
  <c r="DA21"/>
  <c r="DB21"/>
  <c r="DC21"/>
  <c r="A22"/>
  <c r="Y22"/>
  <c r="CW22" s="1"/>
  <c r="CY22"/>
  <c r="CZ22"/>
  <c r="DB22" s="1"/>
  <c r="DA22"/>
  <c r="DC22"/>
  <c r="A23"/>
  <c r="Y23"/>
  <c r="CW23"/>
  <c r="CX23"/>
  <c r="DI23" s="1"/>
  <c r="CY23"/>
  <c r="CZ23"/>
  <c r="DA23"/>
  <c r="DB23"/>
  <c r="DC23"/>
  <c r="DH23"/>
  <c r="A24"/>
  <c r="Y24"/>
  <c r="CW24" s="1"/>
  <c r="CY24"/>
  <c r="CZ24"/>
  <c r="DB24" s="1"/>
  <c r="DA24"/>
  <c r="DC24"/>
  <c r="A25"/>
  <c r="Y25"/>
  <c r="CX25"/>
  <c r="DF25" s="1"/>
  <c r="DJ25" s="1"/>
  <c r="CY25"/>
  <c r="CZ25"/>
  <c r="DA25"/>
  <c r="DB25"/>
  <c r="DC25"/>
  <c r="A26"/>
  <c r="Y26"/>
  <c r="CX26" s="1"/>
  <c r="CY26"/>
  <c r="CZ26"/>
  <c r="DA26"/>
  <c r="DB26"/>
  <c r="DC26"/>
  <c r="A27"/>
  <c r="Y27"/>
  <c r="CX27" s="1"/>
  <c r="CY27"/>
  <c r="CZ27"/>
  <c r="DB27" s="1"/>
  <c r="DA27"/>
  <c r="DC27"/>
  <c r="A28"/>
  <c r="Y28"/>
  <c r="CX28"/>
  <c r="DG28" s="1"/>
  <c r="CY28"/>
  <c r="CZ28"/>
  <c r="DB28" s="1"/>
  <c r="DA28"/>
  <c r="DC28"/>
  <c r="DF28"/>
  <c r="DJ28" s="1"/>
  <c r="DH28"/>
  <c r="DI28"/>
  <c r="A29"/>
  <c r="Y29"/>
  <c r="CX29"/>
  <c r="DF29" s="1"/>
  <c r="DJ29" s="1"/>
  <c r="CY29"/>
  <c r="CZ29"/>
  <c r="DA29"/>
  <c r="DB29"/>
  <c r="DC29"/>
  <c r="DH29"/>
  <c r="A30"/>
  <c r="Y30"/>
  <c r="CX30" s="1"/>
  <c r="CY30"/>
  <c r="CZ30"/>
  <c r="DA30"/>
  <c r="DB30"/>
  <c r="DC30"/>
  <c r="A31"/>
  <c r="Y31"/>
  <c r="CV31" s="1"/>
  <c r="CU31"/>
  <c r="CX31"/>
  <c r="DF31" s="1"/>
  <c r="CY31"/>
  <c r="CZ31"/>
  <c r="DA31"/>
  <c r="DB31"/>
  <c r="DC31"/>
  <c r="DH31"/>
  <c r="A32"/>
  <c r="Y32"/>
  <c r="CX32" s="1"/>
  <c r="CY32"/>
  <c r="CZ32"/>
  <c r="DB32" s="1"/>
  <c r="DA32"/>
  <c r="DC32"/>
  <c r="A33"/>
  <c r="Y33"/>
  <c r="CW33"/>
  <c r="CX33"/>
  <c r="DF33" s="1"/>
  <c r="CY33"/>
  <c r="CZ33"/>
  <c r="DA33"/>
  <c r="DB33"/>
  <c r="DC33"/>
  <c r="DH33"/>
  <c r="A34"/>
  <c r="Y34"/>
  <c r="CX34" s="1"/>
  <c r="CY34"/>
  <c r="CZ34"/>
  <c r="DB34" s="1"/>
  <c r="DA34"/>
  <c r="DC34"/>
  <c r="A35"/>
  <c r="Y35"/>
  <c r="CX35"/>
  <c r="DG35" s="1"/>
  <c r="CY35"/>
  <c r="CZ35"/>
  <c r="DB35" s="1"/>
  <c r="DA35"/>
  <c r="DC35"/>
  <c r="DH35"/>
  <c r="DI35"/>
  <c r="A36"/>
  <c r="Y36"/>
  <c r="CX36"/>
  <c r="DF36" s="1"/>
  <c r="DJ36" s="1"/>
  <c r="CY36"/>
  <c r="CZ36"/>
  <c r="DA36"/>
  <c r="DB36"/>
  <c r="DC36"/>
  <c r="A37"/>
  <c r="Y37"/>
  <c r="CX37" s="1"/>
  <c r="CY37"/>
  <c r="CZ37"/>
  <c r="DA37"/>
  <c r="DB37"/>
  <c r="DC37"/>
  <c r="A38"/>
  <c r="Y38"/>
  <c r="CX38" s="1"/>
  <c r="CY38"/>
  <c r="CZ38"/>
  <c r="DB38" s="1"/>
  <c r="DA38"/>
  <c r="DC38"/>
  <c r="A39"/>
  <c r="Y39"/>
  <c r="CX39"/>
  <c r="DG39" s="1"/>
  <c r="CY39"/>
  <c r="CZ39"/>
  <c r="DB39" s="1"/>
  <c r="DA39"/>
  <c r="DC39"/>
  <c r="DF39"/>
  <c r="DJ39" s="1"/>
  <c r="DH39"/>
  <c r="DI39"/>
  <c r="A40"/>
  <c r="Y40"/>
  <c r="CX40"/>
  <c r="DF40" s="1"/>
  <c r="DJ40" s="1"/>
  <c r="CY40"/>
  <c r="CZ40"/>
  <c r="DA40"/>
  <c r="DB40"/>
  <c r="DC40"/>
  <c r="DH40"/>
  <c r="D12" i="1"/>
  <c r="E18"/>
  <c r="Z18"/>
  <c r="AA18"/>
  <c r="AB18"/>
  <c r="AC18"/>
  <c r="AD18"/>
  <c r="AE18"/>
  <c r="AF18"/>
  <c r="AG18"/>
  <c r="AH18"/>
  <c r="AI18"/>
  <c r="AJ18"/>
  <c r="AK18"/>
  <c r="AL18"/>
  <c r="AM18"/>
  <c r="AN18"/>
  <c r="BE18"/>
  <c r="BF18"/>
  <c r="BG18"/>
  <c r="BH18"/>
  <c r="BI18"/>
  <c r="BJ18"/>
  <c r="BK18"/>
  <c r="BL18"/>
  <c r="BM18"/>
  <c r="BN18"/>
  <c r="BO18"/>
  <c r="BP18"/>
  <c r="BQ18"/>
  <c r="BR18"/>
  <c r="BS18"/>
  <c r="BT18"/>
  <c r="BU18"/>
  <c r="BV18"/>
  <c r="BW18"/>
  <c r="BX18"/>
  <c r="BY18"/>
  <c r="BZ18"/>
  <c r="CA18"/>
  <c r="CB18"/>
  <c r="CC18"/>
  <c r="CD18"/>
  <c r="CE18"/>
  <c r="CF18"/>
  <c r="CG18"/>
  <c r="CH18"/>
  <c r="CI18"/>
  <c r="CJ18"/>
  <c r="CK18"/>
  <c r="CL18"/>
  <c r="CM18"/>
  <c r="CN18"/>
  <c r="CO18"/>
  <c r="CP18"/>
  <c r="CQ18"/>
  <c r="CR18"/>
  <c r="CS18"/>
  <c r="CT18"/>
  <c r="CU18"/>
  <c r="CV18"/>
  <c r="CW18"/>
  <c r="CX18"/>
  <c r="CY18"/>
  <c r="CZ18"/>
  <c r="DA18"/>
  <c r="DB18"/>
  <c r="DC18"/>
  <c r="DD18"/>
  <c r="DE18"/>
  <c r="DF18"/>
  <c r="DR18"/>
  <c r="DS18"/>
  <c r="DT18"/>
  <c r="DU18"/>
  <c r="DV18"/>
  <c r="DW18"/>
  <c r="DX18"/>
  <c r="DY18"/>
  <c r="DZ18"/>
  <c r="EA18"/>
  <c r="EB18"/>
  <c r="EC18"/>
  <c r="ED18"/>
  <c r="EE18"/>
  <c r="EF18"/>
  <c r="EW18"/>
  <c r="EX18"/>
  <c r="EY18"/>
  <c r="EZ18"/>
  <c r="FA18"/>
  <c r="FB18"/>
  <c r="FC18"/>
  <c r="FD18"/>
  <c r="FE18"/>
  <c r="FF18"/>
  <c r="FG18"/>
  <c r="FH18"/>
  <c r="FI18"/>
  <c r="FJ18"/>
  <c r="FK18"/>
  <c r="FL18"/>
  <c r="FM18"/>
  <c r="FN18"/>
  <c r="FO18"/>
  <c r="FP18"/>
  <c r="FQ18"/>
  <c r="FR18"/>
  <c r="FS18"/>
  <c r="FT18"/>
  <c r="FU18"/>
  <c r="FV18"/>
  <c r="FW18"/>
  <c r="FX18"/>
  <c r="FY18"/>
  <c r="FZ18"/>
  <c r="GA18"/>
  <c r="GB18"/>
  <c r="GC18"/>
  <c r="GD18"/>
  <c r="GE18"/>
  <c r="GF18"/>
  <c r="GG18"/>
  <c r="GH18"/>
  <c r="GI18"/>
  <c r="GJ18"/>
  <c r="GK18"/>
  <c r="GL18"/>
  <c r="GM18"/>
  <c r="GN18"/>
  <c r="GO18"/>
  <c r="GP18"/>
  <c r="GQ18"/>
  <c r="GR18"/>
  <c r="GS18"/>
  <c r="GT18"/>
  <c r="GU18"/>
  <c r="GV18"/>
  <c r="GW18"/>
  <c r="GX18"/>
  <c r="D20"/>
  <c r="E22"/>
  <c r="Z22"/>
  <c r="AA22"/>
  <c r="AB22"/>
  <c r="AC22"/>
  <c r="AD22"/>
  <c r="AE22"/>
  <c r="AF22"/>
  <c r="AG22"/>
  <c r="AH22"/>
  <c r="AI22"/>
  <c r="AJ22"/>
  <c r="AK22"/>
  <c r="AL22"/>
  <c r="AM22"/>
  <c r="AN22"/>
  <c r="BE22"/>
  <c r="BF22"/>
  <c r="BG22"/>
  <c r="BH22"/>
  <c r="BI22"/>
  <c r="BJ22"/>
  <c r="BK22"/>
  <c r="BL22"/>
  <c r="BM22"/>
  <c r="BN22"/>
  <c r="BO22"/>
  <c r="BP22"/>
  <c r="BQ22"/>
  <c r="BR22"/>
  <c r="BS22"/>
  <c r="BT22"/>
  <c r="BU22"/>
  <c r="BV22"/>
  <c r="BW22"/>
  <c r="BX22"/>
  <c r="BY22"/>
  <c r="BZ22"/>
  <c r="CA22"/>
  <c r="CB22"/>
  <c r="CC22"/>
  <c r="CD22"/>
  <c r="CE22"/>
  <c r="CF22"/>
  <c r="CG22"/>
  <c r="CH22"/>
  <c r="CI22"/>
  <c r="CJ22"/>
  <c r="CK22"/>
  <c r="CL22"/>
  <c r="CM22"/>
  <c r="CN22"/>
  <c r="CO22"/>
  <c r="CP22"/>
  <c r="CQ22"/>
  <c r="CR22"/>
  <c r="CS22"/>
  <c r="CT22"/>
  <c r="CU22"/>
  <c r="CV22"/>
  <c r="CW22"/>
  <c r="CX22"/>
  <c r="CY22"/>
  <c r="CZ22"/>
  <c r="DA22"/>
  <c r="DB22"/>
  <c r="DC22"/>
  <c r="DD22"/>
  <c r="DE22"/>
  <c r="DF22"/>
  <c r="DR22"/>
  <c r="DS22"/>
  <c r="DT22"/>
  <c r="DU22"/>
  <c r="DV22"/>
  <c r="DW22"/>
  <c r="DX22"/>
  <c r="DY22"/>
  <c r="DZ22"/>
  <c r="EA22"/>
  <c r="EB22"/>
  <c r="EC22"/>
  <c r="ED22"/>
  <c r="EE22"/>
  <c r="EF22"/>
  <c r="EW22"/>
  <c r="EX22"/>
  <c r="EY22"/>
  <c r="EZ22"/>
  <c r="FA22"/>
  <c r="FB22"/>
  <c r="FC22"/>
  <c r="FD22"/>
  <c r="FE22"/>
  <c r="FF22"/>
  <c r="FG22"/>
  <c r="FH22"/>
  <c r="FI22"/>
  <c r="FJ22"/>
  <c r="FK22"/>
  <c r="FL22"/>
  <c r="FM22"/>
  <c r="FN22"/>
  <c r="FO22"/>
  <c r="FP22"/>
  <c r="FQ22"/>
  <c r="FR22"/>
  <c r="FS22"/>
  <c r="FT22"/>
  <c r="FU22"/>
  <c r="FV22"/>
  <c r="FW22"/>
  <c r="FX22"/>
  <c r="FY22"/>
  <c r="FZ22"/>
  <c r="GA22"/>
  <c r="GB22"/>
  <c r="GC22"/>
  <c r="GD22"/>
  <c r="GE22"/>
  <c r="GF22"/>
  <c r="GG22"/>
  <c r="GH22"/>
  <c r="GI22"/>
  <c r="GJ22"/>
  <c r="GK22"/>
  <c r="GL22"/>
  <c r="GM22"/>
  <c r="GN22"/>
  <c r="GO22"/>
  <c r="GP22"/>
  <c r="GQ22"/>
  <c r="GR22"/>
  <c r="GS22"/>
  <c r="GT22"/>
  <c r="GU22"/>
  <c r="GV22"/>
  <c r="GW22"/>
  <c r="GX22"/>
  <c r="D24"/>
  <c r="E26"/>
  <c r="Z26"/>
  <c r="AA26"/>
  <c r="AM26"/>
  <c r="AN26"/>
  <c r="BE26"/>
  <c r="BF26"/>
  <c r="BG26"/>
  <c r="BH26"/>
  <c r="BI26"/>
  <c r="BJ26"/>
  <c r="BK26"/>
  <c r="BL26"/>
  <c r="BM26"/>
  <c r="BN26"/>
  <c r="BO26"/>
  <c r="BP26"/>
  <c r="BQ26"/>
  <c r="BR26"/>
  <c r="BS26"/>
  <c r="BT26"/>
  <c r="BU26"/>
  <c r="BV26"/>
  <c r="BW26"/>
  <c r="CN26"/>
  <c r="CO26"/>
  <c r="CP26"/>
  <c r="CQ26"/>
  <c r="CR26"/>
  <c r="CS26"/>
  <c r="CT26"/>
  <c r="CU26"/>
  <c r="CV26"/>
  <c r="CW26"/>
  <c r="CX26"/>
  <c r="CY26"/>
  <c r="CZ26"/>
  <c r="DA26"/>
  <c r="DB26"/>
  <c r="DC26"/>
  <c r="DD26"/>
  <c r="DE26"/>
  <c r="DF26"/>
  <c r="DR26"/>
  <c r="DS26"/>
  <c r="EE26"/>
  <c r="EF26"/>
  <c r="EW26"/>
  <c r="EX26"/>
  <c r="EY26"/>
  <c r="EZ26"/>
  <c r="FA26"/>
  <c r="FB26"/>
  <c r="FC26"/>
  <c r="FD26"/>
  <c r="FE26"/>
  <c r="FF26"/>
  <c r="FG26"/>
  <c r="FH26"/>
  <c r="FI26"/>
  <c r="FJ26"/>
  <c r="FK26"/>
  <c r="FL26"/>
  <c r="FM26"/>
  <c r="FN26"/>
  <c r="FO26"/>
  <c r="GF26"/>
  <c r="GG26"/>
  <c r="GH26"/>
  <c r="GI26"/>
  <c r="GJ26"/>
  <c r="GK26"/>
  <c r="GL26"/>
  <c r="GM26"/>
  <c r="GN26"/>
  <c r="GO26"/>
  <c r="GP26"/>
  <c r="GQ26"/>
  <c r="GR26"/>
  <c r="GS26"/>
  <c r="GT26"/>
  <c r="GU26"/>
  <c r="GV26"/>
  <c r="GW26"/>
  <c r="GX26"/>
  <c r="C28"/>
  <c r="D28"/>
  <c r="P28"/>
  <c r="AC28"/>
  <c r="AE28"/>
  <c r="R28" s="1"/>
  <c r="AF28"/>
  <c r="S28" s="1"/>
  <c r="AG28"/>
  <c r="AH28"/>
  <c r="AI28"/>
  <c r="CW28" s="1"/>
  <c r="V28" s="1"/>
  <c r="AI31" s="1"/>
  <c r="AJ28"/>
  <c r="CX28" s="1"/>
  <c r="W28" s="1"/>
  <c r="AJ31" s="1"/>
  <c r="CQ28"/>
  <c r="CR28"/>
  <c r="CU28"/>
  <c r="T28" s="1"/>
  <c r="AG31" s="1"/>
  <c r="CV28"/>
  <c r="U28" s="1"/>
  <c r="AH31" s="1"/>
  <c r="FR28"/>
  <c r="GL28"/>
  <c r="GN28"/>
  <c r="GP28"/>
  <c r="GV28"/>
  <c r="HC28" s="1"/>
  <c r="GX28" s="1"/>
  <c r="CJ31" s="1"/>
  <c r="C29"/>
  <c r="D29"/>
  <c r="R29"/>
  <c r="GK29" s="1"/>
  <c r="AC29"/>
  <c r="P29" s="1"/>
  <c r="AE29"/>
  <c r="AD29" s="1"/>
  <c r="AB29" s="1"/>
  <c r="AF29"/>
  <c r="S29" s="1"/>
  <c r="AG29"/>
  <c r="CU29" s="1"/>
  <c r="T29" s="1"/>
  <c r="DY31" s="1"/>
  <c r="AH29"/>
  <c r="AI29"/>
  <c r="AJ29"/>
  <c r="CX29" s="1"/>
  <c r="W29" s="1"/>
  <c r="EB31" s="1"/>
  <c r="CR29"/>
  <c r="CS29"/>
  <c r="CV29"/>
  <c r="U29" s="1"/>
  <c r="DZ31" s="1"/>
  <c r="CW29"/>
  <c r="V29" s="1"/>
  <c r="EA31" s="1"/>
  <c r="FR29"/>
  <c r="GL29"/>
  <c r="GN29"/>
  <c r="GP29"/>
  <c r="GV29"/>
  <c r="GX29"/>
  <c r="HC29"/>
  <c r="B31"/>
  <c r="B26" s="1"/>
  <c r="C31"/>
  <c r="C26" s="1"/>
  <c r="D31"/>
  <c r="D26" s="1"/>
  <c r="F31"/>
  <c r="F26" s="1"/>
  <c r="G31"/>
  <c r="G26" s="1"/>
  <c r="AC31"/>
  <c r="AC26" s="1"/>
  <c r="BX31"/>
  <c r="BX26" s="1"/>
  <c r="BY31"/>
  <c r="BY26" s="1"/>
  <c r="BZ31"/>
  <c r="CG31" s="1"/>
  <c r="CB31"/>
  <c r="CB26" s="1"/>
  <c r="CD31"/>
  <c r="CD26" s="1"/>
  <c r="CF31"/>
  <c r="CF26" s="1"/>
  <c r="CH31"/>
  <c r="CH26" s="1"/>
  <c r="CK31"/>
  <c r="CK26" s="1"/>
  <c r="CL31"/>
  <c r="CL26" s="1"/>
  <c r="CM31"/>
  <c r="CM26" s="1"/>
  <c r="DW31"/>
  <c r="DW26" s="1"/>
  <c r="FP31"/>
  <c r="FP26" s="1"/>
  <c r="FQ31"/>
  <c r="FQ26" s="1"/>
  <c r="FR31"/>
  <c r="GA31" s="1"/>
  <c r="FT31"/>
  <c r="FT26" s="1"/>
  <c r="FV31"/>
  <c r="EM31" s="1"/>
  <c r="GB31"/>
  <c r="GB26" s="1"/>
  <c r="GC31"/>
  <c r="GC26" s="1"/>
  <c r="GD31"/>
  <c r="EU31" s="1"/>
  <c r="GE31"/>
  <c r="EV31" s="1"/>
  <c r="D61"/>
  <c r="E63"/>
  <c r="Z63"/>
  <c r="AA63"/>
  <c r="AM63"/>
  <c r="AN63"/>
  <c r="BE63"/>
  <c r="BF63"/>
  <c r="BG63"/>
  <c r="BH63"/>
  <c r="BI63"/>
  <c r="BJ63"/>
  <c r="BK63"/>
  <c r="BL63"/>
  <c r="BM63"/>
  <c r="BN63"/>
  <c r="BO63"/>
  <c r="BP63"/>
  <c r="BQ63"/>
  <c r="BR63"/>
  <c r="BS63"/>
  <c r="BT63"/>
  <c r="BU63"/>
  <c r="BV63"/>
  <c r="BW63"/>
  <c r="CN63"/>
  <c r="CO63"/>
  <c r="CP63"/>
  <c r="CQ63"/>
  <c r="CR63"/>
  <c r="CS63"/>
  <c r="CT63"/>
  <c r="CU63"/>
  <c r="CV63"/>
  <c r="CW63"/>
  <c r="CX63"/>
  <c r="CY63"/>
  <c r="CZ63"/>
  <c r="DA63"/>
  <c r="DB63"/>
  <c r="DC63"/>
  <c r="DD63"/>
  <c r="DE63"/>
  <c r="DF63"/>
  <c r="DR63"/>
  <c r="DS63"/>
  <c r="EE63"/>
  <c r="EF63"/>
  <c r="EW63"/>
  <c r="EX63"/>
  <c r="EY63"/>
  <c r="EZ63"/>
  <c r="FA63"/>
  <c r="FB63"/>
  <c r="FC63"/>
  <c r="FD63"/>
  <c r="FE63"/>
  <c r="FF63"/>
  <c r="FG63"/>
  <c r="FH63"/>
  <c r="FI63"/>
  <c r="FJ63"/>
  <c r="FK63"/>
  <c r="FL63"/>
  <c r="FM63"/>
  <c r="FN63"/>
  <c r="FO63"/>
  <c r="GF63"/>
  <c r="GG63"/>
  <c r="GH63"/>
  <c r="GI63"/>
  <c r="GJ63"/>
  <c r="GK63"/>
  <c r="GL63"/>
  <c r="GM63"/>
  <c r="GN63"/>
  <c r="GO63"/>
  <c r="GP63"/>
  <c r="GQ63"/>
  <c r="GR63"/>
  <c r="GS63"/>
  <c r="GT63"/>
  <c r="GU63"/>
  <c r="GV63"/>
  <c r="GW63"/>
  <c r="GX63"/>
  <c r="C65"/>
  <c r="D65"/>
  <c r="P65"/>
  <c r="AC65"/>
  <c r="AB65" s="1"/>
  <c r="AD65"/>
  <c r="AE65"/>
  <c r="R65" s="1"/>
  <c r="AF65"/>
  <c r="S65" s="1"/>
  <c r="AG65"/>
  <c r="AH65"/>
  <c r="CV65" s="1"/>
  <c r="U65" s="1"/>
  <c r="AH68" s="1"/>
  <c r="AI65"/>
  <c r="AJ65"/>
  <c r="CQ65"/>
  <c r="CR65"/>
  <c r="CS65"/>
  <c r="CT65"/>
  <c r="CU65"/>
  <c r="T65" s="1"/>
  <c r="AG68" s="1"/>
  <c r="CW65"/>
  <c r="V65" s="1"/>
  <c r="AI68" s="1"/>
  <c r="CX65"/>
  <c r="W65" s="1"/>
  <c r="AJ68" s="1"/>
  <c r="FR65"/>
  <c r="GL65"/>
  <c r="GN65"/>
  <c r="GP65"/>
  <c r="GV65"/>
  <c r="HC65" s="1"/>
  <c r="GX65" s="1"/>
  <c r="CJ68" s="1"/>
  <c r="C66"/>
  <c r="D66"/>
  <c r="AC66"/>
  <c r="P66" s="1"/>
  <c r="AE66"/>
  <c r="AD66" s="1"/>
  <c r="AF66"/>
  <c r="S66" s="1"/>
  <c r="AG66"/>
  <c r="CU66" s="1"/>
  <c r="T66" s="1"/>
  <c r="DY68" s="1"/>
  <c r="AH66"/>
  <c r="AI66"/>
  <c r="CW66" s="1"/>
  <c r="V66" s="1"/>
  <c r="AJ66"/>
  <c r="CR66"/>
  <c r="CT66"/>
  <c r="CV66"/>
  <c r="U66" s="1"/>
  <c r="DZ68" s="1"/>
  <c r="CX66"/>
  <c r="W66" s="1"/>
  <c r="EB68" s="1"/>
  <c r="FR66"/>
  <c r="GL66"/>
  <c r="GN66"/>
  <c r="GP66"/>
  <c r="GV66"/>
  <c r="HC66" s="1"/>
  <c r="GX66" s="1"/>
  <c r="B68"/>
  <c r="B63" s="1"/>
  <c r="C68"/>
  <c r="C63" s="1"/>
  <c r="D68"/>
  <c r="D63" s="1"/>
  <c r="F68"/>
  <c r="F63" s="1"/>
  <c r="G68"/>
  <c r="G63" s="1"/>
  <c r="AC68"/>
  <c r="AC63" s="1"/>
  <c r="BX68"/>
  <c r="BX63" s="1"/>
  <c r="BY68"/>
  <c r="BY63" s="1"/>
  <c r="BZ68"/>
  <c r="CG68" s="1"/>
  <c r="CB68"/>
  <c r="CB63" s="1"/>
  <c r="CD68"/>
  <c r="CD63" s="1"/>
  <c r="CH68"/>
  <c r="CH63" s="1"/>
  <c r="CK68"/>
  <c r="CK63" s="1"/>
  <c r="CL68"/>
  <c r="CL63" s="1"/>
  <c r="CM68"/>
  <c r="CM63" s="1"/>
  <c r="EA68"/>
  <c r="FP68"/>
  <c r="EG68" s="1"/>
  <c r="FQ68"/>
  <c r="FQ63" s="1"/>
  <c r="FR68"/>
  <c r="GA68" s="1"/>
  <c r="FT68"/>
  <c r="FT63" s="1"/>
  <c r="FV68"/>
  <c r="EM68" s="1"/>
  <c r="EM63" s="1"/>
  <c r="GB68"/>
  <c r="GB63" s="1"/>
  <c r="GC68"/>
  <c r="GC63" s="1"/>
  <c r="GD68"/>
  <c r="GE68"/>
  <c r="EV68" s="1"/>
  <c r="EV63" s="1"/>
  <c r="P87"/>
  <c r="P93"/>
  <c r="D98"/>
  <c r="E100"/>
  <c r="F100"/>
  <c r="Z100"/>
  <c r="AA100"/>
  <c r="AM100"/>
  <c r="AN100"/>
  <c r="BE100"/>
  <c r="BF100"/>
  <c r="BG100"/>
  <c r="BH100"/>
  <c r="BI100"/>
  <c r="BJ100"/>
  <c r="BK100"/>
  <c r="BL100"/>
  <c r="BM100"/>
  <c r="BN100"/>
  <c r="BO100"/>
  <c r="BP100"/>
  <c r="BQ100"/>
  <c r="BR100"/>
  <c r="BS100"/>
  <c r="BT100"/>
  <c r="BU100"/>
  <c r="BV100"/>
  <c r="BW100"/>
  <c r="CN100"/>
  <c r="CO100"/>
  <c r="CP100"/>
  <c r="CQ100"/>
  <c r="CR100"/>
  <c r="CS100"/>
  <c r="CT100"/>
  <c r="CU100"/>
  <c r="CV100"/>
  <c r="CW100"/>
  <c r="CX100"/>
  <c r="CY100"/>
  <c r="CZ100"/>
  <c r="DA100"/>
  <c r="DB100"/>
  <c r="DC100"/>
  <c r="DD100"/>
  <c r="DE100"/>
  <c r="DF100"/>
  <c r="DR100"/>
  <c r="DS100"/>
  <c r="EE100"/>
  <c r="EF100"/>
  <c r="EW100"/>
  <c r="EX100"/>
  <c r="EY100"/>
  <c r="EZ100"/>
  <c r="FA100"/>
  <c r="FB100"/>
  <c r="FC100"/>
  <c r="FD100"/>
  <c r="FE100"/>
  <c r="FF100"/>
  <c r="FG100"/>
  <c r="FH100"/>
  <c r="FI100"/>
  <c r="FJ100"/>
  <c r="FK100"/>
  <c r="FL100"/>
  <c r="FM100"/>
  <c r="FN100"/>
  <c r="FO100"/>
  <c r="FU100"/>
  <c r="GC100"/>
  <c r="GF100"/>
  <c r="GG100"/>
  <c r="GH100"/>
  <c r="GI100"/>
  <c r="GJ100"/>
  <c r="GK100"/>
  <c r="GL100"/>
  <c r="GM100"/>
  <c r="GN100"/>
  <c r="GO100"/>
  <c r="GP100"/>
  <c r="GQ100"/>
  <c r="GR100"/>
  <c r="GS100"/>
  <c r="GT100"/>
  <c r="GU100"/>
  <c r="GV100"/>
  <c r="GW100"/>
  <c r="GX100"/>
  <c r="S102"/>
  <c r="AC102"/>
  <c r="AE102"/>
  <c r="R102" s="1"/>
  <c r="AF102"/>
  <c r="AG102"/>
  <c r="CU102" s="1"/>
  <c r="T102" s="1"/>
  <c r="AG105" s="1"/>
  <c r="AH102"/>
  <c r="AI102"/>
  <c r="CW102" s="1"/>
  <c r="V102" s="1"/>
  <c r="AI105" s="1"/>
  <c r="AJ102"/>
  <c r="CR102"/>
  <c r="CT102"/>
  <c r="CV102"/>
  <c r="U102" s="1"/>
  <c r="AH105" s="1"/>
  <c r="CX102"/>
  <c r="W102" s="1"/>
  <c r="AJ105" s="1"/>
  <c r="CY102"/>
  <c r="X102" s="1"/>
  <c r="AK105" s="1"/>
  <c r="CZ102"/>
  <c r="Y102" s="1"/>
  <c r="AL105" s="1"/>
  <c r="GL102"/>
  <c r="GN102"/>
  <c r="GO102"/>
  <c r="GP102"/>
  <c r="GV102"/>
  <c r="HC102" s="1"/>
  <c r="GX102" s="1"/>
  <c r="CJ105" s="1"/>
  <c r="P103"/>
  <c r="R103"/>
  <c r="AC103"/>
  <c r="AB103" s="1"/>
  <c r="AD103"/>
  <c r="AE103"/>
  <c r="Q103" s="1"/>
  <c r="DV105" s="1"/>
  <c r="AF103"/>
  <c r="S103" s="1"/>
  <c r="AG103"/>
  <c r="AH103"/>
  <c r="CV103" s="1"/>
  <c r="U103" s="1"/>
  <c r="DZ105" s="1"/>
  <c r="AI103"/>
  <c r="AJ103"/>
  <c r="CQ103"/>
  <c r="CR103"/>
  <c r="CS103"/>
  <c r="CT103"/>
  <c r="CU103"/>
  <c r="T103" s="1"/>
  <c r="DY105" s="1"/>
  <c r="CW103"/>
  <c r="V103" s="1"/>
  <c r="EA105" s="1"/>
  <c r="CX103"/>
  <c r="W103" s="1"/>
  <c r="EB105" s="1"/>
  <c r="GK103"/>
  <c r="GL103"/>
  <c r="FR105" s="1"/>
  <c r="GN103"/>
  <c r="GO103"/>
  <c r="GP103"/>
  <c r="FV105" s="1"/>
  <c r="GV103"/>
  <c r="GX103"/>
  <c r="HC103"/>
  <c r="B105"/>
  <c r="B100" s="1"/>
  <c r="C105"/>
  <c r="C100" s="1"/>
  <c r="D105"/>
  <c r="D100" s="1"/>
  <c r="F105"/>
  <c r="G105"/>
  <c r="G100" s="1"/>
  <c r="AF105"/>
  <c r="S105" s="1"/>
  <c r="BX105"/>
  <c r="BX100" s="1"/>
  <c r="BZ105"/>
  <c r="BZ100" s="1"/>
  <c r="CB105"/>
  <c r="CB100" s="1"/>
  <c r="CC105"/>
  <c r="CC100" s="1"/>
  <c r="CD105"/>
  <c r="CD100" s="1"/>
  <c r="CG105"/>
  <c r="CG100" s="1"/>
  <c r="CK105"/>
  <c r="CK100" s="1"/>
  <c r="CL105"/>
  <c r="CL100" s="1"/>
  <c r="CM105"/>
  <c r="CM100" s="1"/>
  <c r="DJ105"/>
  <c r="DJ100" s="1"/>
  <c r="DW105"/>
  <c r="DW100" s="1"/>
  <c r="FP105"/>
  <c r="EG105" s="1"/>
  <c r="FT105"/>
  <c r="EK105" s="1"/>
  <c r="FU105"/>
  <c r="EL105" s="1"/>
  <c r="GB105"/>
  <c r="ES105" s="1"/>
  <c r="GC105"/>
  <c r="ET105" s="1"/>
  <c r="GD105"/>
  <c r="GD100" s="1"/>
  <c r="GE105"/>
  <c r="GE100" s="1"/>
  <c r="P119"/>
  <c r="B135"/>
  <c r="B22" s="1"/>
  <c r="C135"/>
  <c r="C22" s="1"/>
  <c r="D135"/>
  <c r="D22" s="1"/>
  <c r="F135"/>
  <c r="F22" s="1"/>
  <c r="G135"/>
  <c r="G22" s="1"/>
  <c r="B165"/>
  <c r="B18" s="1"/>
  <c r="C165"/>
  <c r="C18" s="1"/>
  <c r="D165"/>
  <c r="D18" s="1"/>
  <c r="F165"/>
  <c r="F18" s="1"/>
  <c r="G165"/>
  <c r="G18" s="1"/>
  <c r="F12" i="6"/>
  <c r="G12"/>
  <c r="CY12"/>
  <c r="J13" i="7" l="1"/>
  <c r="O41"/>
  <c r="P41"/>
  <c r="P60"/>
  <c r="J63" s="1"/>
  <c r="Y60"/>
  <c r="J58"/>
  <c r="J39"/>
  <c r="P69"/>
  <c r="J72" s="1"/>
  <c r="W32"/>
  <c r="H39"/>
  <c r="Y41"/>
  <c r="W50"/>
  <c r="O60"/>
  <c r="H63" s="1"/>
  <c r="O69"/>
  <c r="H72" s="1"/>
  <c r="H58"/>
  <c r="H69"/>
  <c r="DH36" i="3"/>
  <c r="DF35"/>
  <c r="DJ35" s="1"/>
  <c r="DH25"/>
  <c r="DG23"/>
  <c r="DJ23" s="1"/>
  <c r="DH21"/>
  <c r="DH17"/>
  <c r="DF11"/>
  <c r="DG2"/>
  <c r="DJ2" s="1"/>
  <c r="DG21"/>
  <c r="DH18"/>
  <c r="DF17"/>
  <c r="DJ17" s="1"/>
  <c r="DH12"/>
  <c r="DH7"/>
  <c r="EB100" i="1"/>
  <c r="DO105"/>
  <c r="FV100"/>
  <c r="EM105"/>
  <c r="DX105"/>
  <c r="CZ103"/>
  <c r="Y103" s="1"/>
  <c r="ED105" s="1"/>
  <c r="CY103"/>
  <c r="X103" s="1"/>
  <c r="EC105" s="1"/>
  <c r="X105"/>
  <c r="AK100"/>
  <c r="T105"/>
  <c r="AG100"/>
  <c r="EG63"/>
  <c r="P72"/>
  <c r="CP103"/>
  <c r="O103" s="1"/>
  <c r="DV100"/>
  <c r="DI105"/>
  <c r="FY105"/>
  <c r="FR100"/>
  <c r="EI105"/>
  <c r="AL100"/>
  <c r="Y105"/>
  <c r="P123"/>
  <c r="EL100"/>
  <c r="W105"/>
  <c r="AJ100"/>
  <c r="P125"/>
  <c r="ES100"/>
  <c r="P118"/>
  <c r="ET100"/>
  <c r="P109"/>
  <c r="EG100"/>
  <c r="S100"/>
  <c r="F120"/>
  <c r="DY100"/>
  <c r="DL105"/>
  <c r="P122"/>
  <c r="EK100"/>
  <c r="EA100"/>
  <c r="DN105"/>
  <c r="DZ100"/>
  <c r="DM105"/>
  <c r="CJ100"/>
  <c r="BA105"/>
  <c r="AH100"/>
  <c r="U105"/>
  <c r="AI100"/>
  <c r="V105"/>
  <c r="GK102"/>
  <c r="AE105"/>
  <c r="EU68"/>
  <c r="GD63"/>
  <c r="DU68"/>
  <c r="DY26"/>
  <c r="DL31"/>
  <c r="U31"/>
  <c r="AH26"/>
  <c r="EA63"/>
  <c r="DN68"/>
  <c r="DY63"/>
  <c r="DL68"/>
  <c r="V68"/>
  <c r="AI63"/>
  <c r="U68"/>
  <c r="AH63"/>
  <c r="EU26"/>
  <c r="P47"/>
  <c r="CG26"/>
  <c r="AX31"/>
  <c r="EA26"/>
  <c r="DN31"/>
  <c r="EB26"/>
  <c r="DO31"/>
  <c r="CY29"/>
  <c r="X29" s="1"/>
  <c r="EC31" s="1"/>
  <c r="DX31"/>
  <c r="CZ29"/>
  <c r="Y29" s="1"/>
  <c r="ED31" s="1"/>
  <c r="AG26"/>
  <c r="T31"/>
  <c r="V31"/>
  <c r="AI26"/>
  <c r="GK28"/>
  <c r="AE31"/>
  <c r="DH34" i="3"/>
  <c r="DG34"/>
  <c r="DJ34" s="1"/>
  <c r="DF34"/>
  <c r="DI34"/>
  <c r="DH32"/>
  <c r="DG32"/>
  <c r="DJ32" s="1"/>
  <c r="DF32"/>
  <c r="DI32"/>
  <c r="DH20"/>
  <c r="DG20"/>
  <c r="DF20"/>
  <c r="DJ20" s="1"/>
  <c r="DI20"/>
  <c r="DI15"/>
  <c r="DH15"/>
  <c r="DG15"/>
  <c r="DF15"/>
  <c r="DJ15" s="1"/>
  <c r="DH9"/>
  <c r="DG9"/>
  <c r="DF9"/>
  <c r="DJ9" s="1"/>
  <c r="DI9"/>
  <c r="DH5"/>
  <c r="DG5"/>
  <c r="DF5"/>
  <c r="DJ5" s="1"/>
  <c r="DI5"/>
  <c r="BB105" i="1"/>
  <c r="EU105"/>
  <c r="DU105"/>
  <c r="AS105"/>
  <c r="AO105"/>
  <c r="CQ102"/>
  <c r="AD102"/>
  <c r="AB102" s="1"/>
  <c r="P102"/>
  <c r="GB100"/>
  <c r="FT100"/>
  <c r="FP100"/>
  <c r="AF100"/>
  <c r="ES68"/>
  <c r="GK65"/>
  <c r="AE68"/>
  <c r="P50"/>
  <c r="EM26"/>
  <c r="AF31"/>
  <c r="CZ28"/>
  <c r="Y28" s="1"/>
  <c r="AL31" s="1"/>
  <c r="CY28"/>
  <c r="X28" s="1"/>
  <c r="AK31" s="1"/>
  <c r="DH27" i="3"/>
  <c r="DG27"/>
  <c r="DF27"/>
  <c r="DJ27" s="1"/>
  <c r="DI27"/>
  <c r="DI19"/>
  <c r="DH19"/>
  <c r="DG19"/>
  <c r="DF19"/>
  <c r="DJ19" s="1"/>
  <c r="DH13"/>
  <c r="DG13"/>
  <c r="DJ13" s="1"/>
  <c r="DF13"/>
  <c r="DI13"/>
  <c r="DI8"/>
  <c r="DH8"/>
  <c r="DG8"/>
  <c r="DF8"/>
  <c r="DJ8" s="1"/>
  <c r="DZ63" i="1"/>
  <c r="DM68"/>
  <c r="CJ63"/>
  <c r="BA68"/>
  <c r="AF68"/>
  <c r="CZ65"/>
  <c r="Y65" s="1"/>
  <c r="AL68" s="1"/>
  <c r="CY65"/>
  <c r="X65" s="1"/>
  <c r="AK68" s="1"/>
  <c r="DU31"/>
  <c r="CJ26"/>
  <c r="BA31"/>
  <c r="DI37" i="3"/>
  <c r="DH37"/>
  <c r="DG37"/>
  <c r="DF37"/>
  <c r="DJ37" s="1"/>
  <c r="DI26"/>
  <c r="DH26"/>
  <c r="DG26"/>
  <c r="DF26"/>
  <c r="DJ26" s="1"/>
  <c r="DG10"/>
  <c r="DF10"/>
  <c r="DJ10" s="1"/>
  <c r="DI10"/>
  <c r="DH10"/>
  <c r="DG6"/>
  <c r="DF6"/>
  <c r="DJ6" s="1"/>
  <c r="DI6"/>
  <c r="DH6"/>
  <c r="AX105" i="1"/>
  <c r="Q102"/>
  <c r="AD105" s="1"/>
  <c r="BC105"/>
  <c r="AU105"/>
  <c r="AQ105"/>
  <c r="CS102"/>
  <c r="EK68"/>
  <c r="FP63"/>
  <c r="FY68"/>
  <c r="CG63"/>
  <c r="AX68"/>
  <c r="AJ63"/>
  <c r="W68"/>
  <c r="P56"/>
  <c r="EV26"/>
  <c r="AJ26"/>
  <c r="W31"/>
  <c r="DH38" i="3"/>
  <c r="DG38"/>
  <c r="DF38"/>
  <c r="DJ38" s="1"/>
  <c r="DI38"/>
  <c r="ER68" i="1"/>
  <c r="GA63"/>
  <c r="EB63"/>
  <c r="DO68"/>
  <c r="CY66"/>
  <c r="X66" s="1"/>
  <c r="EC68" s="1"/>
  <c r="DX68"/>
  <c r="CZ66"/>
  <c r="Y66" s="1"/>
  <c r="ED68" s="1"/>
  <c r="AG63"/>
  <c r="T68"/>
  <c r="ER31"/>
  <c r="GA26"/>
  <c r="DZ26"/>
  <c r="DM31"/>
  <c r="DI30" i="3"/>
  <c r="DH30"/>
  <c r="DG30"/>
  <c r="DF30"/>
  <c r="DJ30" s="1"/>
  <c r="DH16"/>
  <c r="DG16"/>
  <c r="DF16"/>
  <c r="DJ16" s="1"/>
  <c r="DI16"/>
  <c r="EV105" i="1"/>
  <c r="EV135" s="1"/>
  <c r="AT105"/>
  <c r="BD105"/>
  <c r="BC68"/>
  <c r="AY68"/>
  <c r="AU68"/>
  <c r="AQ68"/>
  <c r="Q66"/>
  <c r="DV68" s="1"/>
  <c r="FV63"/>
  <c r="FR63"/>
  <c r="BZ63"/>
  <c r="ES31"/>
  <c r="EK31"/>
  <c r="EG31"/>
  <c r="BC31"/>
  <c r="AY31"/>
  <c r="AU31"/>
  <c r="AQ31"/>
  <c r="Q29"/>
  <c r="DV31" s="1"/>
  <c r="AD28"/>
  <c r="AB28" s="1"/>
  <c r="GD26"/>
  <c r="FV26"/>
  <c r="FR26"/>
  <c r="BZ26"/>
  <c r="DG40" i="3"/>
  <c r="DG36"/>
  <c r="DG33"/>
  <c r="DJ33" s="1"/>
  <c r="DG31"/>
  <c r="DG29"/>
  <c r="DG25"/>
  <c r="CX24"/>
  <c r="DF23"/>
  <c r="CX22"/>
  <c r="DF21"/>
  <c r="DG18"/>
  <c r="DG14"/>
  <c r="DJ14" s="1"/>
  <c r="DG12"/>
  <c r="DJ12" s="1"/>
  <c r="DG7"/>
  <c r="DF4"/>
  <c r="CX3"/>
  <c r="DF2"/>
  <c r="CX1"/>
  <c r="ET68" i="1"/>
  <c r="EH68"/>
  <c r="CI68"/>
  <c r="CE68"/>
  <c r="BD68"/>
  <c r="P68"/>
  <c r="CS66"/>
  <c r="AB66"/>
  <c r="R66"/>
  <c r="Q65"/>
  <c r="AD68" s="1"/>
  <c r="GE63"/>
  <c r="FY31"/>
  <c r="ET31"/>
  <c r="EH31"/>
  <c r="DJ31"/>
  <c r="CI31"/>
  <c r="CE31"/>
  <c r="BD31"/>
  <c r="P31"/>
  <c r="Q28"/>
  <c r="AD31" s="1"/>
  <c r="GE26"/>
  <c r="EI68"/>
  <c r="CF68"/>
  <c r="AS68"/>
  <c r="AO68"/>
  <c r="EI31"/>
  <c r="AW31"/>
  <c r="AS31"/>
  <c r="AO31"/>
  <c r="CT29"/>
  <c r="CS28"/>
  <c r="DI40" i="3"/>
  <c r="DI36"/>
  <c r="CW34"/>
  <c r="DI33"/>
  <c r="CW32"/>
  <c r="DI31"/>
  <c r="DJ31" s="1"/>
  <c r="DI29"/>
  <c r="DI25"/>
  <c r="DI18"/>
  <c r="DI14"/>
  <c r="CW13"/>
  <c r="DI12"/>
  <c r="DI7"/>
  <c r="BB68" i="1"/>
  <c r="AP68"/>
  <c r="CQ66"/>
  <c r="BB31"/>
  <c r="AP31"/>
  <c r="CQ29"/>
  <c r="CT28"/>
  <c r="I15" i="7" l="1"/>
  <c r="I13" s="1"/>
  <c r="J76"/>
  <c r="J44"/>
  <c r="H76"/>
  <c r="H44"/>
  <c r="I18"/>
  <c r="EV22" i="1"/>
  <c r="EV165"/>
  <c r="P160"/>
  <c r="F44"/>
  <c r="BB26"/>
  <c r="BB135"/>
  <c r="AS26"/>
  <c r="F48"/>
  <c r="AS135"/>
  <c r="CI26"/>
  <c r="AZ31"/>
  <c r="DG1" i="3"/>
  <c r="DF1"/>
  <c r="DI1"/>
  <c r="DJ1" s="1"/>
  <c r="DH1"/>
  <c r="AQ26" i="1"/>
  <c r="F41"/>
  <c r="AQ135"/>
  <c r="AU63"/>
  <c r="F87"/>
  <c r="AD100"/>
  <c r="Q105"/>
  <c r="ES63"/>
  <c r="P88"/>
  <c r="F54"/>
  <c r="V26"/>
  <c r="V135"/>
  <c r="DN63"/>
  <c r="P91"/>
  <c r="P52"/>
  <c r="DL26"/>
  <c r="DL135"/>
  <c r="V100"/>
  <c r="F128"/>
  <c r="F125"/>
  <c r="BA100"/>
  <c r="DN100"/>
  <c r="P128"/>
  <c r="P126"/>
  <c r="DL100"/>
  <c r="DX100"/>
  <c r="DK105"/>
  <c r="F40"/>
  <c r="AP26"/>
  <c r="BB63"/>
  <c r="F81"/>
  <c r="AO26"/>
  <c r="F35"/>
  <c r="AO135"/>
  <c r="AO63"/>
  <c r="F72"/>
  <c r="CE26"/>
  <c r="AV31"/>
  <c r="P44"/>
  <c r="ET26"/>
  <c r="ET135"/>
  <c r="GK66"/>
  <c r="DW68"/>
  <c r="BD63"/>
  <c r="F93"/>
  <c r="ET63"/>
  <c r="P81"/>
  <c r="DG24" i="3"/>
  <c r="DJ24" s="1"/>
  <c r="DF24"/>
  <c r="DI24"/>
  <c r="DH24"/>
  <c r="DV26" i="1"/>
  <c r="DI31"/>
  <c r="BC26"/>
  <c r="F47"/>
  <c r="BC135"/>
  <c r="AQ63"/>
  <c r="F78"/>
  <c r="BD100"/>
  <c r="F130"/>
  <c r="DO63"/>
  <c r="P92"/>
  <c r="W26"/>
  <c r="F55"/>
  <c r="W135"/>
  <c r="W63"/>
  <c r="F92"/>
  <c r="FY63"/>
  <c r="EP68"/>
  <c r="EK63"/>
  <c r="P85"/>
  <c r="BC100"/>
  <c r="F121"/>
  <c r="Y68"/>
  <c r="AL63"/>
  <c r="DM63"/>
  <c r="P90"/>
  <c r="AF26"/>
  <c r="S31"/>
  <c r="EU100"/>
  <c r="P121"/>
  <c r="ED26"/>
  <c r="DQ31"/>
  <c r="U63"/>
  <c r="F90"/>
  <c r="U26"/>
  <c r="F53"/>
  <c r="U135"/>
  <c r="W100"/>
  <c r="F129"/>
  <c r="Y100"/>
  <c r="F132"/>
  <c r="EP105"/>
  <c r="FY100"/>
  <c r="DT105"/>
  <c r="GM103"/>
  <c r="T100"/>
  <c r="F126"/>
  <c r="ED100"/>
  <c r="DQ105"/>
  <c r="DO100"/>
  <c r="P129"/>
  <c r="CP66"/>
  <c r="O66" s="1"/>
  <c r="Q31"/>
  <c r="AD26"/>
  <c r="FY26"/>
  <c r="EP31"/>
  <c r="CE63"/>
  <c r="AV68"/>
  <c r="ED63"/>
  <c r="DQ68"/>
  <c r="DU26"/>
  <c r="DH31"/>
  <c r="FW31"/>
  <c r="FZ31"/>
  <c r="FX31"/>
  <c r="F109"/>
  <c r="AO100"/>
  <c r="DX26"/>
  <c r="DK31"/>
  <c r="P117"/>
  <c r="DI100"/>
  <c r="Q68"/>
  <c r="AD63"/>
  <c r="P77"/>
  <c r="EH63"/>
  <c r="DG3" i="3"/>
  <c r="DJ3" s="1"/>
  <c r="DF3"/>
  <c r="DI3"/>
  <c r="DH3"/>
  <c r="DV63" i="1"/>
  <c r="DI68"/>
  <c r="BC63"/>
  <c r="F84"/>
  <c r="DM26"/>
  <c r="P53"/>
  <c r="DM135"/>
  <c r="T63"/>
  <c r="F89"/>
  <c r="EC63"/>
  <c r="DP68"/>
  <c r="ER63"/>
  <c r="P79"/>
  <c r="AU100"/>
  <c r="F124"/>
  <c r="BA26"/>
  <c r="F51"/>
  <c r="BA135"/>
  <c r="AK63"/>
  <c r="X68"/>
  <c r="Y31"/>
  <c r="AL26"/>
  <c r="R68"/>
  <c r="AE63"/>
  <c r="FW105"/>
  <c r="DU100"/>
  <c r="DH105"/>
  <c r="DO26"/>
  <c r="P55"/>
  <c r="DO135"/>
  <c r="F38"/>
  <c r="AX26"/>
  <c r="AX135"/>
  <c r="DL63"/>
  <c r="P89"/>
  <c r="DU63"/>
  <c r="DH68"/>
  <c r="FW68"/>
  <c r="FZ68"/>
  <c r="FX68"/>
  <c r="AE100"/>
  <c r="R105"/>
  <c r="F127"/>
  <c r="U100"/>
  <c r="P127"/>
  <c r="DM100"/>
  <c r="DP105"/>
  <c r="EC100"/>
  <c r="CP65"/>
  <c r="O65" s="1"/>
  <c r="AS63"/>
  <c r="F85"/>
  <c r="EG26"/>
  <c r="P35"/>
  <c r="EG135"/>
  <c r="AT100"/>
  <c r="F123"/>
  <c r="AF63"/>
  <c r="S68"/>
  <c r="BB100"/>
  <c r="F118"/>
  <c r="P54"/>
  <c r="DN26"/>
  <c r="DN135"/>
  <c r="AP63"/>
  <c r="F77"/>
  <c r="EI26"/>
  <c r="P41"/>
  <c r="EI135"/>
  <c r="EI63"/>
  <c r="P78"/>
  <c r="BD26"/>
  <c r="F56"/>
  <c r="BD135"/>
  <c r="P40"/>
  <c r="EH26"/>
  <c r="P63"/>
  <c r="F71"/>
  <c r="AY26"/>
  <c r="F39"/>
  <c r="ES26"/>
  <c r="P51"/>
  <c r="ES135"/>
  <c r="AW26"/>
  <c r="F37"/>
  <c r="CF63"/>
  <c r="AW68"/>
  <c r="P26"/>
  <c r="F34"/>
  <c r="P45"/>
  <c r="DJ26"/>
  <c r="CI63"/>
  <c r="AZ68"/>
  <c r="DG22" i="3"/>
  <c r="DJ22" s="1"/>
  <c r="DF22"/>
  <c r="DI22"/>
  <c r="DH22"/>
  <c r="F50" i="1"/>
  <c r="AU26"/>
  <c r="AU135"/>
  <c r="EK26"/>
  <c r="P48"/>
  <c r="EK135"/>
  <c r="AY63"/>
  <c r="F76"/>
  <c r="P130"/>
  <c r="EV100"/>
  <c r="P42"/>
  <c r="ER26"/>
  <c r="DX63"/>
  <c r="DK68"/>
  <c r="AX63"/>
  <c r="F75"/>
  <c r="AQ100"/>
  <c r="F115"/>
  <c r="AX100"/>
  <c r="F112"/>
  <c r="BA63"/>
  <c r="F88"/>
  <c r="AK26"/>
  <c r="X31"/>
  <c r="CP102"/>
  <c r="O102" s="1"/>
  <c r="AC105"/>
  <c r="AS100"/>
  <c r="F122"/>
  <c r="R31"/>
  <c r="AE26"/>
  <c r="T26"/>
  <c r="F52"/>
  <c r="T135"/>
  <c r="EC26"/>
  <c r="DP31"/>
  <c r="V63"/>
  <c r="F91"/>
  <c r="EU63"/>
  <c r="P84"/>
  <c r="EU135"/>
  <c r="EI100"/>
  <c r="P115"/>
  <c r="F131"/>
  <c r="X100"/>
  <c r="EM100"/>
  <c r="P124"/>
  <c r="EM135"/>
  <c r="CP28"/>
  <c r="O28" s="1"/>
  <c r="CP29"/>
  <c r="O29" s="1"/>
  <c r="EG22" l="1"/>
  <c r="P139"/>
  <c r="EG165"/>
  <c r="DO22"/>
  <c r="DO165"/>
  <c r="P159"/>
  <c r="Y63"/>
  <c r="F95"/>
  <c r="AO22"/>
  <c r="F139"/>
  <c r="AO165"/>
  <c r="F117"/>
  <c r="Q100"/>
  <c r="BB22"/>
  <c r="BB165"/>
  <c r="F148"/>
  <c r="GM102"/>
  <c r="AB105"/>
  <c r="EM22"/>
  <c r="P154"/>
  <c r="EM165"/>
  <c r="DP26"/>
  <c r="P57"/>
  <c r="DP135"/>
  <c r="AZ63"/>
  <c r="F79"/>
  <c r="AW63"/>
  <c r="F74"/>
  <c r="BD22"/>
  <c r="F160"/>
  <c r="BD165"/>
  <c r="AB68"/>
  <c r="GM65"/>
  <c r="P71"/>
  <c r="DH63"/>
  <c r="AX22"/>
  <c r="F142"/>
  <c r="AX165"/>
  <c r="R63"/>
  <c r="F82"/>
  <c r="DP63"/>
  <c r="P94"/>
  <c r="DM22"/>
  <c r="DM165"/>
  <c r="P157"/>
  <c r="P34"/>
  <c r="DH26"/>
  <c r="DH135"/>
  <c r="AV63"/>
  <c r="F73"/>
  <c r="P112"/>
  <c r="EP100"/>
  <c r="P75"/>
  <c r="EP63"/>
  <c r="W22"/>
  <c r="F159"/>
  <c r="W165"/>
  <c r="DI26"/>
  <c r="P43"/>
  <c r="DI135"/>
  <c r="ET22"/>
  <c r="P148"/>
  <c r="ET165"/>
  <c r="AS22"/>
  <c r="F152"/>
  <c r="T16" i="2" s="1"/>
  <c r="AS165" i="1"/>
  <c r="AB31"/>
  <c r="GM28"/>
  <c r="S63"/>
  <c r="F83"/>
  <c r="EN68"/>
  <c r="FW63"/>
  <c r="P108"/>
  <c r="DH100"/>
  <c r="DK100"/>
  <c r="P120"/>
  <c r="DT31"/>
  <c r="GM29"/>
  <c r="R26"/>
  <c r="F45"/>
  <c r="R135"/>
  <c r="DN22"/>
  <c r="P158"/>
  <c r="DN165"/>
  <c r="P131"/>
  <c r="DP100"/>
  <c r="EQ68"/>
  <c r="FZ63"/>
  <c r="FW100"/>
  <c r="EN105"/>
  <c r="Y26"/>
  <c r="F58"/>
  <c r="Y135"/>
  <c r="Q63"/>
  <c r="F80"/>
  <c r="EQ31"/>
  <c r="FZ26"/>
  <c r="DQ63"/>
  <c r="P95"/>
  <c r="P38"/>
  <c r="EP26"/>
  <c r="EP135"/>
  <c r="DT68"/>
  <c r="GM66"/>
  <c r="DT100"/>
  <c r="DG105"/>
  <c r="DQ26"/>
  <c r="P58"/>
  <c r="DQ135"/>
  <c r="F46"/>
  <c r="S26"/>
  <c r="S135"/>
  <c r="DW63"/>
  <c r="DJ68"/>
  <c r="V22"/>
  <c r="F158"/>
  <c r="V165"/>
  <c r="AZ26"/>
  <c r="F42"/>
  <c r="EU22"/>
  <c r="EU165"/>
  <c r="P151"/>
  <c r="X26"/>
  <c r="F57"/>
  <c r="X135"/>
  <c r="R100"/>
  <c r="F119"/>
  <c r="X63"/>
  <c r="F94"/>
  <c r="EN31"/>
  <c r="FW26"/>
  <c r="AV26"/>
  <c r="F36"/>
  <c r="AQ22"/>
  <c r="F145"/>
  <c r="AQ165"/>
  <c r="EV18"/>
  <c r="P190"/>
  <c r="T22"/>
  <c r="T165"/>
  <c r="F156"/>
  <c r="EK22"/>
  <c r="P152"/>
  <c r="E16" i="2" s="1"/>
  <c r="EK165" i="1"/>
  <c r="P105"/>
  <c r="CE105"/>
  <c r="AC100"/>
  <c r="DK63"/>
  <c r="P83"/>
  <c r="AU22"/>
  <c r="AU165"/>
  <c r="F154"/>
  <c r="ES22"/>
  <c r="P155"/>
  <c r="ES165"/>
  <c r="EI22"/>
  <c r="EI165"/>
  <c r="P145"/>
  <c r="FX63"/>
  <c r="EO68"/>
  <c r="BA22"/>
  <c r="F155"/>
  <c r="BA165"/>
  <c r="DI63"/>
  <c r="P80"/>
  <c r="P46"/>
  <c r="DK26"/>
  <c r="DK135"/>
  <c r="FX26"/>
  <c r="EO31"/>
  <c r="Q26"/>
  <c r="F43"/>
  <c r="Q135"/>
  <c r="P132"/>
  <c r="DQ100"/>
  <c r="FR103"/>
  <c r="FQ105" s="1"/>
  <c r="FS105"/>
  <c r="U22"/>
  <c r="F157"/>
  <c r="U165"/>
  <c r="BC22"/>
  <c r="F151"/>
  <c r="BC165"/>
  <c r="DL22"/>
  <c r="P156"/>
  <c r="DL165"/>
  <c r="FS100" l="1"/>
  <c r="EJ105"/>
  <c r="E18" i="2"/>
  <c r="DT26" i="1"/>
  <c r="DG31"/>
  <c r="W18"/>
  <c r="F189"/>
  <c r="CA105"/>
  <c r="FR102"/>
  <c r="BY105" s="1"/>
  <c r="DL18"/>
  <c r="P186"/>
  <c r="EK18"/>
  <c r="P182"/>
  <c r="EU18"/>
  <c r="P181"/>
  <c r="P82"/>
  <c r="DJ63"/>
  <c r="DJ135"/>
  <c r="DG100"/>
  <c r="P107"/>
  <c r="EP22"/>
  <c r="P142"/>
  <c r="EP165"/>
  <c r="P110"/>
  <c r="EN100"/>
  <c r="FS31"/>
  <c r="GO29"/>
  <c r="FU31" s="1"/>
  <c r="AS18"/>
  <c r="F182"/>
  <c r="AX18"/>
  <c r="F172"/>
  <c r="O105"/>
  <c r="AB100"/>
  <c r="DQ22"/>
  <c r="DQ165"/>
  <c r="P162"/>
  <c r="GO65"/>
  <c r="CC68" s="1"/>
  <c r="CA68"/>
  <c r="DO18"/>
  <c r="P189"/>
  <c r="EO26"/>
  <c r="P37"/>
  <c r="T18"/>
  <c r="F186"/>
  <c r="AQ18"/>
  <c r="F175"/>
  <c r="X22"/>
  <c r="F161"/>
  <c r="X165"/>
  <c r="BC18"/>
  <c r="F181"/>
  <c r="BA18"/>
  <c r="F185"/>
  <c r="ES18"/>
  <c r="P185"/>
  <c r="AU18"/>
  <c r="F184"/>
  <c r="P100"/>
  <c r="F108"/>
  <c r="P135"/>
  <c r="P36"/>
  <c r="EN26"/>
  <c r="EN135"/>
  <c r="DT63"/>
  <c r="DG68"/>
  <c r="EQ63"/>
  <c r="P76"/>
  <c r="P73"/>
  <c r="EN63"/>
  <c r="AB26"/>
  <c r="O31"/>
  <c r="ET18"/>
  <c r="P178"/>
  <c r="BD18"/>
  <c r="F190"/>
  <c r="BB18"/>
  <c r="F178"/>
  <c r="AO18"/>
  <c r="F169"/>
  <c r="EG18"/>
  <c r="P169"/>
  <c r="Q22"/>
  <c r="F147"/>
  <c r="Q165"/>
  <c r="EI18"/>
  <c r="P175"/>
  <c r="V18"/>
  <c r="F188"/>
  <c r="Y22"/>
  <c r="Y165"/>
  <c r="F162"/>
  <c r="R22"/>
  <c r="F149"/>
  <c r="R165"/>
  <c r="T18" i="2"/>
  <c r="EM18" i="1"/>
  <c r="P184"/>
  <c r="U18"/>
  <c r="F187"/>
  <c r="EH105"/>
  <c r="GA105"/>
  <c r="FQ100"/>
  <c r="FX105"/>
  <c r="FZ105"/>
  <c r="DK22"/>
  <c r="P150"/>
  <c r="DK165"/>
  <c r="EO63"/>
  <c r="P74"/>
  <c r="F196"/>
  <c r="W16" i="2"/>
  <c r="W18" s="1"/>
  <c r="CE100" i="1"/>
  <c r="AV105"/>
  <c r="S22"/>
  <c r="F150"/>
  <c r="Y16" i="2" s="1"/>
  <c r="Y18" s="1"/>
  <c r="S165" i="1"/>
  <c r="FS68"/>
  <c r="GO66"/>
  <c r="FU68" s="1"/>
  <c r="EQ26"/>
  <c r="P39"/>
  <c r="DN18"/>
  <c r="P188"/>
  <c r="GO28"/>
  <c r="CC31" s="1"/>
  <c r="CA31"/>
  <c r="DI22"/>
  <c r="DI165"/>
  <c r="P147"/>
  <c r="DH22"/>
  <c r="P138"/>
  <c r="DH165"/>
  <c r="DM18"/>
  <c r="P187"/>
  <c r="AB63"/>
  <c r="O68"/>
  <c r="DP22"/>
  <c r="DP165"/>
  <c r="P161"/>
  <c r="P196"/>
  <c r="H16" i="2"/>
  <c r="H18" s="1"/>
  <c r="O63" i="1" l="1"/>
  <c r="F70"/>
  <c r="DH18"/>
  <c r="P168"/>
  <c r="DK18"/>
  <c r="P180"/>
  <c r="CC63"/>
  <c r="AT68"/>
  <c r="FU63"/>
  <c r="EL68"/>
  <c r="O26"/>
  <c r="F33"/>
  <c r="O135"/>
  <c r="EN22"/>
  <c r="EN165"/>
  <c r="P140"/>
  <c r="O100"/>
  <c r="F107"/>
  <c r="CA100"/>
  <c r="AR105"/>
  <c r="EO105"/>
  <c r="FX100"/>
  <c r="Q18"/>
  <c r="F177"/>
  <c r="CI105"/>
  <c r="AP105"/>
  <c r="BY100"/>
  <c r="CF105"/>
  <c r="CH105"/>
  <c r="DG26"/>
  <c r="P33"/>
  <c r="DG135"/>
  <c r="CC26"/>
  <c r="AT31"/>
  <c r="S18"/>
  <c r="F180"/>
  <c r="FZ100"/>
  <c r="EQ105"/>
  <c r="P114"/>
  <c r="EH100"/>
  <c r="EH135"/>
  <c r="DG63"/>
  <c r="P70"/>
  <c r="X18"/>
  <c r="F191"/>
  <c r="CA63"/>
  <c r="AR68"/>
  <c r="EJ31"/>
  <c r="FS26"/>
  <c r="DJ22"/>
  <c r="P149"/>
  <c r="J16" i="2" s="1"/>
  <c r="J18" s="1"/>
  <c r="DJ165" i="1"/>
  <c r="DI18"/>
  <c r="P177"/>
  <c r="P22"/>
  <c r="P165"/>
  <c r="F138"/>
  <c r="P133"/>
  <c r="EJ100"/>
  <c r="DP18"/>
  <c r="P191"/>
  <c r="CA26"/>
  <c r="AR31"/>
  <c r="EJ68"/>
  <c r="FS63"/>
  <c r="AV100"/>
  <c r="F110"/>
  <c r="AV135"/>
  <c r="GA100"/>
  <c r="ER105"/>
  <c r="R18"/>
  <c r="F179"/>
  <c r="Y18"/>
  <c r="F192"/>
  <c r="DQ18"/>
  <c r="P192"/>
  <c r="FU26"/>
  <c r="EL31"/>
  <c r="EP18"/>
  <c r="P172"/>
  <c r="EJ63" l="1"/>
  <c r="P96"/>
  <c r="EJ26"/>
  <c r="P59"/>
  <c r="EJ135"/>
  <c r="CF100"/>
  <c r="AW105"/>
  <c r="O22"/>
  <c r="F137"/>
  <c r="O165"/>
  <c r="EH22"/>
  <c r="P144"/>
  <c r="G16" i="2" s="1"/>
  <c r="G18" s="1"/>
  <c r="EH165" i="1"/>
  <c r="CH100"/>
  <c r="AY105"/>
  <c r="CI100"/>
  <c r="AZ105"/>
  <c r="P111"/>
  <c r="EO100"/>
  <c r="EO135"/>
  <c r="P86"/>
  <c r="EL63"/>
  <c r="P18"/>
  <c r="F168"/>
  <c r="P49"/>
  <c r="EL26"/>
  <c r="EL135"/>
  <c r="P116"/>
  <c r="ER100"/>
  <c r="ER135"/>
  <c r="EQ100"/>
  <c r="P113"/>
  <c r="EQ135"/>
  <c r="AT26"/>
  <c r="F49"/>
  <c r="AT135"/>
  <c r="AP100"/>
  <c r="F114"/>
  <c r="AP135"/>
  <c r="EN18"/>
  <c r="P170"/>
  <c r="AV22"/>
  <c r="F140"/>
  <c r="AV165"/>
  <c r="DJ18"/>
  <c r="P179"/>
  <c r="DG22"/>
  <c r="DG165"/>
  <c r="P137"/>
  <c r="AR26"/>
  <c r="F59"/>
  <c r="AR135"/>
  <c r="AR63"/>
  <c r="F96"/>
  <c r="F133"/>
  <c r="AR100"/>
  <c r="AT63"/>
  <c r="F86"/>
  <c r="AZ100" l="1"/>
  <c r="F116"/>
  <c r="AZ135"/>
  <c r="EJ22"/>
  <c r="EJ165"/>
  <c r="P163"/>
  <c r="ER22"/>
  <c r="ER165"/>
  <c r="P146"/>
  <c r="O18"/>
  <c r="F167"/>
  <c r="EH18"/>
  <c r="P174"/>
  <c r="AP22"/>
  <c r="AP165"/>
  <c r="F144"/>
  <c r="V16" i="2" s="1"/>
  <c r="V18" s="1"/>
  <c r="EL22" i="1"/>
  <c r="EL165"/>
  <c r="P153"/>
  <c r="AY100"/>
  <c r="F113"/>
  <c r="AY135"/>
  <c r="F111"/>
  <c r="AW100"/>
  <c r="AW135"/>
  <c r="EQ22"/>
  <c r="EQ165"/>
  <c r="P143"/>
  <c r="AR22"/>
  <c r="F163"/>
  <c r="AR165"/>
  <c r="DG18"/>
  <c r="P167"/>
  <c r="AV18"/>
  <c r="F170"/>
  <c r="AT22"/>
  <c r="F153"/>
  <c r="AT165"/>
  <c r="EO22"/>
  <c r="P141"/>
  <c r="EO165"/>
  <c r="EO18" l="1"/>
  <c r="P171"/>
  <c r="U16" i="2"/>
  <c r="F195" i="1"/>
  <c r="AW22"/>
  <c r="F141"/>
  <c r="AW165"/>
  <c r="EJ18"/>
  <c r="P193"/>
  <c r="AY22"/>
  <c r="F143"/>
  <c r="AY165"/>
  <c r="AR18"/>
  <c r="F193"/>
  <c r="F194" s="1"/>
  <c r="EQ18"/>
  <c r="P173"/>
  <c r="P195"/>
  <c r="F16" i="2"/>
  <c r="AP18" i="1"/>
  <c r="F174"/>
  <c r="AZ22"/>
  <c r="F146"/>
  <c r="AZ165"/>
  <c r="AT18"/>
  <c r="F183"/>
  <c r="EL18"/>
  <c r="P183"/>
  <c r="ER18"/>
  <c r="P176"/>
  <c r="P194" l="1"/>
  <c r="AZ18"/>
  <c r="F176"/>
  <c r="AW18"/>
  <c r="F171"/>
  <c r="U18" i="2"/>
  <c r="X16"/>
  <c r="X18" s="1"/>
  <c r="F18"/>
  <c r="I16"/>
  <c r="I18" s="1"/>
  <c r="AY18" i="1"/>
  <c r="F173"/>
</calcChain>
</file>

<file path=xl/sharedStrings.xml><?xml version="1.0" encoding="utf-8"?>
<sst xmlns="http://schemas.openxmlformats.org/spreadsheetml/2006/main" count="1924" uniqueCount="199">
  <si>
    <t>Smeta.RU  (495) 974-1589</t>
  </si>
  <si>
    <t>_PS_</t>
  </si>
  <si>
    <t>Smeta.RU</t>
  </si>
  <si>
    <t>АО "СПКБРР"  Доп. раб. место  MCCS-0021997</t>
  </si>
  <si>
    <t/>
  </si>
  <si>
    <t>02-01-03  Реконструкция ТП 27616 _24.04.25._</t>
  </si>
  <si>
    <t>Сметные нормы списания</t>
  </si>
  <si>
    <t>Коды ОКП для ТСН-2001 МГЭ Дополнение 75</t>
  </si>
  <si>
    <t>ТСН-2001 (МГЭ) Доп 75 - Новое строительство</t>
  </si>
  <si>
    <t>Типовой расчет для ТСН-2001 МГЭ, Новая методика с выпуска доп. 43 (Строительство), Доп 75</t>
  </si>
  <si>
    <t>Территориальные сметные нормативы для Москвы ТСН-2001 (МГЭ), дополнение 75</t>
  </si>
  <si>
    <t>Поправки для ТСН-2001 от 25.12.2024 г. доп.75</t>
  </si>
  <si>
    <t>Территориальные сметные нормативы для Москвы (ТСН-2001)</t>
  </si>
  <si>
    <t>ТЕР</t>
  </si>
  <si>
    <t>02-01-03</t>
  </si>
  <si>
    <t>Реконструкция ТП  28274</t>
  </si>
  <si>
    <t>ДУ.ЭТ-2025-02-02-КЛ10.ЭС</t>
  </si>
  <si>
    <t>Строительство 2КЛ-10кВ от ТП 28274 до СП 60401 для двухстороннего резервирования  электроснабжения объектов от собственных сетей (ЖК «Юрлово» по адресу: г. Москва,  Юрловский проезд, 14 (СП 60401) и ТП 28274 по адресу: г. Москва, Алтуфьевское ш. 35).</t>
  </si>
  <si>
    <t>Новый раздел</t>
  </si>
  <si>
    <t>Демонтажные работы</t>
  </si>
  <si>
    <t>1</t>
  </si>
  <si>
    <t>4.8-62-1</t>
  </si>
  <si>
    <t>Монтаж шкафа комплектного распределительных устройств с выключателем напряжением 6-10 кВ на ток до 3200 А</t>
  </si>
  <si>
    <t>1  ШТ.</t>
  </si>
  <si>
    <t>ТСН-2001.4 Доп. 69, Сб. 8, т. 62, поз. 1</t>
  </si>
  <si>
    <t>Поправка: Гл.4.Прил.2.2.п.2.2.28_04.00.01.35.002 Наименование: При демонтаже оборудования, предназначенного для дальнейшего использования, без консервации и упаковки</t>
  </si>
  <si>
    <t>*0</t>
  </si>
  <si>
    <t>*0,4</t>
  </si>
  <si>
    <t>Монтаж оборудования</t>
  </si>
  <si>
    <t>ТСН-2001.4-8. 8-28...8-72</t>
  </si>
  <si>
    <t>ТСН-2001.4-8-2</t>
  </si>
  <si>
    <t>Поправка: Гл.4.Прил.2.2.п.2.2.28_04.00.01.35.002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</si>
  <si>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</si>
  <si>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</si>
  <si>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</si>
  <si>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</si>
  <si>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</si>
  <si>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</si>
  <si>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</si>
  <si>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</si>
  <si>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</si>
  <si>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</si>
  <si>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</si>
  <si>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</si>
  <si>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</si>
  <si>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</si>
  <si>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</si>
  <si>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</si>
  <si>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</si>
  <si>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</si>
  <si>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</si>
  <si>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</si>
  <si>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</si>
  <si>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</si>
  <si>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</si>
  <si>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</si>
  <si>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</si>
  <si>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</si>
  <si>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</si>
  <si>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</si>
  <si>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</si>
  <si>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</si>
  <si>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</si>
  <si>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</si>
  <si>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</si>
  <si>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</si>
  <si>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</si>
  <si>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</si>
  <si>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</si>
  <si>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</si>
  <si>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</si>
  <si>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</si>
  <si>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</si>
  <si>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</si>
  <si>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</si>
  <si>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</si>
  <si>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</si>
  <si>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</si>
  <si>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</si>
  <si>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</si>
  <si>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</si>
  <si>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</si>
  <si>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</si>
  <si>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</si>
  <si>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</si>
  <si>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</si>
  <si>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Монтажные работы</t>
  </si>
  <si>
    <t>2</t>
  </si>
  <si>
    <t>Оборудование</t>
  </si>
  <si>
    <t>3</t>
  </si>
  <si>
    <t>Цена поставщика</t>
  </si>
  <si>
    <t>Ячейки</t>
  </si>
  <si>
    <t>шт.</t>
  </si>
  <si>
    <t>Материалы</t>
  </si>
  <si>
    <t>Материалы, изделия и конструкции</t>
  </si>
  <si>
    <t>[1 840 575 / 1,2 /  7,27] +  3% Трансп +  1,2% Заг.скл</t>
  </si>
  <si>
    <t>1,2</t>
  </si>
  <si>
    <t>в т.ч.</t>
  </si>
  <si>
    <t>Строительные работы</t>
  </si>
  <si>
    <t>Мон</t>
  </si>
  <si>
    <t>ПНР и Пр</t>
  </si>
  <si>
    <t>Прочие работы</t>
  </si>
  <si>
    <t>ОБ_ПР</t>
  </si>
  <si>
    <t>Объект производственного назначения</t>
  </si>
  <si>
    <t>ОБ_НПР</t>
  </si>
  <si>
    <t>Объект непроизводственного назначения</t>
  </si>
  <si>
    <t>Текущий уровень цен</t>
  </si>
  <si>
    <t>Сборник индексов</t>
  </si>
  <si>
    <t>Коэффициенты к ТСН-2001 МГЭ, строительство доп 75</t>
  </si>
  <si>
    <t>214</t>
  </si>
  <si>
    <t>Коэффициенты к ТСН-2001.13-2 доп 75</t>
  </si>
  <si>
    <t>60</t>
  </si>
  <si>
    <t>Базовый уровень цен</t>
  </si>
  <si>
    <t>_OBSM_</t>
  </si>
  <si>
    <t>9999990008</t>
  </si>
  <si>
    <t>Трудозатраты рабочих</t>
  </si>
  <si>
    <t>чел.-ч.</t>
  </si>
  <si>
    <t>2.1-13-14</t>
  </si>
  <si>
    <t>ТСН-2001.2. Доп. 68. п.1-13-14 (136001)</t>
  </si>
  <si>
    <t>Аппараты сварочные постоянного тока (выпрямители) для ручной дуговой сварки, сварочный ток до 500 А</t>
  </si>
  <si>
    <t>маш.-ч</t>
  </si>
  <si>
    <t>2.1-18-7</t>
  </si>
  <si>
    <t>ТСН-2001.2. Доп. 68. п.1-18-7 (183001)</t>
  </si>
  <si>
    <t>Автомобили грузовые бортовые, грузоподъемность до 5 т</t>
  </si>
  <si>
    <t>2.1-4-37</t>
  </si>
  <si>
    <t>ТСН-2001.2. Доп. 68. п.1-4-37 (042909)</t>
  </si>
  <si>
    <t>Лебедки электрические, тяговое усилие до 156,96 кН (16 тc)</t>
  </si>
  <si>
    <t>1.1-1-1063</t>
  </si>
  <si>
    <t>ТСН-2001.1 Доп. 65, Р. 1, о. 1, поз. 1063</t>
  </si>
  <si>
    <t>Спирт этиловый ректификат</t>
  </si>
  <si>
    <t>кг</t>
  </si>
  <si>
    <t>1.1-1-1092</t>
  </si>
  <si>
    <t>ТСН-2001.1 Доп. 48, Р. 1, о. 1, поз. 1092</t>
  </si>
  <si>
    <t>Полоса из стали углеродистой обыкновенного качества, спокойной</t>
  </si>
  <si>
    <t>т</t>
  </si>
  <si>
    <t>1.1-1-1577</t>
  </si>
  <si>
    <t>ТСН-2001.1 Доп. 67, Р. 1, о. 1, поз. 1577</t>
  </si>
  <si>
    <t>Эмаль пентафталевая, цветная, типа ПФ-115</t>
  </si>
  <si>
    <t>1.1-1-2558</t>
  </si>
  <si>
    <t>ТСН-2001.1 Доп. 68, Р. 1, о. 1, поз. 2558</t>
  </si>
  <si>
    <t>Смазка пластичная, антифрикционная, водостойкая, типа Литол-24</t>
  </si>
  <si>
    <t>1.1-1-7959</t>
  </si>
  <si>
    <t>ТСН-2001.1 Доп. 64, Р. 1, о. 1, поз. 7959</t>
  </si>
  <si>
    <t>Миткаль суровый, ширина 900 мм, плотность 67 г/м2</t>
  </si>
  <si>
    <t>10 м</t>
  </si>
  <si>
    <t>1.21-5-798</t>
  </si>
  <si>
    <t>ТСН-2001.1 Доп. 67, Р. 21, о. 5, поз. 798</t>
  </si>
  <si>
    <t>Лента монтажная, типа ЛМ-5</t>
  </si>
  <si>
    <t>м</t>
  </si>
  <si>
    <t>1297020000</t>
  </si>
  <si>
    <t>Болты строительные с гайками и шайбами (1297030000, 1610000000, 1620000000, 1680000000)</t>
  </si>
  <si>
    <t>3414710000</t>
  </si>
  <si>
    <t>Шкафы комплектные распределительных устройств с выключателем напряжением 6-10 кВ на ток до 3200 А</t>
  </si>
  <si>
    <t>Гл.4.Прил.2.2.п.2.2.28_04.00.01.35.002</t>
  </si>
  <si>
    <t>При демонтаже оборудования, предназначенного для дальнейшего использования, без консервации и упаковки</t>
  </si>
  <si>
    <t>Глава 4</t>
  </si>
  <si>
    <t>(наименование стройки и/или объекта)</t>
  </si>
  <si>
    <t>(наименование работ и затрат)</t>
  </si>
  <si>
    <t>В базисном уровне цен</t>
  </si>
  <si>
    <t>В текущем уровне цен</t>
  </si>
  <si>
    <t>Сметная стоимость</t>
  </si>
  <si>
    <t>Работы по монтажу оборудования</t>
  </si>
  <si>
    <t>Прочие работы и затраты</t>
  </si>
  <si>
    <t>Средства на оплату труда</t>
  </si>
  <si>
    <t>Затраты труда</t>
  </si>
  <si>
    <t xml:space="preserve">Кроме того: </t>
  </si>
  <si>
    <t>№ п/п</t>
  </si>
  <si>
    <t>Шифр расценки и коды ресурсов</t>
  </si>
  <si>
    <t>Наименование работ и затрат</t>
  </si>
  <si>
    <t>Ед. изм.</t>
  </si>
  <si>
    <t>Кол-во
единиц</t>
  </si>
  <si>
    <t>Цена на
ед. изм.,
руб.</t>
  </si>
  <si>
    <t>Попра-
вочные
коэффи-
циенты</t>
  </si>
  <si>
    <t>Коэффи-
циенты
зимних
удорожа-
ний</t>
  </si>
  <si>
    <t>Всего
затрат в
базисном
уровне цен,
руб.</t>
  </si>
  <si>
    <t>Коэффи-
циенты
(индек-
сы) пере-
счета,
нормы
НР и СП</t>
  </si>
  <si>
    <t>ВСЕГО
затрат в
текущем
уровне цен,
руб.</t>
  </si>
  <si>
    <t>Форма № 4б</t>
  </si>
  <si>
    <t>Составлен(а) по ТСН-2001 с учетом Дополнения №: 75</t>
  </si>
  <si>
    <t>№ и период сборника коэффициентов (индексов) пересчета: Коэффициенты к ТСН-2001 МГЭ, строительство доп 75 №214 I квартал 2025 года и Коэффициенты к ТСН-2001.13-2 доп 75 №60 I квартал 2025 года</t>
  </si>
  <si>
    <t>ЗП</t>
  </si>
  <si>
    <t>ЭМ</t>
  </si>
  <si>
    <t>в т.ч. ЗПМ</t>
  </si>
  <si>
    <t>НР от ЗП</t>
  </si>
  <si>
    <t>%</t>
  </si>
  <si>
    <t>СП от ЗП</t>
  </si>
  <si>
    <t>НР и СП от ЗПМ</t>
  </si>
  <si>
    <t>ЗТР</t>
  </si>
  <si>
    <t>чел-ч</t>
  </si>
  <si>
    <t>ВСЕГО работ по позиции:</t>
  </si>
  <si>
    <t>ВСЕГО оборудование по позиции:</t>
  </si>
  <si>
    <t xml:space="preserve">   Итого по ТСН-2001.16</t>
  </si>
  <si>
    <t xml:space="preserve">   Итого возвратных сумм</t>
  </si>
  <si>
    <t>МР</t>
  </si>
  <si>
    <t>ВСЕГО по позиции:</t>
  </si>
  <si>
    <t xml:space="preserve"> тыс.руб.</t>
  </si>
  <si>
    <r>
      <t>4.8-62-1</t>
    </r>
    <r>
      <rPr>
        <i/>
        <sz val="10"/>
        <rFont val="Times New Roman"/>
        <family val="1"/>
        <charset val="204"/>
      </rPr>
      <t xml:space="preserve">
Поправка: Гл.4.Прил.2.2.п.2.2.28_04.00.01.35.002</t>
    </r>
  </si>
  <si>
    <r>
      <t>Ячейки</t>
    </r>
    <r>
      <rPr>
        <i/>
        <sz val="10"/>
        <rFont val="Times New Roman"/>
        <family val="1"/>
        <charset val="204"/>
      </rPr>
      <t xml:space="preserve">
219 915,38 = [1 840 575 / 1,2 /  7,27] +  3% Трансп +  1,2% Заг.скл</t>
    </r>
  </si>
  <si>
    <t>ЛОКАЛЬНАЯ СМЕТА № 02-01-03</t>
  </si>
</sst>
</file>

<file path=xl/styles.xml><?xml version="1.0" encoding="utf-8"?>
<styleSheet xmlns="http://schemas.openxmlformats.org/spreadsheetml/2006/main">
  <numFmts count="2">
    <numFmt numFmtId="164" formatCode="#,##0.00;[Red]\-\ #,##0.00"/>
    <numFmt numFmtId="165" formatCode="General;\-General;"/>
  </numFmts>
  <fonts count="22">
    <font>
      <sz val="10"/>
      <name val="Arial"/>
      <charset val="204"/>
    </font>
    <font>
      <b/>
      <sz val="10"/>
      <color indexed="12"/>
      <name val="Arial"/>
      <charset val="204"/>
    </font>
    <font>
      <sz val="10"/>
      <color indexed="18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sz val="10"/>
      <color indexed="16"/>
      <name val="Arial"/>
      <charset val="204"/>
    </font>
    <font>
      <b/>
      <sz val="10"/>
      <color indexed="14"/>
      <name val="Arial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2" fillId="0" borderId="0" xfId="0" applyFont="1"/>
    <xf numFmtId="0" fontId="12" fillId="0" borderId="0" xfId="0" applyFont="1" applyAlignment="1">
      <alignment horizontal="right"/>
    </xf>
    <xf numFmtId="0" fontId="13" fillId="0" borderId="0" xfId="0" applyFont="1"/>
    <xf numFmtId="0" fontId="14" fillId="0" borderId="1" xfId="0" applyFont="1" applyBorder="1" applyAlignment="1">
      <alignment horizontal="center" wrapText="1"/>
    </xf>
    <xf numFmtId="0" fontId="15" fillId="0" borderId="2" xfId="0" applyFont="1" applyBorder="1" applyAlignment="1">
      <alignment horizontal="center"/>
    </xf>
    <xf numFmtId="0" fontId="16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0" fontId="13" fillId="0" borderId="0" xfId="0" applyFont="1" applyAlignment="1"/>
    <xf numFmtId="0" fontId="12" fillId="0" borderId="1" xfId="0" applyFont="1" applyBorder="1" applyAlignment="1">
      <alignment horizontal="left" wrapText="1"/>
    </xf>
    <xf numFmtId="0" fontId="12" fillId="0" borderId="0" xfId="0" applyFont="1" applyBorder="1" applyAlignment="1">
      <alignment horizontal="left" wrapText="1"/>
    </xf>
    <xf numFmtId="0" fontId="12" fillId="0" borderId="0" xfId="0" applyFont="1" applyAlignment="1">
      <alignment horizontal="center" vertical="top" wrapText="1"/>
    </xf>
    <xf numFmtId="0" fontId="18" fillId="0" borderId="0" xfId="0" applyFont="1" applyAlignment="1">
      <alignment horizontal="left"/>
    </xf>
    <xf numFmtId="164" fontId="18" fillId="0" borderId="0" xfId="0" applyNumberFormat="1" applyFont="1"/>
    <xf numFmtId="0" fontId="18" fillId="0" borderId="0" xfId="0" applyFont="1"/>
    <xf numFmtId="0" fontId="12" fillId="0" borderId="0" xfId="0" applyFont="1" applyAlignment="1">
      <alignment horizontal="left"/>
    </xf>
    <xf numFmtId="164" fontId="12" fillId="0" borderId="0" xfId="0" applyNumberFormat="1" applyFont="1"/>
    <xf numFmtId="0" fontId="12" fillId="0" borderId="0" xfId="0" applyFont="1" applyFill="1" applyAlignment="1">
      <alignment horizontal="left"/>
    </xf>
    <xf numFmtId="0" fontId="12" fillId="0" borderId="0" xfId="1" applyFont="1" applyFill="1" applyAlignment="1">
      <alignment horizontal="left"/>
    </xf>
    <xf numFmtId="0" fontId="12" fillId="0" borderId="0" xfId="0" applyFont="1" applyAlignment="1">
      <alignment horizontal="left"/>
    </xf>
    <xf numFmtId="0" fontId="12" fillId="0" borderId="1" xfId="0" applyFont="1" applyBorder="1" applyAlignment="1">
      <alignment horizontal="left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9" fillId="0" borderId="0" xfId="0" applyFont="1" applyAlignment="1">
      <alignment horizontal="center" wrapText="1"/>
    </xf>
    <xf numFmtId="0" fontId="12" fillId="0" borderId="0" xfId="0" applyFont="1" applyAlignment="1">
      <alignment horizontal="left" vertical="top" wrapText="1"/>
    </xf>
    <xf numFmtId="0" fontId="21" fillId="0" borderId="0" xfId="0" applyFont="1" applyAlignment="1">
      <alignment horizontal="right" wrapText="1"/>
    </xf>
    <xf numFmtId="0" fontId="12" fillId="0" borderId="0" xfId="0" applyFont="1" applyAlignment="1">
      <alignment horizontal="right"/>
    </xf>
    <xf numFmtId="164" fontId="12" fillId="0" borderId="0" xfId="0" applyNumberFormat="1" applyFont="1" applyAlignment="1">
      <alignment horizontal="right"/>
    </xf>
    <xf numFmtId="165" fontId="12" fillId="0" borderId="0" xfId="0" applyNumberFormat="1" applyFont="1" applyAlignment="1">
      <alignment horizontal="right" wrapText="1"/>
    </xf>
    <xf numFmtId="164" fontId="21" fillId="0" borderId="0" xfId="0" applyNumberFormat="1" applyFont="1" applyAlignment="1">
      <alignment horizontal="right"/>
    </xf>
    <xf numFmtId="0" fontId="12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right" wrapText="1"/>
    </xf>
    <xf numFmtId="0" fontId="12" fillId="0" borderId="1" xfId="0" applyFont="1" applyBorder="1" applyAlignment="1">
      <alignment horizontal="right"/>
    </xf>
    <xf numFmtId="164" fontId="12" fillId="0" borderId="1" xfId="0" applyNumberFormat="1" applyFont="1" applyBorder="1" applyAlignment="1">
      <alignment horizontal="right"/>
    </xf>
    <xf numFmtId="165" fontId="12" fillId="0" borderId="1" xfId="0" applyNumberFormat="1" applyFont="1" applyBorder="1" applyAlignment="1">
      <alignment horizontal="right" wrapText="1"/>
    </xf>
    <xf numFmtId="164" fontId="13" fillId="0" borderId="0" xfId="0" applyNumberFormat="1" applyFont="1"/>
    <xf numFmtId="164" fontId="18" fillId="0" borderId="2" xfId="0" applyNumberFormat="1" applyFont="1" applyBorder="1" applyAlignment="1">
      <alignment horizontal="right"/>
    </xf>
    <xf numFmtId="164" fontId="18" fillId="0" borderId="0" xfId="0" applyNumberFormat="1" applyFont="1" applyAlignment="1">
      <alignment horizontal="right"/>
    </xf>
    <xf numFmtId="0" fontId="18" fillId="0" borderId="0" xfId="0" applyFont="1" applyAlignment="1">
      <alignment horizontal="left" wrapText="1"/>
    </xf>
    <xf numFmtId="0" fontId="18" fillId="0" borderId="0" xfId="0" applyFont="1" applyAlignment="1">
      <alignment horizontal="right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78"/>
  <sheetViews>
    <sheetView tabSelected="1" zoomScaleNormal="100" workbookViewId="0">
      <selection activeCell="A5" sqref="A5:K5"/>
    </sheetView>
  </sheetViews>
  <sheetFormatPr defaultRowHeight="12.7"/>
  <cols>
    <col min="1" max="1" width="5.77734375" style="13" customWidth="1"/>
    <col min="2" max="2" width="11.77734375" style="13" customWidth="1"/>
    <col min="3" max="3" width="40.77734375" style="13" customWidth="1"/>
    <col min="4" max="4" width="11.77734375" style="13" customWidth="1"/>
    <col min="5" max="5" width="8" style="13" bestFit="1" customWidth="1"/>
    <col min="6" max="6" width="11.88671875" style="13" bestFit="1" customWidth="1"/>
    <col min="7" max="7" width="8.88671875" style="13"/>
    <col min="8" max="8" width="8.44140625" style="13" bestFit="1" customWidth="1"/>
    <col min="9" max="9" width="11.88671875" style="13" bestFit="1" customWidth="1"/>
    <col min="10" max="10" width="12" style="13" bestFit="1" customWidth="1"/>
    <col min="11" max="11" width="13.77734375" style="13" bestFit="1" customWidth="1"/>
    <col min="12" max="13" width="8.88671875" style="13"/>
    <col min="14" max="41" width="0" style="13" hidden="1" customWidth="1"/>
    <col min="42" max="42" width="127.5546875" style="13" hidden="1" customWidth="1"/>
    <col min="43" max="47" width="0" style="13" hidden="1" customWidth="1"/>
    <col min="48" max="16384" width="8.88671875" style="13"/>
  </cols>
  <sheetData>
    <row r="1" spans="1:11" ht="14.4">
      <c r="A1" s="11"/>
      <c r="B1" s="11"/>
      <c r="C1" s="11"/>
      <c r="D1" s="11"/>
      <c r="E1" s="11"/>
      <c r="F1" s="11"/>
      <c r="G1" s="11"/>
      <c r="H1" s="11"/>
      <c r="I1" s="11"/>
      <c r="J1" s="12" t="s">
        <v>177</v>
      </c>
      <c r="K1" s="12"/>
    </row>
    <row r="2" spans="1:11" ht="37.450000000000003" customHeight="1">
      <c r="A2" s="14" t="str">
        <f>Source!U20</f>
        <v>Строительство 2КЛ-10кВ от ТП 28274 до СП 60401 для двухстороннего резервирования  электроснабжения объектов от собственных сетей (ЖК «Юрлово» по адресу: г. Москва,  Юрловский проезд, 14 (СП 60401) и ТП 28274 по адресу: г. Москва, Алтуфьевское ш. 35).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>
      <c r="A3" s="15" t="s">
        <v>156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ht="14.4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15.55">
      <c r="A5" s="14" t="s">
        <v>198</v>
      </c>
      <c r="B5" s="16"/>
      <c r="C5" s="16"/>
      <c r="D5" s="16"/>
      <c r="E5" s="16"/>
      <c r="F5" s="16"/>
      <c r="G5" s="16"/>
      <c r="H5" s="16"/>
      <c r="I5" s="16"/>
      <c r="J5" s="16"/>
      <c r="K5" s="16"/>
    </row>
    <row r="6" spans="1:11" ht="14.4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</row>
    <row r="7" spans="1:11" ht="17.3">
      <c r="A7" s="17" t="str">
        <f>Source!G20</f>
        <v>Реконструкция ТП  28274</v>
      </c>
      <c r="B7" s="17"/>
      <c r="C7" s="17"/>
      <c r="D7" s="17"/>
      <c r="E7" s="17"/>
      <c r="F7" s="17"/>
      <c r="G7" s="17"/>
      <c r="H7" s="17"/>
      <c r="I7" s="17"/>
      <c r="J7" s="17"/>
      <c r="K7" s="17"/>
    </row>
    <row r="8" spans="1:11">
      <c r="A8" s="18" t="s">
        <v>157</v>
      </c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1" ht="14.4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</row>
    <row r="10" spans="1:11" ht="14.4">
      <c r="A10" s="20" t="str">
        <f>CONCATENATE( "Основание: чертежи № ", Source!J12)</f>
        <v xml:space="preserve">Основание: чертежи № 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</row>
    <row r="11" spans="1:11" ht="14.4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</row>
    <row r="12" spans="1:11" ht="28.8">
      <c r="A12" s="11"/>
      <c r="B12" s="11"/>
      <c r="C12" s="11"/>
      <c r="D12" s="11"/>
      <c r="E12" s="11"/>
      <c r="F12" s="11"/>
      <c r="G12" s="11"/>
      <c r="H12" s="11"/>
      <c r="I12" s="22" t="s">
        <v>158</v>
      </c>
      <c r="J12" s="22" t="s">
        <v>159</v>
      </c>
      <c r="K12" s="11"/>
    </row>
    <row r="13" spans="1:11" ht="14.4">
      <c r="A13" s="11"/>
      <c r="B13" s="11"/>
      <c r="C13" s="11"/>
      <c r="D13" s="11"/>
      <c r="E13" s="23" t="s">
        <v>160</v>
      </c>
      <c r="F13" s="23"/>
      <c r="G13" s="23"/>
      <c r="H13" s="23"/>
      <c r="I13" s="24">
        <f>I14+I15+I16+I17</f>
        <v>446.14</v>
      </c>
      <c r="J13" s="24">
        <f>J14+J15+J16+J17</f>
        <v>3403.63</v>
      </c>
      <c r="K13" s="25" t="s">
        <v>195</v>
      </c>
    </row>
    <row r="14" spans="1:11" ht="14.4">
      <c r="A14" s="11"/>
      <c r="B14" s="11"/>
      <c r="C14" s="11"/>
      <c r="D14" s="11"/>
      <c r="E14" s="26" t="s">
        <v>98</v>
      </c>
      <c r="F14" s="26"/>
      <c r="G14" s="26"/>
      <c r="H14" s="26"/>
      <c r="I14" s="27">
        <f>ROUND(SUM(X1:X79)/1000, 2)</f>
        <v>0</v>
      </c>
      <c r="J14" s="27">
        <f>ROUND((Source!P182)/1000, 2)</f>
        <v>0</v>
      </c>
      <c r="K14" s="11" t="s">
        <v>195</v>
      </c>
    </row>
    <row r="15" spans="1:11" ht="14.4">
      <c r="A15" s="11"/>
      <c r="B15" s="11"/>
      <c r="C15" s="11"/>
      <c r="D15" s="11"/>
      <c r="E15" s="26" t="s">
        <v>161</v>
      </c>
      <c r="F15" s="26"/>
      <c r="G15" s="26"/>
      <c r="H15" s="26"/>
      <c r="I15" s="27">
        <f>ROUND(SUM(Y1:Y79)/1000, 2)</f>
        <v>6.31</v>
      </c>
      <c r="J15" s="27">
        <f>ROUND((Source!P183)/1000, 2)</f>
        <v>206.06</v>
      </c>
      <c r="K15" s="11" t="s">
        <v>195</v>
      </c>
    </row>
    <row r="16" spans="1:11" ht="14.4">
      <c r="A16" s="11"/>
      <c r="B16" s="11"/>
      <c r="C16" s="11"/>
      <c r="D16" s="11"/>
      <c r="E16" s="26" t="s">
        <v>88</v>
      </c>
      <c r="F16" s="26"/>
      <c r="G16" s="26"/>
      <c r="H16" s="26"/>
      <c r="I16" s="27">
        <f>ROUND(SUM(Z1:Z79)/1000, 2)</f>
        <v>439.83</v>
      </c>
      <c r="J16" s="27">
        <f>ROUND((Source!P174)/1000, 2)</f>
        <v>3197.57</v>
      </c>
      <c r="K16" s="11" t="s">
        <v>195</v>
      </c>
    </row>
    <row r="17" spans="1:42" ht="14.4">
      <c r="A17" s="11"/>
      <c r="B17" s="11"/>
      <c r="C17" s="11"/>
      <c r="D17" s="11"/>
      <c r="E17" s="26" t="s">
        <v>162</v>
      </c>
      <c r="F17" s="26"/>
      <c r="G17" s="26"/>
      <c r="H17" s="26"/>
      <c r="I17" s="27">
        <f>ROUND(SUM(AA1:AA79)/1000, 2)</f>
        <v>0</v>
      </c>
      <c r="J17" s="27">
        <f>ROUND((Source!P184+Source!P185)/1000, 2)</f>
        <v>0</v>
      </c>
      <c r="K17" s="11" t="s">
        <v>195</v>
      </c>
    </row>
    <row r="18" spans="1:42" ht="14.4">
      <c r="A18" s="11"/>
      <c r="B18" s="11"/>
      <c r="C18" s="11"/>
      <c r="D18" s="11"/>
      <c r="E18" s="26" t="s">
        <v>163</v>
      </c>
      <c r="F18" s="26"/>
      <c r="G18" s="26"/>
      <c r="H18" s="26"/>
      <c r="I18" s="27">
        <f>ROUND(SUM(W1:W79)/1000, 2)</f>
        <v>1.64</v>
      </c>
      <c r="J18" s="27">
        <f>((Source!P180 + Source!P179)/1000)</f>
        <v>76.460859999999997</v>
      </c>
      <c r="K18" s="11" t="s">
        <v>195</v>
      </c>
    </row>
    <row r="19" spans="1:42" ht="14.4">
      <c r="A19" s="11"/>
      <c r="B19" s="11"/>
      <c r="C19" s="11"/>
      <c r="D19" s="11"/>
      <c r="E19" s="26" t="s">
        <v>164</v>
      </c>
      <c r="F19" s="26"/>
      <c r="G19" s="26"/>
      <c r="H19" s="26"/>
      <c r="I19" s="27">
        <f>SUM(AB1:AB79)</f>
        <v>84.430080000000004</v>
      </c>
      <c r="J19" s="27"/>
      <c r="K19" s="11" t="s">
        <v>116</v>
      </c>
    </row>
    <row r="20" spans="1:42" ht="14.4" hidden="1">
      <c r="A20" s="11"/>
      <c r="B20" s="11"/>
      <c r="C20" s="11"/>
      <c r="D20" s="11"/>
      <c r="E20" s="28" t="s">
        <v>165</v>
      </c>
      <c r="F20" s="28"/>
      <c r="G20" s="28"/>
      <c r="H20" s="28"/>
      <c r="I20" s="27"/>
      <c r="J20" s="27"/>
      <c r="K20" s="11"/>
    </row>
    <row r="21" spans="1:42" ht="14.4" hidden="1">
      <c r="A21" s="11"/>
      <c r="B21" s="11"/>
      <c r="C21" s="11"/>
      <c r="D21" s="11"/>
      <c r="E21" s="29" t="s">
        <v>71</v>
      </c>
      <c r="F21" s="29"/>
      <c r="G21" s="29"/>
      <c r="H21" s="29"/>
      <c r="I21" s="27">
        <f>ROUND(SUM(AE1:AE79)/1000, 2)</f>
        <v>0</v>
      </c>
      <c r="J21" s="27">
        <f>SUM(AF1:AF79)/1000</f>
        <v>0</v>
      </c>
      <c r="K21" s="11" t="s">
        <v>195</v>
      </c>
    </row>
    <row r="22" spans="1:42" ht="14.4">
      <c r="A22" s="11"/>
      <c r="B22" s="11"/>
      <c r="C22" s="11"/>
      <c r="D22" s="11"/>
      <c r="E22" s="11"/>
      <c r="F22" s="30"/>
      <c r="G22" s="30"/>
      <c r="H22" s="30"/>
      <c r="I22" s="27"/>
      <c r="J22" s="27"/>
      <c r="K22" s="11"/>
    </row>
    <row r="23" spans="1:42" ht="14.4">
      <c r="A23" s="11" t="s">
        <v>178</v>
      </c>
      <c r="B23" s="11"/>
      <c r="C23" s="11"/>
      <c r="D23" s="11"/>
      <c r="E23" s="11"/>
      <c r="F23" s="30"/>
      <c r="G23" s="30"/>
      <c r="H23" s="30"/>
      <c r="I23" s="27"/>
      <c r="J23" s="27"/>
      <c r="K23" s="11"/>
    </row>
    <row r="24" spans="1:42" ht="28.8">
      <c r="A24" s="20" t="s">
        <v>179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AP24" s="31" t="s">
        <v>179</v>
      </c>
    </row>
    <row r="25" spans="1:42" ht="100.8">
      <c r="A25" s="32" t="s">
        <v>166</v>
      </c>
      <c r="B25" s="32" t="s">
        <v>167</v>
      </c>
      <c r="C25" s="32" t="s">
        <v>168</v>
      </c>
      <c r="D25" s="32" t="s">
        <v>169</v>
      </c>
      <c r="E25" s="32" t="s">
        <v>170</v>
      </c>
      <c r="F25" s="32" t="s">
        <v>171</v>
      </c>
      <c r="G25" s="33" t="s">
        <v>172</v>
      </c>
      <c r="H25" s="33" t="s">
        <v>173</v>
      </c>
      <c r="I25" s="32" t="s">
        <v>174</v>
      </c>
      <c r="J25" s="32" t="s">
        <v>175</v>
      </c>
      <c r="K25" s="32" t="s">
        <v>176</v>
      </c>
    </row>
    <row r="26" spans="1:42" ht="14.4">
      <c r="A26" s="32">
        <v>1</v>
      </c>
      <c r="B26" s="32">
        <v>2</v>
      </c>
      <c r="C26" s="32">
        <v>3</v>
      </c>
      <c r="D26" s="32">
        <v>4</v>
      </c>
      <c r="E26" s="32">
        <v>5</v>
      </c>
      <c r="F26" s="32">
        <v>6</v>
      </c>
      <c r="G26" s="32">
        <v>7</v>
      </c>
      <c r="H26" s="32">
        <v>8</v>
      </c>
      <c r="I26" s="32">
        <v>9</v>
      </c>
      <c r="J26" s="32">
        <v>10</v>
      </c>
      <c r="K26" s="32">
        <v>11</v>
      </c>
    </row>
    <row r="28" spans="1:42" ht="16.7">
      <c r="A28" s="34" t="str">
        <f>CONCATENATE("Локальная смета: ",IF(Source!G20&lt;&gt;"Новая локальная смета", Source!G20, ""))</f>
        <v>Локальная смета: Реконструкция ТП  28274</v>
      </c>
      <c r="B28" s="34"/>
      <c r="C28" s="34"/>
      <c r="D28" s="34"/>
      <c r="E28" s="34"/>
      <c r="F28" s="34"/>
      <c r="G28" s="34"/>
      <c r="H28" s="34"/>
      <c r="I28" s="34"/>
      <c r="J28" s="34"/>
      <c r="K28" s="34"/>
    </row>
    <row r="30" spans="1:42" ht="16.7">
      <c r="A30" s="34" t="str">
        <f>CONCATENATE("Раздел: ",IF(Source!G24&lt;&gt;"Новый раздел", Source!G24, ""))</f>
        <v>Раздел: Демонтажные работы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</row>
    <row r="31" spans="1:42" ht="77.8">
      <c r="A31" s="35">
        <v>1</v>
      </c>
      <c r="B31" s="35" t="s">
        <v>196</v>
      </c>
      <c r="C31" s="35" t="s">
        <v>22</v>
      </c>
      <c r="D31" s="36" t="str">
        <f>Source!H29</f>
        <v>1  ШТ.</v>
      </c>
      <c r="E31" s="37">
        <f>Source!I29</f>
        <v>2</v>
      </c>
      <c r="F31" s="38"/>
      <c r="G31" s="39"/>
      <c r="H31" s="37"/>
      <c r="I31" s="38"/>
      <c r="J31" s="37"/>
      <c r="K31" s="38"/>
      <c r="Q31" s="13">
        <f>ROUND((Source!DN29/100)*ROUND((ROUND((Source!AF29*Source!AV29*Source!I29),2)),2), 2)</f>
        <v>340.96</v>
      </c>
      <c r="R31" s="13">
        <f>Source!X29</f>
        <v>13071.13</v>
      </c>
      <c r="S31" s="13">
        <f>ROUND((Source!DO29/100)*ROUND((ROUND((Source!AF29*Source!AV29*Source!I29),2)),2), 2)</f>
        <v>213.1</v>
      </c>
      <c r="T31" s="13">
        <f>Source!Y29</f>
        <v>6109.33</v>
      </c>
      <c r="U31" s="13">
        <f>ROUND((175/100)*ROUND((ROUND((Source!AE29*Source!AV29*Source!I29),2)),2), 2)</f>
        <v>286.41000000000003</v>
      </c>
      <c r="V31" s="13">
        <f>ROUND((160/100)*ROUND(ROUND((ROUND((Source!AE29*Source!AV29*Source!I29),2)*Source!BS29),2), 2), 2)</f>
        <v>12220.82</v>
      </c>
      <c r="AI31" s="13">
        <v>0</v>
      </c>
    </row>
    <row r="32" spans="1:42" ht="14.4">
      <c r="A32" s="35"/>
      <c r="B32" s="35"/>
      <c r="C32" s="35" t="s">
        <v>180</v>
      </c>
      <c r="D32" s="36"/>
      <c r="E32" s="37"/>
      <c r="F32" s="38">
        <f>Source!AO29</f>
        <v>363.46</v>
      </c>
      <c r="G32" s="39" t="str">
        <f>Source!DG29</f>
        <v>*0,4</v>
      </c>
      <c r="H32" s="37">
        <f>Source!AV29</f>
        <v>1.0469999999999999</v>
      </c>
      <c r="I32" s="38">
        <f>ROUND((ROUND((Source!AF29*Source!AV29*Source!I29),2)),2)</f>
        <v>304.43</v>
      </c>
      <c r="J32" s="37">
        <f>IF(Source!BA29&lt;&gt; 0, Source!BA29, 1)</f>
        <v>46.67</v>
      </c>
      <c r="K32" s="38">
        <f>Source!S29</f>
        <v>14207.75</v>
      </c>
      <c r="W32" s="13">
        <f>I32</f>
        <v>304.43</v>
      </c>
    </row>
    <row r="33" spans="1:28" ht="14.4">
      <c r="A33" s="35"/>
      <c r="B33" s="35"/>
      <c r="C33" s="35" t="s">
        <v>181</v>
      </c>
      <c r="D33" s="36"/>
      <c r="E33" s="37"/>
      <c r="F33" s="38">
        <f>Source!AM29</f>
        <v>727.52</v>
      </c>
      <c r="G33" s="39" t="str">
        <f>Source!DE29</f>
        <v>*0,4</v>
      </c>
      <c r="H33" s="37">
        <f>Source!AV29</f>
        <v>1.0469999999999999</v>
      </c>
      <c r="I33" s="38">
        <f>(ROUND((ROUND((((Source!ET29*0.4))*Source!AV29*Source!I29),2)),2)+ROUND((ROUND(((Source!AE29-((Source!EU29*0.4)))*Source!AV29*Source!I29),2)),2))</f>
        <v>609.37</v>
      </c>
      <c r="J33" s="37">
        <f>IF(Source!BB29&lt;&gt; 0, Source!BB29, 1)</f>
        <v>19.55</v>
      </c>
      <c r="K33" s="38">
        <f>Source!Q29</f>
        <v>11913.18</v>
      </c>
    </row>
    <row r="34" spans="1:28" ht="14.4">
      <c r="A34" s="35"/>
      <c r="B34" s="35"/>
      <c r="C34" s="35" t="s">
        <v>182</v>
      </c>
      <c r="D34" s="36"/>
      <c r="E34" s="37"/>
      <c r="F34" s="38">
        <f>Source!AN29</f>
        <v>195.39</v>
      </c>
      <c r="G34" s="39" t="str">
        <f>Source!DF29</f>
        <v>*0,4</v>
      </c>
      <c r="H34" s="37">
        <f>Source!AV29</f>
        <v>1.0469999999999999</v>
      </c>
      <c r="I34" s="40">
        <f>ROUND((ROUND((Source!AE29*Source!AV29*Source!I29),2)),2)</f>
        <v>163.66</v>
      </c>
      <c r="J34" s="37">
        <f>IF(Source!BS29&lt;&gt; 0, Source!BS29, 1)</f>
        <v>46.67</v>
      </c>
      <c r="K34" s="40">
        <f>Source!R29</f>
        <v>7638.01</v>
      </c>
      <c r="W34" s="13">
        <f>I34</f>
        <v>163.66</v>
      </c>
    </row>
    <row r="35" spans="1:28" ht="14.4">
      <c r="A35" s="35"/>
      <c r="B35" s="35"/>
      <c r="C35" s="35" t="s">
        <v>183</v>
      </c>
      <c r="D35" s="36" t="s">
        <v>184</v>
      </c>
      <c r="E35" s="37">
        <f>Source!DN29</f>
        <v>112</v>
      </c>
      <c r="F35" s="38"/>
      <c r="G35" s="39"/>
      <c r="H35" s="37"/>
      <c r="I35" s="38">
        <f>SUM(Q31:Q34)</f>
        <v>340.96</v>
      </c>
      <c r="J35" s="37">
        <f>Source!BZ29</f>
        <v>92</v>
      </c>
      <c r="K35" s="38">
        <f>SUM(R31:R34)</f>
        <v>13071.13</v>
      </c>
    </row>
    <row r="36" spans="1:28" ht="14.4">
      <c r="A36" s="35"/>
      <c r="B36" s="35"/>
      <c r="C36" s="35" t="s">
        <v>185</v>
      </c>
      <c r="D36" s="36" t="s">
        <v>184</v>
      </c>
      <c r="E36" s="37">
        <f>Source!DO29</f>
        <v>70</v>
      </c>
      <c r="F36" s="38"/>
      <c r="G36" s="39"/>
      <c r="H36" s="37"/>
      <c r="I36" s="38">
        <f>SUM(S31:S35)</f>
        <v>213.1</v>
      </c>
      <c r="J36" s="37">
        <f>Source!CA29</f>
        <v>43</v>
      </c>
      <c r="K36" s="38">
        <f>SUM(T31:T35)</f>
        <v>6109.33</v>
      </c>
    </row>
    <row r="37" spans="1:28" ht="14.4">
      <c r="A37" s="35"/>
      <c r="B37" s="35"/>
      <c r="C37" s="35" t="s">
        <v>186</v>
      </c>
      <c r="D37" s="36" t="s">
        <v>184</v>
      </c>
      <c r="E37" s="37">
        <f>175</f>
        <v>175</v>
      </c>
      <c r="F37" s="38"/>
      <c r="G37" s="39"/>
      <c r="H37" s="37"/>
      <c r="I37" s="38">
        <f>SUM(U31:U36)</f>
        <v>286.41000000000003</v>
      </c>
      <c r="J37" s="37">
        <f>160</f>
        <v>160</v>
      </c>
      <c r="K37" s="38">
        <f>SUM(V31:V36)</f>
        <v>12220.82</v>
      </c>
    </row>
    <row r="38" spans="1:28" ht="14.4">
      <c r="A38" s="41"/>
      <c r="B38" s="41"/>
      <c r="C38" s="41" t="s">
        <v>187</v>
      </c>
      <c r="D38" s="42" t="s">
        <v>188</v>
      </c>
      <c r="E38" s="43">
        <f>Source!AQ29</f>
        <v>28.8</v>
      </c>
      <c r="F38" s="44"/>
      <c r="G38" s="45" t="str">
        <f>Source!DI29</f>
        <v>*0,4</v>
      </c>
      <c r="H38" s="43">
        <f>Source!AV29</f>
        <v>1.0469999999999999</v>
      </c>
      <c r="I38" s="44">
        <f>Source!U29</f>
        <v>24.122880000000002</v>
      </c>
      <c r="J38" s="43"/>
      <c r="K38" s="44"/>
      <c r="AB38" s="46">
        <f>I38</f>
        <v>24.122880000000002</v>
      </c>
    </row>
    <row r="39" spans="1:28" ht="14.4">
      <c r="C39" s="25" t="s">
        <v>189</v>
      </c>
      <c r="H39" s="47">
        <f>I32+I33+I35+I36+I37+0-0-0</f>
        <v>1754.27</v>
      </c>
      <c r="I39" s="47"/>
      <c r="J39" s="47">
        <f>K32+K33+K35+K36+K37+0-0-0</f>
        <v>57522.21</v>
      </c>
      <c r="K39" s="47"/>
    </row>
    <row r="40" spans="1:28" ht="14.4">
      <c r="C40" s="25" t="s">
        <v>190</v>
      </c>
      <c r="H40" s="48">
        <f>0+0</f>
        <v>0</v>
      </c>
      <c r="I40" s="48"/>
      <c r="J40" s="48">
        <f>0+0</f>
        <v>0</v>
      </c>
      <c r="K40" s="48"/>
    </row>
    <row r="41" spans="1:28" ht="14.4">
      <c r="H41" s="48"/>
      <c r="I41" s="48"/>
      <c r="J41" s="48"/>
      <c r="K41" s="48"/>
      <c r="O41" s="46">
        <f>I32+I33+I35+I36+I37+0</f>
        <v>1754.27</v>
      </c>
      <c r="P41" s="46">
        <f>K32+K33+K35+K36+K37+0</f>
        <v>57522.21</v>
      </c>
      <c r="X41" s="13">
        <f>IF(Source!BI29&lt;=1,I32+I33+I35+I36+I37-0, 0)</f>
        <v>0</v>
      </c>
      <c r="Y41" s="13">
        <f>IF(Source!BI29=2,I32+I33+I35+I36+I37-0, 0)</f>
        <v>1754.27</v>
      </c>
      <c r="Z41" s="13">
        <f>IF(Source!BI29=3,I32+I33+I35+I36+I37-0, 0)</f>
        <v>0</v>
      </c>
      <c r="AA41" s="13">
        <f>IF(Source!BI29=4,I32+I33+I35+I36+I37,0)</f>
        <v>0</v>
      </c>
    </row>
    <row r="44" spans="1:28" ht="14.4">
      <c r="A44" s="49" t="str">
        <f>CONCATENATE("Итого по разделу: ",IF(Source!G31&lt;&gt;"Новый раздел", Source!G31, ""))</f>
        <v>Итого по разделу: Демонтажные работы</v>
      </c>
      <c r="B44" s="49"/>
      <c r="C44" s="49"/>
      <c r="D44" s="49"/>
      <c r="E44" s="49"/>
      <c r="F44" s="49"/>
      <c r="G44" s="49"/>
      <c r="H44" s="48">
        <f>SUM(O30:O43)</f>
        <v>1754.27</v>
      </c>
      <c r="I44" s="50"/>
      <c r="J44" s="48">
        <f>SUM(P30:P43)</f>
        <v>57522.21</v>
      </c>
      <c r="K44" s="50"/>
    </row>
    <row r="45" spans="1:28" hidden="1">
      <c r="A45" s="13" t="s">
        <v>191</v>
      </c>
      <c r="H45" s="13">
        <f>SUM(AC30:AC44)</f>
        <v>0</v>
      </c>
      <c r="J45" s="13">
        <f>SUM(AD30:AD44)</f>
        <v>0</v>
      </c>
    </row>
    <row r="46" spans="1:28" hidden="1">
      <c r="A46" s="13" t="s">
        <v>192</v>
      </c>
      <c r="H46" s="13">
        <f>SUM(AE30:AE45)</f>
        <v>0</v>
      </c>
      <c r="J46" s="13">
        <f>SUM(AF30:AF45)</f>
        <v>0</v>
      </c>
    </row>
    <row r="48" spans="1:28" ht="16.7">
      <c r="A48" s="34" t="str">
        <f>CONCATENATE("Раздел: ",IF(Source!G61&lt;&gt;"Новый раздел", Source!G61, ""))</f>
        <v>Раздел: Монтажные работы</v>
      </c>
      <c r="B48" s="34"/>
      <c r="C48" s="34"/>
      <c r="D48" s="34"/>
      <c r="E48" s="34"/>
      <c r="F48" s="34"/>
      <c r="G48" s="34"/>
      <c r="H48" s="34"/>
      <c r="I48" s="34"/>
      <c r="J48" s="34"/>
      <c r="K48" s="34"/>
    </row>
    <row r="49" spans="1:35" ht="57.6">
      <c r="A49" s="35">
        <v>2</v>
      </c>
      <c r="B49" s="35" t="str">
        <f>Source!F66</f>
        <v>4.8-62-1</v>
      </c>
      <c r="C49" s="35" t="s">
        <v>22</v>
      </c>
      <c r="D49" s="36" t="str">
        <f>Source!H66</f>
        <v>1  ШТ.</v>
      </c>
      <c r="E49" s="37">
        <f>Source!I66</f>
        <v>2</v>
      </c>
      <c r="F49" s="38"/>
      <c r="G49" s="39"/>
      <c r="H49" s="37"/>
      <c r="I49" s="38"/>
      <c r="J49" s="37"/>
      <c r="K49" s="38"/>
      <c r="Q49" s="13">
        <f>ROUND((Source!DN66/100)*ROUND((ROUND((Source!AF66*Source!AV66*Source!I66),2)),2), 2)</f>
        <v>852.42</v>
      </c>
      <c r="R49" s="13">
        <f>Source!X66</f>
        <v>32678.46</v>
      </c>
      <c r="S49" s="13">
        <f>ROUND((Source!DO66/100)*ROUND((ROUND((Source!AF66*Source!AV66*Source!I66),2)),2), 2)</f>
        <v>532.76</v>
      </c>
      <c r="T49" s="13">
        <f>Source!Y66</f>
        <v>15273.63</v>
      </c>
      <c r="U49" s="13">
        <f>ROUND((175/100)*ROUND((ROUND((Source!AE66*Source!AV66*Source!I66),2)),2), 2)</f>
        <v>716.01</v>
      </c>
      <c r="V49" s="13">
        <f>ROUND((160/100)*ROUND(ROUND((ROUND((Source!AE66*Source!AV66*Source!I66),2)*Source!BS66),2), 2), 2)</f>
        <v>30552.05</v>
      </c>
      <c r="AI49" s="13">
        <v>0</v>
      </c>
    </row>
    <row r="50" spans="1:35" ht="14.4">
      <c r="A50" s="35"/>
      <c r="B50" s="35"/>
      <c r="C50" s="35" t="s">
        <v>180</v>
      </c>
      <c r="D50" s="36"/>
      <c r="E50" s="37"/>
      <c r="F50" s="38">
        <f>Source!AO66</f>
        <v>363.46</v>
      </c>
      <c r="G50" s="39" t="str">
        <f>Source!DG66</f>
        <v/>
      </c>
      <c r="H50" s="37">
        <f>Source!AV66</f>
        <v>1.0469999999999999</v>
      </c>
      <c r="I50" s="38">
        <f>ROUND((ROUND((Source!AF66*Source!AV66*Source!I66),2)),2)</f>
        <v>761.09</v>
      </c>
      <c r="J50" s="37">
        <f>IF(Source!BA66&lt;&gt; 0, Source!BA66, 1)</f>
        <v>46.67</v>
      </c>
      <c r="K50" s="38">
        <f>Source!S66</f>
        <v>35520.07</v>
      </c>
      <c r="W50" s="13">
        <f>I50</f>
        <v>761.09</v>
      </c>
    </row>
    <row r="51" spans="1:35" ht="14.4">
      <c r="A51" s="35"/>
      <c r="B51" s="35"/>
      <c r="C51" s="35" t="s">
        <v>181</v>
      </c>
      <c r="D51" s="36"/>
      <c r="E51" s="37"/>
      <c r="F51" s="38">
        <f>Source!AM66</f>
        <v>727.52</v>
      </c>
      <c r="G51" s="39" t="str">
        <f>Source!DE66</f>
        <v/>
      </c>
      <c r="H51" s="37">
        <f>Source!AV66</f>
        <v>1.0469999999999999</v>
      </c>
      <c r="I51" s="38">
        <f>(ROUND((ROUND(((Source!ET66)*Source!AV66*Source!I66),2)),2)+ROUND((ROUND(((Source!AE66-(Source!EU66))*Source!AV66*Source!I66),2)),2))</f>
        <v>1523.43</v>
      </c>
      <c r="J51" s="37">
        <f>IF(Source!BB66&lt;&gt; 0, Source!BB66, 1)</f>
        <v>19.55</v>
      </c>
      <c r="K51" s="38">
        <f>Source!Q66</f>
        <v>29783.06</v>
      </c>
    </row>
    <row r="52" spans="1:35" ht="14.4">
      <c r="A52" s="35"/>
      <c r="B52" s="35"/>
      <c r="C52" s="35" t="s">
        <v>182</v>
      </c>
      <c r="D52" s="36"/>
      <c r="E52" s="37"/>
      <c r="F52" s="38">
        <f>Source!AN66</f>
        <v>195.39</v>
      </c>
      <c r="G52" s="39" t="str">
        <f>Source!DF66</f>
        <v/>
      </c>
      <c r="H52" s="37">
        <f>Source!AV66</f>
        <v>1.0469999999999999</v>
      </c>
      <c r="I52" s="40">
        <f>ROUND((ROUND((Source!AE66*Source!AV66*Source!I66),2)),2)</f>
        <v>409.15</v>
      </c>
      <c r="J52" s="37">
        <f>IF(Source!BS66&lt;&gt; 0, Source!BS66, 1)</f>
        <v>46.67</v>
      </c>
      <c r="K52" s="40">
        <f>Source!R66</f>
        <v>19095.03</v>
      </c>
      <c r="W52" s="13">
        <f>I52</f>
        <v>409.15</v>
      </c>
    </row>
    <row r="53" spans="1:35" ht="14.4">
      <c r="A53" s="35"/>
      <c r="B53" s="35"/>
      <c r="C53" s="35" t="s">
        <v>193</v>
      </c>
      <c r="D53" s="36"/>
      <c r="E53" s="37"/>
      <c r="F53" s="38">
        <f>Source!AL66</f>
        <v>87.22</v>
      </c>
      <c r="G53" s="39" t="str">
        <f>Source!DD66</f>
        <v/>
      </c>
      <c r="H53" s="37">
        <f>Source!AW66</f>
        <v>1</v>
      </c>
      <c r="I53" s="38">
        <f>ROUND((ROUND((Source!AC66*Source!AW66*Source!I66),2)),2)</f>
        <v>174.44</v>
      </c>
      <c r="J53" s="37">
        <f>IF(Source!BC66&lt;&gt; 0, Source!BC66, 1)</f>
        <v>27.14</v>
      </c>
      <c r="K53" s="38">
        <f>Source!P66</f>
        <v>4734.3</v>
      </c>
    </row>
    <row r="54" spans="1:35" ht="14.4">
      <c r="A54" s="35"/>
      <c r="B54" s="35"/>
      <c r="C54" s="35" t="s">
        <v>183</v>
      </c>
      <c r="D54" s="36" t="s">
        <v>184</v>
      </c>
      <c r="E54" s="37">
        <f>Source!DN66</f>
        <v>112</v>
      </c>
      <c r="F54" s="38"/>
      <c r="G54" s="39"/>
      <c r="H54" s="37"/>
      <c r="I54" s="38">
        <f>SUM(Q49:Q53)</f>
        <v>852.42</v>
      </c>
      <c r="J54" s="37">
        <f>Source!BZ66</f>
        <v>92</v>
      </c>
      <c r="K54" s="38">
        <f>SUM(R49:R53)</f>
        <v>32678.46</v>
      </c>
    </row>
    <row r="55" spans="1:35" ht="14.4">
      <c r="A55" s="35"/>
      <c r="B55" s="35"/>
      <c r="C55" s="35" t="s">
        <v>185</v>
      </c>
      <c r="D55" s="36" t="s">
        <v>184</v>
      </c>
      <c r="E55" s="37">
        <f>Source!DO66</f>
        <v>70</v>
      </c>
      <c r="F55" s="38"/>
      <c r="G55" s="39"/>
      <c r="H55" s="37"/>
      <c r="I55" s="38">
        <f>SUM(S49:S54)</f>
        <v>532.76</v>
      </c>
      <c r="J55" s="37">
        <f>Source!CA66</f>
        <v>43</v>
      </c>
      <c r="K55" s="38">
        <f>SUM(T49:T54)</f>
        <v>15273.63</v>
      </c>
    </row>
    <row r="56" spans="1:35" ht="14.4">
      <c r="A56" s="35"/>
      <c r="B56" s="35"/>
      <c r="C56" s="35" t="s">
        <v>186</v>
      </c>
      <c r="D56" s="36" t="s">
        <v>184</v>
      </c>
      <c r="E56" s="37">
        <f>175</f>
        <v>175</v>
      </c>
      <c r="F56" s="38"/>
      <c r="G56" s="39"/>
      <c r="H56" s="37"/>
      <c r="I56" s="38">
        <f>SUM(U49:U55)</f>
        <v>716.01</v>
      </c>
      <c r="J56" s="37">
        <f>160</f>
        <v>160</v>
      </c>
      <c r="K56" s="38">
        <f>SUM(V49:V55)</f>
        <v>30552.05</v>
      </c>
    </row>
    <row r="57" spans="1:35" ht="14.4">
      <c r="A57" s="41"/>
      <c r="B57" s="41"/>
      <c r="C57" s="41" t="s">
        <v>187</v>
      </c>
      <c r="D57" s="42" t="s">
        <v>188</v>
      </c>
      <c r="E57" s="43">
        <f>Source!AQ66</f>
        <v>28.8</v>
      </c>
      <c r="F57" s="44"/>
      <c r="G57" s="45" t="str">
        <f>Source!DI66</f>
        <v/>
      </c>
      <c r="H57" s="43">
        <f>Source!AV66</f>
        <v>1.0469999999999999</v>
      </c>
      <c r="I57" s="44">
        <f>Source!U66</f>
        <v>60.307199999999995</v>
      </c>
      <c r="J57" s="43"/>
      <c r="K57" s="44"/>
      <c r="AB57" s="46">
        <f>I57</f>
        <v>60.307199999999995</v>
      </c>
    </row>
    <row r="58" spans="1:35" ht="14.4">
      <c r="C58" s="25" t="s">
        <v>189</v>
      </c>
      <c r="H58" s="47">
        <f>I50+I51+I53+I54+I55+I56+0-0-0</f>
        <v>4560.1500000000005</v>
      </c>
      <c r="I58" s="47"/>
      <c r="J58" s="47">
        <f>K50+K51+K53+K54+K55+K56+0-0-0</f>
        <v>148541.57</v>
      </c>
      <c r="K58" s="47"/>
    </row>
    <row r="59" spans="1:35" ht="14.4">
      <c r="C59" s="25" t="s">
        <v>190</v>
      </c>
      <c r="H59" s="48">
        <f>0+0</f>
        <v>0</v>
      </c>
      <c r="I59" s="48"/>
      <c r="J59" s="48">
        <f>0+0</f>
        <v>0</v>
      </c>
      <c r="K59" s="48"/>
    </row>
    <row r="60" spans="1:35" ht="14.4">
      <c r="H60" s="48"/>
      <c r="I60" s="48"/>
      <c r="J60" s="48"/>
      <c r="K60" s="48"/>
      <c r="O60" s="46">
        <f>I50+I51+I53+I54+I55+I56+0</f>
        <v>4560.1500000000005</v>
      </c>
      <c r="P60" s="46">
        <f>K50+K51+K53+K54+K55+K56+0</f>
        <v>148541.57</v>
      </c>
      <c r="X60" s="13">
        <f>IF(Source!BI66&lt;=1,I50+I51+I53+I54+I55+I56-0, 0)</f>
        <v>0</v>
      </c>
      <c r="Y60" s="13">
        <f>IF(Source!BI66=2,I50+I51+I53+I54+I55+I56-0, 0)</f>
        <v>4560.1500000000005</v>
      </c>
      <c r="Z60" s="13">
        <f>IF(Source!BI66=3,I50+I51+I53+I54+I55+I56-0, 0)</f>
        <v>0</v>
      </c>
      <c r="AA60" s="13">
        <f>IF(Source!BI66=4,I50+I51+I53+I54+I55+I56,0)</f>
        <v>0</v>
      </c>
    </row>
    <row r="63" spans="1:35" ht="14.4">
      <c r="A63" s="49" t="str">
        <f>CONCATENATE("Итого по разделу: ",IF(Source!G68&lt;&gt;"Новый раздел", Source!G68, ""))</f>
        <v>Итого по разделу: Монтажные работы</v>
      </c>
      <c r="B63" s="49"/>
      <c r="C63" s="49"/>
      <c r="D63" s="49"/>
      <c r="E63" s="49"/>
      <c r="F63" s="49"/>
      <c r="G63" s="49"/>
      <c r="H63" s="48">
        <f>SUM(O48:O62)</f>
        <v>4560.1500000000005</v>
      </c>
      <c r="I63" s="50"/>
      <c r="J63" s="48">
        <f>SUM(P48:P62)</f>
        <v>148541.57</v>
      </c>
      <c r="K63" s="50"/>
    </row>
    <row r="64" spans="1:35" hidden="1">
      <c r="A64" s="13" t="s">
        <v>191</v>
      </c>
      <c r="H64" s="13">
        <f>SUM(AC48:AC63)</f>
        <v>0</v>
      </c>
      <c r="J64" s="13">
        <f>SUM(AD48:AD63)</f>
        <v>0</v>
      </c>
    </row>
    <row r="65" spans="1:35" hidden="1">
      <c r="A65" s="13" t="s">
        <v>192</v>
      </c>
      <c r="H65" s="13">
        <f>SUM(AE48:AE64)</f>
        <v>0</v>
      </c>
      <c r="J65" s="13">
        <f>SUM(AF48:AF64)</f>
        <v>0</v>
      </c>
    </row>
    <row r="67" spans="1:35" ht="16.7">
      <c r="A67" s="34" t="str">
        <f>CONCATENATE("Раздел: ",IF(Source!G98&lt;&gt;"Новый раздел", Source!G98, ""))</f>
        <v>Раздел: Оборудование</v>
      </c>
      <c r="B67" s="34"/>
      <c r="C67" s="34"/>
      <c r="D67" s="34"/>
      <c r="E67" s="34"/>
      <c r="F67" s="34"/>
      <c r="G67" s="34"/>
      <c r="H67" s="34"/>
      <c r="I67" s="34"/>
      <c r="J67" s="34"/>
      <c r="K67" s="34"/>
    </row>
    <row r="68" spans="1:35" ht="39.75">
      <c r="A68" s="41">
        <v>3</v>
      </c>
      <c r="B68" s="41" t="str">
        <f>Source!F103</f>
        <v>Цена поставщика</v>
      </c>
      <c r="C68" s="41" t="s">
        <v>197</v>
      </c>
      <c r="D68" s="42" t="str">
        <f>Source!H103</f>
        <v>шт.</v>
      </c>
      <c r="E68" s="43">
        <f>Source!I103</f>
        <v>2</v>
      </c>
      <c r="F68" s="44">
        <f>Source!AL103</f>
        <v>219915.38</v>
      </c>
      <c r="G68" s="45" t="str">
        <f>Source!DD103</f>
        <v/>
      </c>
      <c r="H68" s="43">
        <f>Source!AW103</f>
        <v>1</v>
      </c>
      <c r="I68" s="44">
        <f>ROUND((ROUND((Source!AC103*Source!AW103*Source!I103),2)),2)</f>
        <v>439830.76</v>
      </c>
      <c r="J68" s="43">
        <f>IF(Source!BC103&lt;&gt; 0, Source!BC103, 1)</f>
        <v>7.27</v>
      </c>
      <c r="K68" s="44">
        <f>Source!P103</f>
        <v>3197569.63</v>
      </c>
      <c r="Q68" s="13">
        <f>ROUND((Source!DN103/100)*ROUND((ROUND((Source!AF103*Source!AV103*Source!I103),2)),2), 2)</f>
        <v>0</v>
      </c>
      <c r="R68" s="13">
        <f>Source!X103</f>
        <v>0</v>
      </c>
      <c r="S68" s="13">
        <f>ROUND((Source!DO103/100)*ROUND((ROUND((Source!AF103*Source!AV103*Source!I103),2)),2), 2)</f>
        <v>0</v>
      </c>
      <c r="T68" s="13">
        <f>Source!Y103</f>
        <v>0</v>
      </c>
      <c r="U68" s="13">
        <f>ROUND((175/100)*ROUND((ROUND((Source!AE103*Source!AV103*Source!I103),2)),2), 2)</f>
        <v>0</v>
      </c>
      <c r="V68" s="13">
        <f>ROUND((160/100)*ROUND(ROUND((ROUND((Source!AE103*Source!AV103*Source!I103),2)*Source!BS103),2), 2), 2)</f>
        <v>0</v>
      </c>
      <c r="AI68" s="13">
        <v>5</v>
      </c>
    </row>
    <row r="69" spans="1:35" ht="14.4">
      <c r="C69" s="25" t="s">
        <v>194</v>
      </c>
      <c r="H69" s="47">
        <f>I68+0</f>
        <v>439830.76</v>
      </c>
      <c r="I69" s="47"/>
      <c r="J69" s="47">
        <f>K68+0</f>
        <v>3197569.63</v>
      </c>
      <c r="K69" s="47"/>
      <c r="O69" s="46">
        <f>I68+0</f>
        <v>439830.76</v>
      </c>
      <c r="P69" s="46">
        <f>K68+0</f>
        <v>3197569.63</v>
      </c>
      <c r="X69" s="13">
        <f>IF(Source!BI103&lt;=1,I68-0, 0)</f>
        <v>0</v>
      </c>
      <c r="Y69" s="13">
        <f>IF(Source!BI103=2,I68-0, 0)</f>
        <v>0</v>
      </c>
      <c r="Z69" s="13">
        <f>IF(Source!BI103=3,I68-0, 0)</f>
        <v>439830.76</v>
      </c>
      <c r="AA69" s="13">
        <f>IF(Source!BI103=4,I68,0)</f>
        <v>0</v>
      </c>
    </row>
    <row r="72" spans="1:35" ht="14.4">
      <c r="A72" s="49" t="str">
        <f>CONCATENATE("Итого по разделу: ",IF(Source!G105&lt;&gt;"Новый раздел", Source!G105, ""))</f>
        <v>Итого по разделу: Оборудование</v>
      </c>
      <c r="B72" s="49"/>
      <c r="C72" s="49"/>
      <c r="D72" s="49"/>
      <c r="E72" s="49"/>
      <c r="F72" s="49"/>
      <c r="G72" s="49"/>
      <c r="H72" s="48">
        <f>SUM(O67:O71)</f>
        <v>439830.76</v>
      </c>
      <c r="I72" s="50"/>
      <c r="J72" s="48">
        <f>SUM(P67:P71)</f>
        <v>3197569.63</v>
      </c>
      <c r="K72" s="50"/>
    </row>
    <row r="73" spans="1:35" hidden="1">
      <c r="A73" s="13" t="s">
        <v>191</v>
      </c>
      <c r="H73" s="13">
        <f>SUM(AC67:AC72)</f>
        <v>0</v>
      </c>
      <c r="J73" s="13">
        <f>SUM(AD67:AD72)</f>
        <v>0</v>
      </c>
    </row>
    <row r="74" spans="1:35" hidden="1">
      <c r="A74" s="13" t="s">
        <v>192</v>
      </c>
      <c r="H74" s="13">
        <f>SUM(AE67:AE73)</f>
        <v>0</v>
      </c>
      <c r="J74" s="13">
        <f>SUM(AF67:AF73)</f>
        <v>0</v>
      </c>
    </row>
    <row r="76" spans="1:35" ht="14.4">
      <c r="A76" s="49" t="str">
        <f>CONCATENATE("Итого по локальной смете: ",IF(Source!G135&lt;&gt;"Новая локальная смета", Source!G135, ""))</f>
        <v>Итого по локальной смете: Реконструкция ТП  28274</v>
      </c>
      <c r="B76" s="49"/>
      <c r="C76" s="49"/>
      <c r="D76" s="49"/>
      <c r="E76" s="49"/>
      <c r="F76" s="49"/>
      <c r="G76" s="49"/>
      <c r="H76" s="48">
        <f>SUM(O28:O75)</f>
        <v>446145.18</v>
      </c>
      <c r="I76" s="50"/>
      <c r="J76" s="48">
        <f>SUM(P28:P75)</f>
        <v>3403633.4099999997</v>
      </c>
      <c r="K76" s="50"/>
    </row>
    <row r="77" spans="1:35" hidden="1">
      <c r="A77" s="13" t="s">
        <v>191</v>
      </c>
      <c r="H77" s="13">
        <f>SUM(AC28:AC76)</f>
        <v>0</v>
      </c>
      <c r="J77" s="13">
        <f>SUM(AD28:AD76)</f>
        <v>0</v>
      </c>
    </row>
    <row r="78" spans="1:35" hidden="1">
      <c r="A78" s="13" t="s">
        <v>192</v>
      </c>
      <c r="H78" s="13">
        <f>SUM(AE28:AE77)</f>
        <v>0</v>
      </c>
      <c r="J78" s="13">
        <f>SUM(AF28:AF77)</f>
        <v>0</v>
      </c>
    </row>
  </sheetData>
  <mergeCells count="47">
    <mergeCell ref="J76:K76"/>
    <mergeCell ref="H76:I76"/>
    <mergeCell ref="A76:G76"/>
    <mergeCell ref="A63:G63"/>
    <mergeCell ref="A67:K67"/>
    <mergeCell ref="H69:I69"/>
    <mergeCell ref="J69:K69"/>
    <mergeCell ref="J72:K72"/>
    <mergeCell ref="H72:I72"/>
    <mergeCell ref="A72:G72"/>
    <mergeCell ref="H59:I59"/>
    <mergeCell ref="J59:K59"/>
    <mergeCell ref="J60:K60"/>
    <mergeCell ref="H60:I60"/>
    <mergeCell ref="J63:K63"/>
    <mergeCell ref="H63:I63"/>
    <mergeCell ref="J44:K44"/>
    <mergeCell ref="H44:I44"/>
    <mergeCell ref="A44:G44"/>
    <mergeCell ref="A48:K48"/>
    <mergeCell ref="H58:I58"/>
    <mergeCell ref="J58:K58"/>
    <mergeCell ref="A30:K30"/>
    <mergeCell ref="H39:I39"/>
    <mergeCell ref="J39:K39"/>
    <mergeCell ref="H40:I40"/>
    <mergeCell ref="J40:K40"/>
    <mergeCell ref="J41:K41"/>
    <mergeCell ref="H41:I41"/>
    <mergeCell ref="E19:H19"/>
    <mergeCell ref="E20:H20"/>
    <mergeCell ref="E21:H21"/>
    <mergeCell ref="A24:K24"/>
    <mergeCell ref="J1:K1"/>
    <mergeCell ref="A28:K28"/>
    <mergeCell ref="E13:H13"/>
    <mergeCell ref="E14:H14"/>
    <mergeCell ref="E15:H15"/>
    <mergeCell ref="E16:H16"/>
    <mergeCell ref="E17:H17"/>
    <mergeCell ref="E18:H18"/>
    <mergeCell ref="A2:K2"/>
    <mergeCell ref="A3:K3"/>
    <mergeCell ref="A5:K5"/>
    <mergeCell ref="A7:K7"/>
    <mergeCell ref="A8:K8"/>
    <mergeCell ref="A10:K10"/>
  </mergeCells>
  <pageMargins left="0.4" right="0.2" top="0.4" bottom="0.4" header="0.2" footer="0.2"/>
  <pageSetup paperSize="9" scale="68" fitToHeight="0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U211"/>
  <sheetViews>
    <sheetView workbookViewId="0">
      <selection activeCell="J1" sqref="J1"/>
    </sheetView>
  </sheetViews>
  <sheetFormatPr defaultColWidth="9.109375" defaultRowHeight="12.7"/>
  <cols>
    <col min="1" max="256" width="9.109375" customWidth="1"/>
  </cols>
  <sheetData>
    <row r="1" spans="1:133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K1">
        <v>0</v>
      </c>
      <c r="L1">
        <v>21997</v>
      </c>
      <c r="M1">
        <v>10</v>
      </c>
      <c r="N1">
        <v>11</v>
      </c>
      <c r="O1">
        <v>12</v>
      </c>
      <c r="P1">
        <v>0</v>
      </c>
      <c r="Q1">
        <v>0</v>
      </c>
    </row>
    <row r="12" spans="1:133">
      <c r="A12" s="1">
        <v>1</v>
      </c>
      <c r="B12" s="1">
        <v>204</v>
      </c>
      <c r="C12" s="1">
        <v>0</v>
      </c>
      <c r="D12" s="1">
        <f>ROW(A165)</f>
        <v>165</v>
      </c>
      <c r="E12" s="1">
        <v>0</v>
      </c>
      <c r="F12" s="1" t="s">
        <v>4</v>
      </c>
      <c r="G12" s="1" t="s">
        <v>5</v>
      </c>
      <c r="H12" s="1" t="s">
        <v>4</v>
      </c>
      <c r="I12" s="1">
        <v>0</v>
      </c>
      <c r="J12" s="1" t="s">
        <v>4</v>
      </c>
      <c r="K12" s="1">
        <v>0</v>
      </c>
      <c r="L12" s="1">
        <v>0</v>
      </c>
      <c r="M12" s="1">
        <v>4098</v>
      </c>
      <c r="N12" s="1"/>
      <c r="O12" s="1">
        <v>0</v>
      </c>
      <c r="P12" s="1">
        <v>0</v>
      </c>
      <c r="Q12" s="1">
        <v>0</v>
      </c>
      <c r="R12" s="1">
        <v>175</v>
      </c>
      <c r="S12" s="1">
        <v>160</v>
      </c>
      <c r="T12" s="1">
        <v>1</v>
      </c>
      <c r="U12" s="1" t="s">
        <v>4</v>
      </c>
      <c r="V12" s="1">
        <v>0</v>
      </c>
      <c r="W12" s="1" t="s">
        <v>4</v>
      </c>
      <c r="X12" s="1" t="s">
        <v>4</v>
      </c>
      <c r="Y12" s="1" t="s">
        <v>4</v>
      </c>
      <c r="Z12" s="1" t="s">
        <v>4</v>
      </c>
      <c r="AA12" s="1" t="s">
        <v>4</v>
      </c>
      <c r="AB12" s="1" t="s">
        <v>4</v>
      </c>
      <c r="AC12" s="1" t="s">
        <v>4</v>
      </c>
      <c r="AD12" s="1" t="s">
        <v>4</v>
      </c>
      <c r="AE12" s="1" t="s">
        <v>4</v>
      </c>
      <c r="AF12" s="1" t="s">
        <v>4</v>
      </c>
      <c r="AG12" s="1" t="s">
        <v>4</v>
      </c>
      <c r="AH12" s="1" t="s">
        <v>4</v>
      </c>
      <c r="AI12" s="1" t="s">
        <v>4</v>
      </c>
      <c r="AJ12" s="1" t="s">
        <v>4</v>
      </c>
      <c r="AK12" s="1"/>
      <c r="AL12" s="1" t="s">
        <v>4</v>
      </c>
      <c r="AM12" s="1" t="s">
        <v>4</v>
      </c>
      <c r="AN12" s="1" t="s">
        <v>4</v>
      </c>
      <c r="AO12" s="1"/>
      <c r="AP12" s="1" t="s">
        <v>4</v>
      </c>
      <c r="AQ12" s="1" t="s">
        <v>4</v>
      </c>
      <c r="AR12" s="1" t="s">
        <v>4</v>
      </c>
      <c r="AS12" s="1"/>
      <c r="AT12" s="1"/>
      <c r="AU12" s="1"/>
      <c r="AV12" s="1"/>
      <c r="AW12" s="1"/>
      <c r="AX12" s="1" t="s">
        <v>4</v>
      </c>
      <c r="AY12" s="1" t="s">
        <v>4</v>
      </c>
      <c r="AZ12" s="1" t="s">
        <v>4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8200</v>
      </c>
      <c r="CI12" s="1" t="s">
        <v>4</v>
      </c>
      <c r="CJ12" s="1" t="s">
        <v>4</v>
      </c>
      <c r="CK12" s="1">
        <v>75</v>
      </c>
      <c r="CL12" s="1"/>
      <c r="CM12" s="1"/>
      <c r="CN12" s="1"/>
      <c r="CO12" s="1"/>
      <c r="CP12" s="1"/>
      <c r="CQ12" s="1" t="s">
        <v>12</v>
      </c>
      <c r="CR12" s="1" t="s">
        <v>13</v>
      </c>
      <c r="CS12" s="1">
        <v>41660</v>
      </c>
      <c r="CT12" s="1">
        <v>1</v>
      </c>
      <c r="CU12" s="1">
        <v>75</v>
      </c>
      <c r="CV12" s="1"/>
      <c r="CW12" s="1"/>
      <c r="CX12" s="1"/>
      <c r="CY12" s="1">
        <v>0</v>
      </c>
      <c r="CZ12" s="1" t="s">
        <v>4</v>
      </c>
      <c r="DA12" s="1" t="s">
        <v>4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55">
      <c r="A18" s="3">
        <v>52</v>
      </c>
      <c r="B18" s="3">
        <f t="shared" ref="B18:G18" si="0">B165</f>
        <v>204</v>
      </c>
      <c r="C18" s="3">
        <f t="shared" si="0"/>
        <v>1</v>
      </c>
      <c r="D18" s="3">
        <f t="shared" si="0"/>
        <v>12</v>
      </c>
      <c r="E18" s="3">
        <f t="shared" si="0"/>
        <v>0</v>
      </c>
      <c r="F18" s="3" t="str">
        <f t="shared" si="0"/>
        <v/>
      </c>
      <c r="G18" s="3" t="str">
        <f t="shared" si="0"/>
        <v>02-01-03  Реконструкция ТП 27616 _24.04.25._</v>
      </c>
      <c r="H18" s="3"/>
      <c r="I18" s="3"/>
      <c r="J18" s="3"/>
      <c r="K18" s="3"/>
      <c r="L18" s="3"/>
      <c r="M18" s="3"/>
      <c r="N18" s="3"/>
      <c r="O18" s="3">
        <f t="shared" ref="O18:AT18" si="1">O165</f>
        <v>443203.52</v>
      </c>
      <c r="P18" s="3">
        <f t="shared" si="1"/>
        <v>440005.2</v>
      </c>
      <c r="Q18" s="3">
        <f t="shared" si="1"/>
        <v>2132.8000000000002</v>
      </c>
      <c r="R18" s="3">
        <f t="shared" si="1"/>
        <v>572.80999999999995</v>
      </c>
      <c r="S18" s="3">
        <f t="shared" si="1"/>
        <v>1065.52</v>
      </c>
      <c r="T18" s="3">
        <f t="shared" si="1"/>
        <v>0</v>
      </c>
      <c r="U18" s="3">
        <f t="shared" si="1"/>
        <v>84.430080000000004</v>
      </c>
      <c r="V18" s="3">
        <f t="shared" si="1"/>
        <v>0</v>
      </c>
      <c r="W18" s="3">
        <f t="shared" si="1"/>
        <v>0</v>
      </c>
      <c r="X18" s="3">
        <f t="shared" si="1"/>
        <v>1193.3800000000001</v>
      </c>
      <c r="Y18" s="3">
        <f t="shared" si="1"/>
        <v>745.86</v>
      </c>
      <c r="Z18" s="3">
        <f t="shared" si="1"/>
        <v>0</v>
      </c>
      <c r="AA18" s="3">
        <f t="shared" si="1"/>
        <v>0</v>
      </c>
      <c r="AB18" s="3">
        <f t="shared" si="1"/>
        <v>0</v>
      </c>
      <c r="AC18" s="3">
        <f t="shared" si="1"/>
        <v>0</v>
      </c>
      <c r="AD18" s="3">
        <f t="shared" si="1"/>
        <v>0</v>
      </c>
      <c r="AE18" s="3">
        <f t="shared" si="1"/>
        <v>0</v>
      </c>
      <c r="AF18" s="3">
        <f t="shared" si="1"/>
        <v>0</v>
      </c>
      <c r="AG18" s="3">
        <f t="shared" si="1"/>
        <v>0</v>
      </c>
      <c r="AH18" s="3">
        <f t="shared" si="1"/>
        <v>0</v>
      </c>
      <c r="AI18" s="3">
        <f t="shared" si="1"/>
        <v>0</v>
      </c>
      <c r="AJ18" s="3">
        <f t="shared" si="1"/>
        <v>0</v>
      </c>
      <c r="AK18" s="3">
        <f t="shared" si="1"/>
        <v>0</v>
      </c>
      <c r="AL18" s="3">
        <f t="shared" si="1"/>
        <v>0</v>
      </c>
      <c r="AM18" s="3">
        <f t="shared" si="1"/>
        <v>0</v>
      </c>
      <c r="AN18" s="3">
        <f t="shared" si="1"/>
        <v>0</v>
      </c>
      <c r="AO18" s="3">
        <f t="shared" si="1"/>
        <v>0</v>
      </c>
      <c r="AP18" s="3">
        <f t="shared" si="1"/>
        <v>439830.76</v>
      </c>
      <c r="AQ18" s="3">
        <f t="shared" si="1"/>
        <v>0</v>
      </c>
      <c r="AR18" s="3">
        <f t="shared" si="1"/>
        <v>446145.18</v>
      </c>
      <c r="AS18" s="3">
        <f t="shared" si="1"/>
        <v>0</v>
      </c>
      <c r="AT18" s="3">
        <f t="shared" si="1"/>
        <v>6314.42</v>
      </c>
      <c r="AU18" s="3">
        <f t="shared" ref="AU18:BZ18" si="2">AU165</f>
        <v>0</v>
      </c>
      <c r="AV18" s="3">
        <f t="shared" si="2"/>
        <v>440005.2</v>
      </c>
      <c r="AW18" s="3">
        <f t="shared" si="2"/>
        <v>174.44</v>
      </c>
      <c r="AX18" s="3">
        <f t="shared" si="2"/>
        <v>0</v>
      </c>
      <c r="AY18" s="3">
        <f t="shared" si="2"/>
        <v>174.44</v>
      </c>
      <c r="AZ18" s="3">
        <f t="shared" si="2"/>
        <v>439830.76</v>
      </c>
      <c r="BA18" s="3">
        <f t="shared" si="2"/>
        <v>0</v>
      </c>
      <c r="BB18" s="3">
        <f t="shared" si="2"/>
        <v>0</v>
      </c>
      <c r="BC18" s="3">
        <f t="shared" si="2"/>
        <v>0</v>
      </c>
      <c r="BD18" s="3">
        <f t="shared" si="2"/>
        <v>0</v>
      </c>
      <c r="BE18" s="3">
        <f t="shared" si="2"/>
        <v>0</v>
      </c>
      <c r="BF18" s="3">
        <f t="shared" si="2"/>
        <v>0</v>
      </c>
      <c r="BG18" s="3">
        <f t="shared" si="2"/>
        <v>0</v>
      </c>
      <c r="BH18" s="3">
        <f t="shared" si="2"/>
        <v>0</v>
      </c>
      <c r="BI18" s="3">
        <f t="shared" si="2"/>
        <v>0</v>
      </c>
      <c r="BJ18" s="3">
        <f t="shared" si="2"/>
        <v>0</v>
      </c>
      <c r="BK18" s="3">
        <f t="shared" si="2"/>
        <v>0</v>
      </c>
      <c r="BL18" s="3">
        <f t="shared" si="2"/>
        <v>0</v>
      </c>
      <c r="BM18" s="3">
        <f t="shared" si="2"/>
        <v>0</v>
      </c>
      <c r="BN18" s="3">
        <f t="shared" si="2"/>
        <v>0</v>
      </c>
      <c r="BO18" s="3">
        <f t="shared" si="2"/>
        <v>0</v>
      </c>
      <c r="BP18" s="3">
        <f t="shared" si="2"/>
        <v>0</v>
      </c>
      <c r="BQ18" s="3">
        <f t="shared" si="2"/>
        <v>0</v>
      </c>
      <c r="BR18" s="3">
        <f t="shared" si="2"/>
        <v>0</v>
      </c>
      <c r="BS18" s="3">
        <f t="shared" si="2"/>
        <v>0</v>
      </c>
      <c r="BT18" s="3">
        <f t="shared" si="2"/>
        <v>0</v>
      </c>
      <c r="BU18" s="3">
        <f t="shared" si="2"/>
        <v>0</v>
      </c>
      <c r="BV18" s="3">
        <f t="shared" si="2"/>
        <v>0</v>
      </c>
      <c r="BW18" s="3">
        <f t="shared" si="2"/>
        <v>0</v>
      </c>
      <c r="BX18" s="3">
        <f t="shared" si="2"/>
        <v>0</v>
      </c>
      <c r="BY18" s="3">
        <f t="shared" si="2"/>
        <v>0</v>
      </c>
      <c r="BZ18" s="3">
        <f t="shared" si="2"/>
        <v>0</v>
      </c>
      <c r="CA18" s="3">
        <f t="shared" ref="CA18:DF18" si="3">CA165</f>
        <v>0</v>
      </c>
      <c r="CB18" s="3">
        <f t="shared" si="3"/>
        <v>0</v>
      </c>
      <c r="CC18" s="3">
        <f t="shared" si="3"/>
        <v>0</v>
      </c>
      <c r="CD18" s="3">
        <f t="shared" si="3"/>
        <v>0</v>
      </c>
      <c r="CE18" s="3">
        <f t="shared" si="3"/>
        <v>0</v>
      </c>
      <c r="CF18" s="3">
        <f t="shared" si="3"/>
        <v>0</v>
      </c>
      <c r="CG18" s="3">
        <f t="shared" si="3"/>
        <v>0</v>
      </c>
      <c r="CH18" s="3">
        <f t="shared" si="3"/>
        <v>0</v>
      </c>
      <c r="CI18" s="3">
        <f t="shared" si="3"/>
        <v>0</v>
      </c>
      <c r="CJ18" s="3">
        <f t="shared" si="3"/>
        <v>0</v>
      </c>
      <c r="CK18" s="3">
        <f t="shared" si="3"/>
        <v>0</v>
      </c>
      <c r="CL18" s="3">
        <f t="shared" si="3"/>
        <v>0</v>
      </c>
      <c r="CM18" s="3">
        <f t="shared" si="3"/>
        <v>0</v>
      </c>
      <c r="CN18" s="3">
        <f t="shared" si="3"/>
        <v>0</v>
      </c>
      <c r="CO18" s="3">
        <f t="shared" si="3"/>
        <v>0</v>
      </c>
      <c r="CP18" s="3">
        <f t="shared" si="3"/>
        <v>0</v>
      </c>
      <c r="CQ18" s="3">
        <f t="shared" si="3"/>
        <v>0</v>
      </c>
      <c r="CR18" s="3">
        <f t="shared" si="3"/>
        <v>0</v>
      </c>
      <c r="CS18" s="3">
        <f t="shared" si="3"/>
        <v>0</v>
      </c>
      <c r="CT18" s="3">
        <f t="shared" si="3"/>
        <v>0</v>
      </c>
      <c r="CU18" s="3">
        <f t="shared" si="3"/>
        <v>0</v>
      </c>
      <c r="CV18" s="3">
        <f t="shared" si="3"/>
        <v>0</v>
      </c>
      <c r="CW18" s="3">
        <f t="shared" si="3"/>
        <v>0</v>
      </c>
      <c r="CX18" s="3">
        <f t="shared" si="3"/>
        <v>0</v>
      </c>
      <c r="CY18" s="3">
        <f t="shared" si="3"/>
        <v>0</v>
      </c>
      <c r="CZ18" s="3">
        <f t="shared" si="3"/>
        <v>0</v>
      </c>
      <c r="DA18" s="3">
        <f t="shared" si="3"/>
        <v>0</v>
      </c>
      <c r="DB18" s="3">
        <f t="shared" si="3"/>
        <v>0</v>
      </c>
      <c r="DC18" s="3">
        <f t="shared" si="3"/>
        <v>0</v>
      </c>
      <c r="DD18" s="3">
        <f t="shared" si="3"/>
        <v>0</v>
      </c>
      <c r="DE18" s="3">
        <f t="shared" si="3"/>
        <v>0</v>
      </c>
      <c r="DF18" s="3">
        <f t="shared" si="3"/>
        <v>0</v>
      </c>
      <c r="DG18" s="4">
        <f t="shared" ref="DG18:EL18" si="4">DG165</f>
        <v>3293727.99</v>
      </c>
      <c r="DH18" s="4">
        <f t="shared" si="4"/>
        <v>3202303.93</v>
      </c>
      <c r="DI18" s="4">
        <f t="shared" si="4"/>
        <v>41696.239999999998</v>
      </c>
      <c r="DJ18" s="4">
        <f t="shared" si="4"/>
        <v>26733.040000000001</v>
      </c>
      <c r="DK18" s="4">
        <f t="shared" si="4"/>
        <v>49727.82</v>
      </c>
      <c r="DL18" s="4">
        <f t="shared" si="4"/>
        <v>0</v>
      </c>
      <c r="DM18" s="4">
        <f t="shared" si="4"/>
        <v>84.430080000000004</v>
      </c>
      <c r="DN18" s="4">
        <f t="shared" si="4"/>
        <v>0</v>
      </c>
      <c r="DO18" s="4">
        <f t="shared" si="4"/>
        <v>0</v>
      </c>
      <c r="DP18" s="4">
        <f t="shared" si="4"/>
        <v>45749.59</v>
      </c>
      <c r="DQ18" s="4">
        <f t="shared" si="4"/>
        <v>21382.959999999999</v>
      </c>
      <c r="DR18" s="4">
        <f t="shared" si="4"/>
        <v>0</v>
      </c>
      <c r="DS18" s="4">
        <f t="shared" si="4"/>
        <v>0</v>
      </c>
      <c r="DT18" s="4">
        <f t="shared" si="4"/>
        <v>0</v>
      </c>
      <c r="DU18" s="4">
        <f t="shared" si="4"/>
        <v>0</v>
      </c>
      <c r="DV18" s="4">
        <f t="shared" si="4"/>
        <v>0</v>
      </c>
      <c r="DW18" s="4">
        <f t="shared" si="4"/>
        <v>0</v>
      </c>
      <c r="DX18" s="4">
        <f t="shared" si="4"/>
        <v>0</v>
      </c>
      <c r="DY18" s="4">
        <f t="shared" si="4"/>
        <v>0</v>
      </c>
      <c r="DZ18" s="4">
        <f t="shared" si="4"/>
        <v>0</v>
      </c>
      <c r="EA18" s="4">
        <f t="shared" si="4"/>
        <v>0</v>
      </c>
      <c r="EB18" s="4">
        <f t="shared" si="4"/>
        <v>0</v>
      </c>
      <c r="EC18" s="4">
        <f t="shared" si="4"/>
        <v>0</v>
      </c>
      <c r="ED18" s="4">
        <f t="shared" si="4"/>
        <v>0</v>
      </c>
      <c r="EE18" s="4">
        <f t="shared" si="4"/>
        <v>0</v>
      </c>
      <c r="EF18" s="4">
        <f t="shared" si="4"/>
        <v>0</v>
      </c>
      <c r="EG18" s="4">
        <f t="shared" si="4"/>
        <v>0</v>
      </c>
      <c r="EH18" s="4">
        <f t="shared" si="4"/>
        <v>3197569.63</v>
      </c>
      <c r="EI18" s="4">
        <f t="shared" si="4"/>
        <v>0</v>
      </c>
      <c r="EJ18" s="4">
        <f t="shared" si="4"/>
        <v>3403633.41</v>
      </c>
      <c r="EK18" s="4">
        <f t="shared" si="4"/>
        <v>0</v>
      </c>
      <c r="EL18" s="4">
        <f t="shared" si="4"/>
        <v>206063.78</v>
      </c>
      <c r="EM18" s="4">
        <f t="shared" ref="EM18:FR18" si="5">EM165</f>
        <v>0</v>
      </c>
      <c r="EN18" s="4">
        <f t="shared" si="5"/>
        <v>3202303.93</v>
      </c>
      <c r="EO18" s="4">
        <f t="shared" si="5"/>
        <v>4734.3</v>
      </c>
      <c r="EP18" s="4">
        <f t="shared" si="5"/>
        <v>0</v>
      </c>
      <c r="EQ18" s="4">
        <f t="shared" si="5"/>
        <v>4734.3</v>
      </c>
      <c r="ER18" s="4">
        <f t="shared" si="5"/>
        <v>3197569.63</v>
      </c>
      <c r="ES18" s="4">
        <f t="shared" si="5"/>
        <v>0</v>
      </c>
      <c r="ET18" s="4">
        <f t="shared" si="5"/>
        <v>0</v>
      </c>
      <c r="EU18" s="4">
        <f t="shared" si="5"/>
        <v>0</v>
      </c>
      <c r="EV18" s="4">
        <f t="shared" si="5"/>
        <v>0</v>
      </c>
      <c r="EW18" s="4">
        <f t="shared" si="5"/>
        <v>0</v>
      </c>
      <c r="EX18" s="4">
        <f t="shared" si="5"/>
        <v>0</v>
      </c>
      <c r="EY18" s="4">
        <f t="shared" si="5"/>
        <v>0</v>
      </c>
      <c r="EZ18" s="4">
        <f t="shared" si="5"/>
        <v>0</v>
      </c>
      <c r="FA18" s="4">
        <f t="shared" si="5"/>
        <v>0</v>
      </c>
      <c r="FB18" s="4">
        <f t="shared" si="5"/>
        <v>0</v>
      </c>
      <c r="FC18" s="4">
        <f t="shared" si="5"/>
        <v>0</v>
      </c>
      <c r="FD18" s="4">
        <f t="shared" si="5"/>
        <v>0</v>
      </c>
      <c r="FE18" s="4">
        <f t="shared" si="5"/>
        <v>0</v>
      </c>
      <c r="FF18" s="4">
        <f t="shared" si="5"/>
        <v>0</v>
      </c>
      <c r="FG18" s="4">
        <f t="shared" si="5"/>
        <v>0</v>
      </c>
      <c r="FH18" s="4">
        <f t="shared" si="5"/>
        <v>0</v>
      </c>
      <c r="FI18" s="4">
        <f t="shared" si="5"/>
        <v>0</v>
      </c>
      <c r="FJ18" s="4">
        <f t="shared" si="5"/>
        <v>0</v>
      </c>
      <c r="FK18" s="4">
        <f t="shared" si="5"/>
        <v>0</v>
      </c>
      <c r="FL18" s="4">
        <f t="shared" si="5"/>
        <v>0</v>
      </c>
      <c r="FM18" s="4">
        <f t="shared" si="5"/>
        <v>0</v>
      </c>
      <c r="FN18" s="4">
        <f t="shared" si="5"/>
        <v>0</v>
      </c>
      <c r="FO18" s="4">
        <f t="shared" si="5"/>
        <v>0</v>
      </c>
      <c r="FP18" s="4">
        <f t="shared" si="5"/>
        <v>0</v>
      </c>
      <c r="FQ18" s="4">
        <f t="shared" si="5"/>
        <v>0</v>
      </c>
      <c r="FR18" s="4">
        <f t="shared" si="5"/>
        <v>0</v>
      </c>
      <c r="FS18" s="4">
        <f t="shared" ref="FS18:GX18" si="6">FS165</f>
        <v>0</v>
      </c>
      <c r="FT18" s="4">
        <f t="shared" si="6"/>
        <v>0</v>
      </c>
      <c r="FU18" s="4">
        <f t="shared" si="6"/>
        <v>0</v>
      </c>
      <c r="FV18" s="4">
        <f t="shared" si="6"/>
        <v>0</v>
      </c>
      <c r="FW18" s="4">
        <f t="shared" si="6"/>
        <v>0</v>
      </c>
      <c r="FX18" s="4">
        <f t="shared" si="6"/>
        <v>0</v>
      </c>
      <c r="FY18" s="4">
        <f t="shared" si="6"/>
        <v>0</v>
      </c>
      <c r="FZ18" s="4">
        <f t="shared" si="6"/>
        <v>0</v>
      </c>
      <c r="GA18" s="4">
        <f t="shared" si="6"/>
        <v>0</v>
      </c>
      <c r="GB18" s="4">
        <f t="shared" si="6"/>
        <v>0</v>
      </c>
      <c r="GC18" s="4">
        <f t="shared" si="6"/>
        <v>0</v>
      </c>
      <c r="GD18" s="4">
        <f t="shared" si="6"/>
        <v>0</v>
      </c>
      <c r="GE18" s="4">
        <f t="shared" si="6"/>
        <v>0</v>
      </c>
      <c r="GF18" s="4">
        <f t="shared" si="6"/>
        <v>0</v>
      </c>
      <c r="GG18" s="4">
        <f t="shared" si="6"/>
        <v>0</v>
      </c>
      <c r="GH18" s="4">
        <f t="shared" si="6"/>
        <v>0</v>
      </c>
      <c r="GI18" s="4">
        <f t="shared" si="6"/>
        <v>0</v>
      </c>
      <c r="GJ18" s="4">
        <f t="shared" si="6"/>
        <v>0</v>
      </c>
      <c r="GK18" s="4">
        <f t="shared" si="6"/>
        <v>0</v>
      </c>
      <c r="GL18" s="4">
        <f t="shared" si="6"/>
        <v>0</v>
      </c>
      <c r="GM18" s="4">
        <f t="shared" si="6"/>
        <v>0</v>
      </c>
      <c r="GN18" s="4">
        <f t="shared" si="6"/>
        <v>0</v>
      </c>
      <c r="GO18" s="4">
        <f t="shared" si="6"/>
        <v>0</v>
      </c>
      <c r="GP18" s="4">
        <f t="shared" si="6"/>
        <v>0</v>
      </c>
      <c r="GQ18" s="4">
        <f t="shared" si="6"/>
        <v>0</v>
      </c>
      <c r="GR18" s="4">
        <f t="shared" si="6"/>
        <v>0</v>
      </c>
      <c r="GS18" s="4">
        <f t="shared" si="6"/>
        <v>0</v>
      </c>
      <c r="GT18" s="4">
        <f t="shared" si="6"/>
        <v>0</v>
      </c>
      <c r="GU18" s="4">
        <f t="shared" si="6"/>
        <v>0</v>
      </c>
      <c r="GV18" s="4">
        <f t="shared" si="6"/>
        <v>0</v>
      </c>
      <c r="GW18" s="4">
        <f t="shared" si="6"/>
        <v>0</v>
      </c>
      <c r="GX18" s="4">
        <f t="shared" si="6"/>
        <v>0</v>
      </c>
    </row>
    <row r="20" spans="1:255">
      <c r="A20" s="1">
        <v>3</v>
      </c>
      <c r="B20" s="1">
        <v>1</v>
      </c>
      <c r="C20" s="1"/>
      <c r="D20" s="1">
        <f>ROW(A135)</f>
        <v>135</v>
      </c>
      <c r="E20" s="1"/>
      <c r="F20" s="1" t="s">
        <v>14</v>
      </c>
      <c r="G20" s="1" t="s">
        <v>15</v>
      </c>
      <c r="H20" s="1" t="s">
        <v>4</v>
      </c>
      <c r="I20" s="1">
        <v>0</v>
      </c>
      <c r="J20" s="1" t="s">
        <v>16</v>
      </c>
      <c r="K20" s="1">
        <v>-1</v>
      </c>
      <c r="L20" s="1" t="s">
        <v>14</v>
      </c>
      <c r="M20" s="1" t="s">
        <v>4</v>
      </c>
      <c r="N20" s="1"/>
      <c r="O20" s="1"/>
      <c r="P20" s="1"/>
      <c r="Q20" s="1"/>
      <c r="R20" s="1"/>
      <c r="S20" s="1">
        <v>0</v>
      </c>
      <c r="T20" s="1">
        <v>0</v>
      </c>
      <c r="U20" s="1" t="s">
        <v>17</v>
      </c>
      <c r="V20" s="1">
        <v>0</v>
      </c>
      <c r="W20" s="1"/>
      <c r="X20" s="1"/>
      <c r="Y20" s="1"/>
      <c r="Z20" s="1"/>
      <c r="AA20" s="1"/>
      <c r="AB20" s="1" t="s">
        <v>4</v>
      </c>
      <c r="AC20" s="1" t="s">
        <v>4</v>
      </c>
      <c r="AD20" s="1" t="s">
        <v>4</v>
      </c>
      <c r="AE20" s="1" t="s">
        <v>4</v>
      </c>
      <c r="AF20" s="1" t="s">
        <v>4</v>
      </c>
      <c r="AG20" s="1" t="s">
        <v>4</v>
      </c>
      <c r="AH20" s="1"/>
      <c r="AI20" s="1"/>
      <c r="AJ20" s="1"/>
      <c r="AK20" s="1"/>
      <c r="AL20" s="1"/>
      <c r="AM20" s="1"/>
      <c r="AN20" s="1"/>
      <c r="AO20" s="1"/>
      <c r="AP20" s="1" t="s">
        <v>4</v>
      </c>
      <c r="AQ20" s="1" t="s">
        <v>4</v>
      </c>
      <c r="AR20" s="1" t="s">
        <v>4</v>
      </c>
      <c r="AS20" s="1"/>
      <c r="AT20" s="1"/>
      <c r="AU20" s="1"/>
      <c r="AV20" s="1"/>
      <c r="AW20" s="1"/>
      <c r="AX20" s="1"/>
      <c r="AY20" s="1"/>
      <c r="AZ20" s="1" t="s">
        <v>4</v>
      </c>
      <c r="BA20" s="1"/>
      <c r="BB20" s="1" t="s">
        <v>4</v>
      </c>
      <c r="BC20" s="1" t="s">
        <v>4</v>
      </c>
      <c r="BD20" s="1" t="s">
        <v>4</v>
      </c>
      <c r="BE20" s="1" t="s">
        <v>4</v>
      </c>
      <c r="BF20" s="1" t="s">
        <v>4</v>
      </c>
      <c r="BG20" s="1" t="s">
        <v>4</v>
      </c>
      <c r="BH20" s="1" t="s">
        <v>4</v>
      </c>
      <c r="BI20" s="1" t="s">
        <v>4</v>
      </c>
      <c r="BJ20" s="1" t="s">
        <v>4</v>
      </c>
      <c r="BK20" s="1" t="s">
        <v>4</v>
      </c>
      <c r="BL20" s="1" t="s">
        <v>4</v>
      </c>
      <c r="BM20" s="1" t="s">
        <v>4</v>
      </c>
      <c r="BN20" s="1" t="s">
        <v>4</v>
      </c>
      <c r="BO20" s="1" t="s">
        <v>4</v>
      </c>
      <c r="BP20" s="1" t="s">
        <v>4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4</v>
      </c>
      <c r="CJ20" s="1" t="s">
        <v>4</v>
      </c>
      <c r="CK20" t="s">
        <v>4</v>
      </c>
      <c r="CL20" t="s">
        <v>4</v>
      </c>
      <c r="CM20" t="s">
        <v>4</v>
      </c>
      <c r="CN20" t="s">
        <v>4</v>
      </c>
      <c r="CO20" t="s">
        <v>4</v>
      </c>
      <c r="CP20" t="s">
        <v>4</v>
      </c>
      <c r="CQ20" t="s">
        <v>4</v>
      </c>
    </row>
    <row r="22" spans="1:255">
      <c r="A22" s="3">
        <v>52</v>
      </c>
      <c r="B22" s="3">
        <f t="shared" ref="B22:G22" si="7">B135</f>
        <v>1</v>
      </c>
      <c r="C22" s="3">
        <f t="shared" si="7"/>
        <v>3</v>
      </c>
      <c r="D22" s="3">
        <f t="shared" si="7"/>
        <v>20</v>
      </c>
      <c r="E22" s="3">
        <f t="shared" si="7"/>
        <v>0</v>
      </c>
      <c r="F22" s="3" t="str">
        <f t="shared" si="7"/>
        <v>02-01-03</v>
      </c>
      <c r="G22" s="3" t="str">
        <f t="shared" si="7"/>
        <v>Реконструкция ТП  28274</v>
      </c>
      <c r="H22" s="3"/>
      <c r="I22" s="3"/>
      <c r="J22" s="3"/>
      <c r="K22" s="3"/>
      <c r="L22" s="3"/>
      <c r="M22" s="3"/>
      <c r="N22" s="3"/>
      <c r="O22" s="3">
        <f t="shared" ref="O22:AT22" si="8">O135</f>
        <v>443203.52</v>
      </c>
      <c r="P22" s="3">
        <f t="shared" si="8"/>
        <v>440005.2</v>
      </c>
      <c r="Q22" s="3">
        <f t="shared" si="8"/>
        <v>2132.8000000000002</v>
      </c>
      <c r="R22" s="3">
        <f t="shared" si="8"/>
        <v>572.80999999999995</v>
      </c>
      <c r="S22" s="3">
        <f t="shared" si="8"/>
        <v>1065.52</v>
      </c>
      <c r="T22" s="3">
        <f t="shared" si="8"/>
        <v>0</v>
      </c>
      <c r="U22" s="3">
        <f t="shared" si="8"/>
        <v>84.430080000000004</v>
      </c>
      <c r="V22" s="3">
        <f t="shared" si="8"/>
        <v>0</v>
      </c>
      <c r="W22" s="3">
        <f t="shared" si="8"/>
        <v>0</v>
      </c>
      <c r="X22" s="3">
        <f t="shared" si="8"/>
        <v>1193.3800000000001</v>
      </c>
      <c r="Y22" s="3">
        <f t="shared" si="8"/>
        <v>745.86</v>
      </c>
      <c r="Z22" s="3">
        <f t="shared" si="8"/>
        <v>0</v>
      </c>
      <c r="AA22" s="3">
        <f t="shared" si="8"/>
        <v>0</v>
      </c>
      <c r="AB22" s="3">
        <f t="shared" si="8"/>
        <v>0</v>
      </c>
      <c r="AC22" s="3">
        <f t="shared" si="8"/>
        <v>0</v>
      </c>
      <c r="AD22" s="3">
        <f t="shared" si="8"/>
        <v>0</v>
      </c>
      <c r="AE22" s="3">
        <f t="shared" si="8"/>
        <v>0</v>
      </c>
      <c r="AF22" s="3">
        <f t="shared" si="8"/>
        <v>0</v>
      </c>
      <c r="AG22" s="3">
        <f t="shared" si="8"/>
        <v>0</v>
      </c>
      <c r="AH22" s="3">
        <f t="shared" si="8"/>
        <v>0</v>
      </c>
      <c r="AI22" s="3">
        <f t="shared" si="8"/>
        <v>0</v>
      </c>
      <c r="AJ22" s="3">
        <f t="shared" si="8"/>
        <v>0</v>
      </c>
      <c r="AK22" s="3">
        <f t="shared" si="8"/>
        <v>0</v>
      </c>
      <c r="AL22" s="3">
        <f t="shared" si="8"/>
        <v>0</v>
      </c>
      <c r="AM22" s="3">
        <f t="shared" si="8"/>
        <v>0</v>
      </c>
      <c r="AN22" s="3">
        <f t="shared" si="8"/>
        <v>0</v>
      </c>
      <c r="AO22" s="3">
        <f t="shared" si="8"/>
        <v>0</v>
      </c>
      <c r="AP22" s="3">
        <f t="shared" si="8"/>
        <v>439830.76</v>
      </c>
      <c r="AQ22" s="3">
        <f t="shared" si="8"/>
        <v>0</v>
      </c>
      <c r="AR22" s="3">
        <f t="shared" si="8"/>
        <v>446145.18</v>
      </c>
      <c r="AS22" s="3">
        <f t="shared" si="8"/>
        <v>0</v>
      </c>
      <c r="AT22" s="3">
        <f t="shared" si="8"/>
        <v>6314.42</v>
      </c>
      <c r="AU22" s="3">
        <f t="shared" ref="AU22:BZ22" si="9">AU135</f>
        <v>0</v>
      </c>
      <c r="AV22" s="3">
        <f t="shared" si="9"/>
        <v>440005.2</v>
      </c>
      <c r="AW22" s="3">
        <f t="shared" si="9"/>
        <v>174.44</v>
      </c>
      <c r="AX22" s="3">
        <f t="shared" si="9"/>
        <v>0</v>
      </c>
      <c r="AY22" s="3">
        <f t="shared" si="9"/>
        <v>174.44</v>
      </c>
      <c r="AZ22" s="3">
        <f t="shared" si="9"/>
        <v>439830.76</v>
      </c>
      <c r="BA22" s="3">
        <f t="shared" si="9"/>
        <v>0</v>
      </c>
      <c r="BB22" s="3">
        <f t="shared" si="9"/>
        <v>0</v>
      </c>
      <c r="BC22" s="3">
        <f t="shared" si="9"/>
        <v>0</v>
      </c>
      <c r="BD22" s="3">
        <f t="shared" si="9"/>
        <v>0</v>
      </c>
      <c r="BE22" s="3">
        <f t="shared" si="9"/>
        <v>0</v>
      </c>
      <c r="BF22" s="3">
        <f t="shared" si="9"/>
        <v>0</v>
      </c>
      <c r="BG22" s="3">
        <f t="shared" si="9"/>
        <v>0</v>
      </c>
      <c r="BH22" s="3">
        <f t="shared" si="9"/>
        <v>0</v>
      </c>
      <c r="BI22" s="3">
        <f t="shared" si="9"/>
        <v>0</v>
      </c>
      <c r="BJ22" s="3">
        <f t="shared" si="9"/>
        <v>0</v>
      </c>
      <c r="BK22" s="3">
        <f t="shared" si="9"/>
        <v>0</v>
      </c>
      <c r="BL22" s="3">
        <f t="shared" si="9"/>
        <v>0</v>
      </c>
      <c r="BM22" s="3">
        <f t="shared" si="9"/>
        <v>0</v>
      </c>
      <c r="BN22" s="3">
        <f t="shared" si="9"/>
        <v>0</v>
      </c>
      <c r="BO22" s="3">
        <f t="shared" si="9"/>
        <v>0</v>
      </c>
      <c r="BP22" s="3">
        <f t="shared" si="9"/>
        <v>0</v>
      </c>
      <c r="BQ22" s="3">
        <f t="shared" si="9"/>
        <v>0</v>
      </c>
      <c r="BR22" s="3">
        <f t="shared" si="9"/>
        <v>0</v>
      </c>
      <c r="BS22" s="3">
        <f t="shared" si="9"/>
        <v>0</v>
      </c>
      <c r="BT22" s="3">
        <f t="shared" si="9"/>
        <v>0</v>
      </c>
      <c r="BU22" s="3">
        <f t="shared" si="9"/>
        <v>0</v>
      </c>
      <c r="BV22" s="3">
        <f t="shared" si="9"/>
        <v>0</v>
      </c>
      <c r="BW22" s="3">
        <f t="shared" si="9"/>
        <v>0</v>
      </c>
      <c r="BX22" s="3">
        <f t="shared" si="9"/>
        <v>0</v>
      </c>
      <c r="BY22" s="3">
        <f t="shared" si="9"/>
        <v>0</v>
      </c>
      <c r="BZ22" s="3">
        <f t="shared" si="9"/>
        <v>0</v>
      </c>
      <c r="CA22" s="3">
        <f t="shared" ref="CA22:DF22" si="10">CA135</f>
        <v>0</v>
      </c>
      <c r="CB22" s="3">
        <f t="shared" si="10"/>
        <v>0</v>
      </c>
      <c r="CC22" s="3">
        <f t="shared" si="10"/>
        <v>0</v>
      </c>
      <c r="CD22" s="3">
        <f t="shared" si="10"/>
        <v>0</v>
      </c>
      <c r="CE22" s="3">
        <f t="shared" si="10"/>
        <v>0</v>
      </c>
      <c r="CF22" s="3">
        <f t="shared" si="10"/>
        <v>0</v>
      </c>
      <c r="CG22" s="3">
        <f t="shared" si="10"/>
        <v>0</v>
      </c>
      <c r="CH22" s="3">
        <f t="shared" si="10"/>
        <v>0</v>
      </c>
      <c r="CI22" s="3">
        <f t="shared" si="10"/>
        <v>0</v>
      </c>
      <c r="CJ22" s="3">
        <f t="shared" si="10"/>
        <v>0</v>
      </c>
      <c r="CK22" s="3">
        <f t="shared" si="10"/>
        <v>0</v>
      </c>
      <c r="CL22" s="3">
        <f t="shared" si="10"/>
        <v>0</v>
      </c>
      <c r="CM22" s="3">
        <f t="shared" si="10"/>
        <v>0</v>
      </c>
      <c r="CN22" s="3">
        <f t="shared" si="10"/>
        <v>0</v>
      </c>
      <c r="CO22" s="3">
        <f t="shared" si="10"/>
        <v>0</v>
      </c>
      <c r="CP22" s="3">
        <f t="shared" si="10"/>
        <v>0</v>
      </c>
      <c r="CQ22" s="3">
        <f t="shared" si="10"/>
        <v>0</v>
      </c>
      <c r="CR22" s="3">
        <f t="shared" si="10"/>
        <v>0</v>
      </c>
      <c r="CS22" s="3">
        <f t="shared" si="10"/>
        <v>0</v>
      </c>
      <c r="CT22" s="3">
        <f t="shared" si="10"/>
        <v>0</v>
      </c>
      <c r="CU22" s="3">
        <f t="shared" si="10"/>
        <v>0</v>
      </c>
      <c r="CV22" s="3">
        <f t="shared" si="10"/>
        <v>0</v>
      </c>
      <c r="CW22" s="3">
        <f t="shared" si="10"/>
        <v>0</v>
      </c>
      <c r="CX22" s="3">
        <f t="shared" si="10"/>
        <v>0</v>
      </c>
      <c r="CY22" s="3">
        <f t="shared" si="10"/>
        <v>0</v>
      </c>
      <c r="CZ22" s="3">
        <f t="shared" si="10"/>
        <v>0</v>
      </c>
      <c r="DA22" s="3">
        <f t="shared" si="10"/>
        <v>0</v>
      </c>
      <c r="DB22" s="3">
        <f t="shared" si="10"/>
        <v>0</v>
      </c>
      <c r="DC22" s="3">
        <f t="shared" si="10"/>
        <v>0</v>
      </c>
      <c r="DD22" s="3">
        <f t="shared" si="10"/>
        <v>0</v>
      </c>
      <c r="DE22" s="3">
        <f t="shared" si="10"/>
        <v>0</v>
      </c>
      <c r="DF22" s="3">
        <f t="shared" si="10"/>
        <v>0</v>
      </c>
      <c r="DG22" s="4">
        <f t="shared" ref="DG22:EL22" si="11">DG135</f>
        <v>3293727.99</v>
      </c>
      <c r="DH22" s="4">
        <f t="shared" si="11"/>
        <v>3202303.93</v>
      </c>
      <c r="DI22" s="4">
        <f t="shared" si="11"/>
        <v>41696.239999999998</v>
      </c>
      <c r="DJ22" s="4">
        <f t="shared" si="11"/>
        <v>26733.040000000001</v>
      </c>
      <c r="DK22" s="4">
        <f t="shared" si="11"/>
        <v>49727.82</v>
      </c>
      <c r="DL22" s="4">
        <f t="shared" si="11"/>
        <v>0</v>
      </c>
      <c r="DM22" s="4">
        <f t="shared" si="11"/>
        <v>84.430080000000004</v>
      </c>
      <c r="DN22" s="4">
        <f t="shared" si="11"/>
        <v>0</v>
      </c>
      <c r="DO22" s="4">
        <f t="shared" si="11"/>
        <v>0</v>
      </c>
      <c r="DP22" s="4">
        <f t="shared" si="11"/>
        <v>45749.59</v>
      </c>
      <c r="DQ22" s="4">
        <f t="shared" si="11"/>
        <v>21382.959999999999</v>
      </c>
      <c r="DR22" s="4">
        <f t="shared" si="11"/>
        <v>0</v>
      </c>
      <c r="DS22" s="4">
        <f t="shared" si="11"/>
        <v>0</v>
      </c>
      <c r="DT22" s="4">
        <f t="shared" si="11"/>
        <v>0</v>
      </c>
      <c r="DU22" s="4">
        <f t="shared" si="11"/>
        <v>0</v>
      </c>
      <c r="DV22" s="4">
        <f t="shared" si="11"/>
        <v>0</v>
      </c>
      <c r="DW22" s="4">
        <f t="shared" si="11"/>
        <v>0</v>
      </c>
      <c r="DX22" s="4">
        <f t="shared" si="11"/>
        <v>0</v>
      </c>
      <c r="DY22" s="4">
        <f t="shared" si="11"/>
        <v>0</v>
      </c>
      <c r="DZ22" s="4">
        <f t="shared" si="11"/>
        <v>0</v>
      </c>
      <c r="EA22" s="4">
        <f t="shared" si="11"/>
        <v>0</v>
      </c>
      <c r="EB22" s="4">
        <f t="shared" si="11"/>
        <v>0</v>
      </c>
      <c r="EC22" s="4">
        <f t="shared" si="11"/>
        <v>0</v>
      </c>
      <c r="ED22" s="4">
        <f t="shared" si="11"/>
        <v>0</v>
      </c>
      <c r="EE22" s="4">
        <f t="shared" si="11"/>
        <v>0</v>
      </c>
      <c r="EF22" s="4">
        <f t="shared" si="11"/>
        <v>0</v>
      </c>
      <c r="EG22" s="4">
        <f t="shared" si="11"/>
        <v>0</v>
      </c>
      <c r="EH22" s="4">
        <f t="shared" si="11"/>
        <v>3197569.63</v>
      </c>
      <c r="EI22" s="4">
        <f t="shared" si="11"/>
        <v>0</v>
      </c>
      <c r="EJ22" s="4">
        <f t="shared" si="11"/>
        <v>3403633.41</v>
      </c>
      <c r="EK22" s="4">
        <f t="shared" si="11"/>
        <v>0</v>
      </c>
      <c r="EL22" s="4">
        <f t="shared" si="11"/>
        <v>206063.78</v>
      </c>
      <c r="EM22" s="4">
        <f t="shared" ref="EM22:FR22" si="12">EM135</f>
        <v>0</v>
      </c>
      <c r="EN22" s="4">
        <f t="shared" si="12"/>
        <v>3202303.93</v>
      </c>
      <c r="EO22" s="4">
        <f t="shared" si="12"/>
        <v>4734.3</v>
      </c>
      <c r="EP22" s="4">
        <f t="shared" si="12"/>
        <v>0</v>
      </c>
      <c r="EQ22" s="4">
        <f t="shared" si="12"/>
        <v>4734.3</v>
      </c>
      <c r="ER22" s="4">
        <f t="shared" si="12"/>
        <v>3197569.63</v>
      </c>
      <c r="ES22" s="4">
        <f t="shared" si="12"/>
        <v>0</v>
      </c>
      <c r="ET22" s="4">
        <f t="shared" si="12"/>
        <v>0</v>
      </c>
      <c r="EU22" s="4">
        <f t="shared" si="12"/>
        <v>0</v>
      </c>
      <c r="EV22" s="4">
        <f t="shared" si="12"/>
        <v>0</v>
      </c>
      <c r="EW22" s="4">
        <f t="shared" si="12"/>
        <v>0</v>
      </c>
      <c r="EX22" s="4">
        <f t="shared" si="12"/>
        <v>0</v>
      </c>
      <c r="EY22" s="4">
        <f t="shared" si="12"/>
        <v>0</v>
      </c>
      <c r="EZ22" s="4">
        <f t="shared" si="12"/>
        <v>0</v>
      </c>
      <c r="FA22" s="4">
        <f t="shared" si="12"/>
        <v>0</v>
      </c>
      <c r="FB22" s="4">
        <f t="shared" si="12"/>
        <v>0</v>
      </c>
      <c r="FC22" s="4">
        <f t="shared" si="12"/>
        <v>0</v>
      </c>
      <c r="FD22" s="4">
        <f t="shared" si="12"/>
        <v>0</v>
      </c>
      <c r="FE22" s="4">
        <f t="shared" si="12"/>
        <v>0</v>
      </c>
      <c r="FF22" s="4">
        <f t="shared" si="12"/>
        <v>0</v>
      </c>
      <c r="FG22" s="4">
        <f t="shared" si="12"/>
        <v>0</v>
      </c>
      <c r="FH22" s="4">
        <f t="shared" si="12"/>
        <v>0</v>
      </c>
      <c r="FI22" s="4">
        <f t="shared" si="12"/>
        <v>0</v>
      </c>
      <c r="FJ22" s="4">
        <f t="shared" si="12"/>
        <v>0</v>
      </c>
      <c r="FK22" s="4">
        <f t="shared" si="12"/>
        <v>0</v>
      </c>
      <c r="FL22" s="4">
        <f t="shared" si="12"/>
        <v>0</v>
      </c>
      <c r="FM22" s="4">
        <f t="shared" si="12"/>
        <v>0</v>
      </c>
      <c r="FN22" s="4">
        <f t="shared" si="12"/>
        <v>0</v>
      </c>
      <c r="FO22" s="4">
        <f t="shared" si="12"/>
        <v>0</v>
      </c>
      <c r="FP22" s="4">
        <f t="shared" si="12"/>
        <v>0</v>
      </c>
      <c r="FQ22" s="4">
        <f t="shared" si="12"/>
        <v>0</v>
      </c>
      <c r="FR22" s="4">
        <f t="shared" si="12"/>
        <v>0</v>
      </c>
      <c r="FS22" s="4">
        <f t="shared" ref="FS22:GX22" si="13">FS135</f>
        <v>0</v>
      </c>
      <c r="FT22" s="4">
        <f t="shared" si="13"/>
        <v>0</v>
      </c>
      <c r="FU22" s="4">
        <f t="shared" si="13"/>
        <v>0</v>
      </c>
      <c r="FV22" s="4">
        <f t="shared" si="13"/>
        <v>0</v>
      </c>
      <c r="FW22" s="4">
        <f t="shared" si="13"/>
        <v>0</v>
      </c>
      <c r="FX22" s="4">
        <f t="shared" si="13"/>
        <v>0</v>
      </c>
      <c r="FY22" s="4">
        <f t="shared" si="13"/>
        <v>0</v>
      </c>
      <c r="FZ22" s="4">
        <f t="shared" si="13"/>
        <v>0</v>
      </c>
      <c r="GA22" s="4">
        <f t="shared" si="13"/>
        <v>0</v>
      </c>
      <c r="GB22" s="4">
        <f t="shared" si="13"/>
        <v>0</v>
      </c>
      <c r="GC22" s="4">
        <f t="shared" si="13"/>
        <v>0</v>
      </c>
      <c r="GD22" s="4">
        <f t="shared" si="13"/>
        <v>0</v>
      </c>
      <c r="GE22" s="4">
        <f t="shared" si="13"/>
        <v>0</v>
      </c>
      <c r="GF22" s="4">
        <f t="shared" si="13"/>
        <v>0</v>
      </c>
      <c r="GG22" s="4">
        <f t="shared" si="13"/>
        <v>0</v>
      </c>
      <c r="GH22" s="4">
        <f t="shared" si="13"/>
        <v>0</v>
      </c>
      <c r="GI22" s="4">
        <f t="shared" si="13"/>
        <v>0</v>
      </c>
      <c r="GJ22" s="4">
        <f t="shared" si="13"/>
        <v>0</v>
      </c>
      <c r="GK22" s="4">
        <f t="shared" si="13"/>
        <v>0</v>
      </c>
      <c r="GL22" s="4">
        <f t="shared" si="13"/>
        <v>0</v>
      </c>
      <c r="GM22" s="4">
        <f t="shared" si="13"/>
        <v>0</v>
      </c>
      <c r="GN22" s="4">
        <f t="shared" si="13"/>
        <v>0</v>
      </c>
      <c r="GO22" s="4">
        <f t="shared" si="13"/>
        <v>0</v>
      </c>
      <c r="GP22" s="4">
        <f t="shared" si="13"/>
        <v>0</v>
      </c>
      <c r="GQ22" s="4">
        <f t="shared" si="13"/>
        <v>0</v>
      </c>
      <c r="GR22" s="4">
        <f t="shared" si="13"/>
        <v>0</v>
      </c>
      <c r="GS22" s="4">
        <f t="shared" si="13"/>
        <v>0</v>
      </c>
      <c r="GT22" s="4">
        <f t="shared" si="13"/>
        <v>0</v>
      </c>
      <c r="GU22" s="4">
        <f t="shared" si="13"/>
        <v>0</v>
      </c>
      <c r="GV22" s="4">
        <f t="shared" si="13"/>
        <v>0</v>
      </c>
      <c r="GW22" s="4">
        <f t="shared" si="13"/>
        <v>0</v>
      </c>
      <c r="GX22" s="4">
        <f t="shared" si="13"/>
        <v>0</v>
      </c>
    </row>
    <row r="24" spans="1:255">
      <c r="A24" s="1">
        <v>4</v>
      </c>
      <c r="B24" s="1">
        <v>1</v>
      </c>
      <c r="C24" s="1"/>
      <c r="D24" s="1">
        <f>ROW(A31)</f>
        <v>31</v>
      </c>
      <c r="E24" s="1"/>
      <c r="F24" s="1" t="s">
        <v>18</v>
      </c>
      <c r="G24" s="1" t="s">
        <v>19</v>
      </c>
      <c r="H24" s="1" t="s">
        <v>4</v>
      </c>
      <c r="I24" s="1">
        <v>0</v>
      </c>
      <c r="J24" s="1"/>
      <c r="K24" s="1">
        <v>0</v>
      </c>
      <c r="L24" s="1"/>
      <c r="M24" s="1" t="s">
        <v>4</v>
      </c>
      <c r="N24" s="1"/>
      <c r="O24" s="1"/>
      <c r="P24" s="1"/>
      <c r="Q24" s="1"/>
      <c r="R24" s="1"/>
      <c r="S24" s="1">
        <v>0</v>
      </c>
      <c r="T24" s="1">
        <v>0</v>
      </c>
      <c r="U24" s="1" t="s">
        <v>4</v>
      </c>
      <c r="V24" s="1">
        <v>0</v>
      </c>
      <c r="W24" s="1"/>
      <c r="X24" s="1"/>
      <c r="Y24" s="1"/>
      <c r="Z24" s="1"/>
      <c r="AA24" s="1"/>
      <c r="AB24" s="1" t="s">
        <v>4</v>
      </c>
      <c r="AC24" s="1" t="s">
        <v>4</v>
      </c>
      <c r="AD24" s="1" t="s">
        <v>4</v>
      </c>
      <c r="AE24" s="1" t="s">
        <v>4</v>
      </c>
      <c r="AF24" s="1" t="s">
        <v>4</v>
      </c>
      <c r="AG24" s="1" t="s">
        <v>4</v>
      </c>
      <c r="AH24" s="1"/>
      <c r="AI24" s="1"/>
      <c r="AJ24" s="1"/>
      <c r="AK24" s="1"/>
      <c r="AL24" s="1"/>
      <c r="AM24" s="1"/>
      <c r="AN24" s="1"/>
      <c r="AO24" s="1"/>
      <c r="AP24" s="1" t="s">
        <v>4</v>
      </c>
      <c r="AQ24" s="1" t="s">
        <v>4</v>
      </c>
      <c r="AR24" s="1" t="s">
        <v>4</v>
      </c>
      <c r="AS24" s="1"/>
      <c r="AT24" s="1"/>
      <c r="AU24" s="1"/>
      <c r="AV24" s="1"/>
      <c r="AW24" s="1"/>
      <c r="AX24" s="1"/>
      <c r="AY24" s="1"/>
      <c r="AZ24" s="1" t="s">
        <v>4</v>
      </c>
      <c r="BA24" s="1"/>
      <c r="BB24" s="1" t="s">
        <v>4</v>
      </c>
      <c r="BC24" s="1" t="s">
        <v>4</v>
      </c>
      <c r="BD24" s="1" t="s">
        <v>4</v>
      </c>
      <c r="BE24" s="1" t="s">
        <v>4</v>
      </c>
      <c r="BF24" s="1" t="s">
        <v>4</v>
      </c>
      <c r="BG24" s="1" t="s">
        <v>4</v>
      </c>
      <c r="BH24" s="1" t="s">
        <v>4</v>
      </c>
      <c r="BI24" s="1" t="s">
        <v>4</v>
      </c>
      <c r="BJ24" s="1" t="s">
        <v>4</v>
      </c>
      <c r="BK24" s="1" t="s">
        <v>4</v>
      </c>
      <c r="BL24" s="1" t="s">
        <v>4</v>
      </c>
      <c r="BM24" s="1" t="s">
        <v>4</v>
      </c>
      <c r="BN24" s="1" t="s">
        <v>4</v>
      </c>
      <c r="BO24" s="1" t="s">
        <v>4</v>
      </c>
      <c r="BP24" s="1" t="s">
        <v>4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55">
      <c r="A26" s="3">
        <v>52</v>
      </c>
      <c r="B26" s="3">
        <f t="shared" ref="B26:G26" si="14">B31</f>
        <v>1</v>
      </c>
      <c r="C26" s="3">
        <f t="shared" si="14"/>
        <v>4</v>
      </c>
      <c r="D26" s="3">
        <f t="shared" si="14"/>
        <v>24</v>
      </c>
      <c r="E26" s="3">
        <f t="shared" si="14"/>
        <v>0</v>
      </c>
      <c r="F26" s="3" t="str">
        <f t="shared" si="14"/>
        <v>Новый раздел</v>
      </c>
      <c r="G26" s="3" t="str">
        <f t="shared" si="14"/>
        <v>Демонтажные работы</v>
      </c>
      <c r="H26" s="3"/>
      <c r="I26" s="3"/>
      <c r="J26" s="3"/>
      <c r="K26" s="3"/>
      <c r="L26" s="3"/>
      <c r="M26" s="3"/>
      <c r="N26" s="3"/>
      <c r="O26" s="3">
        <f t="shared" ref="O26:AT26" si="15">O31</f>
        <v>913.8</v>
      </c>
      <c r="P26" s="3">
        <f t="shared" si="15"/>
        <v>0</v>
      </c>
      <c r="Q26" s="3">
        <f t="shared" si="15"/>
        <v>609.37</v>
      </c>
      <c r="R26" s="3">
        <f t="shared" si="15"/>
        <v>163.66</v>
      </c>
      <c r="S26" s="3">
        <f t="shared" si="15"/>
        <v>304.43</v>
      </c>
      <c r="T26" s="3">
        <f t="shared" si="15"/>
        <v>0</v>
      </c>
      <c r="U26" s="3">
        <f t="shared" si="15"/>
        <v>24.122880000000002</v>
      </c>
      <c r="V26" s="3">
        <f t="shared" si="15"/>
        <v>0</v>
      </c>
      <c r="W26" s="3">
        <f t="shared" si="15"/>
        <v>0</v>
      </c>
      <c r="X26" s="3">
        <f t="shared" si="15"/>
        <v>340.96</v>
      </c>
      <c r="Y26" s="3">
        <f t="shared" si="15"/>
        <v>213.1</v>
      </c>
      <c r="Z26" s="3">
        <f t="shared" si="15"/>
        <v>0</v>
      </c>
      <c r="AA26" s="3">
        <f t="shared" si="15"/>
        <v>0</v>
      </c>
      <c r="AB26" s="3">
        <f t="shared" si="15"/>
        <v>913.8</v>
      </c>
      <c r="AC26" s="3">
        <f t="shared" si="15"/>
        <v>0</v>
      </c>
      <c r="AD26" s="3">
        <f t="shared" si="15"/>
        <v>609.37</v>
      </c>
      <c r="AE26" s="3">
        <f t="shared" si="15"/>
        <v>163.66</v>
      </c>
      <c r="AF26" s="3">
        <f t="shared" si="15"/>
        <v>304.43</v>
      </c>
      <c r="AG26" s="3">
        <f t="shared" si="15"/>
        <v>0</v>
      </c>
      <c r="AH26" s="3">
        <f t="shared" si="15"/>
        <v>24.122880000000002</v>
      </c>
      <c r="AI26" s="3">
        <f t="shared" si="15"/>
        <v>0</v>
      </c>
      <c r="AJ26" s="3">
        <f t="shared" si="15"/>
        <v>0</v>
      </c>
      <c r="AK26" s="3">
        <f t="shared" si="15"/>
        <v>340.96</v>
      </c>
      <c r="AL26" s="3">
        <f t="shared" si="15"/>
        <v>213.1</v>
      </c>
      <c r="AM26" s="3">
        <f t="shared" si="15"/>
        <v>0</v>
      </c>
      <c r="AN26" s="3">
        <f t="shared" si="15"/>
        <v>0</v>
      </c>
      <c r="AO26" s="3">
        <f t="shared" si="15"/>
        <v>0</v>
      </c>
      <c r="AP26" s="3">
        <f t="shared" si="15"/>
        <v>0</v>
      </c>
      <c r="AQ26" s="3">
        <f t="shared" si="15"/>
        <v>0</v>
      </c>
      <c r="AR26" s="3">
        <f t="shared" si="15"/>
        <v>1754.27</v>
      </c>
      <c r="AS26" s="3">
        <f t="shared" si="15"/>
        <v>0</v>
      </c>
      <c r="AT26" s="3">
        <f t="shared" si="15"/>
        <v>1754.27</v>
      </c>
      <c r="AU26" s="3">
        <f t="shared" ref="AU26:BZ26" si="16">AU31</f>
        <v>0</v>
      </c>
      <c r="AV26" s="3">
        <f t="shared" si="16"/>
        <v>0</v>
      </c>
      <c r="AW26" s="3">
        <f t="shared" si="16"/>
        <v>0</v>
      </c>
      <c r="AX26" s="3">
        <f t="shared" si="16"/>
        <v>0</v>
      </c>
      <c r="AY26" s="3">
        <f t="shared" si="16"/>
        <v>0</v>
      </c>
      <c r="AZ26" s="3">
        <f t="shared" si="16"/>
        <v>0</v>
      </c>
      <c r="BA26" s="3">
        <f t="shared" si="16"/>
        <v>0</v>
      </c>
      <c r="BB26" s="3">
        <f t="shared" si="16"/>
        <v>0</v>
      </c>
      <c r="BC26" s="3">
        <f t="shared" si="16"/>
        <v>0</v>
      </c>
      <c r="BD26" s="3">
        <f t="shared" si="16"/>
        <v>0</v>
      </c>
      <c r="BE26" s="3">
        <f t="shared" si="16"/>
        <v>0</v>
      </c>
      <c r="BF26" s="3">
        <f t="shared" si="16"/>
        <v>0</v>
      </c>
      <c r="BG26" s="3">
        <f t="shared" si="16"/>
        <v>0</v>
      </c>
      <c r="BH26" s="3">
        <f t="shared" si="16"/>
        <v>0</v>
      </c>
      <c r="BI26" s="3">
        <f t="shared" si="16"/>
        <v>0</v>
      </c>
      <c r="BJ26" s="3">
        <f t="shared" si="16"/>
        <v>0</v>
      </c>
      <c r="BK26" s="3">
        <f t="shared" si="16"/>
        <v>0</v>
      </c>
      <c r="BL26" s="3">
        <f t="shared" si="16"/>
        <v>0</v>
      </c>
      <c r="BM26" s="3">
        <f t="shared" si="16"/>
        <v>0</v>
      </c>
      <c r="BN26" s="3">
        <f t="shared" si="16"/>
        <v>0</v>
      </c>
      <c r="BO26" s="3">
        <f t="shared" si="16"/>
        <v>0</v>
      </c>
      <c r="BP26" s="3">
        <f t="shared" si="16"/>
        <v>0</v>
      </c>
      <c r="BQ26" s="3">
        <f t="shared" si="16"/>
        <v>0</v>
      </c>
      <c r="BR26" s="3">
        <f t="shared" si="16"/>
        <v>0</v>
      </c>
      <c r="BS26" s="3">
        <f t="shared" si="16"/>
        <v>0</v>
      </c>
      <c r="BT26" s="3">
        <f t="shared" si="16"/>
        <v>0</v>
      </c>
      <c r="BU26" s="3">
        <f t="shared" si="16"/>
        <v>0</v>
      </c>
      <c r="BV26" s="3">
        <f t="shared" si="16"/>
        <v>0</v>
      </c>
      <c r="BW26" s="3">
        <f t="shared" si="16"/>
        <v>0</v>
      </c>
      <c r="BX26" s="3">
        <f t="shared" si="16"/>
        <v>0</v>
      </c>
      <c r="BY26" s="3">
        <f t="shared" si="16"/>
        <v>0</v>
      </c>
      <c r="BZ26" s="3">
        <f t="shared" si="16"/>
        <v>0</v>
      </c>
      <c r="CA26" s="3">
        <f t="shared" ref="CA26:DF26" si="17">CA31</f>
        <v>1754.27</v>
      </c>
      <c r="CB26" s="3">
        <f t="shared" si="17"/>
        <v>0</v>
      </c>
      <c r="CC26" s="3">
        <f t="shared" si="17"/>
        <v>1754.27</v>
      </c>
      <c r="CD26" s="3">
        <f t="shared" si="17"/>
        <v>0</v>
      </c>
      <c r="CE26" s="3">
        <f t="shared" si="17"/>
        <v>0</v>
      </c>
      <c r="CF26" s="3">
        <f t="shared" si="17"/>
        <v>0</v>
      </c>
      <c r="CG26" s="3">
        <f t="shared" si="17"/>
        <v>0</v>
      </c>
      <c r="CH26" s="3">
        <f t="shared" si="17"/>
        <v>0</v>
      </c>
      <c r="CI26" s="3">
        <f t="shared" si="17"/>
        <v>0</v>
      </c>
      <c r="CJ26" s="3">
        <f t="shared" si="17"/>
        <v>0</v>
      </c>
      <c r="CK26" s="3">
        <f t="shared" si="17"/>
        <v>0</v>
      </c>
      <c r="CL26" s="3">
        <f t="shared" si="17"/>
        <v>0</v>
      </c>
      <c r="CM26" s="3">
        <f t="shared" si="17"/>
        <v>0</v>
      </c>
      <c r="CN26" s="3">
        <f t="shared" si="17"/>
        <v>0</v>
      </c>
      <c r="CO26" s="3">
        <f t="shared" si="17"/>
        <v>0</v>
      </c>
      <c r="CP26" s="3">
        <f t="shared" si="17"/>
        <v>0</v>
      </c>
      <c r="CQ26" s="3">
        <f t="shared" si="17"/>
        <v>0</v>
      </c>
      <c r="CR26" s="3">
        <f t="shared" si="17"/>
        <v>0</v>
      </c>
      <c r="CS26" s="3">
        <f t="shared" si="17"/>
        <v>0</v>
      </c>
      <c r="CT26" s="3">
        <f t="shared" si="17"/>
        <v>0</v>
      </c>
      <c r="CU26" s="3">
        <f t="shared" si="17"/>
        <v>0</v>
      </c>
      <c r="CV26" s="3">
        <f t="shared" si="17"/>
        <v>0</v>
      </c>
      <c r="CW26" s="3">
        <f t="shared" si="17"/>
        <v>0</v>
      </c>
      <c r="CX26" s="3">
        <f t="shared" si="17"/>
        <v>0</v>
      </c>
      <c r="CY26" s="3">
        <f t="shared" si="17"/>
        <v>0</v>
      </c>
      <c r="CZ26" s="3">
        <f t="shared" si="17"/>
        <v>0</v>
      </c>
      <c r="DA26" s="3">
        <f t="shared" si="17"/>
        <v>0</v>
      </c>
      <c r="DB26" s="3">
        <f t="shared" si="17"/>
        <v>0</v>
      </c>
      <c r="DC26" s="3">
        <f t="shared" si="17"/>
        <v>0</v>
      </c>
      <c r="DD26" s="3">
        <f t="shared" si="17"/>
        <v>0</v>
      </c>
      <c r="DE26" s="3">
        <f t="shared" si="17"/>
        <v>0</v>
      </c>
      <c r="DF26" s="3">
        <f t="shared" si="17"/>
        <v>0</v>
      </c>
      <c r="DG26" s="4">
        <f t="shared" ref="DG26:EL26" si="18">DG31</f>
        <v>26120.93</v>
      </c>
      <c r="DH26" s="4">
        <f t="shared" si="18"/>
        <v>0</v>
      </c>
      <c r="DI26" s="4">
        <f t="shared" si="18"/>
        <v>11913.18</v>
      </c>
      <c r="DJ26" s="4">
        <f t="shared" si="18"/>
        <v>7638.01</v>
      </c>
      <c r="DK26" s="4">
        <f t="shared" si="18"/>
        <v>14207.75</v>
      </c>
      <c r="DL26" s="4">
        <f t="shared" si="18"/>
        <v>0</v>
      </c>
      <c r="DM26" s="4">
        <f t="shared" si="18"/>
        <v>24.122880000000002</v>
      </c>
      <c r="DN26" s="4">
        <f t="shared" si="18"/>
        <v>0</v>
      </c>
      <c r="DO26" s="4">
        <f t="shared" si="18"/>
        <v>0</v>
      </c>
      <c r="DP26" s="4">
        <f t="shared" si="18"/>
        <v>13071.13</v>
      </c>
      <c r="DQ26" s="4">
        <f t="shared" si="18"/>
        <v>6109.33</v>
      </c>
      <c r="DR26" s="4">
        <f t="shared" si="18"/>
        <v>0</v>
      </c>
      <c r="DS26" s="4">
        <f t="shared" si="18"/>
        <v>0</v>
      </c>
      <c r="DT26" s="4">
        <f t="shared" si="18"/>
        <v>26120.93</v>
      </c>
      <c r="DU26" s="4">
        <f t="shared" si="18"/>
        <v>0</v>
      </c>
      <c r="DV26" s="4">
        <f t="shared" si="18"/>
        <v>11913.18</v>
      </c>
      <c r="DW26" s="4">
        <f t="shared" si="18"/>
        <v>7638.01</v>
      </c>
      <c r="DX26" s="4">
        <f t="shared" si="18"/>
        <v>14207.75</v>
      </c>
      <c r="DY26" s="4">
        <f t="shared" si="18"/>
        <v>0</v>
      </c>
      <c r="DZ26" s="4">
        <f t="shared" si="18"/>
        <v>24.122880000000002</v>
      </c>
      <c r="EA26" s="4">
        <f t="shared" si="18"/>
        <v>0</v>
      </c>
      <c r="EB26" s="4">
        <f t="shared" si="18"/>
        <v>0</v>
      </c>
      <c r="EC26" s="4">
        <f t="shared" si="18"/>
        <v>13071.13</v>
      </c>
      <c r="ED26" s="4">
        <f t="shared" si="18"/>
        <v>6109.33</v>
      </c>
      <c r="EE26" s="4">
        <f t="shared" si="18"/>
        <v>0</v>
      </c>
      <c r="EF26" s="4">
        <f t="shared" si="18"/>
        <v>0</v>
      </c>
      <c r="EG26" s="4">
        <f t="shared" si="18"/>
        <v>0</v>
      </c>
      <c r="EH26" s="4">
        <f t="shared" si="18"/>
        <v>0</v>
      </c>
      <c r="EI26" s="4">
        <f t="shared" si="18"/>
        <v>0</v>
      </c>
      <c r="EJ26" s="4">
        <f t="shared" si="18"/>
        <v>57522.21</v>
      </c>
      <c r="EK26" s="4">
        <f t="shared" si="18"/>
        <v>0</v>
      </c>
      <c r="EL26" s="4">
        <f t="shared" si="18"/>
        <v>57522.21</v>
      </c>
      <c r="EM26" s="4">
        <f t="shared" ref="EM26:FR26" si="19">EM31</f>
        <v>0</v>
      </c>
      <c r="EN26" s="4">
        <f t="shared" si="19"/>
        <v>0</v>
      </c>
      <c r="EO26" s="4">
        <f t="shared" si="19"/>
        <v>0</v>
      </c>
      <c r="EP26" s="4">
        <f t="shared" si="19"/>
        <v>0</v>
      </c>
      <c r="EQ26" s="4">
        <f t="shared" si="19"/>
        <v>0</v>
      </c>
      <c r="ER26" s="4">
        <f t="shared" si="19"/>
        <v>0</v>
      </c>
      <c r="ES26" s="4">
        <f t="shared" si="19"/>
        <v>0</v>
      </c>
      <c r="ET26" s="4">
        <f t="shared" si="19"/>
        <v>0</v>
      </c>
      <c r="EU26" s="4">
        <f t="shared" si="19"/>
        <v>0</v>
      </c>
      <c r="EV26" s="4">
        <f t="shared" si="19"/>
        <v>0</v>
      </c>
      <c r="EW26" s="4">
        <f t="shared" si="19"/>
        <v>0</v>
      </c>
      <c r="EX26" s="4">
        <f t="shared" si="19"/>
        <v>0</v>
      </c>
      <c r="EY26" s="4">
        <f t="shared" si="19"/>
        <v>0</v>
      </c>
      <c r="EZ26" s="4">
        <f t="shared" si="19"/>
        <v>0</v>
      </c>
      <c r="FA26" s="4">
        <f t="shared" si="19"/>
        <v>0</v>
      </c>
      <c r="FB26" s="4">
        <f t="shared" si="19"/>
        <v>0</v>
      </c>
      <c r="FC26" s="4">
        <f t="shared" si="19"/>
        <v>0</v>
      </c>
      <c r="FD26" s="4">
        <f t="shared" si="19"/>
        <v>0</v>
      </c>
      <c r="FE26" s="4">
        <f t="shared" si="19"/>
        <v>0</v>
      </c>
      <c r="FF26" s="4">
        <f t="shared" si="19"/>
        <v>0</v>
      </c>
      <c r="FG26" s="4">
        <f t="shared" si="19"/>
        <v>0</v>
      </c>
      <c r="FH26" s="4">
        <f t="shared" si="19"/>
        <v>0</v>
      </c>
      <c r="FI26" s="4">
        <f t="shared" si="19"/>
        <v>0</v>
      </c>
      <c r="FJ26" s="4">
        <f t="shared" si="19"/>
        <v>0</v>
      </c>
      <c r="FK26" s="4">
        <f t="shared" si="19"/>
        <v>0</v>
      </c>
      <c r="FL26" s="4">
        <f t="shared" si="19"/>
        <v>0</v>
      </c>
      <c r="FM26" s="4">
        <f t="shared" si="19"/>
        <v>0</v>
      </c>
      <c r="FN26" s="4">
        <f t="shared" si="19"/>
        <v>0</v>
      </c>
      <c r="FO26" s="4">
        <f t="shared" si="19"/>
        <v>0</v>
      </c>
      <c r="FP26" s="4">
        <f t="shared" si="19"/>
        <v>0</v>
      </c>
      <c r="FQ26" s="4">
        <f t="shared" si="19"/>
        <v>0</v>
      </c>
      <c r="FR26" s="4">
        <f t="shared" si="19"/>
        <v>0</v>
      </c>
      <c r="FS26" s="4">
        <f t="shared" ref="FS26:GX26" si="20">FS31</f>
        <v>57522.21</v>
      </c>
      <c r="FT26" s="4">
        <f t="shared" si="20"/>
        <v>0</v>
      </c>
      <c r="FU26" s="4">
        <f t="shared" si="20"/>
        <v>57522.21</v>
      </c>
      <c r="FV26" s="4">
        <f t="shared" si="20"/>
        <v>0</v>
      </c>
      <c r="FW26" s="4">
        <f t="shared" si="20"/>
        <v>0</v>
      </c>
      <c r="FX26" s="4">
        <f t="shared" si="20"/>
        <v>0</v>
      </c>
      <c r="FY26" s="4">
        <f t="shared" si="20"/>
        <v>0</v>
      </c>
      <c r="FZ26" s="4">
        <f t="shared" si="20"/>
        <v>0</v>
      </c>
      <c r="GA26" s="4">
        <f t="shared" si="20"/>
        <v>0</v>
      </c>
      <c r="GB26" s="4">
        <f t="shared" si="20"/>
        <v>0</v>
      </c>
      <c r="GC26" s="4">
        <f t="shared" si="20"/>
        <v>0</v>
      </c>
      <c r="GD26" s="4">
        <f t="shared" si="20"/>
        <v>0</v>
      </c>
      <c r="GE26" s="4">
        <f t="shared" si="20"/>
        <v>0</v>
      </c>
      <c r="GF26" s="4">
        <f t="shared" si="20"/>
        <v>0</v>
      </c>
      <c r="GG26" s="4">
        <f t="shared" si="20"/>
        <v>0</v>
      </c>
      <c r="GH26" s="4">
        <f t="shared" si="20"/>
        <v>0</v>
      </c>
      <c r="GI26" s="4">
        <f t="shared" si="20"/>
        <v>0</v>
      </c>
      <c r="GJ26" s="4">
        <f t="shared" si="20"/>
        <v>0</v>
      </c>
      <c r="GK26" s="4">
        <f t="shared" si="20"/>
        <v>0</v>
      </c>
      <c r="GL26" s="4">
        <f t="shared" si="20"/>
        <v>0</v>
      </c>
      <c r="GM26" s="4">
        <f t="shared" si="20"/>
        <v>0</v>
      </c>
      <c r="GN26" s="4">
        <f t="shared" si="20"/>
        <v>0</v>
      </c>
      <c r="GO26" s="4">
        <f t="shared" si="20"/>
        <v>0</v>
      </c>
      <c r="GP26" s="4">
        <f t="shared" si="20"/>
        <v>0</v>
      </c>
      <c r="GQ26" s="4">
        <f t="shared" si="20"/>
        <v>0</v>
      </c>
      <c r="GR26" s="4">
        <f t="shared" si="20"/>
        <v>0</v>
      </c>
      <c r="GS26" s="4">
        <f t="shared" si="20"/>
        <v>0</v>
      </c>
      <c r="GT26" s="4">
        <f t="shared" si="20"/>
        <v>0</v>
      </c>
      <c r="GU26" s="4">
        <f t="shared" si="20"/>
        <v>0</v>
      </c>
      <c r="GV26" s="4">
        <f t="shared" si="20"/>
        <v>0</v>
      </c>
      <c r="GW26" s="4">
        <f t="shared" si="20"/>
        <v>0</v>
      </c>
      <c r="GX26" s="4">
        <f t="shared" si="20"/>
        <v>0</v>
      </c>
    </row>
    <row r="28" spans="1:255">
      <c r="A28" s="2">
        <v>17</v>
      </c>
      <c r="B28" s="2">
        <v>1</v>
      </c>
      <c r="C28" s="2">
        <f>ROW(SmtRes!A10)</f>
        <v>10</v>
      </c>
      <c r="D28" s="2">
        <f>ROW(EtalonRes!A12)</f>
        <v>12</v>
      </c>
      <c r="E28" s="2" t="s">
        <v>20</v>
      </c>
      <c r="F28" s="2" t="s">
        <v>21</v>
      </c>
      <c r="G28" s="2" t="s">
        <v>22</v>
      </c>
      <c r="H28" s="2" t="s">
        <v>23</v>
      </c>
      <c r="I28" s="2">
        <v>2</v>
      </c>
      <c r="J28" s="2">
        <v>0</v>
      </c>
      <c r="K28" s="2">
        <v>2</v>
      </c>
      <c r="L28" s="2"/>
      <c r="M28" s="2"/>
      <c r="N28" s="2"/>
      <c r="O28" s="2">
        <f>ROUND(CP28,2)</f>
        <v>913.8</v>
      </c>
      <c r="P28" s="2">
        <f>ROUND((ROUND((AC28*AW28*I28),2)*BC28),2)</f>
        <v>0</v>
      </c>
      <c r="Q28" s="2">
        <f>(ROUND((ROUND((((ET28*0.4))*AV28*I28),2)*BB28),2)+ROUND((ROUND(((AE28-((EU28*0.4)))*AV28*I28),2)*BS28),2))</f>
        <v>609.37</v>
      </c>
      <c r="R28" s="2">
        <f>ROUND((ROUND((AE28*AV28*I28),2)*BS28),2)</f>
        <v>163.66</v>
      </c>
      <c r="S28" s="2">
        <f>ROUND((ROUND((AF28*AV28*I28),2)*BA28),2)</f>
        <v>304.43</v>
      </c>
      <c r="T28" s="2">
        <f>ROUND(CU28*I28,2)</f>
        <v>0</v>
      </c>
      <c r="U28" s="2">
        <f>CV28*I28</f>
        <v>24.122880000000002</v>
      </c>
      <c r="V28" s="2">
        <f>CW28*I28</f>
        <v>0</v>
      </c>
      <c r="W28" s="2">
        <f>ROUND(CX28*I28,2)</f>
        <v>0</v>
      </c>
      <c r="X28" s="2">
        <f>ROUND(CY28,2)</f>
        <v>340.96</v>
      </c>
      <c r="Y28" s="2">
        <f>ROUND(CZ28,2)</f>
        <v>213.1</v>
      </c>
      <c r="Z28" s="2"/>
      <c r="AA28" s="2">
        <v>70322994</v>
      </c>
      <c r="AB28" s="2">
        <f>ROUND((AC28+AD28+AF28),6)</f>
        <v>436.392</v>
      </c>
      <c r="AC28" s="2">
        <f>ROUND(((ES28*0)),6)</f>
        <v>0</v>
      </c>
      <c r="AD28" s="2">
        <f>ROUND(((((ET28*0.4))-((EU28*0.4)))+AE28),6)</f>
        <v>291.00799999999998</v>
      </c>
      <c r="AE28" s="2">
        <f>ROUND(((EU28*0.4)),6)</f>
        <v>78.156000000000006</v>
      </c>
      <c r="AF28" s="2">
        <f>ROUND(((EV28*0.4)),6)</f>
        <v>145.38399999999999</v>
      </c>
      <c r="AG28" s="2">
        <f>ROUND((AP28),6)</f>
        <v>0</v>
      </c>
      <c r="AH28" s="2">
        <f>((EW28*0.4))</f>
        <v>11.520000000000001</v>
      </c>
      <c r="AI28" s="2">
        <f>((EX28*0.4))</f>
        <v>0</v>
      </c>
      <c r="AJ28" s="2">
        <f>(AS28)</f>
        <v>0</v>
      </c>
      <c r="AK28" s="2">
        <v>1178.2</v>
      </c>
      <c r="AL28" s="2">
        <v>87.22</v>
      </c>
      <c r="AM28" s="2">
        <v>727.52</v>
      </c>
      <c r="AN28" s="2">
        <v>195.39</v>
      </c>
      <c r="AO28" s="2">
        <v>363.46</v>
      </c>
      <c r="AP28" s="2">
        <v>0</v>
      </c>
      <c r="AQ28" s="2">
        <v>28.8</v>
      </c>
      <c r="AR28" s="2">
        <v>0</v>
      </c>
      <c r="AS28" s="2">
        <v>0</v>
      </c>
      <c r="AT28" s="2">
        <v>112</v>
      </c>
      <c r="AU28" s="2">
        <v>70</v>
      </c>
      <c r="AV28" s="2">
        <v>1.0469999999999999</v>
      </c>
      <c r="AW28" s="2">
        <v>1</v>
      </c>
      <c r="AX28" s="2"/>
      <c r="AY28" s="2"/>
      <c r="AZ28" s="2">
        <v>1</v>
      </c>
      <c r="BA28" s="2">
        <v>1</v>
      </c>
      <c r="BB28" s="2">
        <v>1</v>
      </c>
      <c r="BC28" s="2">
        <v>1</v>
      </c>
      <c r="BD28" s="2" t="s">
        <v>4</v>
      </c>
      <c r="BE28" s="2" t="s">
        <v>4</v>
      </c>
      <c r="BF28" s="2" t="s">
        <v>4</v>
      </c>
      <c r="BG28" s="2" t="s">
        <v>4</v>
      </c>
      <c r="BH28" s="2">
        <v>0</v>
      </c>
      <c r="BI28" s="2">
        <v>2</v>
      </c>
      <c r="BJ28" s="2" t="s">
        <v>24</v>
      </c>
      <c r="BK28" s="2"/>
      <c r="BL28" s="2"/>
      <c r="BM28" s="2">
        <v>317</v>
      </c>
      <c r="BN28" s="2">
        <v>0</v>
      </c>
      <c r="BO28" s="2" t="s">
        <v>4</v>
      </c>
      <c r="BP28" s="2">
        <v>0</v>
      </c>
      <c r="BQ28" s="2">
        <v>40</v>
      </c>
      <c r="BR28" s="2">
        <v>0</v>
      </c>
      <c r="BS28" s="2">
        <v>1</v>
      </c>
      <c r="BT28" s="2">
        <v>1</v>
      </c>
      <c r="BU28" s="2">
        <v>1</v>
      </c>
      <c r="BV28" s="2">
        <v>1</v>
      </c>
      <c r="BW28" s="2">
        <v>1</v>
      </c>
      <c r="BX28" s="2">
        <v>1</v>
      </c>
      <c r="BY28" s="2" t="s">
        <v>4</v>
      </c>
      <c r="BZ28" s="2">
        <v>112</v>
      </c>
      <c r="CA28" s="2">
        <v>70</v>
      </c>
      <c r="CB28" s="2" t="s">
        <v>4</v>
      </c>
      <c r="CC28" s="2"/>
      <c r="CD28" s="2"/>
      <c r="CE28" s="2">
        <v>30</v>
      </c>
      <c r="CF28" s="2">
        <v>0</v>
      </c>
      <c r="CG28" s="2">
        <v>0</v>
      </c>
      <c r="CH28" s="2"/>
      <c r="CI28" s="2"/>
      <c r="CJ28" s="2"/>
      <c r="CK28" s="2"/>
      <c r="CL28" s="2"/>
      <c r="CM28" s="2">
        <v>0</v>
      </c>
      <c r="CN28" s="2" t="s">
        <v>25</v>
      </c>
      <c r="CO28" s="2">
        <v>0</v>
      </c>
      <c r="CP28" s="2">
        <f>(P28+Q28+S28)</f>
        <v>913.8</v>
      </c>
      <c r="CQ28" s="2">
        <f>ROUND((ROUND((AC28*AW28*1),2)*BC28),2)</f>
        <v>0</v>
      </c>
      <c r="CR28" s="2">
        <f>(ROUND((ROUND((((ET28*0.4))*AV28*1),2)*BB28),2)+ROUND((ROUND(((AE28-((EU28*0.4)))*AV28*1),2)*BS28),2))</f>
        <v>304.69</v>
      </c>
      <c r="CS28" s="2">
        <f>ROUND((ROUND((AE28*AV28*1),2)*BS28),2)</f>
        <v>81.83</v>
      </c>
      <c r="CT28" s="2">
        <f>ROUND((ROUND((AF28*AV28*1),2)*BA28),2)</f>
        <v>152.22</v>
      </c>
      <c r="CU28" s="2">
        <f>AG28</f>
        <v>0</v>
      </c>
      <c r="CV28" s="2">
        <f>(AH28*AV28)</f>
        <v>12.061440000000001</v>
      </c>
      <c r="CW28" s="2">
        <f>AI28</f>
        <v>0</v>
      </c>
      <c r="CX28" s="2">
        <f>AJ28</f>
        <v>0</v>
      </c>
      <c r="CY28" s="2">
        <f>((S28*BZ28)/100)</f>
        <v>340.96160000000003</v>
      </c>
      <c r="CZ28" s="2">
        <f>((S28*CA28)/100)</f>
        <v>213.10100000000003</v>
      </c>
      <c r="DA28" s="2"/>
      <c r="DB28" s="2">
        <v>1</v>
      </c>
      <c r="DC28" s="2" t="s">
        <v>4</v>
      </c>
      <c r="DD28" s="2" t="s">
        <v>26</v>
      </c>
      <c r="DE28" s="2" t="s">
        <v>27</v>
      </c>
      <c r="DF28" s="2" t="s">
        <v>27</v>
      </c>
      <c r="DG28" s="2" t="s">
        <v>27</v>
      </c>
      <c r="DH28" s="2" t="s">
        <v>4</v>
      </c>
      <c r="DI28" s="2" t="s">
        <v>27</v>
      </c>
      <c r="DJ28" s="2" t="s">
        <v>27</v>
      </c>
      <c r="DK28" s="2" t="s">
        <v>4</v>
      </c>
      <c r="DL28" s="2" t="s">
        <v>4</v>
      </c>
      <c r="DM28" s="2" t="s">
        <v>4</v>
      </c>
      <c r="DN28" s="2">
        <v>0</v>
      </c>
      <c r="DO28" s="2">
        <v>0</v>
      </c>
      <c r="DP28" s="2">
        <v>1</v>
      </c>
      <c r="DQ28" s="2">
        <v>1</v>
      </c>
      <c r="DR28" s="2"/>
      <c r="DS28" s="2"/>
      <c r="DT28" s="2"/>
      <c r="DU28" s="2">
        <v>1013</v>
      </c>
      <c r="DV28" s="2" t="s">
        <v>23</v>
      </c>
      <c r="DW28" s="2" t="s">
        <v>23</v>
      </c>
      <c r="DX28" s="2">
        <v>1</v>
      </c>
      <c r="DY28" s="2"/>
      <c r="DZ28" s="2" t="s">
        <v>4</v>
      </c>
      <c r="EA28" s="2" t="s">
        <v>4</v>
      </c>
      <c r="EB28" s="2" t="s">
        <v>4</v>
      </c>
      <c r="EC28" s="2" t="s">
        <v>4</v>
      </c>
      <c r="ED28" s="2"/>
      <c r="EE28" s="2">
        <v>69252942</v>
      </c>
      <c r="EF28" s="2">
        <v>40</v>
      </c>
      <c r="EG28" s="2" t="s">
        <v>28</v>
      </c>
      <c r="EH28" s="2">
        <v>0</v>
      </c>
      <c r="EI28" s="2" t="s">
        <v>4</v>
      </c>
      <c r="EJ28" s="2">
        <v>2</v>
      </c>
      <c r="EK28" s="2">
        <v>317</v>
      </c>
      <c r="EL28" s="2" t="s">
        <v>29</v>
      </c>
      <c r="EM28" s="2" t="s">
        <v>30</v>
      </c>
      <c r="EN28" s="2"/>
      <c r="EO28" s="2" t="s">
        <v>31</v>
      </c>
      <c r="EP28" s="2"/>
      <c r="EQ28" s="2">
        <v>0</v>
      </c>
      <c r="ER28" s="2">
        <v>1178.2</v>
      </c>
      <c r="ES28" s="2">
        <v>87.22</v>
      </c>
      <c r="ET28" s="2">
        <v>727.52</v>
      </c>
      <c r="EU28" s="2">
        <v>195.39</v>
      </c>
      <c r="EV28" s="2">
        <v>363.46</v>
      </c>
      <c r="EW28" s="2">
        <v>28.8</v>
      </c>
      <c r="EX28" s="2">
        <v>0</v>
      </c>
      <c r="EY28" s="2">
        <v>0</v>
      </c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>
        <v>0</v>
      </c>
      <c r="FR28" s="2">
        <f>ROUND(IF(BI28=3,GM28,0),2)</f>
        <v>0</v>
      </c>
      <c r="FS28" s="2">
        <v>0</v>
      </c>
      <c r="FT28" s="2"/>
      <c r="FU28" s="2"/>
      <c r="FV28" s="2"/>
      <c r="FW28" s="2"/>
      <c r="FX28" s="2">
        <v>112</v>
      </c>
      <c r="FY28" s="2">
        <v>70</v>
      </c>
      <c r="FZ28" s="2"/>
      <c r="GA28" s="2" t="s">
        <v>4</v>
      </c>
      <c r="GB28" s="2"/>
      <c r="GC28" s="2"/>
      <c r="GD28" s="2">
        <v>0</v>
      </c>
      <c r="GE28" s="2"/>
      <c r="GF28" s="2">
        <v>1987096366</v>
      </c>
      <c r="GG28" s="2">
        <v>2</v>
      </c>
      <c r="GH28" s="2">
        <v>1</v>
      </c>
      <c r="GI28" s="2">
        <v>-2</v>
      </c>
      <c r="GJ28" s="2">
        <v>0</v>
      </c>
      <c r="GK28" s="2">
        <f>ROUND(R28*(R12)/100,2)</f>
        <v>286.41000000000003</v>
      </c>
      <c r="GL28" s="2">
        <f>ROUND(IF(AND(BH28=3,BI28=3,FS28&lt;&gt;0),P28,0),2)</f>
        <v>0</v>
      </c>
      <c r="GM28" s="2">
        <f>ROUND(O28+X28+Y28+GK28,2)+GX28</f>
        <v>1754.27</v>
      </c>
      <c r="GN28" s="2">
        <f>IF(OR(BI28=0,BI28=1),GM28-GX28,0)</f>
        <v>0</v>
      </c>
      <c r="GO28" s="2">
        <f>IF(BI28=2,GM28-GX28,0)</f>
        <v>1754.27</v>
      </c>
      <c r="GP28" s="2">
        <f>IF(BI28=4,GM28-GX28,0)</f>
        <v>0</v>
      </c>
      <c r="GQ28" s="2"/>
      <c r="GR28" s="2">
        <v>0</v>
      </c>
      <c r="GS28" s="2">
        <v>3</v>
      </c>
      <c r="GT28" s="2">
        <v>0</v>
      </c>
      <c r="GU28" s="2" t="s">
        <v>4</v>
      </c>
      <c r="GV28" s="2">
        <f>ROUND((GT28),6)</f>
        <v>0</v>
      </c>
      <c r="GW28" s="2">
        <v>1</v>
      </c>
      <c r="GX28" s="2">
        <f>ROUND(HC28*I28,2)</f>
        <v>0</v>
      </c>
      <c r="GY28" s="2"/>
      <c r="GZ28" s="2"/>
      <c r="HA28" s="2">
        <v>0</v>
      </c>
      <c r="HB28" s="2">
        <v>0</v>
      </c>
      <c r="HC28" s="2">
        <f>GV28*GW28</f>
        <v>0</v>
      </c>
      <c r="HD28" s="2"/>
      <c r="HE28" s="2" t="s">
        <v>4</v>
      </c>
      <c r="HF28" s="2" t="s">
        <v>4</v>
      </c>
      <c r="HG28" s="2"/>
      <c r="HH28" s="2"/>
      <c r="HI28" s="2"/>
      <c r="HJ28" s="2"/>
      <c r="HK28" s="2"/>
      <c r="HL28" s="2"/>
      <c r="HM28" s="2" t="s">
        <v>4</v>
      </c>
      <c r="HN28" s="2" t="s">
        <v>4</v>
      </c>
      <c r="HO28" s="2" t="s">
        <v>4</v>
      </c>
      <c r="HP28" s="2" t="s">
        <v>4</v>
      </c>
      <c r="HQ28" s="2" t="s">
        <v>4</v>
      </c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>
        <v>0</v>
      </c>
      <c r="IL28" s="2"/>
      <c r="IM28" s="2"/>
      <c r="IN28" s="2"/>
      <c r="IO28" s="2"/>
      <c r="IP28" s="2"/>
      <c r="IQ28" s="2"/>
      <c r="IR28" s="2"/>
      <c r="IS28" s="2"/>
      <c r="IT28" s="2"/>
      <c r="IU28" s="2"/>
    </row>
    <row r="29" spans="1:255">
      <c r="A29">
        <v>17</v>
      </c>
      <c r="B29">
        <v>1</v>
      </c>
      <c r="C29">
        <f>ROW(SmtRes!A20)</f>
        <v>20</v>
      </c>
      <c r="D29">
        <f>ROW(EtalonRes!A24)</f>
        <v>24</v>
      </c>
      <c r="E29" t="s">
        <v>20</v>
      </c>
      <c r="F29" t="s">
        <v>21</v>
      </c>
      <c r="G29" t="s">
        <v>22</v>
      </c>
      <c r="H29" t="s">
        <v>23</v>
      </c>
      <c r="I29">
        <v>2</v>
      </c>
      <c r="J29">
        <v>0</v>
      </c>
      <c r="K29">
        <v>2</v>
      </c>
      <c r="O29">
        <f>ROUND(CP29,2)</f>
        <v>26120.93</v>
      </c>
      <c r="P29">
        <f>ROUND((ROUND((AC29*AW29*I29),2)*BC29),2)</f>
        <v>0</v>
      </c>
      <c r="Q29">
        <f>(ROUND((ROUND((((ET29*0.4))*AV29*I29),2)*BB29),2)+ROUND((ROUND(((AE29-((EU29*0.4)))*AV29*I29),2)*BS29),2))</f>
        <v>11913.18</v>
      </c>
      <c r="R29">
        <f>ROUND((ROUND((AE29*AV29*I29),2)*BS29),2)</f>
        <v>7638.01</v>
      </c>
      <c r="S29">
        <f>ROUND((ROUND((AF29*AV29*I29),2)*BA29),2)</f>
        <v>14207.75</v>
      </c>
      <c r="T29">
        <f>ROUND(CU29*I29,2)</f>
        <v>0</v>
      </c>
      <c r="U29">
        <f>CV29*I29</f>
        <v>24.122880000000002</v>
      </c>
      <c r="V29">
        <f>CW29*I29</f>
        <v>0</v>
      </c>
      <c r="W29">
        <f>ROUND(CX29*I29,2)</f>
        <v>0</v>
      </c>
      <c r="X29">
        <f>ROUND(CY29,2)</f>
        <v>13071.13</v>
      </c>
      <c r="Y29">
        <f>ROUND(CZ29,2)</f>
        <v>6109.33</v>
      </c>
      <c r="AA29">
        <v>70322991</v>
      </c>
      <c r="AB29">
        <f>ROUND((AC29+AD29+AF29),6)</f>
        <v>436.392</v>
      </c>
      <c r="AC29">
        <f>ROUND(((ES29*0)),6)</f>
        <v>0</v>
      </c>
      <c r="AD29">
        <f>ROUND(((((ET29*0.4))-((EU29*0.4)))+AE29),6)</f>
        <v>291.00799999999998</v>
      </c>
      <c r="AE29">
        <f>ROUND(((EU29*0.4)),6)</f>
        <v>78.156000000000006</v>
      </c>
      <c r="AF29">
        <f>ROUND(((EV29*0.4)),6)</f>
        <v>145.38399999999999</v>
      </c>
      <c r="AG29">
        <f>ROUND((AP29),6)</f>
        <v>0</v>
      </c>
      <c r="AH29">
        <f>((EW29*0.4))</f>
        <v>11.520000000000001</v>
      </c>
      <c r="AI29">
        <f>((EX29*0.4))</f>
        <v>0</v>
      </c>
      <c r="AJ29">
        <f>(AS29)</f>
        <v>0</v>
      </c>
      <c r="AK29">
        <v>1178.2</v>
      </c>
      <c r="AL29">
        <v>87.22</v>
      </c>
      <c r="AM29">
        <v>727.52</v>
      </c>
      <c r="AN29">
        <v>195.39</v>
      </c>
      <c r="AO29">
        <v>363.46</v>
      </c>
      <c r="AP29">
        <v>0</v>
      </c>
      <c r="AQ29">
        <v>28.8</v>
      </c>
      <c r="AR29">
        <v>0</v>
      </c>
      <c r="AS29">
        <v>0</v>
      </c>
      <c r="AT29">
        <v>92</v>
      </c>
      <c r="AU29">
        <v>43</v>
      </c>
      <c r="AV29">
        <v>1.0469999999999999</v>
      </c>
      <c r="AW29">
        <v>1</v>
      </c>
      <c r="AZ29">
        <v>1</v>
      </c>
      <c r="BA29">
        <v>46.67</v>
      </c>
      <c r="BB29">
        <v>19.55</v>
      </c>
      <c r="BC29">
        <v>27.14</v>
      </c>
      <c r="BD29" t="s">
        <v>4</v>
      </c>
      <c r="BE29" t="s">
        <v>4</v>
      </c>
      <c r="BF29" t="s">
        <v>4</v>
      </c>
      <c r="BG29" t="s">
        <v>4</v>
      </c>
      <c r="BH29">
        <v>0</v>
      </c>
      <c r="BI29">
        <v>2</v>
      </c>
      <c r="BJ29" t="s">
        <v>24</v>
      </c>
      <c r="BM29">
        <v>317</v>
      </c>
      <c r="BN29">
        <v>0</v>
      </c>
      <c r="BO29" t="s">
        <v>21</v>
      </c>
      <c r="BP29">
        <v>1</v>
      </c>
      <c r="BQ29">
        <v>40</v>
      </c>
      <c r="BR29">
        <v>0</v>
      </c>
      <c r="BS29">
        <v>46.67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4</v>
      </c>
      <c r="BZ29">
        <v>92</v>
      </c>
      <c r="CA29">
        <v>43</v>
      </c>
      <c r="CB29" t="s">
        <v>4</v>
      </c>
      <c r="CE29">
        <v>30</v>
      </c>
      <c r="CF29">
        <v>0</v>
      </c>
      <c r="CG29">
        <v>0</v>
      </c>
      <c r="CM29">
        <v>0</v>
      </c>
      <c r="CN29" t="s">
        <v>25</v>
      </c>
      <c r="CO29">
        <v>0</v>
      </c>
      <c r="CP29">
        <f>(P29+Q29+S29)</f>
        <v>26120.93</v>
      </c>
      <c r="CQ29">
        <f>ROUND((ROUND((AC29*AW29*1),2)*BC29),2)</f>
        <v>0</v>
      </c>
      <c r="CR29">
        <f>(ROUND((ROUND((((ET29*0.4))*AV29*1),2)*BB29),2)+ROUND((ROUND(((AE29-((EU29*0.4)))*AV29*1),2)*BS29),2))</f>
        <v>5956.69</v>
      </c>
      <c r="CS29">
        <f>ROUND((ROUND((AE29*AV29*1),2)*BS29),2)</f>
        <v>3819.01</v>
      </c>
      <c r="CT29">
        <f>ROUND((ROUND((AF29*AV29*1),2)*BA29),2)</f>
        <v>7104.11</v>
      </c>
      <c r="CU29">
        <f>AG29</f>
        <v>0</v>
      </c>
      <c r="CV29">
        <f>(AH29*AV29)</f>
        <v>12.061440000000001</v>
      </c>
      <c r="CW29">
        <f>AI29</f>
        <v>0</v>
      </c>
      <c r="CX29">
        <f>AJ29</f>
        <v>0</v>
      </c>
      <c r="CY29">
        <f>S29*(BZ29/100)</f>
        <v>13071.130000000001</v>
      </c>
      <c r="CZ29">
        <f>S29*(CA29/100)</f>
        <v>6109.3324999999995</v>
      </c>
      <c r="DB29">
        <v>2</v>
      </c>
      <c r="DC29" t="s">
        <v>4</v>
      </c>
      <c r="DD29" t="s">
        <v>26</v>
      </c>
      <c r="DE29" t="s">
        <v>27</v>
      </c>
      <c r="DF29" t="s">
        <v>27</v>
      </c>
      <c r="DG29" t="s">
        <v>27</v>
      </c>
      <c r="DH29" t="s">
        <v>4</v>
      </c>
      <c r="DI29" t="s">
        <v>27</v>
      </c>
      <c r="DJ29" t="s">
        <v>27</v>
      </c>
      <c r="DK29" t="s">
        <v>4</v>
      </c>
      <c r="DL29" t="s">
        <v>4</v>
      </c>
      <c r="DM29" t="s">
        <v>4</v>
      </c>
      <c r="DN29">
        <v>112</v>
      </c>
      <c r="DO29">
        <v>70</v>
      </c>
      <c r="DP29">
        <v>1.0469999999999999</v>
      </c>
      <c r="DQ29">
        <v>1</v>
      </c>
      <c r="DU29">
        <v>1013</v>
      </c>
      <c r="DV29" t="s">
        <v>23</v>
      </c>
      <c r="DW29" t="s">
        <v>23</v>
      </c>
      <c r="DX29">
        <v>1</v>
      </c>
      <c r="DZ29" t="s">
        <v>4</v>
      </c>
      <c r="EA29" t="s">
        <v>4</v>
      </c>
      <c r="EB29" t="s">
        <v>4</v>
      </c>
      <c r="EC29" t="s">
        <v>4</v>
      </c>
      <c r="EE29">
        <v>69252942</v>
      </c>
      <c r="EF29">
        <v>40</v>
      </c>
      <c r="EG29" t="s">
        <v>28</v>
      </c>
      <c r="EH29">
        <v>0</v>
      </c>
      <c r="EI29" t="s">
        <v>4</v>
      </c>
      <c r="EJ29">
        <v>2</v>
      </c>
      <c r="EK29">
        <v>317</v>
      </c>
      <c r="EL29" t="s">
        <v>29</v>
      </c>
      <c r="EM29" t="s">
        <v>30</v>
      </c>
      <c r="EO29" t="s">
        <v>31</v>
      </c>
      <c r="EQ29">
        <v>0</v>
      </c>
      <c r="ER29">
        <v>1178.2</v>
      </c>
      <c r="ES29">
        <v>87.22</v>
      </c>
      <c r="ET29">
        <v>727.52</v>
      </c>
      <c r="EU29">
        <v>195.39</v>
      </c>
      <c r="EV29">
        <v>363.46</v>
      </c>
      <c r="EW29">
        <v>28.8</v>
      </c>
      <c r="EX29">
        <v>0</v>
      </c>
      <c r="EY29">
        <v>0</v>
      </c>
      <c r="FQ29">
        <v>0</v>
      </c>
      <c r="FR29">
        <f>ROUND(IF(BI29=3,GM29,0),2)</f>
        <v>0</v>
      </c>
      <c r="FS29">
        <v>0</v>
      </c>
      <c r="FX29">
        <v>112</v>
      </c>
      <c r="FY29">
        <v>70</v>
      </c>
      <c r="GA29" t="s">
        <v>4</v>
      </c>
      <c r="GD29">
        <v>0</v>
      </c>
      <c r="GF29">
        <v>1987096366</v>
      </c>
      <c r="GG29">
        <v>2</v>
      </c>
      <c r="GH29">
        <v>1</v>
      </c>
      <c r="GI29">
        <v>2</v>
      </c>
      <c r="GJ29">
        <v>0</v>
      </c>
      <c r="GK29">
        <f>ROUND(R29*(S12)/100,2)</f>
        <v>12220.82</v>
      </c>
      <c r="GL29">
        <f>ROUND(IF(AND(BH29=3,BI29=3,FS29&lt;&gt;0),P29,0),2)</f>
        <v>0</v>
      </c>
      <c r="GM29">
        <f>ROUND(O29+X29+Y29+GK29,2)+GX29</f>
        <v>57522.21</v>
      </c>
      <c r="GN29">
        <f>IF(OR(BI29=0,BI29=1),GM29-GX29,0)</f>
        <v>0</v>
      </c>
      <c r="GO29">
        <f>IF(BI29=2,GM29-GX29,0)</f>
        <v>57522.21</v>
      </c>
      <c r="GP29">
        <f>IF(BI29=4,GM29-GX29,0)</f>
        <v>0</v>
      </c>
      <c r="GR29">
        <v>0</v>
      </c>
      <c r="GS29">
        <v>3</v>
      </c>
      <c r="GT29">
        <v>0</v>
      </c>
      <c r="GU29" t="s">
        <v>4</v>
      </c>
      <c r="GV29">
        <f>ROUND((GT29),6)</f>
        <v>0</v>
      </c>
      <c r="GW29">
        <v>1</v>
      </c>
      <c r="GX29">
        <f>ROUND(HC29*I29,2)</f>
        <v>0</v>
      </c>
      <c r="HA29">
        <v>0</v>
      </c>
      <c r="HB29">
        <v>0</v>
      </c>
      <c r="HC29">
        <f>GV29*GW29</f>
        <v>0</v>
      </c>
      <c r="HE29" t="s">
        <v>4</v>
      </c>
      <c r="HF29" t="s">
        <v>4</v>
      </c>
      <c r="HM29" t="s">
        <v>4</v>
      </c>
      <c r="HN29" t="s">
        <v>4</v>
      </c>
      <c r="HO29" t="s">
        <v>4</v>
      </c>
      <c r="HP29" t="s">
        <v>4</v>
      </c>
      <c r="HQ29" t="s">
        <v>4</v>
      </c>
      <c r="IK29">
        <v>0</v>
      </c>
    </row>
    <row r="31" spans="1:255">
      <c r="A31" s="3">
        <v>51</v>
      </c>
      <c r="B31" s="3">
        <f>B24</f>
        <v>1</v>
      </c>
      <c r="C31" s="3">
        <f>A24</f>
        <v>4</v>
      </c>
      <c r="D31" s="3">
        <f>ROW(A24)</f>
        <v>24</v>
      </c>
      <c r="E31" s="3"/>
      <c r="F31" s="3" t="str">
        <f>IF(F24&lt;&gt;"",F24,"")</f>
        <v>Новый раздел</v>
      </c>
      <c r="G31" s="3" t="str">
        <f>IF(G24&lt;&gt;"",G24,"")</f>
        <v>Демонтажные работы</v>
      </c>
      <c r="H31" s="3">
        <v>0</v>
      </c>
      <c r="I31" s="3"/>
      <c r="J31" s="3"/>
      <c r="K31" s="3"/>
      <c r="L31" s="3"/>
      <c r="M31" s="3"/>
      <c r="N31" s="3"/>
      <c r="O31" s="3">
        <f t="shared" ref="O31:T31" si="21">ROUND(AB31,2)</f>
        <v>913.8</v>
      </c>
      <c r="P31" s="3">
        <f t="shared" si="21"/>
        <v>0</v>
      </c>
      <c r="Q31" s="3">
        <f t="shared" si="21"/>
        <v>609.37</v>
      </c>
      <c r="R31" s="3">
        <f t="shared" si="21"/>
        <v>163.66</v>
      </c>
      <c r="S31" s="3">
        <f t="shared" si="21"/>
        <v>304.43</v>
      </c>
      <c r="T31" s="3">
        <f t="shared" si="21"/>
        <v>0</v>
      </c>
      <c r="U31" s="3">
        <f>AH31</f>
        <v>24.122880000000002</v>
      </c>
      <c r="V31" s="3">
        <f>AI31</f>
        <v>0</v>
      </c>
      <c r="W31" s="3">
        <f>ROUND(AJ31,2)</f>
        <v>0</v>
      </c>
      <c r="X31" s="3">
        <f>ROUND(AK31,2)</f>
        <v>340.96</v>
      </c>
      <c r="Y31" s="3">
        <f>ROUND(AL31,2)</f>
        <v>213.1</v>
      </c>
      <c r="Z31" s="3"/>
      <c r="AA31" s="3"/>
      <c r="AB31" s="3">
        <f>ROUND(SUMIF(AA28:AA29,"=70322994",O28:O29),2)</f>
        <v>913.8</v>
      </c>
      <c r="AC31" s="3">
        <f>ROUND(SUMIF(AA28:AA29,"=70322994",P28:P29),2)</f>
        <v>0</v>
      </c>
      <c r="AD31" s="3">
        <f>ROUND(SUMIF(AA28:AA29,"=70322994",Q28:Q29),2)</f>
        <v>609.37</v>
      </c>
      <c r="AE31" s="3">
        <f>ROUND(SUMIF(AA28:AA29,"=70322994",R28:R29),2)</f>
        <v>163.66</v>
      </c>
      <c r="AF31" s="3">
        <f>ROUND(SUMIF(AA28:AA29,"=70322994",S28:S29),2)</f>
        <v>304.43</v>
      </c>
      <c r="AG31" s="3">
        <f>ROUND(SUMIF(AA28:AA29,"=70322994",T28:T29),2)</f>
        <v>0</v>
      </c>
      <c r="AH31" s="3">
        <f>SUMIF(AA28:AA29,"=70322994",U28:U29)</f>
        <v>24.122880000000002</v>
      </c>
      <c r="AI31" s="3">
        <f>SUMIF(AA28:AA29,"=70322994",V28:V29)</f>
        <v>0</v>
      </c>
      <c r="AJ31" s="3">
        <f>ROUND(SUMIF(AA28:AA29,"=70322994",W28:W29),2)</f>
        <v>0</v>
      </c>
      <c r="AK31" s="3">
        <f>ROUND(SUMIF(AA28:AA29,"=70322994",X28:X29),2)</f>
        <v>340.96</v>
      </c>
      <c r="AL31" s="3">
        <f>ROUND(SUMIF(AA28:AA29,"=70322994",Y28:Y29),2)</f>
        <v>213.1</v>
      </c>
      <c r="AM31" s="3"/>
      <c r="AN31" s="3"/>
      <c r="AO31" s="3">
        <f t="shared" ref="AO31:BD31" si="22">ROUND(BX31,2)</f>
        <v>0</v>
      </c>
      <c r="AP31" s="3">
        <f t="shared" si="22"/>
        <v>0</v>
      </c>
      <c r="AQ31" s="3">
        <f t="shared" si="22"/>
        <v>0</v>
      </c>
      <c r="AR31" s="3">
        <f t="shared" si="22"/>
        <v>1754.27</v>
      </c>
      <c r="AS31" s="3">
        <f t="shared" si="22"/>
        <v>0</v>
      </c>
      <c r="AT31" s="3">
        <f t="shared" si="22"/>
        <v>1754.27</v>
      </c>
      <c r="AU31" s="3">
        <f t="shared" si="22"/>
        <v>0</v>
      </c>
      <c r="AV31" s="3">
        <f t="shared" si="22"/>
        <v>0</v>
      </c>
      <c r="AW31" s="3">
        <f t="shared" si="22"/>
        <v>0</v>
      </c>
      <c r="AX31" s="3">
        <f t="shared" si="22"/>
        <v>0</v>
      </c>
      <c r="AY31" s="3">
        <f t="shared" si="22"/>
        <v>0</v>
      </c>
      <c r="AZ31" s="3">
        <f t="shared" si="22"/>
        <v>0</v>
      </c>
      <c r="BA31" s="3">
        <f t="shared" si="22"/>
        <v>0</v>
      </c>
      <c r="BB31" s="3">
        <f t="shared" si="22"/>
        <v>0</v>
      </c>
      <c r="BC31" s="3">
        <f t="shared" si="22"/>
        <v>0</v>
      </c>
      <c r="BD31" s="3">
        <f t="shared" si="22"/>
        <v>0</v>
      </c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>
        <f>ROUND(SUMIF(AA28:AA29,"=70322994",FQ28:FQ29),2)</f>
        <v>0</v>
      </c>
      <c r="BY31" s="3">
        <f>ROUND(SUMIF(AA28:AA29,"=70322994",FR28:FR29),2)</f>
        <v>0</v>
      </c>
      <c r="BZ31" s="3">
        <f>ROUND(SUMIF(AA28:AA29,"=70322994",GL28:GL29),2)</f>
        <v>0</v>
      </c>
      <c r="CA31" s="3">
        <f>ROUND(SUMIF(AA28:AA29,"=70322994",GM28:GM29),2)</f>
        <v>1754.27</v>
      </c>
      <c r="CB31" s="3">
        <f>ROUND(SUMIF(AA28:AA29,"=70322994",GN28:GN29),2)</f>
        <v>0</v>
      </c>
      <c r="CC31" s="3">
        <f>ROUND(SUMIF(AA28:AA29,"=70322994",GO28:GO29),2)</f>
        <v>1754.27</v>
      </c>
      <c r="CD31" s="3">
        <f>ROUND(SUMIF(AA28:AA29,"=70322994",GP28:GP29),2)</f>
        <v>0</v>
      </c>
      <c r="CE31" s="3">
        <f>AC31-BX31</f>
        <v>0</v>
      </c>
      <c r="CF31" s="3">
        <f>AC31-BY31</f>
        <v>0</v>
      </c>
      <c r="CG31" s="3">
        <f>BX31-BZ31</f>
        <v>0</v>
      </c>
      <c r="CH31" s="3">
        <f>AC31-BX31-BY31+BZ31</f>
        <v>0</v>
      </c>
      <c r="CI31" s="3">
        <f>BY31-BZ31</f>
        <v>0</v>
      </c>
      <c r="CJ31" s="3">
        <f>ROUND(SUMIF(AA28:AA29,"=70322994",GX28:GX29),2)</f>
        <v>0</v>
      </c>
      <c r="CK31" s="3">
        <f>ROUND(SUMIF(AA28:AA29,"=70322994",GY28:GY29),2)</f>
        <v>0</v>
      </c>
      <c r="CL31" s="3">
        <f>ROUND(SUMIF(AA28:AA29,"=70322994",GZ28:GZ29),2)</f>
        <v>0</v>
      </c>
      <c r="CM31" s="3">
        <f>ROUND(SUMIF(AA28:AA29,"=70322994",HD28:HD29),2)</f>
        <v>0</v>
      </c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4">
        <f t="shared" ref="DG31:DL31" si="23">ROUND(DT31,2)</f>
        <v>26120.93</v>
      </c>
      <c r="DH31" s="4">
        <f t="shared" si="23"/>
        <v>0</v>
      </c>
      <c r="DI31" s="4">
        <f t="shared" si="23"/>
        <v>11913.18</v>
      </c>
      <c r="DJ31" s="4">
        <f t="shared" si="23"/>
        <v>7638.01</v>
      </c>
      <c r="DK31" s="4">
        <f t="shared" si="23"/>
        <v>14207.75</v>
      </c>
      <c r="DL31" s="4">
        <f t="shared" si="23"/>
        <v>0</v>
      </c>
      <c r="DM31" s="4">
        <f>DZ31</f>
        <v>24.122880000000002</v>
      </c>
      <c r="DN31" s="4">
        <f>EA31</f>
        <v>0</v>
      </c>
      <c r="DO31" s="4">
        <f>ROUND(EB31,2)</f>
        <v>0</v>
      </c>
      <c r="DP31" s="4">
        <f>ROUND(EC31,2)</f>
        <v>13071.13</v>
      </c>
      <c r="DQ31" s="4">
        <f>ROUND(ED31,2)</f>
        <v>6109.33</v>
      </c>
      <c r="DR31" s="4"/>
      <c r="DS31" s="4"/>
      <c r="DT31" s="4">
        <f>ROUND(SUMIF(AA28:AA29,"=70322991",O28:O29),2)</f>
        <v>26120.93</v>
      </c>
      <c r="DU31" s="4">
        <f>ROUND(SUMIF(AA28:AA29,"=70322991",P28:P29),2)</f>
        <v>0</v>
      </c>
      <c r="DV31" s="4">
        <f>ROUND(SUMIF(AA28:AA29,"=70322991",Q28:Q29),2)</f>
        <v>11913.18</v>
      </c>
      <c r="DW31" s="4">
        <f>ROUND(SUMIF(AA28:AA29,"=70322991",R28:R29),2)</f>
        <v>7638.01</v>
      </c>
      <c r="DX31" s="4">
        <f>ROUND(SUMIF(AA28:AA29,"=70322991",S28:S29),2)</f>
        <v>14207.75</v>
      </c>
      <c r="DY31" s="4">
        <f>ROUND(SUMIF(AA28:AA29,"=70322991",T28:T29),2)</f>
        <v>0</v>
      </c>
      <c r="DZ31" s="4">
        <f>SUMIF(AA28:AA29,"=70322991",U28:U29)</f>
        <v>24.122880000000002</v>
      </c>
      <c r="EA31" s="4">
        <f>SUMIF(AA28:AA29,"=70322991",V28:V29)</f>
        <v>0</v>
      </c>
      <c r="EB31" s="4">
        <f>ROUND(SUMIF(AA28:AA29,"=70322991",W28:W29),2)</f>
        <v>0</v>
      </c>
      <c r="EC31" s="4">
        <f>ROUND(SUMIF(AA28:AA29,"=70322991",X28:X29),2)</f>
        <v>13071.13</v>
      </c>
      <c r="ED31" s="4">
        <f>ROUND(SUMIF(AA28:AA29,"=70322991",Y28:Y29),2)</f>
        <v>6109.33</v>
      </c>
      <c r="EE31" s="4"/>
      <c r="EF31" s="4"/>
      <c r="EG31" s="4">
        <f t="shared" ref="EG31:EV31" si="24">ROUND(FP31,2)</f>
        <v>0</v>
      </c>
      <c r="EH31" s="4">
        <f t="shared" si="24"/>
        <v>0</v>
      </c>
      <c r="EI31" s="4">
        <f t="shared" si="24"/>
        <v>0</v>
      </c>
      <c r="EJ31" s="4">
        <f t="shared" si="24"/>
        <v>57522.21</v>
      </c>
      <c r="EK31" s="4">
        <f t="shared" si="24"/>
        <v>0</v>
      </c>
      <c r="EL31" s="4">
        <f t="shared" si="24"/>
        <v>57522.21</v>
      </c>
      <c r="EM31" s="4">
        <f t="shared" si="24"/>
        <v>0</v>
      </c>
      <c r="EN31" s="4">
        <f t="shared" si="24"/>
        <v>0</v>
      </c>
      <c r="EO31" s="4">
        <f t="shared" si="24"/>
        <v>0</v>
      </c>
      <c r="EP31" s="4">
        <f t="shared" si="24"/>
        <v>0</v>
      </c>
      <c r="EQ31" s="4">
        <f t="shared" si="24"/>
        <v>0</v>
      </c>
      <c r="ER31" s="4">
        <f t="shared" si="24"/>
        <v>0</v>
      </c>
      <c r="ES31" s="4">
        <f t="shared" si="24"/>
        <v>0</v>
      </c>
      <c r="ET31" s="4">
        <f t="shared" si="24"/>
        <v>0</v>
      </c>
      <c r="EU31" s="4">
        <f t="shared" si="24"/>
        <v>0</v>
      </c>
      <c r="EV31" s="4">
        <f t="shared" si="24"/>
        <v>0</v>
      </c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>
        <f>ROUND(SUMIF(AA28:AA29,"=70322991",FQ28:FQ29),2)</f>
        <v>0</v>
      </c>
      <c r="FQ31" s="4">
        <f>ROUND(SUMIF(AA28:AA29,"=70322991",FR28:FR29),2)</f>
        <v>0</v>
      </c>
      <c r="FR31" s="4">
        <f>ROUND(SUMIF(AA28:AA29,"=70322991",GL28:GL29),2)</f>
        <v>0</v>
      </c>
      <c r="FS31" s="4">
        <f>ROUND(SUMIF(AA28:AA29,"=70322991",GM28:GM29),2)</f>
        <v>57522.21</v>
      </c>
      <c r="FT31" s="4">
        <f>ROUND(SUMIF(AA28:AA29,"=70322991",GN28:GN29),2)</f>
        <v>0</v>
      </c>
      <c r="FU31" s="4">
        <f>ROUND(SUMIF(AA28:AA29,"=70322991",GO28:GO29),2)</f>
        <v>57522.21</v>
      </c>
      <c r="FV31" s="4">
        <f>ROUND(SUMIF(AA28:AA29,"=70322991",GP28:GP29),2)</f>
        <v>0</v>
      </c>
      <c r="FW31" s="4">
        <f>DU31-FP31</f>
        <v>0</v>
      </c>
      <c r="FX31" s="4">
        <f>DU31-FQ31</f>
        <v>0</v>
      </c>
      <c r="FY31" s="4">
        <f>FP31-FR31</f>
        <v>0</v>
      </c>
      <c r="FZ31" s="4">
        <f>DU31-FP31-FQ31+FR31</f>
        <v>0</v>
      </c>
      <c r="GA31" s="4">
        <f>FQ31-FR31</f>
        <v>0</v>
      </c>
      <c r="GB31" s="4">
        <f>ROUND(SUMIF(AA28:AA29,"=70322991",GX28:GX29),2)</f>
        <v>0</v>
      </c>
      <c r="GC31" s="4">
        <f>ROUND(SUMIF(AA28:AA29,"=70322991",GY28:GY29),2)</f>
        <v>0</v>
      </c>
      <c r="GD31" s="4">
        <f>ROUND(SUMIF(AA28:AA29,"=70322991",GZ28:GZ29),2)</f>
        <v>0</v>
      </c>
      <c r="GE31" s="4">
        <f>ROUND(SUMIF(AA28:AA29,"=70322991",HD28:HD29),2)</f>
        <v>0</v>
      </c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>
        <v>0</v>
      </c>
    </row>
    <row r="33" spans="1:28">
      <c r="A33" s="5">
        <v>50</v>
      </c>
      <c r="B33" s="5">
        <v>0</v>
      </c>
      <c r="C33" s="5">
        <v>0</v>
      </c>
      <c r="D33" s="5">
        <v>1</v>
      </c>
      <c r="E33" s="5">
        <v>201</v>
      </c>
      <c r="F33" s="5">
        <f>ROUND(Source!O31,O33)</f>
        <v>913.8</v>
      </c>
      <c r="G33" s="5" t="s">
        <v>32</v>
      </c>
      <c r="H33" s="5" t="s">
        <v>33</v>
      </c>
      <c r="I33" s="5"/>
      <c r="J33" s="5"/>
      <c r="K33" s="5">
        <v>201</v>
      </c>
      <c r="L33" s="5">
        <v>1</v>
      </c>
      <c r="M33" s="5">
        <v>3</v>
      </c>
      <c r="N33" s="5" t="s">
        <v>4</v>
      </c>
      <c r="O33" s="5">
        <v>2</v>
      </c>
      <c r="P33" s="5">
        <f>ROUND(Source!DG31,O33)</f>
        <v>26120.93</v>
      </c>
      <c r="Q33" s="5"/>
      <c r="R33" s="5"/>
      <c r="S33" s="5"/>
      <c r="T33" s="5"/>
      <c r="U33" s="5"/>
      <c r="V33" s="5"/>
      <c r="W33" s="5">
        <v>913.8</v>
      </c>
      <c r="X33" s="5">
        <v>1</v>
      </c>
      <c r="Y33" s="5">
        <v>913.8</v>
      </c>
      <c r="Z33" s="5">
        <v>26120.93</v>
      </c>
      <c r="AA33" s="5">
        <v>1</v>
      </c>
      <c r="AB33" s="5">
        <v>26120.93</v>
      </c>
    </row>
    <row r="34" spans="1:28">
      <c r="A34" s="5">
        <v>50</v>
      </c>
      <c r="B34" s="5">
        <v>0</v>
      </c>
      <c r="C34" s="5">
        <v>0</v>
      </c>
      <c r="D34" s="5">
        <v>1</v>
      </c>
      <c r="E34" s="5">
        <v>202</v>
      </c>
      <c r="F34" s="5">
        <f>ROUND(Source!P31,O34)</f>
        <v>0</v>
      </c>
      <c r="G34" s="5" t="s">
        <v>34</v>
      </c>
      <c r="H34" s="5" t="s">
        <v>35</v>
      </c>
      <c r="I34" s="5"/>
      <c r="J34" s="5"/>
      <c r="K34" s="5">
        <v>202</v>
      </c>
      <c r="L34" s="5">
        <v>2</v>
      </c>
      <c r="M34" s="5">
        <v>3</v>
      </c>
      <c r="N34" s="5" t="s">
        <v>4</v>
      </c>
      <c r="O34" s="5">
        <v>2</v>
      </c>
      <c r="P34" s="5">
        <f>ROUND(Source!DH31,O34)</f>
        <v>0</v>
      </c>
      <c r="Q34" s="5"/>
      <c r="R34" s="5"/>
      <c r="S34" s="5"/>
      <c r="T34" s="5"/>
      <c r="U34" s="5"/>
      <c r="V34" s="5"/>
      <c r="W34" s="5">
        <v>0</v>
      </c>
      <c r="X34" s="5">
        <v>1</v>
      </c>
      <c r="Y34" s="5">
        <v>0</v>
      </c>
      <c r="Z34" s="5">
        <v>0</v>
      </c>
      <c r="AA34" s="5">
        <v>1</v>
      </c>
      <c r="AB34" s="5">
        <v>0</v>
      </c>
    </row>
    <row r="35" spans="1:28">
      <c r="A35" s="5">
        <v>50</v>
      </c>
      <c r="B35" s="5">
        <v>0</v>
      </c>
      <c r="C35" s="5">
        <v>0</v>
      </c>
      <c r="D35" s="5">
        <v>1</v>
      </c>
      <c r="E35" s="5">
        <v>222</v>
      </c>
      <c r="F35" s="5">
        <f>ROUND(Source!AO31,O35)</f>
        <v>0</v>
      </c>
      <c r="G35" s="5" t="s">
        <v>36</v>
      </c>
      <c r="H35" s="5" t="s">
        <v>37</v>
      </c>
      <c r="I35" s="5"/>
      <c r="J35" s="5"/>
      <c r="K35" s="5">
        <v>222</v>
      </c>
      <c r="L35" s="5">
        <v>3</v>
      </c>
      <c r="M35" s="5">
        <v>3</v>
      </c>
      <c r="N35" s="5" t="s">
        <v>4</v>
      </c>
      <c r="O35" s="5">
        <v>2</v>
      </c>
      <c r="P35" s="5">
        <f>ROUND(Source!EG31,O35)</f>
        <v>0</v>
      </c>
      <c r="Q35" s="5"/>
      <c r="R35" s="5"/>
      <c r="S35" s="5"/>
      <c r="T35" s="5"/>
      <c r="U35" s="5"/>
      <c r="V35" s="5"/>
      <c r="W35" s="5">
        <v>0</v>
      </c>
      <c r="X35" s="5">
        <v>1</v>
      </c>
      <c r="Y35" s="5">
        <v>0</v>
      </c>
      <c r="Z35" s="5">
        <v>0</v>
      </c>
      <c r="AA35" s="5">
        <v>1</v>
      </c>
      <c r="AB35" s="5">
        <v>0</v>
      </c>
    </row>
    <row r="36" spans="1:28">
      <c r="A36" s="5">
        <v>50</v>
      </c>
      <c r="B36" s="5">
        <v>0</v>
      </c>
      <c r="C36" s="5">
        <v>0</v>
      </c>
      <c r="D36" s="5">
        <v>1</v>
      </c>
      <c r="E36" s="5">
        <v>225</v>
      </c>
      <c r="F36" s="5">
        <f>ROUND(Source!AV31,O36)</f>
        <v>0</v>
      </c>
      <c r="G36" s="5" t="s">
        <v>38</v>
      </c>
      <c r="H36" s="5" t="s">
        <v>39</v>
      </c>
      <c r="I36" s="5"/>
      <c r="J36" s="5"/>
      <c r="K36" s="5">
        <v>225</v>
      </c>
      <c r="L36" s="5">
        <v>4</v>
      </c>
      <c r="M36" s="5">
        <v>3</v>
      </c>
      <c r="N36" s="5" t="s">
        <v>4</v>
      </c>
      <c r="O36" s="5">
        <v>2</v>
      </c>
      <c r="P36" s="5">
        <f>ROUND(Source!EN31,O36)</f>
        <v>0</v>
      </c>
      <c r="Q36" s="5"/>
      <c r="R36" s="5"/>
      <c r="S36" s="5"/>
      <c r="T36" s="5"/>
      <c r="U36" s="5"/>
      <c r="V36" s="5"/>
      <c r="W36" s="5">
        <v>0</v>
      </c>
      <c r="X36" s="5">
        <v>1</v>
      </c>
      <c r="Y36" s="5">
        <v>0</v>
      </c>
      <c r="Z36" s="5">
        <v>0</v>
      </c>
      <c r="AA36" s="5">
        <v>1</v>
      </c>
      <c r="AB36" s="5">
        <v>0</v>
      </c>
    </row>
    <row r="37" spans="1:28">
      <c r="A37" s="5">
        <v>50</v>
      </c>
      <c r="B37" s="5">
        <v>0</v>
      </c>
      <c r="C37" s="5">
        <v>0</v>
      </c>
      <c r="D37" s="5">
        <v>1</v>
      </c>
      <c r="E37" s="5">
        <v>226</v>
      </c>
      <c r="F37" s="5">
        <f>ROUND(Source!AW31,O37)</f>
        <v>0</v>
      </c>
      <c r="G37" s="5" t="s">
        <v>40</v>
      </c>
      <c r="H37" s="5" t="s">
        <v>41</v>
      </c>
      <c r="I37" s="5"/>
      <c r="J37" s="5"/>
      <c r="K37" s="5">
        <v>226</v>
      </c>
      <c r="L37" s="5">
        <v>5</v>
      </c>
      <c r="M37" s="5">
        <v>3</v>
      </c>
      <c r="N37" s="5" t="s">
        <v>4</v>
      </c>
      <c r="O37" s="5">
        <v>2</v>
      </c>
      <c r="P37" s="5">
        <f>ROUND(Source!EO31,O37)</f>
        <v>0</v>
      </c>
      <c r="Q37" s="5"/>
      <c r="R37" s="5"/>
      <c r="S37" s="5"/>
      <c r="T37" s="5"/>
      <c r="U37" s="5"/>
      <c r="V37" s="5"/>
      <c r="W37" s="5">
        <v>0</v>
      </c>
      <c r="X37" s="5">
        <v>1</v>
      </c>
      <c r="Y37" s="5">
        <v>0</v>
      </c>
      <c r="Z37" s="5">
        <v>0</v>
      </c>
      <c r="AA37" s="5">
        <v>1</v>
      </c>
      <c r="AB37" s="5">
        <v>0</v>
      </c>
    </row>
    <row r="38" spans="1:28">
      <c r="A38" s="5">
        <v>50</v>
      </c>
      <c r="B38" s="5">
        <v>0</v>
      </c>
      <c r="C38" s="5">
        <v>0</v>
      </c>
      <c r="D38" s="5">
        <v>1</v>
      </c>
      <c r="E38" s="5">
        <v>227</v>
      </c>
      <c r="F38" s="5">
        <f>ROUND(Source!AX31,O38)</f>
        <v>0</v>
      </c>
      <c r="G38" s="5" t="s">
        <v>42</v>
      </c>
      <c r="H38" s="5" t="s">
        <v>43</v>
      </c>
      <c r="I38" s="5"/>
      <c r="J38" s="5"/>
      <c r="K38" s="5">
        <v>227</v>
      </c>
      <c r="L38" s="5">
        <v>6</v>
      </c>
      <c r="M38" s="5">
        <v>3</v>
      </c>
      <c r="N38" s="5" t="s">
        <v>4</v>
      </c>
      <c r="O38" s="5">
        <v>2</v>
      </c>
      <c r="P38" s="5">
        <f>ROUND(Source!EP31,O38)</f>
        <v>0</v>
      </c>
      <c r="Q38" s="5"/>
      <c r="R38" s="5"/>
      <c r="S38" s="5"/>
      <c r="T38" s="5"/>
      <c r="U38" s="5"/>
      <c r="V38" s="5"/>
      <c r="W38" s="5">
        <v>0</v>
      </c>
      <c r="X38" s="5">
        <v>1</v>
      </c>
      <c r="Y38" s="5">
        <v>0</v>
      </c>
      <c r="Z38" s="5">
        <v>0</v>
      </c>
      <c r="AA38" s="5">
        <v>1</v>
      </c>
      <c r="AB38" s="5">
        <v>0</v>
      </c>
    </row>
    <row r="39" spans="1:28">
      <c r="A39" s="5">
        <v>50</v>
      </c>
      <c r="B39" s="5">
        <v>0</v>
      </c>
      <c r="C39" s="5">
        <v>0</v>
      </c>
      <c r="D39" s="5">
        <v>1</v>
      </c>
      <c r="E39" s="5">
        <v>228</v>
      </c>
      <c r="F39" s="5">
        <f>ROUND(Source!AY31,O39)</f>
        <v>0</v>
      </c>
      <c r="G39" s="5" t="s">
        <v>44</v>
      </c>
      <c r="H39" s="5" t="s">
        <v>45</v>
      </c>
      <c r="I39" s="5"/>
      <c r="J39" s="5"/>
      <c r="K39" s="5">
        <v>228</v>
      </c>
      <c r="L39" s="5">
        <v>7</v>
      </c>
      <c r="M39" s="5">
        <v>3</v>
      </c>
      <c r="N39" s="5" t="s">
        <v>4</v>
      </c>
      <c r="O39" s="5">
        <v>2</v>
      </c>
      <c r="P39" s="5">
        <f>ROUND(Source!EQ31,O39)</f>
        <v>0</v>
      </c>
      <c r="Q39" s="5"/>
      <c r="R39" s="5"/>
      <c r="S39" s="5"/>
      <c r="T39" s="5"/>
      <c r="U39" s="5"/>
      <c r="V39" s="5"/>
      <c r="W39" s="5">
        <v>0</v>
      </c>
      <c r="X39" s="5">
        <v>1</v>
      </c>
      <c r="Y39" s="5">
        <v>0</v>
      </c>
      <c r="Z39" s="5">
        <v>0</v>
      </c>
      <c r="AA39" s="5">
        <v>1</v>
      </c>
      <c r="AB39" s="5">
        <v>0</v>
      </c>
    </row>
    <row r="40" spans="1:28">
      <c r="A40" s="5">
        <v>50</v>
      </c>
      <c r="B40" s="5">
        <v>0</v>
      </c>
      <c r="C40" s="5">
        <v>0</v>
      </c>
      <c r="D40" s="5">
        <v>1</v>
      </c>
      <c r="E40" s="5">
        <v>216</v>
      </c>
      <c r="F40" s="5">
        <f>ROUND(Source!AP31,O40)</f>
        <v>0</v>
      </c>
      <c r="G40" s="5" t="s">
        <v>46</v>
      </c>
      <c r="H40" s="5" t="s">
        <v>47</v>
      </c>
      <c r="I40" s="5"/>
      <c r="J40" s="5"/>
      <c r="K40" s="5">
        <v>216</v>
      </c>
      <c r="L40" s="5">
        <v>8</v>
      </c>
      <c r="M40" s="5">
        <v>3</v>
      </c>
      <c r="N40" s="5" t="s">
        <v>4</v>
      </c>
      <c r="O40" s="5">
        <v>2</v>
      </c>
      <c r="P40" s="5">
        <f>ROUND(Source!EH31,O40)</f>
        <v>0</v>
      </c>
      <c r="Q40" s="5"/>
      <c r="R40" s="5"/>
      <c r="S40" s="5"/>
      <c r="T40" s="5"/>
      <c r="U40" s="5"/>
      <c r="V40" s="5"/>
      <c r="W40" s="5">
        <v>0</v>
      </c>
      <c r="X40" s="5">
        <v>1</v>
      </c>
      <c r="Y40" s="5">
        <v>0</v>
      </c>
      <c r="Z40" s="5">
        <v>0</v>
      </c>
      <c r="AA40" s="5">
        <v>1</v>
      </c>
      <c r="AB40" s="5">
        <v>0</v>
      </c>
    </row>
    <row r="41" spans="1:28">
      <c r="A41" s="5">
        <v>50</v>
      </c>
      <c r="B41" s="5">
        <v>0</v>
      </c>
      <c r="C41" s="5">
        <v>0</v>
      </c>
      <c r="D41" s="5">
        <v>1</v>
      </c>
      <c r="E41" s="5">
        <v>223</v>
      </c>
      <c r="F41" s="5">
        <f>ROUND(Source!AQ31,O41)</f>
        <v>0</v>
      </c>
      <c r="G41" s="5" t="s">
        <v>48</v>
      </c>
      <c r="H41" s="5" t="s">
        <v>49</v>
      </c>
      <c r="I41" s="5"/>
      <c r="J41" s="5"/>
      <c r="K41" s="5">
        <v>223</v>
      </c>
      <c r="L41" s="5">
        <v>9</v>
      </c>
      <c r="M41" s="5">
        <v>3</v>
      </c>
      <c r="N41" s="5" t="s">
        <v>4</v>
      </c>
      <c r="O41" s="5">
        <v>2</v>
      </c>
      <c r="P41" s="5">
        <f>ROUND(Source!EI31,O41)</f>
        <v>0</v>
      </c>
      <c r="Q41" s="5"/>
      <c r="R41" s="5"/>
      <c r="S41" s="5"/>
      <c r="T41" s="5"/>
      <c r="U41" s="5"/>
      <c r="V41" s="5"/>
      <c r="W41" s="5">
        <v>0</v>
      </c>
      <c r="X41" s="5">
        <v>1</v>
      </c>
      <c r="Y41" s="5">
        <v>0</v>
      </c>
      <c r="Z41" s="5">
        <v>0</v>
      </c>
      <c r="AA41" s="5">
        <v>1</v>
      </c>
      <c r="AB41" s="5">
        <v>0</v>
      </c>
    </row>
    <row r="42" spans="1:28">
      <c r="A42" s="5">
        <v>50</v>
      </c>
      <c r="B42" s="5">
        <v>0</v>
      </c>
      <c r="C42" s="5">
        <v>0</v>
      </c>
      <c r="D42" s="5">
        <v>1</v>
      </c>
      <c r="E42" s="5">
        <v>229</v>
      </c>
      <c r="F42" s="5">
        <f>ROUND(Source!AZ31,O42)</f>
        <v>0</v>
      </c>
      <c r="G42" s="5" t="s">
        <v>50</v>
      </c>
      <c r="H42" s="5" t="s">
        <v>51</v>
      </c>
      <c r="I42" s="5"/>
      <c r="J42" s="5"/>
      <c r="K42" s="5">
        <v>229</v>
      </c>
      <c r="L42" s="5">
        <v>10</v>
      </c>
      <c r="M42" s="5">
        <v>3</v>
      </c>
      <c r="N42" s="5" t="s">
        <v>4</v>
      </c>
      <c r="O42" s="5">
        <v>2</v>
      </c>
      <c r="P42" s="5">
        <f>ROUND(Source!ER31,O42)</f>
        <v>0</v>
      </c>
      <c r="Q42" s="5"/>
      <c r="R42" s="5"/>
      <c r="S42" s="5"/>
      <c r="T42" s="5"/>
      <c r="U42" s="5"/>
      <c r="V42" s="5"/>
      <c r="W42" s="5">
        <v>0</v>
      </c>
      <c r="X42" s="5">
        <v>1</v>
      </c>
      <c r="Y42" s="5">
        <v>0</v>
      </c>
      <c r="Z42" s="5">
        <v>0</v>
      </c>
      <c r="AA42" s="5">
        <v>1</v>
      </c>
      <c r="AB42" s="5">
        <v>0</v>
      </c>
    </row>
    <row r="43" spans="1:28">
      <c r="A43" s="5">
        <v>50</v>
      </c>
      <c r="B43" s="5">
        <v>0</v>
      </c>
      <c r="C43" s="5">
        <v>0</v>
      </c>
      <c r="D43" s="5">
        <v>1</v>
      </c>
      <c r="E43" s="5">
        <v>203</v>
      </c>
      <c r="F43" s="5">
        <f>ROUND(Source!Q31,O43)</f>
        <v>609.37</v>
      </c>
      <c r="G43" s="5" t="s">
        <v>52</v>
      </c>
      <c r="H43" s="5" t="s">
        <v>53</v>
      </c>
      <c r="I43" s="5"/>
      <c r="J43" s="5"/>
      <c r="K43" s="5">
        <v>203</v>
      </c>
      <c r="L43" s="5">
        <v>11</v>
      </c>
      <c r="M43" s="5">
        <v>3</v>
      </c>
      <c r="N43" s="5" t="s">
        <v>4</v>
      </c>
      <c r="O43" s="5">
        <v>2</v>
      </c>
      <c r="P43" s="5">
        <f>ROUND(Source!DI31,O43)</f>
        <v>11913.18</v>
      </c>
      <c r="Q43" s="5"/>
      <c r="R43" s="5"/>
      <c r="S43" s="5"/>
      <c r="T43" s="5"/>
      <c r="U43" s="5"/>
      <c r="V43" s="5"/>
      <c r="W43" s="5">
        <v>609.37</v>
      </c>
      <c r="X43" s="5">
        <v>1</v>
      </c>
      <c r="Y43" s="5">
        <v>609.37</v>
      </c>
      <c r="Z43" s="5">
        <v>11913.18</v>
      </c>
      <c r="AA43" s="5">
        <v>1</v>
      </c>
      <c r="AB43" s="5">
        <v>11913.18</v>
      </c>
    </row>
    <row r="44" spans="1:28">
      <c r="A44" s="5">
        <v>50</v>
      </c>
      <c r="B44" s="5">
        <v>0</v>
      </c>
      <c r="C44" s="5">
        <v>0</v>
      </c>
      <c r="D44" s="5">
        <v>1</v>
      </c>
      <c r="E44" s="5">
        <v>231</v>
      </c>
      <c r="F44" s="5">
        <f>ROUND(Source!BB31,O44)</f>
        <v>0</v>
      </c>
      <c r="G44" s="5" t="s">
        <v>54</v>
      </c>
      <c r="H44" s="5" t="s">
        <v>55</v>
      </c>
      <c r="I44" s="5"/>
      <c r="J44" s="5"/>
      <c r="K44" s="5">
        <v>231</v>
      </c>
      <c r="L44" s="5">
        <v>12</v>
      </c>
      <c r="M44" s="5">
        <v>3</v>
      </c>
      <c r="N44" s="5" t="s">
        <v>4</v>
      </c>
      <c r="O44" s="5">
        <v>2</v>
      </c>
      <c r="P44" s="5">
        <f>ROUND(Source!ET31,O44)</f>
        <v>0</v>
      </c>
      <c r="Q44" s="5"/>
      <c r="R44" s="5"/>
      <c r="S44" s="5"/>
      <c r="T44" s="5"/>
      <c r="U44" s="5"/>
      <c r="V44" s="5"/>
      <c r="W44" s="5">
        <v>0</v>
      </c>
      <c r="X44" s="5">
        <v>1</v>
      </c>
      <c r="Y44" s="5">
        <v>0</v>
      </c>
      <c r="Z44" s="5">
        <v>0</v>
      </c>
      <c r="AA44" s="5">
        <v>1</v>
      </c>
      <c r="AB44" s="5">
        <v>0</v>
      </c>
    </row>
    <row r="45" spans="1:28">
      <c r="A45" s="5">
        <v>50</v>
      </c>
      <c r="B45" s="5">
        <v>0</v>
      </c>
      <c r="C45" s="5">
        <v>0</v>
      </c>
      <c r="D45" s="5">
        <v>1</v>
      </c>
      <c r="E45" s="5">
        <v>204</v>
      </c>
      <c r="F45" s="5">
        <f>ROUND(Source!R31,O45)</f>
        <v>163.66</v>
      </c>
      <c r="G45" s="5" t="s">
        <v>56</v>
      </c>
      <c r="H45" s="5" t="s">
        <v>57</v>
      </c>
      <c r="I45" s="5"/>
      <c r="J45" s="5"/>
      <c r="K45" s="5">
        <v>204</v>
      </c>
      <c r="L45" s="5">
        <v>13</v>
      </c>
      <c r="M45" s="5">
        <v>3</v>
      </c>
      <c r="N45" s="5" t="s">
        <v>4</v>
      </c>
      <c r="O45" s="5">
        <v>2</v>
      </c>
      <c r="P45" s="5">
        <f>ROUND(Source!DJ31,O45)</f>
        <v>7638.01</v>
      </c>
      <c r="Q45" s="5"/>
      <c r="R45" s="5"/>
      <c r="S45" s="5"/>
      <c r="T45" s="5"/>
      <c r="U45" s="5"/>
      <c r="V45" s="5"/>
      <c r="W45" s="5">
        <v>163.66</v>
      </c>
      <c r="X45" s="5">
        <v>1</v>
      </c>
      <c r="Y45" s="5">
        <v>163.66</v>
      </c>
      <c r="Z45" s="5">
        <v>7638.01</v>
      </c>
      <c r="AA45" s="5">
        <v>1</v>
      </c>
      <c r="AB45" s="5">
        <v>7638.01</v>
      </c>
    </row>
    <row r="46" spans="1:28">
      <c r="A46" s="5">
        <v>50</v>
      </c>
      <c r="B46" s="5">
        <v>0</v>
      </c>
      <c r="C46" s="5">
        <v>0</v>
      </c>
      <c r="D46" s="5">
        <v>1</v>
      </c>
      <c r="E46" s="5">
        <v>205</v>
      </c>
      <c r="F46" s="5">
        <f>ROUND(Source!S31,O46)</f>
        <v>304.43</v>
      </c>
      <c r="G46" s="5" t="s">
        <v>58</v>
      </c>
      <c r="H46" s="5" t="s">
        <v>59</v>
      </c>
      <c r="I46" s="5"/>
      <c r="J46" s="5"/>
      <c r="K46" s="5">
        <v>205</v>
      </c>
      <c r="L46" s="5">
        <v>14</v>
      </c>
      <c r="M46" s="5">
        <v>3</v>
      </c>
      <c r="N46" s="5" t="s">
        <v>4</v>
      </c>
      <c r="O46" s="5">
        <v>2</v>
      </c>
      <c r="P46" s="5">
        <f>ROUND(Source!DK31,O46)</f>
        <v>14207.75</v>
      </c>
      <c r="Q46" s="5"/>
      <c r="R46" s="5"/>
      <c r="S46" s="5"/>
      <c r="T46" s="5"/>
      <c r="U46" s="5"/>
      <c r="V46" s="5"/>
      <c r="W46" s="5">
        <v>304.43</v>
      </c>
      <c r="X46" s="5">
        <v>1</v>
      </c>
      <c r="Y46" s="5">
        <v>304.43</v>
      </c>
      <c r="Z46" s="5">
        <v>14207.75</v>
      </c>
      <c r="AA46" s="5">
        <v>1</v>
      </c>
      <c r="AB46" s="5">
        <v>14207.75</v>
      </c>
    </row>
    <row r="47" spans="1:28">
      <c r="A47" s="5">
        <v>50</v>
      </c>
      <c r="B47" s="5">
        <v>0</v>
      </c>
      <c r="C47" s="5">
        <v>0</v>
      </c>
      <c r="D47" s="5">
        <v>1</v>
      </c>
      <c r="E47" s="5">
        <v>232</v>
      </c>
      <c r="F47" s="5">
        <f>ROUND(Source!BC31,O47)</f>
        <v>0</v>
      </c>
      <c r="G47" s="5" t="s">
        <v>60</v>
      </c>
      <c r="H47" s="5" t="s">
        <v>61</v>
      </c>
      <c r="I47" s="5"/>
      <c r="J47" s="5"/>
      <c r="K47" s="5">
        <v>232</v>
      </c>
      <c r="L47" s="5">
        <v>15</v>
      </c>
      <c r="M47" s="5">
        <v>3</v>
      </c>
      <c r="N47" s="5" t="s">
        <v>4</v>
      </c>
      <c r="O47" s="5">
        <v>2</v>
      </c>
      <c r="P47" s="5">
        <f>ROUND(Source!EU31,O47)</f>
        <v>0</v>
      </c>
      <c r="Q47" s="5"/>
      <c r="R47" s="5"/>
      <c r="S47" s="5"/>
      <c r="T47" s="5"/>
      <c r="U47" s="5"/>
      <c r="V47" s="5"/>
      <c r="W47" s="5">
        <v>0</v>
      </c>
      <c r="X47" s="5">
        <v>1</v>
      </c>
      <c r="Y47" s="5">
        <v>0</v>
      </c>
      <c r="Z47" s="5">
        <v>0</v>
      </c>
      <c r="AA47" s="5">
        <v>1</v>
      </c>
      <c r="AB47" s="5">
        <v>0</v>
      </c>
    </row>
    <row r="48" spans="1:28">
      <c r="A48" s="5">
        <v>50</v>
      </c>
      <c r="B48" s="5">
        <v>0</v>
      </c>
      <c r="C48" s="5">
        <v>0</v>
      </c>
      <c r="D48" s="5">
        <v>1</v>
      </c>
      <c r="E48" s="5">
        <v>214</v>
      </c>
      <c r="F48" s="5">
        <f>ROUND(Source!AS31,O48)</f>
        <v>0</v>
      </c>
      <c r="G48" s="5" t="s">
        <v>62</v>
      </c>
      <c r="H48" s="5" t="s">
        <v>63</v>
      </c>
      <c r="I48" s="5"/>
      <c r="J48" s="5"/>
      <c r="K48" s="5">
        <v>214</v>
      </c>
      <c r="L48" s="5">
        <v>16</v>
      </c>
      <c r="M48" s="5">
        <v>3</v>
      </c>
      <c r="N48" s="5" t="s">
        <v>4</v>
      </c>
      <c r="O48" s="5">
        <v>2</v>
      </c>
      <c r="P48" s="5">
        <f>ROUND(Source!EK31,O48)</f>
        <v>0</v>
      </c>
      <c r="Q48" s="5"/>
      <c r="R48" s="5"/>
      <c r="S48" s="5"/>
      <c r="T48" s="5"/>
      <c r="U48" s="5"/>
      <c r="V48" s="5"/>
      <c r="W48" s="5">
        <v>0</v>
      </c>
      <c r="X48" s="5">
        <v>1</v>
      </c>
      <c r="Y48" s="5">
        <v>0</v>
      </c>
      <c r="Z48" s="5">
        <v>0</v>
      </c>
      <c r="AA48" s="5">
        <v>1</v>
      </c>
      <c r="AB48" s="5">
        <v>0</v>
      </c>
    </row>
    <row r="49" spans="1:206">
      <c r="A49" s="5">
        <v>50</v>
      </c>
      <c r="B49" s="5">
        <v>0</v>
      </c>
      <c r="C49" s="5">
        <v>0</v>
      </c>
      <c r="D49" s="5">
        <v>1</v>
      </c>
      <c r="E49" s="5">
        <v>215</v>
      </c>
      <c r="F49" s="5">
        <f>ROUND(Source!AT31,O49)</f>
        <v>1754.27</v>
      </c>
      <c r="G49" s="5" t="s">
        <v>64</v>
      </c>
      <c r="H49" s="5" t="s">
        <v>65</v>
      </c>
      <c r="I49" s="5"/>
      <c r="J49" s="5"/>
      <c r="K49" s="5">
        <v>215</v>
      </c>
      <c r="L49" s="5">
        <v>17</v>
      </c>
      <c r="M49" s="5">
        <v>3</v>
      </c>
      <c r="N49" s="5" t="s">
        <v>4</v>
      </c>
      <c r="O49" s="5">
        <v>2</v>
      </c>
      <c r="P49" s="5">
        <f>ROUND(Source!EL31,O49)</f>
        <v>57522.21</v>
      </c>
      <c r="Q49" s="5"/>
      <c r="R49" s="5"/>
      <c r="S49" s="5"/>
      <c r="T49" s="5"/>
      <c r="U49" s="5"/>
      <c r="V49" s="5"/>
      <c r="W49" s="5">
        <v>1754.27</v>
      </c>
      <c r="X49" s="5">
        <v>1</v>
      </c>
      <c r="Y49" s="5">
        <v>1754.27</v>
      </c>
      <c r="Z49" s="5">
        <v>57522.21</v>
      </c>
      <c r="AA49" s="5">
        <v>1</v>
      </c>
      <c r="AB49" s="5">
        <v>57522.21</v>
      </c>
    </row>
    <row r="50" spans="1:206">
      <c r="A50" s="5">
        <v>50</v>
      </c>
      <c r="B50" s="5">
        <v>0</v>
      </c>
      <c r="C50" s="5">
        <v>0</v>
      </c>
      <c r="D50" s="5">
        <v>1</v>
      </c>
      <c r="E50" s="5">
        <v>217</v>
      </c>
      <c r="F50" s="5">
        <f>ROUND(Source!AU31,O50)</f>
        <v>0</v>
      </c>
      <c r="G50" s="5" t="s">
        <v>66</v>
      </c>
      <c r="H50" s="5" t="s">
        <v>67</v>
      </c>
      <c r="I50" s="5"/>
      <c r="J50" s="5"/>
      <c r="K50" s="5">
        <v>217</v>
      </c>
      <c r="L50" s="5">
        <v>18</v>
      </c>
      <c r="M50" s="5">
        <v>3</v>
      </c>
      <c r="N50" s="5" t="s">
        <v>4</v>
      </c>
      <c r="O50" s="5">
        <v>2</v>
      </c>
      <c r="P50" s="5">
        <f>ROUND(Source!EM31,O50)</f>
        <v>0</v>
      </c>
      <c r="Q50" s="5"/>
      <c r="R50" s="5"/>
      <c r="S50" s="5"/>
      <c r="T50" s="5"/>
      <c r="U50" s="5"/>
      <c r="V50" s="5"/>
      <c r="W50" s="5">
        <v>0</v>
      </c>
      <c r="X50" s="5">
        <v>1</v>
      </c>
      <c r="Y50" s="5">
        <v>0</v>
      </c>
      <c r="Z50" s="5">
        <v>0</v>
      </c>
      <c r="AA50" s="5">
        <v>1</v>
      </c>
      <c r="AB50" s="5">
        <v>0</v>
      </c>
    </row>
    <row r="51" spans="1:206">
      <c r="A51" s="5">
        <v>50</v>
      </c>
      <c r="B51" s="5">
        <v>0</v>
      </c>
      <c r="C51" s="5">
        <v>0</v>
      </c>
      <c r="D51" s="5">
        <v>1</v>
      </c>
      <c r="E51" s="5">
        <v>230</v>
      </c>
      <c r="F51" s="5">
        <f>ROUND(Source!BA31,O51)</f>
        <v>0</v>
      </c>
      <c r="G51" s="5" t="s">
        <v>68</v>
      </c>
      <c r="H51" s="5" t="s">
        <v>69</v>
      </c>
      <c r="I51" s="5"/>
      <c r="J51" s="5"/>
      <c r="K51" s="5">
        <v>230</v>
      </c>
      <c r="L51" s="5">
        <v>19</v>
      </c>
      <c r="M51" s="5">
        <v>3</v>
      </c>
      <c r="N51" s="5" t="s">
        <v>4</v>
      </c>
      <c r="O51" s="5">
        <v>2</v>
      </c>
      <c r="P51" s="5">
        <f>ROUND(Source!ES31,O51)</f>
        <v>0</v>
      </c>
      <c r="Q51" s="5"/>
      <c r="R51" s="5"/>
      <c r="S51" s="5"/>
      <c r="T51" s="5"/>
      <c r="U51" s="5"/>
      <c r="V51" s="5"/>
      <c r="W51" s="5">
        <v>0</v>
      </c>
      <c r="X51" s="5">
        <v>1</v>
      </c>
      <c r="Y51" s="5">
        <v>0</v>
      </c>
      <c r="Z51" s="5">
        <v>0</v>
      </c>
      <c r="AA51" s="5">
        <v>1</v>
      </c>
      <c r="AB51" s="5">
        <v>0</v>
      </c>
    </row>
    <row r="52" spans="1:206">
      <c r="A52" s="5">
        <v>50</v>
      </c>
      <c r="B52" s="5">
        <v>0</v>
      </c>
      <c r="C52" s="5">
        <v>0</v>
      </c>
      <c r="D52" s="5">
        <v>1</v>
      </c>
      <c r="E52" s="5">
        <v>206</v>
      </c>
      <c r="F52" s="5">
        <f>ROUND(Source!T31,O52)</f>
        <v>0</v>
      </c>
      <c r="G52" s="5" t="s">
        <v>70</v>
      </c>
      <c r="H52" s="5" t="s">
        <v>71</v>
      </c>
      <c r="I52" s="5"/>
      <c r="J52" s="5"/>
      <c r="K52" s="5">
        <v>206</v>
      </c>
      <c r="L52" s="5">
        <v>20</v>
      </c>
      <c r="M52" s="5">
        <v>3</v>
      </c>
      <c r="N52" s="5" t="s">
        <v>4</v>
      </c>
      <c r="O52" s="5">
        <v>2</v>
      </c>
      <c r="P52" s="5">
        <f>ROUND(Source!DL31,O52)</f>
        <v>0</v>
      </c>
      <c r="Q52" s="5"/>
      <c r="R52" s="5"/>
      <c r="S52" s="5"/>
      <c r="T52" s="5"/>
      <c r="U52" s="5"/>
      <c r="V52" s="5"/>
      <c r="W52" s="5">
        <v>0</v>
      </c>
      <c r="X52" s="5">
        <v>1</v>
      </c>
      <c r="Y52" s="5">
        <v>0</v>
      </c>
      <c r="Z52" s="5">
        <v>0</v>
      </c>
      <c r="AA52" s="5">
        <v>1</v>
      </c>
      <c r="AB52" s="5">
        <v>0</v>
      </c>
    </row>
    <row r="53" spans="1:206">
      <c r="A53" s="5">
        <v>50</v>
      </c>
      <c r="B53" s="5">
        <v>0</v>
      </c>
      <c r="C53" s="5">
        <v>0</v>
      </c>
      <c r="D53" s="5">
        <v>1</v>
      </c>
      <c r="E53" s="5">
        <v>207</v>
      </c>
      <c r="F53" s="5">
        <f>Source!U31</f>
        <v>24.122880000000002</v>
      </c>
      <c r="G53" s="5" t="s">
        <v>72</v>
      </c>
      <c r="H53" s="5" t="s">
        <v>73</v>
      </c>
      <c r="I53" s="5"/>
      <c r="J53" s="5"/>
      <c r="K53" s="5">
        <v>207</v>
      </c>
      <c r="L53" s="5">
        <v>21</v>
      </c>
      <c r="M53" s="5">
        <v>3</v>
      </c>
      <c r="N53" s="5" t="s">
        <v>4</v>
      </c>
      <c r="O53" s="5">
        <v>-1</v>
      </c>
      <c r="P53" s="5">
        <f>Source!DM31</f>
        <v>24.122880000000002</v>
      </c>
      <c r="Q53" s="5"/>
      <c r="R53" s="5"/>
      <c r="S53" s="5"/>
      <c r="T53" s="5"/>
      <c r="U53" s="5"/>
      <c r="V53" s="5"/>
      <c r="W53" s="5">
        <v>24.122879999999999</v>
      </c>
      <c r="X53" s="5">
        <v>1</v>
      </c>
      <c r="Y53" s="5">
        <v>24.122879999999999</v>
      </c>
      <c r="Z53" s="5">
        <v>24.122879999999999</v>
      </c>
      <c r="AA53" s="5">
        <v>1</v>
      </c>
      <c r="AB53" s="5">
        <v>24.122879999999999</v>
      </c>
    </row>
    <row r="54" spans="1:206">
      <c r="A54" s="5">
        <v>50</v>
      </c>
      <c r="B54" s="5">
        <v>0</v>
      </c>
      <c r="C54" s="5">
        <v>0</v>
      </c>
      <c r="D54" s="5">
        <v>1</v>
      </c>
      <c r="E54" s="5">
        <v>208</v>
      </c>
      <c r="F54" s="5">
        <f>Source!V31</f>
        <v>0</v>
      </c>
      <c r="G54" s="5" t="s">
        <v>74</v>
      </c>
      <c r="H54" s="5" t="s">
        <v>75</v>
      </c>
      <c r="I54" s="5"/>
      <c r="J54" s="5"/>
      <c r="K54" s="5">
        <v>208</v>
      </c>
      <c r="L54" s="5">
        <v>22</v>
      </c>
      <c r="M54" s="5">
        <v>3</v>
      </c>
      <c r="N54" s="5" t="s">
        <v>4</v>
      </c>
      <c r="O54" s="5">
        <v>-1</v>
      </c>
      <c r="P54" s="5">
        <f>Source!DN31</f>
        <v>0</v>
      </c>
      <c r="Q54" s="5"/>
      <c r="R54" s="5"/>
      <c r="S54" s="5"/>
      <c r="T54" s="5"/>
      <c r="U54" s="5"/>
      <c r="V54" s="5"/>
      <c r="W54" s="5">
        <v>0</v>
      </c>
      <c r="X54" s="5">
        <v>1</v>
      </c>
      <c r="Y54" s="5">
        <v>0</v>
      </c>
      <c r="Z54" s="5">
        <v>0</v>
      </c>
      <c r="AA54" s="5">
        <v>1</v>
      </c>
      <c r="AB54" s="5">
        <v>0</v>
      </c>
    </row>
    <row r="55" spans="1:206">
      <c r="A55" s="5">
        <v>50</v>
      </c>
      <c r="B55" s="5">
        <v>0</v>
      </c>
      <c r="C55" s="5">
        <v>0</v>
      </c>
      <c r="D55" s="5">
        <v>1</v>
      </c>
      <c r="E55" s="5">
        <v>209</v>
      </c>
      <c r="F55" s="5">
        <f>ROUND(Source!W31,O55)</f>
        <v>0</v>
      </c>
      <c r="G55" s="5" t="s">
        <v>76</v>
      </c>
      <c r="H55" s="5" t="s">
        <v>77</v>
      </c>
      <c r="I55" s="5"/>
      <c r="J55" s="5"/>
      <c r="K55" s="5">
        <v>209</v>
      </c>
      <c r="L55" s="5">
        <v>23</v>
      </c>
      <c r="M55" s="5">
        <v>3</v>
      </c>
      <c r="N55" s="5" t="s">
        <v>4</v>
      </c>
      <c r="O55" s="5">
        <v>2</v>
      </c>
      <c r="P55" s="5">
        <f>ROUND(Source!DO31,O55)</f>
        <v>0</v>
      </c>
      <c r="Q55" s="5"/>
      <c r="R55" s="5"/>
      <c r="S55" s="5"/>
      <c r="T55" s="5"/>
      <c r="U55" s="5"/>
      <c r="V55" s="5"/>
      <c r="W55" s="5">
        <v>0</v>
      </c>
      <c r="X55" s="5">
        <v>1</v>
      </c>
      <c r="Y55" s="5">
        <v>0</v>
      </c>
      <c r="Z55" s="5">
        <v>0</v>
      </c>
      <c r="AA55" s="5">
        <v>1</v>
      </c>
      <c r="AB55" s="5">
        <v>0</v>
      </c>
    </row>
    <row r="56" spans="1:206">
      <c r="A56" s="5">
        <v>50</v>
      </c>
      <c r="B56" s="5">
        <v>0</v>
      </c>
      <c r="C56" s="5">
        <v>0</v>
      </c>
      <c r="D56" s="5">
        <v>1</v>
      </c>
      <c r="E56" s="5">
        <v>233</v>
      </c>
      <c r="F56" s="5">
        <f>ROUND(Source!BD31,O56)</f>
        <v>0</v>
      </c>
      <c r="G56" s="5" t="s">
        <v>78</v>
      </c>
      <c r="H56" s="5" t="s">
        <v>79</v>
      </c>
      <c r="I56" s="5"/>
      <c r="J56" s="5"/>
      <c r="K56" s="5">
        <v>233</v>
      </c>
      <c r="L56" s="5">
        <v>24</v>
      </c>
      <c r="M56" s="5">
        <v>3</v>
      </c>
      <c r="N56" s="5" t="s">
        <v>4</v>
      </c>
      <c r="O56" s="5">
        <v>2</v>
      </c>
      <c r="P56" s="5">
        <f>ROUND(Source!EV31,O56)</f>
        <v>0</v>
      </c>
      <c r="Q56" s="5"/>
      <c r="R56" s="5"/>
      <c r="S56" s="5"/>
      <c r="T56" s="5"/>
      <c r="U56" s="5"/>
      <c r="V56" s="5"/>
      <c r="W56" s="5">
        <v>0</v>
      </c>
      <c r="X56" s="5">
        <v>1</v>
      </c>
      <c r="Y56" s="5">
        <v>0</v>
      </c>
      <c r="Z56" s="5">
        <v>0</v>
      </c>
      <c r="AA56" s="5">
        <v>1</v>
      </c>
      <c r="AB56" s="5">
        <v>0</v>
      </c>
    </row>
    <row r="57" spans="1:206">
      <c r="A57" s="5">
        <v>50</v>
      </c>
      <c r="B57" s="5">
        <v>0</v>
      </c>
      <c r="C57" s="5">
        <v>0</v>
      </c>
      <c r="D57" s="5">
        <v>1</v>
      </c>
      <c r="E57" s="5">
        <v>210</v>
      </c>
      <c r="F57" s="5">
        <f>ROUND(Source!X31,O57)</f>
        <v>340.96</v>
      </c>
      <c r="G57" s="5" t="s">
        <v>80</v>
      </c>
      <c r="H57" s="5" t="s">
        <v>81</v>
      </c>
      <c r="I57" s="5"/>
      <c r="J57" s="5"/>
      <c r="K57" s="5">
        <v>210</v>
      </c>
      <c r="L57" s="5">
        <v>25</v>
      </c>
      <c r="M57" s="5">
        <v>3</v>
      </c>
      <c r="N57" s="5" t="s">
        <v>4</v>
      </c>
      <c r="O57" s="5">
        <v>2</v>
      </c>
      <c r="P57" s="5">
        <f>ROUND(Source!DP31,O57)</f>
        <v>13071.13</v>
      </c>
      <c r="Q57" s="5"/>
      <c r="R57" s="5"/>
      <c r="S57" s="5"/>
      <c r="T57" s="5"/>
      <c r="U57" s="5"/>
      <c r="V57" s="5"/>
      <c r="W57" s="5">
        <v>340.96</v>
      </c>
      <c r="X57" s="5">
        <v>1</v>
      </c>
      <c r="Y57" s="5">
        <v>340.96</v>
      </c>
      <c r="Z57" s="5">
        <v>13071.13</v>
      </c>
      <c r="AA57" s="5">
        <v>1</v>
      </c>
      <c r="AB57" s="5">
        <v>13071.13</v>
      </c>
    </row>
    <row r="58" spans="1:206">
      <c r="A58" s="5">
        <v>50</v>
      </c>
      <c r="B58" s="5">
        <v>0</v>
      </c>
      <c r="C58" s="5">
        <v>0</v>
      </c>
      <c r="D58" s="5">
        <v>1</v>
      </c>
      <c r="E58" s="5">
        <v>211</v>
      </c>
      <c r="F58" s="5">
        <f>ROUND(Source!Y31,O58)</f>
        <v>213.1</v>
      </c>
      <c r="G58" s="5" t="s">
        <v>82</v>
      </c>
      <c r="H58" s="5" t="s">
        <v>83</v>
      </c>
      <c r="I58" s="5"/>
      <c r="J58" s="5"/>
      <c r="K58" s="5">
        <v>211</v>
      </c>
      <c r="L58" s="5">
        <v>26</v>
      </c>
      <c r="M58" s="5">
        <v>3</v>
      </c>
      <c r="N58" s="5" t="s">
        <v>4</v>
      </c>
      <c r="O58" s="5">
        <v>2</v>
      </c>
      <c r="P58" s="5">
        <f>ROUND(Source!DQ31,O58)</f>
        <v>6109.33</v>
      </c>
      <c r="Q58" s="5"/>
      <c r="R58" s="5"/>
      <c r="S58" s="5"/>
      <c r="T58" s="5"/>
      <c r="U58" s="5"/>
      <c r="V58" s="5"/>
      <c r="W58" s="5">
        <v>213.1</v>
      </c>
      <c r="X58" s="5">
        <v>1</v>
      </c>
      <c r="Y58" s="5">
        <v>213.1</v>
      </c>
      <c r="Z58" s="5">
        <v>6109.33</v>
      </c>
      <c r="AA58" s="5">
        <v>1</v>
      </c>
      <c r="AB58" s="5">
        <v>6109.33</v>
      </c>
    </row>
    <row r="59" spans="1:206">
      <c r="A59" s="5">
        <v>50</v>
      </c>
      <c r="B59" s="5">
        <v>0</v>
      </c>
      <c r="C59" s="5">
        <v>0</v>
      </c>
      <c r="D59" s="5">
        <v>1</v>
      </c>
      <c r="E59" s="5">
        <v>224</v>
      </c>
      <c r="F59" s="5">
        <f>ROUND(Source!AR31,O59)</f>
        <v>1754.27</v>
      </c>
      <c r="G59" s="5" t="s">
        <v>84</v>
      </c>
      <c r="H59" s="5" t="s">
        <v>85</v>
      </c>
      <c r="I59" s="5"/>
      <c r="J59" s="5"/>
      <c r="K59" s="5">
        <v>224</v>
      </c>
      <c r="L59" s="5">
        <v>27</v>
      </c>
      <c r="M59" s="5">
        <v>3</v>
      </c>
      <c r="N59" s="5" t="s">
        <v>4</v>
      </c>
      <c r="O59" s="5">
        <v>2</v>
      </c>
      <c r="P59" s="5">
        <f>ROUND(Source!EJ31,O59)</f>
        <v>57522.21</v>
      </c>
      <c r="Q59" s="5"/>
      <c r="R59" s="5"/>
      <c r="S59" s="5"/>
      <c r="T59" s="5"/>
      <c r="U59" s="5"/>
      <c r="V59" s="5"/>
      <c r="W59" s="5">
        <v>1754.27</v>
      </c>
      <c r="X59" s="5">
        <v>1</v>
      </c>
      <c r="Y59" s="5">
        <v>1754.27</v>
      </c>
      <c r="Z59" s="5">
        <v>57522.21</v>
      </c>
      <c r="AA59" s="5">
        <v>1</v>
      </c>
      <c r="AB59" s="5">
        <v>57522.21</v>
      </c>
    </row>
    <row r="61" spans="1:206">
      <c r="A61" s="1">
        <v>4</v>
      </c>
      <c r="B61" s="1">
        <v>1</v>
      </c>
      <c r="C61" s="1"/>
      <c r="D61" s="1">
        <f>ROW(A68)</f>
        <v>68</v>
      </c>
      <c r="E61" s="1"/>
      <c r="F61" s="1" t="s">
        <v>18</v>
      </c>
      <c r="G61" s="1" t="s">
        <v>86</v>
      </c>
      <c r="H61" s="1" t="s">
        <v>4</v>
      </c>
      <c r="I61" s="1">
        <v>0</v>
      </c>
      <c r="J61" s="1"/>
      <c r="K61" s="1">
        <v>0</v>
      </c>
      <c r="L61" s="1"/>
      <c r="M61" s="1" t="s">
        <v>4</v>
      </c>
      <c r="N61" s="1"/>
      <c r="O61" s="1"/>
      <c r="P61" s="1"/>
      <c r="Q61" s="1"/>
      <c r="R61" s="1"/>
      <c r="S61" s="1">
        <v>0</v>
      </c>
      <c r="T61" s="1">
        <v>0</v>
      </c>
      <c r="U61" s="1" t="s">
        <v>4</v>
      </c>
      <c r="V61" s="1">
        <v>0</v>
      </c>
      <c r="W61" s="1"/>
      <c r="X61" s="1"/>
      <c r="Y61" s="1"/>
      <c r="Z61" s="1"/>
      <c r="AA61" s="1"/>
      <c r="AB61" s="1" t="s">
        <v>4</v>
      </c>
      <c r="AC61" s="1" t="s">
        <v>4</v>
      </c>
      <c r="AD61" s="1" t="s">
        <v>4</v>
      </c>
      <c r="AE61" s="1" t="s">
        <v>4</v>
      </c>
      <c r="AF61" s="1" t="s">
        <v>4</v>
      </c>
      <c r="AG61" s="1" t="s">
        <v>4</v>
      </c>
      <c r="AH61" s="1"/>
      <c r="AI61" s="1"/>
      <c r="AJ61" s="1"/>
      <c r="AK61" s="1"/>
      <c r="AL61" s="1"/>
      <c r="AM61" s="1"/>
      <c r="AN61" s="1"/>
      <c r="AO61" s="1"/>
      <c r="AP61" s="1" t="s">
        <v>4</v>
      </c>
      <c r="AQ61" s="1" t="s">
        <v>4</v>
      </c>
      <c r="AR61" s="1" t="s">
        <v>4</v>
      </c>
      <c r="AS61" s="1"/>
      <c r="AT61" s="1"/>
      <c r="AU61" s="1"/>
      <c r="AV61" s="1"/>
      <c r="AW61" s="1"/>
      <c r="AX61" s="1"/>
      <c r="AY61" s="1"/>
      <c r="AZ61" s="1" t="s">
        <v>4</v>
      </c>
      <c r="BA61" s="1"/>
      <c r="BB61" s="1" t="s">
        <v>4</v>
      </c>
      <c r="BC61" s="1" t="s">
        <v>4</v>
      </c>
      <c r="BD61" s="1" t="s">
        <v>4</v>
      </c>
      <c r="BE61" s="1" t="s">
        <v>4</v>
      </c>
      <c r="BF61" s="1" t="s">
        <v>4</v>
      </c>
      <c r="BG61" s="1" t="s">
        <v>4</v>
      </c>
      <c r="BH61" s="1" t="s">
        <v>4</v>
      </c>
      <c r="BI61" s="1" t="s">
        <v>4</v>
      </c>
      <c r="BJ61" s="1" t="s">
        <v>4</v>
      </c>
      <c r="BK61" s="1" t="s">
        <v>4</v>
      </c>
      <c r="BL61" s="1" t="s">
        <v>4</v>
      </c>
      <c r="BM61" s="1" t="s">
        <v>4</v>
      </c>
      <c r="BN61" s="1" t="s">
        <v>4</v>
      </c>
      <c r="BO61" s="1" t="s">
        <v>4</v>
      </c>
      <c r="BP61" s="1" t="s">
        <v>4</v>
      </c>
      <c r="BQ61" s="1"/>
      <c r="BR61" s="1"/>
      <c r="BS61" s="1"/>
      <c r="BT61" s="1"/>
      <c r="BU61" s="1"/>
      <c r="BV61" s="1"/>
      <c r="BW61" s="1"/>
      <c r="BX61" s="1">
        <v>0</v>
      </c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>
        <v>0</v>
      </c>
    </row>
    <row r="63" spans="1:206">
      <c r="A63" s="3">
        <v>52</v>
      </c>
      <c r="B63" s="3">
        <f t="shared" ref="B63:G63" si="25">B68</f>
        <v>1</v>
      </c>
      <c r="C63" s="3">
        <f t="shared" si="25"/>
        <v>4</v>
      </c>
      <c r="D63" s="3">
        <f t="shared" si="25"/>
        <v>61</v>
      </c>
      <c r="E63" s="3">
        <f t="shared" si="25"/>
        <v>0</v>
      </c>
      <c r="F63" s="3" t="str">
        <f t="shared" si="25"/>
        <v>Новый раздел</v>
      </c>
      <c r="G63" s="3" t="str">
        <f t="shared" si="25"/>
        <v>Монтажные работы</v>
      </c>
      <c r="H63" s="3"/>
      <c r="I63" s="3"/>
      <c r="J63" s="3"/>
      <c r="K63" s="3"/>
      <c r="L63" s="3"/>
      <c r="M63" s="3"/>
      <c r="N63" s="3"/>
      <c r="O63" s="3">
        <f t="shared" ref="O63:AT63" si="26">O68</f>
        <v>2458.96</v>
      </c>
      <c r="P63" s="3">
        <f t="shared" si="26"/>
        <v>174.44</v>
      </c>
      <c r="Q63" s="3">
        <f t="shared" si="26"/>
        <v>1523.43</v>
      </c>
      <c r="R63" s="3">
        <f t="shared" si="26"/>
        <v>409.15</v>
      </c>
      <c r="S63" s="3">
        <f t="shared" si="26"/>
        <v>761.09</v>
      </c>
      <c r="T63" s="3">
        <f t="shared" si="26"/>
        <v>0</v>
      </c>
      <c r="U63" s="3">
        <f t="shared" si="26"/>
        <v>60.307199999999995</v>
      </c>
      <c r="V63" s="3">
        <f t="shared" si="26"/>
        <v>0</v>
      </c>
      <c r="W63" s="3">
        <f t="shared" si="26"/>
        <v>0</v>
      </c>
      <c r="X63" s="3">
        <f t="shared" si="26"/>
        <v>852.42</v>
      </c>
      <c r="Y63" s="3">
        <f t="shared" si="26"/>
        <v>532.76</v>
      </c>
      <c r="Z63" s="3">
        <f t="shared" si="26"/>
        <v>0</v>
      </c>
      <c r="AA63" s="3">
        <f t="shared" si="26"/>
        <v>0</v>
      </c>
      <c r="AB63" s="3">
        <f t="shared" si="26"/>
        <v>2458.96</v>
      </c>
      <c r="AC63" s="3">
        <f t="shared" si="26"/>
        <v>174.44</v>
      </c>
      <c r="AD63" s="3">
        <f t="shared" si="26"/>
        <v>1523.43</v>
      </c>
      <c r="AE63" s="3">
        <f t="shared" si="26"/>
        <v>409.15</v>
      </c>
      <c r="AF63" s="3">
        <f t="shared" si="26"/>
        <v>761.09</v>
      </c>
      <c r="AG63" s="3">
        <f t="shared" si="26"/>
        <v>0</v>
      </c>
      <c r="AH63" s="3">
        <f t="shared" si="26"/>
        <v>60.307199999999995</v>
      </c>
      <c r="AI63" s="3">
        <f t="shared" si="26"/>
        <v>0</v>
      </c>
      <c r="AJ63" s="3">
        <f t="shared" si="26"/>
        <v>0</v>
      </c>
      <c r="AK63" s="3">
        <f t="shared" si="26"/>
        <v>852.42</v>
      </c>
      <c r="AL63" s="3">
        <f t="shared" si="26"/>
        <v>532.76</v>
      </c>
      <c r="AM63" s="3">
        <f t="shared" si="26"/>
        <v>0</v>
      </c>
      <c r="AN63" s="3">
        <f t="shared" si="26"/>
        <v>0</v>
      </c>
      <c r="AO63" s="3">
        <f t="shared" si="26"/>
        <v>0</v>
      </c>
      <c r="AP63" s="3">
        <f t="shared" si="26"/>
        <v>0</v>
      </c>
      <c r="AQ63" s="3">
        <f t="shared" si="26"/>
        <v>0</v>
      </c>
      <c r="AR63" s="3">
        <f t="shared" si="26"/>
        <v>4560.1499999999996</v>
      </c>
      <c r="AS63" s="3">
        <f t="shared" si="26"/>
        <v>0</v>
      </c>
      <c r="AT63" s="3">
        <f t="shared" si="26"/>
        <v>4560.1499999999996</v>
      </c>
      <c r="AU63" s="3">
        <f t="shared" ref="AU63:BZ63" si="27">AU68</f>
        <v>0</v>
      </c>
      <c r="AV63" s="3">
        <f t="shared" si="27"/>
        <v>174.44</v>
      </c>
      <c r="AW63" s="3">
        <f t="shared" si="27"/>
        <v>174.44</v>
      </c>
      <c r="AX63" s="3">
        <f t="shared" si="27"/>
        <v>0</v>
      </c>
      <c r="AY63" s="3">
        <f t="shared" si="27"/>
        <v>174.44</v>
      </c>
      <c r="AZ63" s="3">
        <f t="shared" si="27"/>
        <v>0</v>
      </c>
      <c r="BA63" s="3">
        <f t="shared" si="27"/>
        <v>0</v>
      </c>
      <c r="BB63" s="3">
        <f t="shared" si="27"/>
        <v>0</v>
      </c>
      <c r="BC63" s="3">
        <f t="shared" si="27"/>
        <v>0</v>
      </c>
      <c r="BD63" s="3">
        <f t="shared" si="27"/>
        <v>0</v>
      </c>
      <c r="BE63" s="3">
        <f t="shared" si="27"/>
        <v>0</v>
      </c>
      <c r="BF63" s="3">
        <f t="shared" si="27"/>
        <v>0</v>
      </c>
      <c r="BG63" s="3">
        <f t="shared" si="27"/>
        <v>0</v>
      </c>
      <c r="BH63" s="3">
        <f t="shared" si="27"/>
        <v>0</v>
      </c>
      <c r="BI63" s="3">
        <f t="shared" si="27"/>
        <v>0</v>
      </c>
      <c r="BJ63" s="3">
        <f t="shared" si="27"/>
        <v>0</v>
      </c>
      <c r="BK63" s="3">
        <f t="shared" si="27"/>
        <v>0</v>
      </c>
      <c r="BL63" s="3">
        <f t="shared" si="27"/>
        <v>0</v>
      </c>
      <c r="BM63" s="3">
        <f t="shared" si="27"/>
        <v>0</v>
      </c>
      <c r="BN63" s="3">
        <f t="shared" si="27"/>
        <v>0</v>
      </c>
      <c r="BO63" s="3">
        <f t="shared" si="27"/>
        <v>0</v>
      </c>
      <c r="BP63" s="3">
        <f t="shared" si="27"/>
        <v>0</v>
      </c>
      <c r="BQ63" s="3">
        <f t="shared" si="27"/>
        <v>0</v>
      </c>
      <c r="BR63" s="3">
        <f t="shared" si="27"/>
        <v>0</v>
      </c>
      <c r="BS63" s="3">
        <f t="shared" si="27"/>
        <v>0</v>
      </c>
      <c r="BT63" s="3">
        <f t="shared" si="27"/>
        <v>0</v>
      </c>
      <c r="BU63" s="3">
        <f t="shared" si="27"/>
        <v>0</v>
      </c>
      <c r="BV63" s="3">
        <f t="shared" si="27"/>
        <v>0</v>
      </c>
      <c r="BW63" s="3">
        <f t="shared" si="27"/>
        <v>0</v>
      </c>
      <c r="BX63" s="3">
        <f t="shared" si="27"/>
        <v>0</v>
      </c>
      <c r="BY63" s="3">
        <f t="shared" si="27"/>
        <v>0</v>
      </c>
      <c r="BZ63" s="3">
        <f t="shared" si="27"/>
        <v>0</v>
      </c>
      <c r="CA63" s="3">
        <f t="shared" ref="CA63:DF63" si="28">CA68</f>
        <v>4560.1499999999996</v>
      </c>
      <c r="CB63" s="3">
        <f t="shared" si="28"/>
        <v>0</v>
      </c>
      <c r="CC63" s="3">
        <f t="shared" si="28"/>
        <v>4560.1499999999996</v>
      </c>
      <c r="CD63" s="3">
        <f t="shared" si="28"/>
        <v>0</v>
      </c>
      <c r="CE63" s="3">
        <f t="shared" si="28"/>
        <v>174.44</v>
      </c>
      <c r="CF63" s="3">
        <f t="shared" si="28"/>
        <v>174.44</v>
      </c>
      <c r="CG63" s="3">
        <f t="shared" si="28"/>
        <v>0</v>
      </c>
      <c r="CH63" s="3">
        <f t="shared" si="28"/>
        <v>174.44</v>
      </c>
      <c r="CI63" s="3">
        <f t="shared" si="28"/>
        <v>0</v>
      </c>
      <c r="CJ63" s="3">
        <f t="shared" si="28"/>
        <v>0</v>
      </c>
      <c r="CK63" s="3">
        <f t="shared" si="28"/>
        <v>0</v>
      </c>
      <c r="CL63" s="3">
        <f t="shared" si="28"/>
        <v>0</v>
      </c>
      <c r="CM63" s="3">
        <f t="shared" si="28"/>
        <v>0</v>
      </c>
      <c r="CN63" s="3">
        <f t="shared" si="28"/>
        <v>0</v>
      </c>
      <c r="CO63" s="3">
        <f t="shared" si="28"/>
        <v>0</v>
      </c>
      <c r="CP63" s="3">
        <f t="shared" si="28"/>
        <v>0</v>
      </c>
      <c r="CQ63" s="3">
        <f t="shared" si="28"/>
        <v>0</v>
      </c>
      <c r="CR63" s="3">
        <f t="shared" si="28"/>
        <v>0</v>
      </c>
      <c r="CS63" s="3">
        <f t="shared" si="28"/>
        <v>0</v>
      </c>
      <c r="CT63" s="3">
        <f t="shared" si="28"/>
        <v>0</v>
      </c>
      <c r="CU63" s="3">
        <f t="shared" si="28"/>
        <v>0</v>
      </c>
      <c r="CV63" s="3">
        <f t="shared" si="28"/>
        <v>0</v>
      </c>
      <c r="CW63" s="3">
        <f t="shared" si="28"/>
        <v>0</v>
      </c>
      <c r="CX63" s="3">
        <f t="shared" si="28"/>
        <v>0</v>
      </c>
      <c r="CY63" s="3">
        <f t="shared" si="28"/>
        <v>0</v>
      </c>
      <c r="CZ63" s="3">
        <f t="shared" si="28"/>
        <v>0</v>
      </c>
      <c r="DA63" s="3">
        <f t="shared" si="28"/>
        <v>0</v>
      </c>
      <c r="DB63" s="3">
        <f t="shared" si="28"/>
        <v>0</v>
      </c>
      <c r="DC63" s="3">
        <f t="shared" si="28"/>
        <v>0</v>
      </c>
      <c r="DD63" s="3">
        <f t="shared" si="28"/>
        <v>0</v>
      </c>
      <c r="DE63" s="3">
        <f t="shared" si="28"/>
        <v>0</v>
      </c>
      <c r="DF63" s="3">
        <f t="shared" si="28"/>
        <v>0</v>
      </c>
      <c r="DG63" s="4">
        <f t="shared" ref="DG63:EL63" si="29">DG68</f>
        <v>70037.429999999993</v>
      </c>
      <c r="DH63" s="4">
        <f t="shared" si="29"/>
        <v>4734.3</v>
      </c>
      <c r="DI63" s="4">
        <f t="shared" si="29"/>
        <v>29783.06</v>
      </c>
      <c r="DJ63" s="4">
        <f t="shared" si="29"/>
        <v>19095.03</v>
      </c>
      <c r="DK63" s="4">
        <f t="shared" si="29"/>
        <v>35520.07</v>
      </c>
      <c r="DL63" s="4">
        <f t="shared" si="29"/>
        <v>0</v>
      </c>
      <c r="DM63" s="4">
        <f t="shared" si="29"/>
        <v>60.307199999999995</v>
      </c>
      <c r="DN63" s="4">
        <f t="shared" si="29"/>
        <v>0</v>
      </c>
      <c r="DO63" s="4">
        <f t="shared" si="29"/>
        <v>0</v>
      </c>
      <c r="DP63" s="4">
        <f t="shared" si="29"/>
        <v>32678.46</v>
      </c>
      <c r="DQ63" s="4">
        <f t="shared" si="29"/>
        <v>15273.63</v>
      </c>
      <c r="DR63" s="4">
        <f t="shared" si="29"/>
        <v>0</v>
      </c>
      <c r="DS63" s="4">
        <f t="shared" si="29"/>
        <v>0</v>
      </c>
      <c r="DT63" s="4">
        <f t="shared" si="29"/>
        <v>70037.429999999993</v>
      </c>
      <c r="DU63" s="4">
        <f t="shared" si="29"/>
        <v>4734.3</v>
      </c>
      <c r="DV63" s="4">
        <f t="shared" si="29"/>
        <v>29783.06</v>
      </c>
      <c r="DW63" s="4">
        <f t="shared" si="29"/>
        <v>19095.03</v>
      </c>
      <c r="DX63" s="4">
        <f t="shared" si="29"/>
        <v>35520.07</v>
      </c>
      <c r="DY63" s="4">
        <f t="shared" si="29"/>
        <v>0</v>
      </c>
      <c r="DZ63" s="4">
        <f t="shared" si="29"/>
        <v>60.307199999999995</v>
      </c>
      <c r="EA63" s="4">
        <f t="shared" si="29"/>
        <v>0</v>
      </c>
      <c r="EB63" s="4">
        <f t="shared" si="29"/>
        <v>0</v>
      </c>
      <c r="EC63" s="4">
        <f t="shared" si="29"/>
        <v>32678.46</v>
      </c>
      <c r="ED63" s="4">
        <f t="shared" si="29"/>
        <v>15273.63</v>
      </c>
      <c r="EE63" s="4">
        <f t="shared" si="29"/>
        <v>0</v>
      </c>
      <c r="EF63" s="4">
        <f t="shared" si="29"/>
        <v>0</v>
      </c>
      <c r="EG63" s="4">
        <f t="shared" si="29"/>
        <v>0</v>
      </c>
      <c r="EH63" s="4">
        <f t="shared" si="29"/>
        <v>0</v>
      </c>
      <c r="EI63" s="4">
        <f t="shared" si="29"/>
        <v>0</v>
      </c>
      <c r="EJ63" s="4">
        <f t="shared" si="29"/>
        <v>148541.57</v>
      </c>
      <c r="EK63" s="4">
        <f t="shared" si="29"/>
        <v>0</v>
      </c>
      <c r="EL63" s="4">
        <f t="shared" si="29"/>
        <v>148541.57</v>
      </c>
      <c r="EM63" s="4">
        <f t="shared" ref="EM63:FR63" si="30">EM68</f>
        <v>0</v>
      </c>
      <c r="EN63" s="4">
        <f t="shared" si="30"/>
        <v>4734.3</v>
      </c>
      <c r="EO63" s="4">
        <f t="shared" si="30"/>
        <v>4734.3</v>
      </c>
      <c r="EP63" s="4">
        <f t="shared" si="30"/>
        <v>0</v>
      </c>
      <c r="EQ63" s="4">
        <f t="shared" si="30"/>
        <v>4734.3</v>
      </c>
      <c r="ER63" s="4">
        <f t="shared" si="30"/>
        <v>0</v>
      </c>
      <c r="ES63" s="4">
        <f t="shared" si="30"/>
        <v>0</v>
      </c>
      <c r="ET63" s="4">
        <f t="shared" si="30"/>
        <v>0</v>
      </c>
      <c r="EU63" s="4">
        <f t="shared" si="30"/>
        <v>0</v>
      </c>
      <c r="EV63" s="4">
        <f t="shared" si="30"/>
        <v>0</v>
      </c>
      <c r="EW63" s="4">
        <f t="shared" si="30"/>
        <v>0</v>
      </c>
      <c r="EX63" s="4">
        <f t="shared" si="30"/>
        <v>0</v>
      </c>
      <c r="EY63" s="4">
        <f t="shared" si="30"/>
        <v>0</v>
      </c>
      <c r="EZ63" s="4">
        <f t="shared" si="30"/>
        <v>0</v>
      </c>
      <c r="FA63" s="4">
        <f t="shared" si="30"/>
        <v>0</v>
      </c>
      <c r="FB63" s="4">
        <f t="shared" si="30"/>
        <v>0</v>
      </c>
      <c r="FC63" s="4">
        <f t="shared" si="30"/>
        <v>0</v>
      </c>
      <c r="FD63" s="4">
        <f t="shared" si="30"/>
        <v>0</v>
      </c>
      <c r="FE63" s="4">
        <f t="shared" si="30"/>
        <v>0</v>
      </c>
      <c r="FF63" s="4">
        <f t="shared" si="30"/>
        <v>0</v>
      </c>
      <c r="FG63" s="4">
        <f t="shared" si="30"/>
        <v>0</v>
      </c>
      <c r="FH63" s="4">
        <f t="shared" si="30"/>
        <v>0</v>
      </c>
      <c r="FI63" s="4">
        <f t="shared" si="30"/>
        <v>0</v>
      </c>
      <c r="FJ63" s="4">
        <f t="shared" si="30"/>
        <v>0</v>
      </c>
      <c r="FK63" s="4">
        <f t="shared" si="30"/>
        <v>0</v>
      </c>
      <c r="FL63" s="4">
        <f t="shared" si="30"/>
        <v>0</v>
      </c>
      <c r="FM63" s="4">
        <f t="shared" si="30"/>
        <v>0</v>
      </c>
      <c r="FN63" s="4">
        <f t="shared" si="30"/>
        <v>0</v>
      </c>
      <c r="FO63" s="4">
        <f t="shared" si="30"/>
        <v>0</v>
      </c>
      <c r="FP63" s="4">
        <f t="shared" si="30"/>
        <v>0</v>
      </c>
      <c r="FQ63" s="4">
        <f t="shared" si="30"/>
        <v>0</v>
      </c>
      <c r="FR63" s="4">
        <f t="shared" si="30"/>
        <v>0</v>
      </c>
      <c r="FS63" s="4">
        <f t="shared" ref="FS63:GX63" si="31">FS68</f>
        <v>148541.57</v>
      </c>
      <c r="FT63" s="4">
        <f t="shared" si="31"/>
        <v>0</v>
      </c>
      <c r="FU63" s="4">
        <f t="shared" si="31"/>
        <v>148541.57</v>
      </c>
      <c r="FV63" s="4">
        <f t="shared" si="31"/>
        <v>0</v>
      </c>
      <c r="FW63" s="4">
        <f t="shared" si="31"/>
        <v>4734.3</v>
      </c>
      <c r="FX63" s="4">
        <f t="shared" si="31"/>
        <v>4734.3</v>
      </c>
      <c r="FY63" s="4">
        <f t="shared" si="31"/>
        <v>0</v>
      </c>
      <c r="FZ63" s="4">
        <f t="shared" si="31"/>
        <v>4734.3</v>
      </c>
      <c r="GA63" s="4">
        <f t="shared" si="31"/>
        <v>0</v>
      </c>
      <c r="GB63" s="4">
        <f t="shared" si="31"/>
        <v>0</v>
      </c>
      <c r="GC63" s="4">
        <f t="shared" si="31"/>
        <v>0</v>
      </c>
      <c r="GD63" s="4">
        <f t="shared" si="31"/>
        <v>0</v>
      </c>
      <c r="GE63" s="4">
        <f t="shared" si="31"/>
        <v>0</v>
      </c>
      <c r="GF63" s="4">
        <f t="shared" si="31"/>
        <v>0</v>
      </c>
      <c r="GG63" s="4">
        <f t="shared" si="31"/>
        <v>0</v>
      </c>
      <c r="GH63" s="4">
        <f t="shared" si="31"/>
        <v>0</v>
      </c>
      <c r="GI63" s="4">
        <f t="shared" si="31"/>
        <v>0</v>
      </c>
      <c r="GJ63" s="4">
        <f t="shared" si="31"/>
        <v>0</v>
      </c>
      <c r="GK63" s="4">
        <f t="shared" si="31"/>
        <v>0</v>
      </c>
      <c r="GL63" s="4">
        <f t="shared" si="31"/>
        <v>0</v>
      </c>
      <c r="GM63" s="4">
        <f t="shared" si="31"/>
        <v>0</v>
      </c>
      <c r="GN63" s="4">
        <f t="shared" si="31"/>
        <v>0</v>
      </c>
      <c r="GO63" s="4">
        <f t="shared" si="31"/>
        <v>0</v>
      </c>
      <c r="GP63" s="4">
        <f t="shared" si="31"/>
        <v>0</v>
      </c>
      <c r="GQ63" s="4">
        <f t="shared" si="31"/>
        <v>0</v>
      </c>
      <c r="GR63" s="4">
        <f t="shared" si="31"/>
        <v>0</v>
      </c>
      <c r="GS63" s="4">
        <f t="shared" si="31"/>
        <v>0</v>
      </c>
      <c r="GT63" s="4">
        <f t="shared" si="31"/>
        <v>0</v>
      </c>
      <c r="GU63" s="4">
        <f t="shared" si="31"/>
        <v>0</v>
      </c>
      <c r="GV63" s="4">
        <f t="shared" si="31"/>
        <v>0</v>
      </c>
      <c r="GW63" s="4">
        <f t="shared" si="31"/>
        <v>0</v>
      </c>
      <c r="GX63" s="4">
        <f t="shared" si="31"/>
        <v>0</v>
      </c>
    </row>
    <row r="65" spans="1:255">
      <c r="A65" s="2">
        <v>17</v>
      </c>
      <c r="B65" s="2">
        <v>1</v>
      </c>
      <c r="C65" s="2">
        <f>ROW(SmtRes!A30)</f>
        <v>30</v>
      </c>
      <c r="D65" s="2">
        <f>ROW(EtalonRes!A36)</f>
        <v>36</v>
      </c>
      <c r="E65" s="2" t="s">
        <v>87</v>
      </c>
      <c r="F65" s="2" t="s">
        <v>21</v>
      </c>
      <c r="G65" s="2" t="s">
        <v>22</v>
      </c>
      <c r="H65" s="2" t="s">
        <v>23</v>
      </c>
      <c r="I65" s="2">
        <v>2</v>
      </c>
      <c r="J65" s="2">
        <v>0</v>
      </c>
      <c r="K65" s="2">
        <v>2</v>
      </c>
      <c r="L65" s="2"/>
      <c r="M65" s="2"/>
      <c r="N65" s="2"/>
      <c r="O65" s="2">
        <f>ROUND(CP65,2)</f>
        <v>2458.96</v>
      </c>
      <c r="P65" s="2">
        <f>ROUND((ROUND((AC65*AW65*I65),2)*BC65),2)</f>
        <v>174.44</v>
      </c>
      <c r="Q65" s="2">
        <f>(ROUND((ROUND(((ET65)*AV65*I65),2)*BB65),2)+ROUND((ROUND(((AE65-(EU65))*AV65*I65),2)*BS65),2))</f>
        <v>1523.43</v>
      </c>
      <c r="R65" s="2">
        <f>ROUND((ROUND((AE65*AV65*I65),2)*BS65),2)</f>
        <v>409.15</v>
      </c>
      <c r="S65" s="2">
        <f>ROUND((ROUND((AF65*AV65*I65),2)*BA65),2)</f>
        <v>761.09</v>
      </c>
      <c r="T65" s="2">
        <f>ROUND(CU65*I65,2)</f>
        <v>0</v>
      </c>
      <c r="U65" s="2">
        <f>CV65*I65</f>
        <v>60.307199999999995</v>
      </c>
      <c r="V65" s="2">
        <f>CW65*I65</f>
        <v>0</v>
      </c>
      <c r="W65" s="2">
        <f>ROUND(CX65*I65,2)</f>
        <v>0</v>
      </c>
      <c r="X65" s="2">
        <f>ROUND(CY65,2)</f>
        <v>852.42</v>
      </c>
      <c r="Y65" s="2">
        <f>ROUND(CZ65,2)</f>
        <v>532.76</v>
      </c>
      <c r="Z65" s="2"/>
      <c r="AA65" s="2">
        <v>70322994</v>
      </c>
      <c r="AB65" s="2">
        <f>ROUND((AC65+AD65+AF65),6)</f>
        <v>1178.2</v>
      </c>
      <c r="AC65" s="2">
        <f>ROUND((ES65),6)</f>
        <v>87.22</v>
      </c>
      <c r="AD65" s="2">
        <f>ROUND((((ET65)-(EU65))+AE65),6)</f>
        <v>727.52</v>
      </c>
      <c r="AE65" s="2">
        <f>ROUND((EU65),6)</f>
        <v>195.39</v>
      </c>
      <c r="AF65" s="2">
        <f>ROUND((EV65),6)</f>
        <v>363.46</v>
      </c>
      <c r="AG65" s="2">
        <f>ROUND((AP65),6)</f>
        <v>0</v>
      </c>
      <c r="AH65" s="2">
        <f>(EW65)</f>
        <v>28.8</v>
      </c>
      <c r="AI65" s="2">
        <f>(EX65)</f>
        <v>0</v>
      </c>
      <c r="AJ65" s="2">
        <f>(AS65)</f>
        <v>0</v>
      </c>
      <c r="AK65" s="2">
        <v>1178.2</v>
      </c>
      <c r="AL65" s="2">
        <v>87.22</v>
      </c>
      <c r="AM65" s="2">
        <v>727.52</v>
      </c>
      <c r="AN65" s="2">
        <v>195.39</v>
      </c>
      <c r="AO65" s="2">
        <v>363.46</v>
      </c>
      <c r="AP65" s="2">
        <v>0</v>
      </c>
      <c r="AQ65" s="2">
        <v>28.8</v>
      </c>
      <c r="AR65" s="2">
        <v>0</v>
      </c>
      <c r="AS65" s="2">
        <v>0</v>
      </c>
      <c r="AT65" s="2">
        <v>112</v>
      </c>
      <c r="AU65" s="2">
        <v>70</v>
      </c>
      <c r="AV65" s="2">
        <v>1.0469999999999999</v>
      </c>
      <c r="AW65" s="2">
        <v>1</v>
      </c>
      <c r="AX65" s="2"/>
      <c r="AY65" s="2"/>
      <c r="AZ65" s="2">
        <v>1</v>
      </c>
      <c r="BA65" s="2">
        <v>1</v>
      </c>
      <c r="BB65" s="2">
        <v>1</v>
      </c>
      <c r="BC65" s="2">
        <v>1</v>
      </c>
      <c r="BD65" s="2" t="s">
        <v>4</v>
      </c>
      <c r="BE65" s="2" t="s">
        <v>4</v>
      </c>
      <c r="BF65" s="2" t="s">
        <v>4</v>
      </c>
      <c r="BG65" s="2" t="s">
        <v>4</v>
      </c>
      <c r="BH65" s="2">
        <v>0</v>
      </c>
      <c r="BI65" s="2">
        <v>2</v>
      </c>
      <c r="BJ65" s="2" t="s">
        <v>24</v>
      </c>
      <c r="BK65" s="2"/>
      <c r="BL65" s="2"/>
      <c r="BM65" s="2">
        <v>317</v>
      </c>
      <c r="BN65" s="2">
        <v>0</v>
      </c>
      <c r="BO65" s="2" t="s">
        <v>4</v>
      </c>
      <c r="BP65" s="2">
        <v>0</v>
      </c>
      <c r="BQ65" s="2">
        <v>40</v>
      </c>
      <c r="BR65" s="2">
        <v>0</v>
      </c>
      <c r="BS65" s="2">
        <v>1</v>
      </c>
      <c r="BT65" s="2">
        <v>1</v>
      </c>
      <c r="BU65" s="2">
        <v>1</v>
      </c>
      <c r="BV65" s="2">
        <v>1</v>
      </c>
      <c r="BW65" s="2">
        <v>1</v>
      </c>
      <c r="BX65" s="2">
        <v>1</v>
      </c>
      <c r="BY65" s="2" t="s">
        <v>4</v>
      </c>
      <c r="BZ65" s="2">
        <v>112</v>
      </c>
      <c r="CA65" s="2">
        <v>70</v>
      </c>
      <c r="CB65" s="2" t="s">
        <v>4</v>
      </c>
      <c r="CC65" s="2"/>
      <c r="CD65" s="2"/>
      <c r="CE65" s="2">
        <v>30</v>
      </c>
      <c r="CF65" s="2">
        <v>0</v>
      </c>
      <c r="CG65" s="2">
        <v>0</v>
      </c>
      <c r="CH65" s="2"/>
      <c r="CI65" s="2"/>
      <c r="CJ65" s="2"/>
      <c r="CK65" s="2"/>
      <c r="CL65" s="2"/>
      <c r="CM65" s="2">
        <v>0</v>
      </c>
      <c r="CN65" s="2" t="s">
        <v>4</v>
      </c>
      <c r="CO65" s="2">
        <v>0</v>
      </c>
      <c r="CP65" s="2">
        <f>(P65+Q65+S65)</f>
        <v>2458.96</v>
      </c>
      <c r="CQ65" s="2">
        <f>ROUND((ROUND((AC65*AW65*1),2)*BC65),2)</f>
        <v>87.22</v>
      </c>
      <c r="CR65" s="2">
        <f>(ROUND((ROUND(((ET65)*AV65*1),2)*BB65),2)+ROUND((ROUND(((AE65-(EU65))*AV65*1),2)*BS65),2))</f>
        <v>761.71</v>
      </c>
      <c r="CS65" s="2">
        <f>ROUND((ROUND((AE65*AV65*1),2)*BS65),2)</f>
        <v>204.57</v>
      </c>
      <c r="CT65" s="2">
        <f>ROUND((ROUND((AF65*AV65*1),2)*BA65),2)</f>
        <v>380.54</v>
      </c>
      <c r="CU65" s="2">
        <f>AG65</f>
        <v>0</v>
      </c>
      <c r="CV65" s="2">
        <f>(AH65*AV65)</f>
        <v>30.153599999999997</v>
      </c>
      <c r="CW65" s="2">
        <f>AI65</f>
        <v>0</v>
      </c>
      <c r="CX65" s="2">
        <f>AJ65</f>
        <v>0</v>
      </c>
      <c r="CY65" s="2">
        <f>((S65*BZ65)/100)</f>
        <v>852.42079999999999</v>
      </c>
      <c r="CZ65" s="2">
        <f>((S65*CA65)/100)</f>
        <v>532.76300000000003</v>
      </c>
      <c r="DA65" s="2"/>
      <c r="DB65" s="2"/>
      <c r="DC65" s="2" t="s">
        <v>4</v>
      </c>
      <c r="DD65" s="2" t="s">
        <v>4</v>
      </c>
      <c r="DE65" s="2" t="s">
        <v>4</v>
      </c>
      <c r="DF65" s="2" t="s">
        <v>4</v>
      </c>
      <c r="DG65" s="2" t="s">
        <v>4</v>
      </c>
      <c r="DH65" s="2" t="s">
        <v>4</v>
      </c>
      <c r="DI65" s="2" t="s">
        <v>4</v>
      </c>
      <c r="DJ65" s="2" t="s">
        <v>4</v>
      </c>
      <c r="DK65" s="2" t="s">
        <v>4</v>
      </c>
      <c r="DL65" s="2" t="s">
        <v>4</v>
      </c>
      <c r="DM65" s="2" t="s">
        <v>4</v>
      </c>
      <c r="DN65" s="2">
        <v>0</v>
      </c>
      <c r="DO65" s="2">
        <v>0</v>
      </c>
      <c r="DP65" s="2">
        <v>1</v>
      </c>
      <c r="DQ65" s="2">
        <v>1</v>
      </c>
      <c r="DR65" s="2"/>
      <c r="DS65" s="2"/>
      <c r="DT65" s="2"/>
      <c r="DU65" s="2">
        <v>1013</v>
      </c>
      <c r="DV65" s="2" t="s">
        <v>23</v>
      </c>
      <c r="DW65" s="2" t="s">
        <v>23</v>
      </c>
      <c r="DX65" s="2">
        <v>1</v>
      </c>
      <c r="DY65" s="2"/>
      <c r="DZ65" s="2" t="s">
        <v>4</v>
      </c>
      <c r="EA65" s="2" t="s">
        <v>4</v>
      </c>
      <c r="EB65" s="2" t="s">
        <v>4</v>
      </c>
      <c r="EC65" s="2" t="s">
        <v>4</v>
      </c>
      <c r="ED65" s="2"/>
      <c r="EE65" s="2">
        <v>69252942</v>
      </c>
      <c r="EF65" s="2">
        <v>40</v>
      </c>
      <c r="EG65" s="2" t="s">
        <v>28</v>
      </c>
      <c r="EH65" s="2">
        <v>0</v>
      </c>
      <c r="EI65" s="2" t="s">
        <v>4</v>
      </c>
      <c r="EJ65" s="2">
        <v>2</v>
      </c>
      <c r="EK65" s="2">
        <v>317</v>
      </c>
      <c r="EL65" s="2" t="s">
        <v>29</v>
      </c>
      <c r="EM65" s="2" t="s">
        <v>30</v>
      </c>
      <c r="EN65" s="2"/>
      <c r="EO65" s="2" t="s">
        <v>4</v>
      </c>
      <c r="EP65" s="2"/>
      <c r="EQ65" s="2">
        <v>0</v>
      </c>
      <c r="ER65" s="2">
        <v>1178.2</v>
      </c>
      <c r="ES65" s="2">
        <v>87.22</v>
      </c>
      <c r="ET65" s="2">
        <v>727.52</v>
      </c>
      <c r="EU65" s="2">
        <v>195.39</v>
      </c>
      <c r="EV65" s="2">
        <v>363.46</v>
      </c>
      <c r="EW65" s="2">
        <v>28.8</v>
      </c>
      <c r="EX65" s="2">
        <v>0</v>
      </c>
      <c r="EY65" s="2">
        <v>0</v>
      </c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>
        <v>0</v>
      </c>
      <c r="FR65" s="2">
        <f>ROUND(IF(BI65=3,GM65,0),2)</f>
        <v>0</v>
      </c>
      <c r="FS65" s="2">
        <v>0</v>
      </c>
      <c r="FT65" s="2"/>
      <c r="FU65" s="2"/>
      <c r="FV65" s="2"/>
      <c r="FW65" s="2"/>
      <c r="FX65" s="2">
        <v>112</v>
      </c>
      <c r="FY65" s="2">
        <v>70</v>
      </c>
      <c r="FZ65" s="2"/>
      <c r="GA65" s="2" t="s">
        <v>4</v>
      </c>
      <c r="GB65" s="2"/>
      <c r="GC65" s="2"/>
      <c r="GD65" s="2">
        <v>0</v>
      </c>
      <c r="GE65" s="2"/>
      <c r="GF65" s="2">
        <v>1987096366</v>
      </c>
      <c r="GG65" s="2">
        <v>2</v>
      </c>
      <c r="GH65" s="2">
        <v>1</v>
      </c>
      <c r="GI65" s="2">
        <v>-2</v>
      </c>
      <c r="GJ65" s="2">
        <v>0</v>
      </c>
      <c r="GK65" s="2">
        <f>ROUND(R65*(R12)/100,2)</f>
        <v>716.01</v>
      </c>
      <c r="GL65" s="2">
        <f>ROUND(IF(AND(BH65=3,BI65=3,FS65&lt;&gt;0),P65,0),2)</f>
        <v>0</v>
      </c>
      <c r="GM65" s="2">
        <f>ROUND(O65+X65+Y65+GK65,2)+GX65</f>
        <v>4560.1499999999996</v>
      </c>
      <c r="GN65" s="2">
        <f>IF(OR(BI65=0,BI65=1),GM65-GX65,0)</f>
        <v>0</v>
      </c>
      <c r="GO65" s="2">
        <f>IF(BI65=2,GM65-GX65,0)</f>
        <v>4560.1499999999996</v>
      </c>
      <c r="GP65" s="2">
        <f>IF(BI65=4,GM65-GX65,0)</f>
        <v>0</v>
      </c>
      <c r="GQ65" s="2"/>
      <c r="GR65" s="2">
        <v>0</v>
      </c>
      <c r="GS65" s="2">
        <v>3</v>
      </c>
      <c r="GT65" s="2">
        <v>0</v>
      </c>
      <c r="GU65" s="2" t="s">
        <v>4</v>
      </c>
      <c r="GV65" s="2">
        <f>ROUND((GT65),6)</f>
        <v>0</v>
      </c>
      <c r="GW65" s="2">
        <v>1</v>
      </c>
      <c r="GX65" s="2">
        <f>ROUND(HC65*I65,2)</f>
        <v>0</v>
      </c>
      <c r="GY65" s="2"/>
      <c r="GZ65" s="2"/>
      <c r="HA65" s="2">
        <v>0</v>
      </c>
      <c r="HB65" s="2">
        <v>0</v>
      </c>
      <c r="HC65" s="2">
        <f>GV65*GW65</f>
        <v>0</v>
      </c>
      <c r="HD65" s="2"/>
      <c r="HE65" s="2" t="s">
        <v>4</v>
      </c>
      <c r="HF65" s="2" t="s">
        <v>4</v>
      </c>
      <c r="HG65" s="2"/>
      <c r="HH65" s="2"/>
      <c r="HI65" s="2"/>
      <c r="HJ65" s="2"/>
      <c r="HK65" s="2"/>
      <c r="HL65" s="2"/>
      <c r="HM65" s="2" t="s">
        <v>4</v>
      </c>
      <c r="HN65" s="2" t="s">
        <v>4</v>
      </c>
      <c r="HO65" s="2" t="s">
        <v>4</v>
      </c>
      <c r="HP65" s="2" t="s">
        <v>4</v>
      </c>
      <c r="HQ65" s="2" t="s">
        <v>4</v>
      </c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>
        <v>0</v>
      </c>
      <c r="IL65" s="2"/>
      <c r="IM65" s="2"/>
      <c r="IN65" s="2"/>
      <c r="IO65" s="2"/>
      <c r="IP65" s="2"/>
      <c r="IQ65" s="2"/>
      <c r="IR65" s="2"/>
      <c r="IS65" s="2"/>
      <c r="IT65" s="2"/>
      <c r="IU65" s="2"/>
    </row>
    <row r="66" spans="1:255">
      <c r="A66">
        <v>17</v>
      </c>
      <c r="B66">
        <v>1</v>
      </c>
      <c r="C66">
        <f>ROW(SmtRes!A40)</f>
        <v>40</v>
      </c>
      <c r="D66">
        <f>ROW(EtalonRes!A48)</f>
        <v>48</v>
      </c>
      <c r="E66" t="s">
        <v>87</v>
      </c>
      <c r="F66" t="s">
        <v>21</v>
      </c>
      <c r="G66" t="s">
        <v>22</v>
      </c>
      <c r="H66" t="s">
        <v>23</v>
      </c>
      <c r="I66">
        <v>2</v>
      </c>
      <c r="J66">
        <v>0</v>
      </c>
      <c r="K66">
        <v>2</v>
      </c>
      <c r="O66">
        <f>ROUND(CP66,2)</f>
        <v>70037.429999999993</v>
      </c>
      <c r="P66">
        <f>ROUND((ROUND((AC66*AW66*I66),2)*BC66),2)</f>
        <v>4734.3</v>
      </c>
      <c r="Q66">
        <f>(ROUND((ROUND(((ET66)*AV66*I66),2)*BB66),2)+ROUND((ROUND(((AE66-(EU66))*AV66*I66),2)*BS66),2))</f>
        <v>29783.06</v>
      </c>
      <c r="R66">
        <f>ROUND((ROUND((AE66*AV66*I66),2)*BS66),2)</f>
        <v>19095.03</v>
      </c>
      <c r="S66">
        <f>ROUND((ROUND((AF66*AV66*I66),2)*BA66),2)</f>
        <v>35520.07</v>
      </c>
      <c r="T66">
        <f>ROUND(CU66*I66,2)</f>
        <v>0</v>
      </c>
      <c r="U66">
        <f>CV66*I66</f>
        <v>60.307199999999995</v>
      </c>
      <c r="V66">
        <f>CW66*I66</f>
        <v>0</v>
      </c>
      <c r="W66">
        <f>ROUND(CX66*I66,2)</f>
        <v>0</v>
      </c>
      <c r="X66">
        <f>ROUND(CY66,2)</f>
        <v>32678.46</v>
      </c>
      <c r="Y66">
        <f>ROUND(CZ66,2)</f>
        <v>15273.63</v>
      </c>
      <c r="AA66">
        <v>70322991</v>
      </c>
      <c r="AB66">
        <f>ROUND((AC66+AD66+AF66),6)</f>
        <v>1178.2</v>
      </c>
      <c r="AC66">
        <f>ROUND((ES66),6)</f>
        <v>87.22</v>
      </c>
      <c r="AD66">
        <f>ROUND((((ET66)-(EU66))+AE66),6)</f>
        <v>727.52</v>
      </c>
      <c r="AE66">
        <f>ROUND((EU66),6)</f>
        <v>195.39</v>
      </c>
      <c r="AF66">
        <f>ROUND((EV66),6)</f>
        <v>363.46</v>
      </c>
      <c r="AG66">
        <f>ROUND((AP66),6)</f>
        <v>0</v>
      </c>
      <c r="AH66">
        <f>(EW66)</f>
        <v>28.8</v>
      </c>
      <c r="AI66">
        <f>(EX66)</f>
        <v>0</v>
      </c>
      <c r="AJ66">
        <f>(AS66)</f>
        <v>0</v>
      </c>
      <c r="AK66">
        <v>1178.2</v>
      </c>
      <c r="AL66">
        <v>87.22</v>
      </c>
      <c r="AM66">
        <v>727.52</v>
      </c>
      <c r="AN66">
        <v>195.39</v>
      </c>
      <c r="AO66">
        <v>363.46</v>
      </c>
      <c r="AP66">
        <v>0</v>
      </c>
      <c r="AQ66">
        <v>28.8</v>
      </c>
      <c r="AR66">
        <v>0</v>
      </c>
      <c r="AS66">
        <v>0</v>
      </c>
      <c r="AT66">
        <v>92</v>
      </c>
      <c r="AU66">
        <v>43</v>
      </c>
      <c r="AV66">
        <v>1.0469999999999999</v>
      </c>
      <c r="AW66">
        <v>1</v>
      </c>
      <c r="AZ66">
        <v>1</v>
      </c>
      <c r="BA66">
        <v>46.67</v>
      </c>
      <c r="BB66">
        <v>19.55</v>
      </c>
      <c r="BC66">
        <v>27.14</v>
      </c>
      <c r="BD66" t="s">
        <v>4</v>
      </c>
      <c r="BE66" t="s">
        <v>4</v>
      </c>
      <c r="BF66" t="s">
        <v>4</v>
      </c>
      <c r="BG66" t="s">
        <v>4</v>
      </c>
      <c r="BH66">
        <v>0</v>
      </c>
      <c r="BI66">
        <v>2</v>
      </c>
      <c r="BJ66" t="s">
        <v>24</v>
      </c>
      <c r="BM66">
        <v>317</v>
      </c>
      <c r="BN66">
        <v>0</v>
      </c>
      <c r="BO66" t="s">
        <v>21</v>
      </c>
      <c r="BP66">
        <v>1</v>
      </c>
      <c r="BQ66">
        <v>40</v>
      </c>
      <c r="BR66">
        <v>0</v>
      </c>
      <c r="BS66">
        <v>46.67</v>
      </c>
      <c r="BT66">
        <v>1</v>
      </c>
      <c r="BU66">
        <v>1</v>
      </c>
      <c r="BV66">
        <v>1</v>
      </c>
      <c r="BW66">
        <v>1</v>
      </c>
      <c r="BX66">
        <v>1</v>
      </c>
      <c r="BY66" t="s">
        <v>4</v>
      </c>
      <c r="BZ66">
        <v>92</v>
      </c>
      <c r="CA66">
        <v>43</v>
      </c>
      <c r="CB66" t="s">
        <v>4</v>
      </c>
      <c r="CE66">
        <v>30</v>
      </c>
      <c r="CF66">
        <v>0</v>
      </c>
      <c r="CG66">
        <v>0</v>
      </c>
      <c r="CM66">
        <v>0</v>
      </c>
      <c r="CN66" t="s">
        <v>4</v>
      </c>
      <c r="CO66">
        <v>0</v>
      </c>
      <c r="CP66">
        <f>(P66+Q66+S66)</f>
        <v>70037.429999999993</v>
      </c>
      <c r="CQ66">
        <f>ROUND((ROUND((AC66*AW66*1),2)*BC66),2)</f>
        <v>2367.15</v>
      </c>
      <c r="CR66">
        <f>(ROUND((ROUND(((ET66)*AV66*1),2)*BB66),2)+ROUND((ROUND(((AE66-(EU66))*AV66*1),2)*BS66),2))</f>
        <v>14891.43</v>
      </c>
      <c r="CS66">
        <f>ROUND((ROUND((AE66*AV66*1),2)*BS66),2)</f>
        <v>9547.2800000000007</v>
      </c>
      <c r="CT66">
        <f>ROUND((ROUND((AF66*AV66*1),2)*BA66),2)</f>
        <v>17759.8</v>
      </c>
      <c r="CU66">
        <f>AG66</f>
        <v>0</v>
      </c>
      <c r="CV66">
        <f>(AH66*AV66)</f>
        <v>30.153599999999997</v>
      </c>
      <c r="CW66">
        <f>AI66</f>
        <v>0</v>
      </c>
      <c r="CX66">
        <f>AJ66</f>
        <v>0</v>
      </c>
      <c r="CY66">
        <f>S66*(BZ66/100)</f>
        <v>32678.464400000001</v>
      </c>
      <c r="CZ66">
        <f>S66*(CA66/100)</f>
        <v>15273.6301</v>
      </c>
      <c r="DC66" t="s">
        <v>4</v>
      </c>
      <c r="DD66" t="s">
        <v>4</v>
      </c>
      <c r="DE66" t="s">
        <v>4</v>
      </c>
      <c r="DF66" t="s">
        <v>4</v>
      </c>
      <c r="DG66" t="s">
        <v>4</v>
      </c>
      <c r="DH66" t="s">
        <v>4</v>
      </c>
      <c r="DI66" t="s">
        <v>4</v>
      </c>
      <c r="DJ66" t="s">
        <v>4</v>
      </c>
      <c r="DK66" t="s">
        <v>4</v>
      </c>
      <c r="DL66" t="s">
        <v>4</v>
      </c>
      <c r="DM66" t="s">
        <v>4</v>
      </c>
      <c r="DN66">
        <v>112</v>
      </c>
      <c r="DO66">
        <v>70</v>
      </c>
      <c r="DP66">
        <v>1.0469999999999999</v>
      </c>
      <c r="DQ66">
        <v>1</v>
      </c>
      <c r="DU66">
        <v>1013</v>
      </c>
      <c r="DV66" t="s">
        <v>23</v>
      </c>
      <c r="DW66" t="s">
        <v>23</v>
      </c>
      <c r="DX66">
        <v>1</v>
      </c>
      <c r="DZ66" t="s">
        <v>4</v>
      </c>
      <c r="EA66" t="s">
        <v>4</v>
      </c>
      <c r="EB66" t="s">
        <v>4</v>
      </c>
      <c r="EC66" t="s">
        <v>4</v>
      </c>
      <c r="EE66">
        <v>69252942</v>
      </c>
      <c r="EF66">
        <v>40</v>
      </c>
      <c r="EG66" t="s">
        <v>28</v>
      </c>
      <c r="EH66">
        <v>0</v>
      </c>
      <c r="EI66" t="s">
        <v>4</v>
      </c>
      <c r="EJ66">
        <v>2</v>
      </c>
      <c r="EK66">
        <v>317</v>
      </c>
      <c r="EL66" t="s">
        <v>29</v>
      </c>
      <c r="EM66" t="s">
        <v>30</v>
      </c>
      <c r="EO66" t="s">
        <v>4</v>
      </c>
      <c r="EQ66">
        <v>0</v>
      </c>
      <c r="ER66">
        <v>1178.2</v>
      </c>
      <c r="ES66">
        <v>87.22</v>
      </c>
      <c r="ET66">
        <v>727.52</v>
      </c>
      <c r="EU66">
        <v>195.39</v>
      </c>
      <c r="EV66">
        <v>363.46</v>
      </c>
      <c r="EW66">
        <v>28.8</v>
      </c>
      <c r="EX66">
        <v>0</v>
      </c>
      <c r="EY66">
        <v>0</v>
      </c>
      <c r="FQ66">
        <v>0</v>
      </c>
      <c r="FR66">
        <f>ROUND(IF(BI66=3,GM66,0),2)</f>
        <v>0</v>
      </c>
      <c r="FS66">
        <v>0</v>
      </c>
      <c r="FX66">
        <v>112</v>
      </c>
      <c r="FY66">
        <v>70</v>
      </c>
      <c r="GA66" t="s">
        <v>4</v>
      </c>
      <c r="GD66">
        <v>0</v>
      </c>
      <c r="GF66">
        <v>1987096366</v>
      </c>
      <c r="GG66">
        <v>2</v>
      </c>
      <c r="GH66">
        <v>1</v>
      </c>
      <c r="GI66">
        <v>2</v>
      </c>
      <c r="GJ66">
        <v>0</v>
      </c>
      <c r="GK66">
        <f>ROUND(R66*(S12)/100,2)</f>
        <v>30552.05</v>
      </c>
      <c r="GL66">
        <f>ROUND(IF(AND(BH66=3,BI66=3,FS66&lt;&gt;0),P66,0),2)</f>
        <v>0</v>
      </c>
      <c r="GM66">
        <f>ROUND(O66+X66+Y66+GK66,2)+GX66</f>
        <v>148541.57</v>
      </c>
      <c r="GN66">
        <f>IF(OR(BI66=0,BI66=1),GM66-GX66,0)</f>
        <v>0</v>
      </c>
      <c r="GO66">
        <f>IF(BI66=2,GM66-GX66,0)</f>
        <v>148541.57</v>
      </c>
      <c r="GP66">
        <f>IF(BI66=4,GM66-GX66,0)</f>
        <v>0</v>
      </c>
      <c r="GR66">
        <v>0</v>
      </c>
      <c r="GS66">
        <v>3</v>
      </c>
      <c r="GT66">
        <v>0</v>
      </c>
      <c r="GU66" t="s">
        <v>4</v>
      </c>
      <c r="GV66">
        <f>ROUND((GT66),6)</f>
        <v>0</v>
      </c>
      <c r="GW66">
        <v>1</v>
      </c>
      <c r="GX66">
        <f>ROUND(HC66*I66,2)</f>
        <v>0</v>
      </c>
      <c r="HA66">
        <v>0</v>
      </c>
      <c r="HB66">
        <v>0</v>
      </c>
      <c r="HC66">
        <f>GV66*GW66</f>
        <v>0</v>
      </c>
      <c r="HE66" t="s">
        <v>4</v>
      </c>
      <c r="HF66" t="s">
        <v>4</v>
      </c>
      <c r="HM66" t="s">
        <v>4</v>
      </c>
      <c r="HN66" t="s">
        <v>4</v>
      </c>
      <c r="HO66" t="s">
        <v>4</v>
      </c>
      <c r="HP66" t="s">
        <v>4</v>
      </c>
      <c r="HQ66" t="s">
        <v>4</v>
      </c>
      <c r="IK66">
        <v>0</v>
      </c>
    </row>
    <row r="68" spans="1:255">
      <c r="A68" s="3">
        <v>51</v>
      </c>
      <c r="B68" s="3">
        <f>B61</f>
        <v>1</v>
      </c>
      <c r="C68" s="3">
        <f>A61</f>
        <v>4</v>
      </c>
      <c r="D68" s="3">
        <f>ROW(A61)</f>
        <v>61</v>
      </c>
      <c r="E68" s="3"/>
      <c r="F68" s="3" t="str">
        <f>IF(F61&lt;&gt;"",F61,"")</f>
        <v>Новый раздел</v>
      </c>
      <c r="G68" s="3" t="str">
        <f>IF(G61&lt;&gt;"",G61,"")</f>
        <v>Монтажные работы</v>
      </c>
      <c r="H68" s="3">
        <v>0</v>
      </c>
      <c r="I68" s="3"/>
      <c r="J68" s="3"/>
      <c r="K68" s="3"/>
      <c r="L68" s="3"/>
      <c r="M68" s="3"/>
      <c r="N68" s="3"/>
      <c r="O68" s="3">
        <f t="shared" ref="O68:T68" si="32">ROUND(AB68,2)</f>
        <v>2458.96</v>
      </c>
      <c r="P68" s="3">
        <f t="shared" si="32"/>
        <v>174.44</v>
      </c>
      <c r="Q68" s="3">
        <f t="shared" si="32"/>
        <v>1523.43</v>
      </c>
      <c r="R68" s="3">
        <f t="shared" si="32"/>
        <v>409.15</v>
      </c>
      <c r="S68" s="3">
        <f t="shared" si="32"/>
        <v>761.09</v>
      </c>
      <c r="T68" s="3">
        <f t="shared" si="32"/>
        <v>0</v>
      </c>
      <c r="U68" s="3">
        <f>AH68</f>
        <v>60.307199999999995</v>
      </c>
      <c r="V68" s="3">
        <f>AI68</f>
        <v>0</v>
      </c>
      <c r="W68" s="3">
        <f>ROUND(AJ68,2)</f>
        <v>0</v>
      </c>
      <c r="X68" s="3">
        <f>ROUND(AK68,2)</f>
        <v>852.42</v>
      </c>
      <c r="Y68" s="3">
        <f>ROUND(AL68,2)</f>
        <v>532.76</v>
      </c>
      <c r="Z68" s="3"/>
      <c r="AA68" s="3"/>
      <c r="AB68" s="3">
        <f>ROUND(SUMIF(AA65:AA66,"=70322994",O65:O66),2)</f>
        <v>2458.96</v>
      </c>
      <c r="AC68" s="3">
        <f>ROUND(SUMIF(AA65:AA66,"=70322994",P65:P66),2)</f>
        <v>174.44</v>
      </c>
      <c r="AD68" s="3">
        <f>ROUND(SUMIF(AA65:AA66,"=70322994",Q65:Q66),2)</f>
        <v>1523.43</v>
      </c>
      <c r="AE68" s="3">
        <f>ROUND(SUMIF(AA65:AA66,"=70322994",R65:R66),2)</f>
        <v>409.15</v>
      </c>
      <c r="AF68" s="3">
        <f>ROUND(SUMIF(AA65:AA66,"=70322994",S65:S66),2)</f>
        <v>761.09</v>
      </c>
      <c r="AG68" s="3">
        <f>ROUND(SUMIF(AA65:AA66,"=70322994",T65:T66),2)</f>
        <v>0</v>
      </c>
      <c r="AH68" s="3">
        <f>SUMIF(AA65:AA66,"=70322994",U65:U66)</f>
        <v>60.307199999999995</v>
      </c>
      <c r="AI68" s="3">
        <f>SUMIF(AA65:AA66,"=70322994",V65:V66)</f>
        <v>0</v>
      </c>
      <c r="AJ68" s="3">
        <f>ROUND(SUMIF(AA65:AA66,"=70322994",W65:W66),2)</f>
        <v>0</v>
      </c>
      <c r="AK68" s="3">
        <f>ROUND(SUMIF(AA65:AA66,"=70322994",X65:X66),2)</f>
        <v>852.42</v>
      </c>
      <c r="AL68" s="3">
        <f>ROUND(SUMIF(AA65:AA66,"=70322994",Y65:Y66),2)</f>
        <v>532.76</v>
      </c>
      <c r="AM68" s="3"/>
      <c r="AN68" s="3"/>
      <c r="AO68" s="3">
        <f t="shared" ref="AO68:BD68" si="33">ROUND(BX68,2)</f>
        <v>0</v>
      </c>
      <c r="AP68" s="3">
        <f t="shared" si="33"/>
        <v>0</v>
      </c>
      <c r="AQ68" s="3">
        <f t="shared" si="33"/>
        <v>0</v>
      </c>
      <c r="AR68" s="3">
        <f t="shared" si="33"/>
        <v>4560.1499999999996</v>
      </c>
      <c r="AS68" s="3">
        <f t="shared" si="33"/>
        <v>0</v>
      </c>
      <c r="AT68" s="3">
        <f t="shared" si="33"/>
        <v>4560.1499999999996</v>
      </c>
      <c r="AU68" s="3">
        <f t="shared" si="33"/>
        <v>0</v>
      </c>
      <c r="AV68" s="3">
        <f t="shared" si="33"/>
        <v>174.44</v>
      </c>
      <c r="AW68" s="3">
        <f t="shared" si="33"/>
        <v>174.44</v>
      </c>
      <c r="AX68" s="3">
        <f t="shared" si="33"/>
        <v>0</v>
      </c>
      <c r="AY68" s="3">
        <f t="shared" si="33"/>
        <v>174.44</v>
      </c>
      <c r="AZ68" s="3">
        <f t="shared" si="33"/>
        <v>0</v>
      </c>
      <c r="BA68" s="3">
        <f t="shared" si="33"/>
        <v>0</v>
      </c>
      <c r="BB68" s="3">
        <f t="shared" si="33"/>
        <v>0</v>
      </c>
      <c r="BC68" s="3">
        <f t="shared" si="33"/>
        <v>0</v>
      </c>
      <c r="BD68" s="3">
        <f t="shared" si="33"/>
        <v>0</v>
      </c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>
        <f>ROUND(SUMIF(AA65:AA66,"=70322994",FQ65:FQ66),2)</f>
        <v>0</v>
      </c>
      <c r="BY68" s="3">
        <f>ROUND(SUMIF(AA65:AA66,"=70322994",FR65:FR66),2)</f>
        <v>0</v>
      </c>
      <c r="BZ68" s="3">
        <f>ROUND(SUMIF(AA65:AA66,"=70322994",GL65:GL66),2)</f>
        <v>0</v>
      </c>
      <c r="CA68" s="3">
        <f>ROUND(SUMIF(AA65:AA66,"=70322994",GM65:GM66),2)</f>
        <v>4560.1499999999996</v>
      </c>
      <c r="CB68" s="3">
        <f>ROUND(SUMIF(AA65:AA66,"=70322994",GN65:GN66),2)</f>
        <v>0</v>
      </c>
      <c r="CC68" s="3">
        <f>ROUND(SUMIF(AA65:AA66,"=70322994",GO65:GO66),2)</f>
        <v>4560.1499999999996</v>
      </c>
      <c r="CD68" s="3">
        <f>ROUND(SUMIF(AA65:AA66,"=70322994",GP65:GP66),2)</f>
        <v>0</v>
      </c>
      <c r="CE68" s="3">
        <f>AC68-BX68</f>
        <v>174.44</v>
      </c>
      <c r="CF68" s="3">
        <f>AC68-BY68</f>
        <v>174.44</v>
      </c>
      <c r="CG68" s="3">
        <f>BX68-BZ68</f>
        <v>0</v>
      </c>
      <c r="CH68" s="3">
        <f>AC68-BX68-BY68+BZ68</f>
        <v>174.44</v>
      </c>
      <c r="CI68" s="3">
        <f>BY68-BZ68</f>
        <v>0</v>
      </c>
      <c r="CJ68" s="3">
        <f>ROUND(SUMIF(AA65:AA66,"=70322994",GX65:GX66),2)</f>
        <v>0</v>
      </c>
      <c r="CK68" s="3">
        <f>ROUND(SUMIF(AA65:AA66,"=70322994",GY65:GY66),2)</f>
        <v>0</v>
      </c>
      <c r="CL68" s="3">
        <f>ROUND(SUMIF(AA65:AA66,"=70322994",GZ65:GZ66),2)</f>
        <v>0</v>
      </c>
      <c r="CM68" s="3">
        <f>ROUND(SUMIF(AA65:AA66,"=70322994",HD65:HD66),2)</f>
        <v>0</v>
      </c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4">
        <f t="shared" ref="DG68:DL68" si="34">ROUND(DT68,2)</f>
        <v>70037.429999999993</v>
      </c>
      <c r="DH68" s="4">
        <f t="shared" si="34"/>
        <v>4734.3</v>
      </c>
      <c r="DI68" s="4">
        <f t="shared" si="34"/>
        <v>29783.06</v>
      </c>
      <c r="DJ68" s="4">
        <f t="shared" si="34"/>
        <v>19095.03</v>
      </c>
      <c r="DK68" s="4">
        <f t="shared" si="34"/>
        <v>35520.07</v>
      </c>
      <c r="DL68" s="4">
        <f t="shared" si="34"/>
        <v>0</v>
      </c>
      <c r="DM68" s="4">
        <f>DZ68</f>
        <v>60.307199999999995</v>
      </c>
      <c r="DN68" s="4">
        <f>EA68</f>
        <v>0</v>
      </c>
      <c r="DO68" s="4">
        <f>ROUND(EB68,2)</f>
        <v>0</v>
      </c>
      <c r="DP68" s="4">
        <f>ROUND(EC68,2)</f>
        <v>32678.46</v>
      </c>
      <c r="DQ68" s="4">
        <f>ROUND(ED68,2)</f>
        <v>15273.63</v>
      </c>
      <c r="DR68" s="4"/>
      <c r="DS68" s="4"/>
      <c r="DT68" s="4">
        <f>ROUND(SUMIF(AA65:AA66,"=70322991",O65:O66),2)</f>
        <v>70037.429999999993</v>
      </c>
      <c r="DU68" s="4">
        <f>ROUND(SUMIF(AA65:AA66,"=70322991",P65:P66),2)</f>
        <v>4734.3</v>
      </c>
      <c r="DV68" s="4">
        <f>ROUND(SUMIF(AA65:AA66,"=70322991",Q65:Q66),2)</f>
        <v>29783.06</v>
      </c>
      <c r="DW68" s="4">
        <f>ROUND(SUMIF(AA65:AA66,"=70322991",R65:R66),2)</f>
        <v>19095.03</v>
      </c>
      <c r="DX68" s="4">
        <f>ROUND(SUMIF(AA65:AA66,"=70322991",S65:S66),2)</f>
        <v>35520.07</v>
      </c>
      <c r="DY68" s="4">
        <f>ROUND(SUMIF(AA65:AA66,"=70322991",T65:T66),2)</f>
        <v>0</v>
      </c>
      <c r="DZ68" s="4">
        <f>SUMIF(AA65:AA66,"=70322991",U65:U66)</f>
        <v>60.307199999999995</v>
      </c>
      <c r="EA68" s="4">
        <f>SUMIF(AA65:AA66,"=70322991",V65:V66)</f>
        <v>0</v>
      </c>
      <c r="EB68" s="4">
        <f>ROUND(SUMIF(AA65:AA66,"=70322991",W65:W66),2)</f>
        <v>0</v>
      </c>
      <c r="EC68" s="4">
        <f>ROUND(SUMIF(AA65:AA66,"=70322991",X65:X66),2)</f>
        <v>32678.46</v>
      </c>
      <c r="ED68" s="4">
        <f>ROUND(SUMIF(AA65:AA66,"=70322991",Y65:Y66),2)</f>
        <v>15273.63</v>
      </c>
      <c r="EE68" s="4"/>
      <c r="EF68" s="4"/>
      <c r="EG68" s="4">
        <f t="shared" ref="EG68:EV68" si="35">ROUND(FP68,2)</f>
        <v>0</v>
      </c>
      <c r="EH68" s="4">
        <f t="shared" si="35"/>
        <v>0</v>
      </c>
      <c r="EI68" s="4">
        <f t="shared" si="35"/>
        <v>0</v>
      </c>
      <c r="EJ68" s="4">
        <f t="shared" si="35"/>
        <v>148541.57</v>
      </c>
      <c r="EK68" s="4">
        <f t="shared" si="35"/>
        <v>0</v>
      </c>
      <c r="EL68" s="4">
        <f t="shared" si="35"/>
        <v>148541.57</v>
      </c>
      <c r="EM68" s="4">
        <f t="shared" si="35"/>
        <v>0</v>
      </c>
      <c r="EN68" s="4">
        <f t="shared" si="35"/>
        <v>4734.3</v>
      </c>
      <c r="EO68" s="4">
        <f t="shared" si="35"/>
        <v>4734.3</v>
      </c>
      <c r="EP68" s="4">
        <f t="shared" si="35"/>
        <v>0</v>
      </c>
      <c r="EQ68" s="4">
        <f t="shared" si="35"/>
        <v>4734.3</v>
      </c>
      <c r="ER68" s="4">
        <f t="shared" si="35"/>
        <v>0</v>
      </c>
      <c r="ES68" s="4">
        <f t="shared" si="35"/>
        <v>0</v>
      </c>
      <c r="ET68" s="4">
        <f t="shared" si="35"/>
        <v>0</v>
      </c>
      <c r="EU68" s="4">
        <f t="shared" si="35"/>
        <v>0</v>
      </c>
      <c r="EV68" s="4">
        <f t="shared" si="35"/>
        <v>0</v>
      </c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>
        <f>ROUND(SUMIF(AA65:AA66,"=70322991",FQ65:FQ66),2)</f>
        <v>0</v>
      </c>
      <c r="FQ68" s="4">
        <f>ROUND(SUMIF(AA65:AA66,"=70322991",FR65:FR66),2)</f>
        <v>0</v>
      </c>
      <c r="FR68" s="4">
        <f>ROUND(SUMIF(AA65:AA66,"=70322991",GL65:GL66),2)</f>
        <v>0</v>
      </c>
      <c r="FS68" s="4">
        <f>ROUND(SUMIF(AA65:AA66,"=70322991",GM65:GM66),2)</f>
        <v>148541.57</v>
      </c>
      <c r="FT68" s="4">
        <f>ROUND(SUMIF(AA65:AA66,"=70322991",GN65:GN66),2)</f>
        <v>0</v>
      </c>
      <c r="FU68" s="4">
        <f>ROUND(SUMIF(AA65:AA66,"=70322991",GO65:GO66),2)</f>
        <v>148541.57</v>
      </c>
      <c r="FV68" s="4">
        <f>ROUND(SUMIF(AA65:AA66,"=70322991",GP65:GP66),2)</f>
        <v>0</v>
      </c>
      <c r="FW68" s="4">
        <f>DU68-FP68</f>
        <v>4734.3</v>
      </c>
      <c r="FX68" s="4">
        <f>DU68-FQ68</f>
        <v>4734.3</v>
      </c>
      <c r="FY68" s="4">
        <f>FP68-FR68</f>
        <v>0</v>
      </c>
      <c r="FZ68" s="4">
        <f>DU68-FP68-FQ68+FR68</f>
        <v>4734.3</v>
      </c>
      <c r="GA68" s="4">
        <f>FQ68-FR68</f>
        <v>0</v>
      </c>
      <c r="GB68" s="4">
        <f>ROUND(SUMIF(AA65:AA66,"=70322991",GX65:GX66),2)</f>
        <v>0</v>
      </c>
      <c r="GC68" s="4">
        <f>ROUND(SUMIF(AA65:AA66,"=70322991",GY65:GY66),2)</f>
        <v>0</v>
      </c>
      <c r="GD68" s="4">
        <f>ROUND(SUMIF(AA65:AA66,"=70322991",GZ65:GZ66),2)</f>
        <v>0</v>
      </c>
      <c r="GE68" s="4">
        <f>ROUND(SUMIF(AA65:AA66,"=70322991",HD65:HD66),2)</f>
        <v>0</v>
      </c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>
        <v>0</v>
      </c>
    </row>
    <row r="70" spans="1:255">
      <c r="A70" s="5">
        <v>50</v>
      </c>
      <c r="B70" s="5">
        <v>0</v>
      </c>
      <c r="C70" s="5">
        <v>0</v>
      </c>
      <c r="D70" s="5">
        <v>1</v>
      </c>
      <c r="E70" s="5">
        <v>201</v>
      </c>
      <c r="F70" s="5">
        <f>ROUND(Source!O68,O70)</f>
        <v>2458.96</v>
      </c>
      <c r="G70" s="5" t="s">
        <v>32</v>
      </c>
      <c r="H70" s="5" t="s">
        <v>33</v>
      </c>
      <c r="I70" s="5"/>
      <c r="J70" s="5"/>
      <c r="K70" s="5">
        <v>201</v>
      </c>
      <c r="L70" s="5">
        <v>1</v>
      </c>
      <c r="M70" s="5">
        <v>3</v>
      </c>
      <c r="N70" s="5" t="s">
        <v>4</v>
      </c>
      <c r="O70" s="5">
        <v>2</v>
      </c>
      <c r="P70" s="5">
        <f>ROUND(Source!DG68,O70)</f>
        <v>70037.429999999993</v>
      </c>
      <c r="Q70" s="5"/>
      <c r="R70" s="5"/>
      <c r="S70" s="5"/>
      <c r="T70" s="5"/>
      <c r="U70" s="5"/>
      <c r="V70" s="5"/>
      <c r="W70" s="5">
        <v>2458.96</v>
      </c>
      <c r="X70" s="5">
        <v>1</v>
      </c>
      <c r="Y70" s="5">
        <v>2458.96</v>
      </c>
      <c r="Z70" s="5">
        <v>70037.429999999993</v>
      </c>
      <c r="AA70" s="5">
        <v>1</v>
      </c>
      <c r="AB70" s="5">
        <v>70037.429999999993</v>
      </c>
    </row>
    <row r="71" spans="1:255">
      <c r="A71" s="5">
        <v>50</v>
      </c>
      <c r="B71" s="5">
        <v>0</v>
      </c>
      <c r="C71" s="5">
        <v>0</v>
      </c>
      <c r="D71" s="5">
        <v>1</v>
      </c>
      <c r="E71" s="5">
        <v>202</v>
      </c>
      <c r="F71" s="5">
        <f>ROUND(Source!P68,O71)</f>
        <v>174.44</v>
      </c>
      <c r="G71" s="5" t="s">
        <v>34</v>
      </c>
      <c r="H71" s="5" t="s">
        <v>35</v>
      </c>
      <c r="I71" s="5"/>
      <c r="J71" s="5"/>
      <c r="K71" s="5">
        <v>202</v>
      </c>
      <c r="L71" s="5">
        <v>2</v>
      </c>
      <c r="M71" s="5">
        <v>3</v>
      </c>
      <c r="N71" s="5" t="s">
        <v>4</v>
      </c>
      <c r="O71" s="5">
        <v>2</v>
      </c>
      <c r="P71" s="5">
        <f>ROUND(Source!DH68,O71)</f>
        <v>4734.3</v>
      </c>
      <c r="Q71" s="5"/>
      <c r="R71" s="5"/>
      <c r="S71" s="5"/>
      <c r="T71" s="5"/>
      <c r="U71" s="5"/>
      <c r="V71" s="5"/>
      <c r="W71" s="5">
        <v>174.44</v>
      </c>
      <c r="X71" s="5">
        <v>1</v>
      </c>
      <c r="Y71" s="5">
        <v>174.44</v>
      </c>
      <c r="Z71" s="5">
        <v>4734.3</v>
      </c>
      <c r="AA71" s="5">
        <v>1</v>
      </c>
      <c r="AB71" s="5">
        <v>4734.3</v>
      </c>
    </row>
    <row r="72" spans="1:255">
      <c r="A72" s="5">
        <v>50</v>
      </c>
      <c r="B72" s="5">
        <v>0</v>
      </c>
      <c r="C72" s="5">
        <v>0</v>
      </c>
      <c r="D72" s="5">
        <v>1</v>
      </c>
      <c r="E72" s="5">
        <v>222</v>
      </c>
      <c r="F72" s="5">
        <f>ROUND(Source!AO68,O72)</f>
        <v>0</v>
      </c>
      <c r="G72" s="5" t="s">
        <v>36</v>
      </c>
      <c r="H72" s="5" t="s">
        <v>37</v>
      </c>
      <c r="I72" s="5"/>
      <c r="J72" s="5"/>
      <c r="K72" s="5">
        <v>222</v>
      </c>
      <c r="L72" s="5">
        <v>3</v>
      </c>
      <c r="M72" s="5">
        <v>3</v>
      </c>
      <c r="N72" s="5" t="s">
        <v>4</v>
      </c>
      <c r="O72" s="5">
        <v>2</v>
      </c>
      <c r="P72" s="5">
        <f>ROUND(Source!EG68,O72)</f>
        <v>0</v>
      </c>
      <c r="Q72" s="5"/>
      <c r="R72" s="5"/>
      <c r="S72" s="5"/>
      <c r="T72" s="5"/>
      <c r="U72" s="5"/>
      <c r="V72" s="5"/>
      <c r="W72" s="5">
        <v>0</v>
      </c>
      <c r="X72" s="5">
        <v>1</v>
      </c>
      <c r="Y72" s="5">
        <v>0</v>
      </c>
      <c r="Z72" s="5">
        <v>0</v>
      </c>
      <c r="AA72" s="5">
        <v>1</v>
      </c>
      <c r="AB72" s="5">
        <v>0</v>
      </c>
    </row>
    <row r="73" spans="1:255">
      <c r="A73" s="5">
        <v>50</v>
      </c>
      <c r="B73" s="5">
        <v>0</v>
      </c>
      <c r="C73" s="5">
        <v>0</v>
      </c>
      <c r="D73" s="5">
        <v>1</v>
      </c>
      <c r="E73" s="5">
        <v>225</v>
      </c>
      <c r="F73" s="5">
        <f>ROUND(Source!AV68,O73)</f>
        <v>174.44</v>
      </c>
      <c r="G73" s="5" t="s">
        <v>38</v>
      </c>
      <c r="H73" s="5" t="s">
        <v>39</v>
      </c>
      <c r="I73" s="5"/>
      <c r="J73" s="5"/>
      <c r="K73" s="5">
        <v>225</v>
      </c>
      <c r="L73" s="5">
        <v>4</v>
      </c>
      <c r="M73" s="5">
        <v>3</v>
      </c>
      <c r="N73" s="5" t="s">
        <v>4</v>
      </c>
      <c r="O73" s="5">
        <v>2</v>
      </c>
      <c r="P73" s="5">
        <f>ROUND(Source!EN68,O73)</f>
        <v>4734.3</v>
      </c>
      <c r="Q73" s="5"/>
      <c r="R73" s="5"/>
      <c r="S73" s="5"/>
      <c r="T73" s="5"/>
      <c r="U73" s="5"/>
      <c r="V73" s="5"/>
      <c r="W73" s="5">
        <v>174.44</v>
      </c>
      <c r="X73" s="5">
        <v>1</v>
      </c>
      <c r="Y73" s="5">
        <v>174.44</v>
      </c>
      <c r="Z73" s="5">
        <v>4734.3</v>
      </c>
      <c r="AA73" s="5">
        <v>1</v>
      </c>
      <c r="AB73" s="5">
        <v>4734.3</v>
      </c>
    </row>
    <row r="74" spans="1:255">
      <c r="A74" s="5">
        <v>50</v>
      </c>
      <c r="B74" s="5">
        <v>0</v>
      </c>
      <c r="C74" s="5">
        <v>0</v>
      </c>
      <c r="D74" s="5">
        <v>1</v>
      </c>
      <c r="E74" s="5">
        <v>226</v>
      </c>
      <c r="F74" s="5">
        <f>ROUND(Source!AW68,O74)</f>
        <v>174.44</v>
      </c>
      <c r="G74" s="5" t="s">
        <v>40</v>
      </c>
      <c r="H74" s="5" t="s">
        <v>41</v>
      </c>
      <c r="I74" s="5"/>
      <c r="J74" s="5"/>
      <c r="K74" s="5">
        <v>226</v>
      </c>
      <c r="L74" s="5">
        <v>5</v>
      </c>
      <c r="M74" s="5">
        <v>3</v>
      </c>
      <c r="N74" s="5" t="s">
        <v>4</v>
      </c>
      <c r="O74" s="5">
        <v>2</v>
      </c>
      <c r="P74" s="5">
        <f>ROUND(Source!EO68,O74)</f>
        <v>4734.3</v>
      </c>
      <c r="Q74" s="5"/>
      <c r="R74" s="5"/>
      <c r="S74" s="5"/>
      <c r="T74" s="5"/>
      <c r="U74" s="5"/>
      <c r="V74" s="5"/>
      <c r="W74" s="5">
        <v>174.44</v>
      </c>
      <c r="X74" s="5">
        <v>1</v>
      </c>
      <c r="Y74" s="5">
        <v>174.44</v>
      </c>
      <c r="Z74" s="5">
        <v>4734.3</v>
      </c>
      <c r="AA74" s="5">
        <v>1</v>
      </c>
      <c r="AB74" s="5">
        <v>4734.3</v>
      </c>
    </row>
    <row r="75" spans="1:255">
      <c r="A75" s="5">
        <v>50</v>
      </c>
      <c r="B75" s="5">
        <v>0</v>
      </c>
      <c r="C75" s="5">
        <v>0</v>
      </c>
      <c r="D75" s="5">
        <v>1</v>
      </c>
      <c r="E75" s="5">
        <v>227</v>
      </c>
      <c r="F75" s="5">
        <f>ROUND(Source!AX68,O75)</f>
        <v>0</v>
      </c>
      <c r="G75" s="5" t="s">
        <v>42</v>
      </c>
      <c r="H75" s="5" t="s">
        <v>43</v>
      </c>
      <c r="I75" s="5"/>
      <c r="J75" s="5"/>
      <c r="K75" s="5">
        <v>227</v>
      </c>
      <c r="L75" s="5">
        <v>6</v>
      </c>
      <c r="M75" s="5">
        <v>3</v>
      </c>
      <c r="N75" s="5" t="s">
        <v>4</v>
      </c>
      <c r="O75" s="5">
        <v>2</v>
      </c>
      <c r="P75" s="5">
        <f>ROUND(Source!EP68,O75)</f>
        <v>0</v>
      </c>
      <c r="Q75" s="5"/>
      <c r="R75" s="5"/>
      <c r="S75" s="5"/>
      <c r="T75" s="5"/>
      <c r="U75" s="5"/>
      <c r="V75" s="5"/>
      <c r="W75" s="5">
        <v>0</v>
      </c>
      <c r="X75" s="5">
        <v>1</v>
      </c>
      <c r="Y75" s="5">
        <v>0</v>
      </c>
      <c r="Z75" s="5">
        <v>0</v>
      </c>
      <c r="AA75" s="5">
        <v>1</v>
      </c>
      <c r="AB75" s="5">
        <v>0</v>
      </c>
    </row>
    <row r="76" spans="1:255">
      <c r="A76" s="5">
        <v>50</v>
      </c>
      <c r="B76" s="5">
        <v>0</v>
      </c>
      <c r="C76" s="5">
        <v>0</v>
      </c>
      <c r="D76" s="5">
        <v>1</v>
      </c>
      <c r="E76" s="5">
        <v>228</v>
      </c>
      <c r="F76" s="5">
        <f>ROUND(Source!AY68,O76)</f>
        <v>174.44</v>
      </c>
      <c r="G76" s="5" t="s">
        <v>44</v>
      </c>
      <c r="H76" s="5" t="s">
        <v>45</v>
      </c>
      <c r="I76" s="5"/>
      <c r="J76" s="5"/>
      <c r="K76" s="5">
        <v>228</v>
      </c>
      <c r="L76" s="5">
        <v>7</v>
      </c>
      <c r="M76" s="5">
        <v>3</v>
      </c>
      <c r="N76" s="5" t="s">
        <v>4</v>
      </c>
      <c r="O76" s="5">
        <v>2</v>
      </c>
      <c r="P76" s="5">
        <f>ROUND(Source!EQ68,O76)</f>
        <v>4734.3</v>
      </c>
      <c r="Q76" s="5"/>
      <c r="R76" s="5"/>
      <c r="S76" s="5"/>
      <c r="T76" s="5"/>
      <c r="U76" s="5"/>
      <c r="V76" s="5"/>
      <c r="W76" s="5">
        <v>174.44</v>
      </c>
      <c r="X76" s="5">
        <v>1</v>
      </c>
      <c r="Y76" s="5">
        <v>174.44</v>
      </c>
      <c r="Z76" s="5">
        <v>4734.3</v>
      </c>
      <c r="AA76" s="5">
        <v>1</v>
      </c>
      <c r="AB76" s="5">
        <v>4734.3</v>
      </c>
    </row>
    <row r="77" spans="1:255">
      <c r="A77" s="5">
        <v>50</v>
      </c>
      <c r="B77" s="5">
        <v>0</v>
      </c>
      <c r="C77" s="5">
        <v>0</v>
      </c>
      <c r="D77" s="5">
        <v>1</v>
      </c>
      <c r="E77" s="5">
        <v>216</v>
      </c>
      <c r="F77" s="5">
        <f>ROUND(Source!AP68,O77)</f>
        <v>0</v>
      </c>
      <c r="G77" s="5" t="s">
        <v>46</v>
      </c>
      <c r="H77" s="5" t="s">
        <v>47</v>
      </c>
      <c r="I77" s="5"/>
      <c r="J77" s="5"/>
      <c r="K77" s="5">
        <v>216</v>
      </c>
      <c r="L77" s="5">
        <v>8</v>
      </c>
      <c r="M77" s="5">
        <v>3</v>
      </c>
      <c r="N77" s="5" t="s">
        <v>4</v>
      </c>
      <c r="O77" s="5">
        <v>2</v>
      </c>
      <c r="P77" s="5">
        <f>ROUND(Source!EH68,O77)</f>
        <v>0</v>
      </c>
      <c r="Q77" s="5"/>
      <c r="R77" s="5"/>
      <c r="S77" s="5"/>
      <c r="T77" s="5"/>
      <c r="U77" s="5"/>
      <c r="V77" s="5"/>
      <c r="W77" s="5">
        <v>0</v>
      </c>
      <c r="X77" s="5">
        <v>1</v>
      </c>
      <c r="Y77" s="5">
        <v>0</v>
      </c>
      <c r="Z77" s="5">
        <v>0</v>
      </c>
      <c r="AA77" s="5">
        <v>1</v>
      </c>
      <c r="AB77" s="5">
        <v>0</v>
      </c>
    </row>
    <row r="78" spans="1:255">
      <c r="A78" s="5">
        <v>50</v>
      </c>
      <c r="B78" s="5">
        <v>0</v>
      </c>
      <c r="C78" s="5">
        <v>0</v>
      </c>
      <c r="D78" s="5">
        <v>1</v>
      </c>
      <c r="E78" s="5">
        <v>223</v>
      </c>
      <c r="F78" s="5">
        <f>ROUND(Source!AQ68,O78)</f>
        <v>0</v>
      </c>
      <c r="G78" s="5" t="s">
        <v>48</v>
      </c>
      <c r="H78" s="5" t="s">
        <v>49</v>
      </c>
      <c r="I78" s="5"/>
      <c r="J78" s="5"/>
      <c r="K78" s="5">
        <v>223</v>
      </c>
      <c r="L78" s="5">
        <v>9</v>
      </c>
      <c r="M78" s="5">
        <v>3</v>
      </c>
      <c r="N78" s="5" t="s">
        <v>4</v>
      </c>
      <c r="O78" s="5">
        <v>2</v>
      </c>
      <c r="P78" s="5">
        <f>ROUND(Source!EI68,O78)</f>
        <v>0</v>
      </c>
      <c r="Q78" s="5"/>
      <c r="R78" s="5"/>
      <c r="S78" s="5"/>
      <c r="T78" s="5"/>
      <c r="U78" s="5"/>
      <c r="V78" s="5"/>
      <c r="W78" s="5">
        <v>0</v>
      </c>
      <c r="X78" s="5">
        <v>1</v>
      </c>
      <c r="Y78" s="5">
        <v>0</v>
      </c>
      <c r="Z78" s="5">
        <v>0</v>
      </c>
      <c r="AA78" s="5">
        <v>1</v>
      </c>
      <c r="AB78" s="5">
        <v>0</v>
      </c>
    </row>
    <row r="79" spans="1:255">
      <c r="A79" s="5">
        <v>50</v>
      </c>
      <c r="B79" s="5">
        <v>0</v>
      </c>
      <c r="C79" s="5">
        <v>0</v>
      </c>
      <c r="D79" s="5">
        <v>1</v>
      </c>
      <c r="E79" s="5">
        <v>229</v>
      </c>
      <c r="F79" s="5">
        <f>ROUND(Source!AZ68,O79)</f>
        <v>0</v>
      </c>
      <c r="G79" s="5" t="s">
        <v>50</v>
      </c>
      <c r="H79" s="5" t="s">
        <v>51</v>
      </c>
      <c r="I79" s="5"/>
      <c r="J79" s="5"/>
      <c r="K79" s="5">
        <v>229</v>
      </c>
      <c r="L79" s="5">
        <v>10</v>
      </c>
      <c r="M79" s="5">
        <v>3</v>
      </c>
      <c r="N79" s="5" t="s">
        <v>4</v>
      </c>
      <c r="O79" s="5">
        <v>2</v>
      </c>
      <c r="P79" s="5">
        <f>ROUND(Source!ER68,O79)</f>
        <v>0</v>
      </c>
      <c r="Q79" s="5"/>
      <c r="R79" s="5"/>
      <c r="S79" s="5"/>
      <c r="T79" s="5"/>
      <c r="U79" s="5"/>
      <c r="V79" s="5"/>
      <c r="W79" s="5">
        <v>0</v>
      </c>
      <c r="X79" s="5">
        <v>1</v>
      </c>
      <c r="Y79" s="5">
        <v>0</v>
      </c>
      <c r="Z79" s="5">
        <v>0</v>
      </c>
      <c r="AA79" s="5">
        <v>1</v>
      </c>
      <c r="AB79" s="5">
        <v>0</v>
      </c>
    </row>
    <row r="80" spans="1:255">
      <c r="A80" s="5">
        <v>50</v>
      </c>
      <c r="B80" s="5">
        <v>0</v>
      </c>
      <c r="C80" s="5">
        <v>0</v>
      </c>
      <c r="D80" s="5">
        <v>1</v>
      </c>
      <c r="E80" s="5">
        <v>203</v>
      </c>
      <c r="F80" s="5">
        <f>ROUND(Source!Q68,O80)</f>
        <v>1523.43</v>
      </c>
      <c r="G80" s="5" t="s">
        <v>52</v>
      </c>
      <c r="H80" s="5" t="s">
        <v>53</v>
      </c>
      <c r="I80" s="5"/>
      <c r="J80" s="5"/>
      <c r="K80" s="5">
        <v>203</v>
      </c>
      <c r="L80" s="5">
        <v>11</v>
      </c>
      <c r="M80" s="5">
        <v>3</v>
      </c>
      <c r="N80" s="5" t="s">
        <v>4</v>
      </c>
      <c r="O80" s="5">
        <v>2</v>
      </c>
      <c r="P80" s="5">
        <f>ROUND(Source!DI68,O80)</f>
        <v>29783.06</v>
      </c>
      <c r="Q80" s="5"/>
      <c r="R80" s="5"/>
      <c r="S80" s="5"/>
      <c r="T80" s="5"/>
      <c r="U80" s="5"/>
      <c r="V80" s="5"/>
      <c r="W80" s="5">
        <v>1523.43</v>
      </c>
      <c r="X80" s="5">
        <v>1</v>
      </c>
      <c r="Y80" s="5">
        <v>1523.43</v>
      </c>
      <c r="Z80" s="5">
        <v>29783.06</v>
      </c>
      <c r="AA80" s="5">
        <v>1</v>
      </c>
      <c r="AB80" s="5">
        <v>29783.06</v>
      </c>
    </row>
    <row r="81" spans="1:28">
      <c r="A81" s="5">
        <v>50</v>
      </c>
      <c r="B81" s="5">
        <v>0</v>
      </c>
      <c r="C81" s="5">
        <v>0</v>
      </c>
      <c r="D81" s="5">
        <v>1</v>
      </c>
      <c r="E81" s="5">
        <v>231</v>
      </c>
      <c r="F81" s="5">
        <f>ROUND(Source!BB68,O81)</f>
        <v>0</v>
      </c>
      <c r="G81" s="5" t="s">
        <v>54</v>
      </c>
      <c r="H81" s="5" t="s">
        <v>55</v>
      </c>
      <c r="I81" s="5"/>
      <c r="J81" s="5"/>
      <c r="K81" s="5">
        <v>231</v>
      </c>
      <c r="L81" s="5">
        <v>12</v>
      </c>
      <c r="M81" s="5">
        <v>3</v>
      </c>
      <c r="N81" s="5" t="s">
        <v>4</v>
      </c>
      <c r="O81" s="5">
        <v>2</v>
      </c>
      <c r="P81" s="5">
        <f>ROUND(Source!ET68,O81)</f>
        <v>0</v>
      </c>
      <c r="Q81" s="5"/>
      <c r="R81" s="5"/>
      <c r="S81" s="5"/>
      <c r="T81" s="5"/>
      <c r="U81" s="5"/>
      <c r="V81" s="5"/>
      <c r="W81" s="5">
        <v>0</v>
      </c>
      <c r="X81" s="5">
        <v>1</v>
      </c>
      <c r="Y81" s="5">
        <v>0</v>
      </c>
      <c r="Z81" s="5">
        <v>0</v>
      </c>
      <c r="AA81" s="5">
        <v>1</v>
      </c>
      <c r="AB81" s="5">
        <v>0</v>
      </c>
    </row>
    <row r="82" spans="1:28">
      <c r="A82" s="5">
        <v>50</v>
      </c>
      <c r="B82" s="5">
        <v>0</v>
      </c>
      <c r="C82" s="5">
        <v>0</v>
      </c>
      <c r="D82" s="5">
        <v>1</v>
      </c>
      <c r="E82" s="5">
        <v>204</v>
      </c>
      <c r="F82" s="5">
        <f>ROUND(Source!R68,O82)</f>
        <v>409.15</v>
      </c>
      <c r="G82" s="5" t="s">
        <v>56</v>
      </c>
      <c r="H82" s="5" t="s">
        <v>57</v>
      </c>
      <c r="I82" s="5"/>
      <c r="J82" s="5"/>
      <c r="K82" s="5">
        <v>204</v>
      </c>
      <c r="L82" s="5">
        <v>13</v>
      </c>
      <c r="M82" s="5">
        <v>3</v>
      </c>
      <c r="N82" s="5" t="s">
        <v>4</v>
      </c>
      <c r="O82" s="5">
        <v>2</v>
      </c>
      <c r="P82" s="5">
        <f>ROUND(Source!DJ68,O82)</f>
        <v>19095.03</v>
      </c>
      <c r="Q82" s="5"/>
      <c r="R82" s="5"/>
      <c r="S82" s="5"/>
      <c r="T82" s="5"/>
      <c r="U82" s="5"/>
      <c r="V82" s="5"/>
      <c r="W82" s="5">
        <v>409.15</v>
      </c>
      <c r="X82" s="5">
        <v>1</v>
      </c>
      <c r="Y82" s="5">
        <v>409.15</v>
      </c>
      <c r="Z82" s="5">
        <v>19095.03</v>
      </c>
      <c r="AA82" s="5">
        <v>1</v>
      </c>
      <c r="AB82" s="5">
        <v>19095.03</v>
      </c>
    </row>
    <row r="83" spans="1:28">
      <c r="A83" s="5">
        <v>50</v>
      </c>
      <c r="B83" s="5">
        <v>0</v>
      </c>
      <c r="C83" s="5">
        <v>0</v>
      </c>
      <c r="D83" s="5">
        <v>1</v>
      </c>
      <c r="E83" s="5">
        <v>205</v>
      </c>
      <c r="F83" s="5">
        <f>ROUND(Source!S68,O83)</f>
        <v>761.09</v>
      </c>
      <c r="G83" s="5" t="s">
        <v>58</v>
      </c>
      <c r="H83" s="5" t="s">
        <v>59</v>
      </c>
      <c r="I83" s="5"/>
      <c r="J83" s="5"/>
      <c r="K83" s="5">
        <v>205</v>
      </c>
      <c r="L83" s="5">
        <v>14</v>
      </c>
      <c r="M83" s="5">
        <v>3</v>
      </c>
      <c r="N83" s="5" t="s">
        <v>4</v>
      </c>
      <c r="O83" s="5">
        <v>2</v>
      </c>
      <c r="P83" s="5">
        <f>ROUND(Source!DK68,O83)</f>
        <v>35520.07</v>
      </c>
      <c r="Q83" s="5"/>
      <c r="R83" s="5"/>
      <c r="S83" s="5"/>
      <c r="T83" s="5"/>
      <c r="U83" s="5"/>
      <c r="V83" s="5"/>
      <c r="W83" s="5">
        <v>761.09</v>
      </c>
      <c r="X83" s="5">
        <v>1</v>
      </c>
      <c r="Y83" s="5">
        <v>761.09</v>
      </c>
      <c r="Z83" s="5">
        <v>35520.07</v>
      </c>
      <c r="AA83" s="5">
        <v>1</v>
      </c>
      <c r="AB83" s="5">
        <v>35520.07</v>
      </c>
    </row>
    <row r="84" spans="1:28">
      <c r="A84" s="5">
        <v>50</v>
      </c>
      <c r="B84" s="5">
        <v>0</v>
      </c>
      <c r="C84" s="5">
        <v>0</v>
      </c>
      <c r="D84" s="5">
        <v>1</v>
      </c>
      <c r="E84" s="5">
        <v>232</v>
      </c>
      <c r="F84" s="5">
        <f>ROUND(Source!BC68,O84)</f>
        <v>0</v>
      </c>
      <c r="G84" s="5" t="s">
        <v>60</v>
      </c>
      <c r="H84" s="5" t="s">
        <v>61</v>
      </c>
      <c r="I84" s="5"/>
      <c r="J84" s="5"/>
      <c r="K84" s="5">
        <v>232</v>
      </c>
      <c r="L84" s="5">
        <v>15</v>
      </c>
      <c r="M84" s="5">
        <v>3</v>
      </c>
      <c r="N84" s="5" t="s">
        <v>4</v>
      </c>
      <c r="O84" s="5">
        <v>2</v>
      </c>
      <c r="P84" s="5">
        <f>ROUND(Source!EU68,O84)</f>
        <v>0</v>
      </c>
      <c r="Q84" s="5"/>
      <c r="R84" s="5"/>
      <c r="S84" s="5"/>
      <c r="T84" s="5"/>
      <c r="U84" s="5"/>
      <c r="V84" s="5"/>
      <c r="W84" s="5">
        <v>0</v>
      </c>
      <c r="X84" s="5">
        <v>1</v>
      </c>
      <c r="Y84" s="5">
        <v>0</v>
      </c>
      <c r="Z84" s="5">
        <v>0</v>
      </c>
      <c r="AA84" s="5">
        <v>1</v>
      </c>
      <c r="AB84" s="5">
        <v>0</v>
      </c>
    </row>
    <row r="85" spans="1:28">
      <c r="A85" s="5">
        <v>50</v>
      </c>
      <c r="B85" s="5">
        <v>0</v>
      </c>
      <c r="C85" s="5">
        <v>0</v>
      </c>
      <c r="D85" s="5">
        <v>1</v>
      </c>
      <c r="E85" s="5">
        <v>214</v>
      </c>
      <c r="F85" s="5">
        <f>ROUND(Source!AS68,O85)</f>
        <v>0</v>
      </c>
      <c r="G85" s="5" t="s">
        <v>62</v>
      </c>
      <c r="H85" s="5" t="s">
        <v>63</v>
      </c>
      <c r="I85" s="5"/>
      <c r="J85" s="5"/>
      <c r="K85" s="5">
        <v>214</v>
      </c>
      <c r="L85" s="5">
        <v>16</v>
      </c>
      <c r="M85" s="5">
        <v>3</v>
      </c>
      <c r="N85" s="5" t="s">
        <v>4</v>
      </c>
      <c r="O85" s="5">
        <v>2</v>
      </c>
      <c r="P85" s="5">
        <f>ROUND(Source!EK68,O85)</f>
        <v>0</v>
      </c>
      <c r="Q85" s="5"/>
      <c r="R85" s="5"/>
      <c r="S85" s="5"/>
      <c r="T85" s="5"/>
      <c r="U85" s="5"/>
      <c r="V85" s="5"/>
      <c r="W85" s="5">
        <v>0</v>
      </c>
      <c r="X85" s="5">
        <v>1</v>
      </c>
      <c r="Y85" s="5">
        <v>0</v>
      </c>
      <c r="Z85" s="5">
        <v>0</v>
      </c>
      <c r="AA85" s="5">
        <v>1</v>
      </c>
      <c r="AB85" s="5">
        <v>0</v>
      </c>
    </row>
    <row r="86" spans="1:28">
      <c r="A86" s="5">
        <v>50</v>
      </c>
      <c r="B86" s="5">
        <v>0</v>
      </c>
      <c r="C86" s="5">
        <v>0</v>
      </c>
      <c r="D86" s="5">
        <v>1</v>
      </c>
      <c r="E86" s="5">
        <v>215</v>
      </c>
      <c r="F86" s="5">
        <f>ROUND(Source!AT68,O86)</f>
        <v>4560.1499999999996</v>
      </c>
      <c r="G86" s="5" t="s">
        <v>64</v>
      </c>
      <c r="H86" s="5" t="s">
        <v>65</v>
      </c>
      <c r="I86" s="5"/>
      <c r="J86" s="5"/>
      <c r="K86" s="5">
        <v>215</v>
      </c>
      <c r="L86" s="5">
        <v>17</v>
      </c>
      <c r="M86" s="5">
        <v>3</v>
      </c>
      <c r="N86" s="5" t="s">
        <v>4</v>
      </c>
      <c r="O86" s="5">
        <v>2</v>
      </c>
      <c r="P86" s="5">
        <f>ROUND(Source!EL68,O86)</f>
        <v>148541.57</v>
      </c>
      <c r="Q86" s="5"/>
      <c r="R86" s="5"/>
      <c r="S86" s="5"/>
      <c r="T86" s="5"/>
      <c r="U86" s="5"/>
      <c r="V86" s="5"/>
      <c r="W86" s="5">
        <v>4560.1499999999996</v>
      </c>
      <c r="X86" s="5">
        <v>1</v>
      </c>
      <c r="Y86" s="5">
        <v>4560.1499999999996</v>
      </c>
      <c r="Z86" s="5">
        <v>148541.57</v>
      </c>
      <c r="AA86" s="5">
        <v>1</v>
      </c>
      <c r="AB86" s="5">
        <v>148541.57</v>
      </c>
    </row>
    <row r="87" spans="1:28">
      <c r="A87" s="5">
        <v>50</v>
      </c>
      <c r="B87" s="5">
        <v>0</v>
      </c>
      <c r="C87" s="5">
        <v>0</v>
      </c>
      <c r="D87" s="5">
        <v>1</v>
      </c>
      <c r="E87" s="5">
        <v>217</v>
      </c>
      <c r="F87" s="5">
        <f>ROUND(Source!AU68,O87)</f>
        <v>0</v>
      </c>
      <c r="G87" s="5" t="s">
        <v>66</v>
      </c>
      <c r="H87" s="5" t="s">
        <v>67</v>
      </c>
      <c r="I87" s="5"/>
      <c r="J87" s="5"/>
      <c r="K87" s="5">
        <v>217</v>
      </c>
      <c r="L87" s="5">
        <v>18</v>
      </c>
      <c r="M87" s="5">
        <v>3</v>
      </c>
      <c r="N87" s="5" t="s">
        <v>4</v>
      </c>
      <c r="O87" s="5">
        <v>2</v>
      </c>
      <c r="P87" s="5">
        <f>ROUND(Source!EM68,O87)</f>
        <v>0</v>
      </c>
      <c r="Q87" s="5"/>
      <c r="R87" s="5"/>
      <c r="S87" s="5"/>
      <c r="T87" s="5"/>
      <c r="U87" s="5"/>
      <c r="V87" s="5"/>
      <c r="W87" s="5">
        <v>0</v>
      </c>
      <c r="X87" s="5">
        <v>1</v>
      </c>
      <c r="Y87" s="5">
        <v>0</v>
      </c>
      <c r="Z87" s="5">
        <v>0</v>
      </c>
      <c r="AA87" s="5">
        <v>1</v>
      </c>
      <c r="AB87" s="5">
        <v>0</v>
      </c>
    </row>
    <row r="88" spans="1:28">
      <c r="A88" s="5">
        <v>50</v>
      </c>
      <c r="B88" s="5">
        <v>0</v>
      </c>
      <c r="C88" s="5">
        <v>0</v>
      </c>
      <c r="D88" s="5">
        <v>1</v>
      </c>
      <c r="E88" s="5">
        <v>230</v>
      </c>
      <c r="F88" s="5">
        <f>ROUND(Source!BA68,O88)</f>
        <v>0</v>
      </c>
      <c r="G88" s="5" t="s">
        <v>68</v>
      </c>
      <c r="H88" s="5" t="s">
        <v>69</v>
      </c>
      <c r="I88" s="5"/>
      <c r="J88" s="5"/>
      <c r="K88" s="5">
        <v>230</v>
      </c>
      <c r="L88" s="5">
        <v>19</v>
      </c>
      <c r="M88" s="5">
        <v>3</v>
      </c>
      <c r="N88" s="5" t="s">
        <v>4</v>
      </c>
      <c r="O88" s="5">
        <v>2</v>
      </c>
      <c r="P88" s="5">
        <f>ROUND(Source!ES68,O88)</f>
        <v>0</v>
      </c>
      <c r="Q88" s="5"/>
      <c r="R88" s="5"/>
      <c r="S88" s="5"/>
      <c r="T88" s="5"/>
      <c r="U88" s="5"/>
      <c r="V88" s="5"/>
      <c r="W88" s="5">
        <v>0</v>
      </c>
      <c r="X88" s="5">
        <v>1</v>
      </c>
      <c r="Y88" s="5">
        <v>0</v>
      </c>
      <c r="Z88" s="5">
        <v>0</v>
      </c>
      <c r="AA88" s="5">
        <v>1</v>
      </c>
      <c r="AB88" s="5">
        <v>0</v>
      </c>
    </row>
    <row r="89" spans="1:28">
      <c r="A89" s="5">
        <v>50</v>
      </c>
      <c r="B89" s="5">
        <v>0</v>
      </c>
      <c r="C89" s="5">
        <v>0</v>
      </c>
      <c r="D89" s="5">
        <v>1</v>
      </c>
      <c r="E89" s="5">
        <v>206</v>
      </c>
      <c r="F89" s="5">
        <f>ROUND(Source!T68,O89)</f>
        <v>0</v>
      </c>
      <c r="G89" s="5" t="s">
        <v>70</v>
      </c>
      <c r="H89" s="5" t="s">
        <v>71</v>
      </c>
      <c r="I89" s="5"/>
      <c r="J89" s="5"/>
      <c r="K89" s="5">
        <v>206</v>
      </c>
      <c r="L89" s="5">
        <v>20</v>
      </c>
      <c r="M89" s="5">
        <v>3</v>
      </c>
      <c r="N89" s="5" t="s">
        <v>4</v>
      </c>
      <c r="O89" s="5">
        <v>2</v>
      </c>
      <c r="P89" s="5">
        <f>ROUND(Source!DL68,O89)</f>
        <v>0</v>
      </c>
      <c r="Q89" s="5"/>
      <c r="R89" s="5"/>
      <c r="S89" s="5"/>
      <c r="T89" s="5"/>
      <c r="U89" s="5"/>
      <c r="V89" s="5"/>
      <c r="W89" s="5">
        <v>0</v>
      </c>
      <c r="X89" s="5">
        <v>1</v>
      </c>
      <c r="Y89" s="5">
        <v>0</v>
      </c>
      <c r="Z89" s="5">
        <v>0</v>
      </c>
      <c r="AA89" s="5">
        <v>1</v>
      </c>
      <c r="AB89" s="5">
        <v>0</v>
      </c>
    </row>
    <row r="90" spans="1:28">
      <c r="A90" s="5">
        <v>50</v>
      </c>
      <c r="B90" s="5">
        <v>0</v>
      </c>
      <c r="C90" s="5">
        <v>0</v>
      </c>
      <c r="D90" s="5">
        <v>1</v>
      </c>
      <c r="E90" s="5">
        <v>207</v>
      </c>
      <c r="F90" s="5">
        <f>Source!U68</f>
        <v>60.307199999999995</v>
      </c>
      <c r="G90" s="5" t="s">
        <v>72</v>
      </c>
      <c r="H90" s="5" t="s">
        <v>73</v>
      </c>
      <c r="I90" s="5"/>
      <c r="J90" s="5"/>
      <c r="K90" s="5">
        <v>207</v>
      </c>
      <c r="L90" s="5">
        <v>21</v>
      </c>
      <c r="M90" s="5">
        <v>3</v>
      </c>
      <c r="N90" s="5" t="s">
        <v>4</v>
      </c>
      <c r="O90" s="5">
        <v>-1</v>
      </c>
      <c r="P90" s="5">
        <f>Source!DM68</f>
        <v>60.307199999999995</v>
      </c>
      <c r="Q90" s="5"/>
      <c r="R90" s="5"/>
      <c r="S90" s="5"/>
      <c r="T90" s="5"/>
      <c r="U90" s="5"/>
      <c r="V90" s="5"/>
      <c r="W90" s="5">
        <v>60.307200000000002</v>
      </c>
      <c r="X90" s="5">
        <v>1</v>
      </c>
      <c r="Y90" s="5">
        <v>60.307200000000002</v>
      </c>
      <c r="Z90" s="5">
        <v>60.307200000000002</v>
      </c>
      <c r="AA90" s="5">
        <v>1</v>
      </c>
      <c r="AB90" s="5">
        <v>60.307200000000002</v>
      </c>
    </row>
    <row r="91" spans="1:28">
      <c r="A91" s="5">
        <v>50</v>
      </c>
      <c r="B91" s="5">
        <v>0</v>
      </c>
      <c r="C91" s="5">
        <v>0</v>
      </c>
      <c r="D91" s="5">
        <v>1</v>
      </c>
      <c r="E91" s="5">
        <v>208</v>
      </c>
      <c r="F91" s="5">
        <f>Source!V68</f>
        <v>0</v>
      </c>
      <c r="G91" s="5" t="s">
        <v>74</v>
      </c>
      <c r="H91" s="5" t="s">
        <v>75</v>
      </c>
      <c r="I91" s="5"/>
      <c r="J91" s="5"/>
      <c r="K91" s="5">
        <v>208</v>
      </c>
      <c r="L91" s="5">
        <v>22</v>
      </c>
      <c r="M91" s="5">
        <v>3</v>
      </c>
      <c r="N91" s="5" t="s">
        <v>4</v>
      </c>
      <c r="O91" s="5">
        <v>-1</v>
      </c>
      <c r="P91" s="5">
        <f>Source!DN68</f>
        <v>0</v>
      </c>
      <c r="Q91" s="5"/>
      <c r="R91" s="5"/>
      <c r="S91" s="5"/>
      <c r="T91" s="5"/>
      <c r="U91" s="5"/>
      <c r="V91" s="5"/>
      <c r="W91" s="5">
        <v>0</v>
      </c>
      <c r="X91" s="5">
        <v>1</v>
      </c>
      <c r="Y91" s="5">
        <v>0</v>
      </c>
      <c r="Z91" s="5">
        <v>0</v>
      </c>
      <c r="AA91" s="5">
        <v>1</v>
      </c>
      <c r="AB91" s="5">
        <v>0</v>
      </c>
    </row>
    <row r="92" spans="1:28">
      <c r="A92" s="5">
        <v>50</v>
      </c>
      <c r="B92" s="5">
        <v>0</v>
      </c>
      <c r="C92" s="5">
        <v>0</v>
      </c>
      <c r="D92" s="5">
        <v>1</v>
      </c>
      <c r="E92" s="5">
        <v>209</v>
      </c>
      <c r="F92" s="5">
        <f>ROUND(Source!W68,O92)</f>
        <v>0</v>
      </c>
      <c r="G92" s="5" t="s">
        <v>76</v>
      </c>
      <c r="H92" s="5" t="s">
        <v>77</v>
      </c>
      <c r="I92" s="5"/>
      <c r="J92" s="5"/>
      <c r="K92" s="5">
        <v>209</v>
      </c>
      <c r="L92" s="5">
        <v>23</v>
      </c>
      <c r="M92" s="5">
        <v>3</v>
      </c>
      <c r="N92" s="5" t="s">
        <v>4</v>
      </c>
      <c r="O92" s="5">
        <v>2</v>
      </c>
      <c r="P92" s="5">
        <f>ROUND(Source!DO68,O92)</f>
        <v>0</v>
      </c>
      <c r="Q92" s="5"/>
      <c r="R92" s="5"/>
      <c r="S92" s="5"/>
      <c r="T92" s="5"/>
      <c r="U92" s="5"/>
      <c r="V92" s="5"/>
      <c r="W92" s="5">
        <v>0</v>
      </c>
      <c r="X92" s="5">
        <v>1</v>
      </c>
      <c r="Y92" s="5">
        <v>0</v>
      </c>
      <c r="Z92" s="5">
        <v>0</v>
      </c>
      <c r="AA92" s="5">
        <v>1</v>
      </c>
      <c r="AB92" s="5">
        <v>0</v>
      </c>
    </row>
    <row r="93" spans="1:28">
      <c r="A93" s="5">
        <v>50</v>
      </c>
      <c r="B93" s="5">
        <v>0</v>
      </c>
      <c r="C93" s="5">
        <v>0</v>
      </c>
      <c r="D93" s="5">
        <v>1</v>
      </c>
      <c r="E93" s="5">
        <v>233</v>
      </c>
      <c r="F93" s="5">
        <f>ROUND(Source!BD68,O93)</f>
        <v>0</v>
      </c>
      <c r="G93" s="5" t="s">
        <v>78</v>
      </c>
      <c r="H93" s="5" t="s">
        <v>79</v>
      </c>
      <c r="I93" s="5"/>
      <c r="J93" s="5"/>
      <c r="K93" s="5">
        <v>233</v>
      </c>
      <c r="L93" s="5">
        <v>24</v>
      </c>
      <c r="M93" s="5">
        <v>3</v>
      </c>
      <c r="N93" s="5" t="s">
        <v>4</v>
      </c>
      <c r="O93" s="5">
        <v>2</v>
      </c>
      <c r="P93" s="5">
        <f>ROUND(Source!EV68,O93)</f>
        <v>0</v>
      </c>
      <c r="Q93" s="5"/>
      <c r="R93" s="5"/>
      <c r="S93" s="5"/>
      <c r="T93" s="5"/>
      <c r="U93" s="5"/>
      <c r="V93" s="5"/>
      <c r="W93" s="5">
        <v>0</v>
      </c>
      <c r="X93" s="5">
        <v>1</v>
      </c>
      <c r="Y93" s="5">
        <v>0</v>
      </c>
      <c r="Z93" s="5">
        <v>0</v>
      </c>
      <c r="AA93" s="5">
        <v>1</v>
      </c>
      <c r="AB93" s="5">
        <v>0</v>
      </c>
    </row>
    <row r="94" spans="1:28">
      <c r="A94" s="5">
        <v>50</v>
      </c>
      <c r="B94" s="5">
        <v>0</v>
      </c>
      <c r="C94" s="5">
        <v>0</v>
      </c>
      <c r="D94" s="5">
        <v>1</v>
      </c>
      <c r="E94" s="5">
        <v>210</v>
      </c>
      <c r="F94" s="5">
        <f>ROUND(Source!X68,O94)</f>
        <v>852.42</v>
      </c>
      <c r="G94" s="5" t="s">
        <v>80</v>
      </c>
      <c r="H94" s="5" t="s">
        <v>81</v>
      </c>
      <c r="I94" s="5"/>
      <c r="J94" s="5"/>
      <c r="K94" s="5">
        <v>210</v>
      </c>
      <c r="L94" s="5">
        <v>25</v>
      </c>
      <c r="M94" s="5">
        <v>3</v>
      </c>
      <c r="N94" s="5" t="s">
        <v>4</v>
      </c>
      <c r="O94" s="5">
        <v>2</v>
      </c>
      <c r="P94" s="5">
        <f>ROUND(Source!DP68,O94)</f>
        <v>32678.46</v>
      </c>
      <c r="Q94" s="5"/>
      <c r="R94" s="5"/>
      <c r="S94" s="5"/>
      <c r="T94" s="5"/>
      <c r="U94" s="5"/>
      <c r="V94" s="5"/>
      <c r="W94" s="5">
        <v>852.42</v>
      </c>
      <c r="X94" s="5">
        <v>1</v>
      </c>
      <c r="Y94" s="5">
        <v>852.42</v>
      </c>
      <c r="Z94" s="5">
        <v>32678.46</v>
      </c>
      <c r="AA94" s="5">
        <v>1</v>
      </c>
      <c r="AB94" s="5">
        <v>32678.46</v>
      </c>
    </row>
    <row r="95" spans="1:28">
      <c r="A95" s="5">
        <v>50</v>
      </c>
      <c r="B95" s="5">
        <v>0</v>
      </c>
      <c r="C95" s="5">
        <v>0</v>
      </c>
      <c r="D95" s="5">
        <v>1</v>
      </c>
      <c r="E95" s="5">
        <v>211</v>
      </c>
      <c r="F95" s="5">
        <f>ROUND(Source!Y68,O95)</f>
        <v>532.76</v>
      </c>
      <c r="G95" s="5" t="s">
        <v>82</v>
      </c>
      <c r="H95" s="5" t="s">
        <v>83</v>
      </c>
      <c r="I95" s="5"/>
      <c r="J95" s="5"/>
      <c r="K95" s="5">
        <v>211</v>
      </c>
      <c r="L95" s="5">
        <v>26</v>
      </c>
      <c r="M95" s="5">
        <v>3</v>
      </c>
      <c r="N95" s="5" t="s">
        <v>4</v>
      </c>
      <c r="O95" s="5">
        <v>2</v>
      </c>
      <c r="P95" s="5">
        <f>ROUND(Source!DQ68,O95)</f>
        <v>15273.63</v>
      </c>
      <c r="Q95" s="5"/>
      <c r="R95" s="5"/>
      <c r="S95" s="5"/>
      <c r="T95" s="5"/>
      <c r="U95" s="5"/>
      <c r="V95" s="5"/>
      <c r="W95" s="5">
        <v>532.76</v>
      </c>
      <c r="X95" s="5">
        <v>1</v>
      </c>
      <c r="Y95" s="5">
        <v>532.76</v>
      </c>
      <c r="Z95" s="5">
        <v>15273.63</v>
      </c>
      <c r="AA95" s="5">
        <v>1</v>
      </c>
      <c r="AB95" s="5">
        <v>15273.63</v>
      </c>
    </row>
    <row r="96" spans="1:28">
      <c r="A96" s="5">
        <v>50</v>
      </c>
      <c r="B96" s="5">
        <v>0</v>
      </c>
      <c r="C96" s="5">
        <v>0</v>
      </c>
      <c r="D96" s="5">
        <v>1</v>
      </c>
      <c r="E96" s="5">
        <v>224</v>
      </c>
      <c r="F96" s="5">
        <f>ROUND(Source!AR68,O96)</f>
        <v>4560.1499999999996</v>
      </c>
      <c r="G96" s="5" t="s">
        <v>84</v>
      </c>
      <c r="H96" s="5" t="s">
        <v>85</v>
      </c>
      <c r="I96" s="5"/>
      <c r="J96" s="5"/>
      <c r="K96" s="5">
        <v>224</v>
      </c>
      <c r="L96" s="5">
        <v>27</v>
      </c>
      <c r="M96" s="5">
        <v>3</v>
      </c>
      <c r="N96" s="5" t="s">
        <v>4</v>
      </c>
      <c r="O96" s="5">
        <v>2</v>
      </c>
      <c r="P96" s="5">
        <f>ROUND(Source!EJ68,O96)</f>
        <v>148541.57</v>
      </c>
      <c r="Q96" s="5"/>
      <c r="R96" s="5"/>
      <c r="S96" s="5"/>
      <c r="T96" s="5"/>
      <c r="U96" s="5"/>
      <c r="V96" s="5"/>
      <c r="W96" s="5">
        <v>4560.1499999999996</v>
      </c>
      <c r="X96" s="5">
        <v>1</v>
      </c>
      <c r="Y96" s="5">
        <v>4560.1499999999996</v>
      </c>
      <c r="Z96" s="5">
        <v>148541.57</v>
      </c>
      <c r="AA96" s="5">
        <v>1</v>
      </c>
      <c r="AB96" s="5">
        <v>148541.57</v>
      </c>
    </row>
    <row r="98" spans="1:255">
      <c r="A98" s="1">
        <v>4</v>
      </c>
      <c r="B98" s="1">
        <v>1</v>
      </c>
      <c r="C98" s="1"/>
      <c r="D98" s="1">
        <f>ROW(A105)</f>
        <v>105</v>
      </c>
      <c r="E98" s="1"/>
      <c r="F98" s="1" t="s">
        <v>18</v>
      </c>
      <c r="G98" s="1" t="s">
        <v>88</v>
      </c>
      <c r="H98" s="1" t="s">
        <v>4</v>
      </c>
      <c r="I98" s="1">
        <v>0</v>
      </c>
      <c r="J98" s="1"/>
      <c r="K98" s="1">
        <v>0</v>
      </c>
      <c r="L98" s="1"/>
      <c r="M98" s="1" t="s">
        <v>4</v>
      </c>
      <c r="N98" s="1"/>
      <c r="O98" s="1"/>
      <c r="P98" s="1"/>
      <c r="Q98" s="1"/>
      <c r="R98" s="1"/>
      <c r="S98" s="1">
        <v>0</v>
      </c>
      <c r="T98" s="1">
        <v>0</v>
      </c>
      <c r="U98" s="1" t="s">
        <v>4</v>
      </c>
      <c r="V98" s="1">
        <v>0</v>
      </c>
      <c r="W98" s="1"/>
      <c r="X98" s="1"/>
      <c r="Y98" s="1"/>
      <c r="Z98" s="1"/>
      <c r="AA98" s="1"/>
      <c r="AB98" s="1" t="s">
        <v>4</v>
      </c>
      <c r="AC98" s="1" t="s">
        <v>4</v>
      </c>
      <c r="AD98" s="1" t="s">
        <v>4</v>
      </c>
      <c r="AE98" s="1" t="s">
        <v>4</v>
      </c>
      <c r="AF98" s="1" t="s">
        <v>4</v>
      </c>
      <c r="AG98" s="1" t="s">
        <v>4</v>
      </c>
      <c r="AH98" s="1"/>
      <c r="AI98" s="1"/>
      <c r="AJ98" s="1"/>
      <c r="AK98" s="1"/>
      <c r="AL98" s="1"/>
      <c r="AM98" s="1"/>
      <c r="AN98" s="1"/>
      <c r="AO98" s="1"/>
      <c r="AP98" s="1" t="s">
        <v>4</v>
      </c>
      <c r="AQ98" s="1" t="s">
        <v>4</v>
      </c>
      <c r="AR98" s="1" t="s">
        <v>4</v>
      </c>
      <c r="AS98" s="1"/>
      <c r="AT98" s="1"/>
      <c r="AU98" s="1"/>
      <c r="AV98" s="1"/>
      <c r="AW98" s="1"/>
      <c r="AX98" s="1"/>
      <c r="AY98" s="1"/>
      <c r="AZ98" s="1" t="s">
        <v>4</v>
      </c>
      <c r="BA98" s="1"/>
      <c r="BB98" s="1" t="s">
        <v>4</v>
      </c>
      <c r="BC98" s="1" t="s">
        <v>4</v>
      </c>
      <c r="BD98" s="1" t="s">
        <v>4</v>
      </c>
      <c r="BE98" s="1" t="s">
        <v>4</v>
      </c>
      <c r="BF98" s="1" t="s">
        <v>4</v>
      </c>
      <c r="BG98" s="1" t="s">
        <v>4</v>
      </c>
      <c r="BH98" s="1" t="s">
        <v>4</v>
      </c>
      <c r="BI98" s="1" t="s">
        <v>4</v>
      </c>
      <c r="BJ98" s="1" t="s">
        <v>4</v>
      </c>
      <c r="BK98" s="1" t="s">
        <v>4</v>
      </c>
      <c r="BL98" s="1" t="s">
        <v>4</v>
      </c>
      <c r="BM98" s="1" t="s">
        <v>4</v>
      </c>
      <c r="BN98" s="1" t="s">
        <v>4</v>
      </c>
      <c r="BO98" s="1" t="s">
        <v>4</v>
      </c>
      <c r="BP98" s="1" t="s">
        <v>4</v>
      </c>
      <c r="BQ98" s="1"/>
      <c r="BR98" s="1"/>
      <c r="BS98" s="1"/>
      <c r="BT98" s="1"/>
      <c r="BU98" s="1"/>
      <c r="BV98" s="1"/>
      <c r="BW98" s="1"/>
      <c r="BX98" s="1">
        <v>0</v>
      </c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>
        <v>0</v>
      </c>
    </row>
    <row r="100" spans="1:255">
      <c r="A100" s="3">
        <v>52</v>
      </c>
      <c r="B100" s="3">
        <f t="shared" ref="B100:G100" si="36">B105</f>
        <v>1</v>
      </c>
      <c r="C100" s="3">
        <f t="shared" si="36"/>
        <v>4</v>
      </c>
      <c r="D100" s="3">
        <f t="shared" si="36"/>
        <v>98</v>
      </c>
      <c r="E100" s="3">
        <f t="shared" si="36"/>
        <v>0</v>
      </c>
      <c r="F100" s="3" t="str">
        <f t="shared" si="36"/>
        <v>Новый раздел</v>
      </c>
      <c r="G100" s="3" t="str">
        <f t="shared" si="36"/>
        <v>Оборудование</v>
      </c>
      <c r="H100" s="3"/>
      <c r="I100" s="3"/>
      <c r="J100" s="3"/>
      <c r="K100" s="3"/>
      <c r="L100" s="3"/>
      <c r="M100" s="3"/>
      <c r="N100" s="3"/>
      <c r="O100" s="3">
        <f t="shared" ref="O100:AT100" si="37">O105</f>
        <v>439830.76</v>
      </c>
      <c r="P100" s="3">
        <f t="shared" si="37"/>
        <v>439830.76</v>
      </c>
      <c r="Q100" s="3">
        <f t="shared" si="37"/>
        <v>0</v>
      </c>
      <c r="R100" s="3">
        <f t="shared" si="37"/>
        <v>0</v>
      </c>
      <c r="S100" s="3">
        <f t="shared" si="37"/>
        <v>0</v>
      </c>
      <c r="T100" s="3">
        <f t="shared" si="37"/>
        <v>0</v>
      </c>
      <c r="U100" s="3">
        <f t="shared" si="37"/>
        <v>0</v>
      </c>
      <c r="V100" s="3">
        <f t="shared" si="37"/>
        <v>0</v>
      </c>
      <c r="W100" s="3">
        <f t="shared" si="37"/>
        <v>0</v>
      </c>
      <c r="X100" s="3">
        <f t="shared" si="37"/>
        <v>0</v>
      </c>
      <c r="Y100" s="3">
        <f t="shared" si="37"/>
        <v>0</v>
      </c>
      <c r="Z100" s="3">
        <f t="shared" si="37"/>
        <v>0</v>
      </c>
      <c r="AA100" s="3">
        <f t="shared" si="37"/>
        <v>0</v>
      </c>
      <c r="AB100" s="3">
        <f t="shared" si="37"/>
        <v>439830.76</v>
      </c>
      <c r="AC100" s="3">
        <f t="shared" si="37"/>
        <v>439830.76</v>
      </c>
      <c r="AD100" s="3">
        <f t="shared" si="37"/>
        <v>0</v>
      </c>
      <c r="AE100" s="3">
        <f t="shared" si="37"/>
        <v>0</v>
      </c>
      <c r="AF100" s="3">
        <f t="shared" si="37"/>
        <v>0</v>
      </c>
      <c r="AG100" s="3">
        <f t="shared" si="37"/>
        <v>0</v>
      </c>
      <c r="AH100" s="3">
        <f t="shared" si="37"/>
        <v>0</v>
      </c>
      <c r="AI100" s="3">
        <f t="shared" si="37"/>
        <v>0</v>
      </c>
      <c r="AJ100" s="3">
        <f t="shared" si="37"/>
        <v>0</v>
      </c>
      <c r="AK100" s="3">
        <f t="shared" si="37"/>
        <v>0</v>
      </c>
      <c r="AL100" s="3">
        <f t="shared" si="37"/>
        <v>0</v>
      </c>
      <c r="AM100" s="3">
        <f t="shared" si="37"/>
        <v>0</v>
      </c>
      <c r="AN100" s="3">
        <f t="shared" si="37"/>
        <v>0</v>
      </c>
      <c r="AO100" s="3">
        <f t="shared" si="37"/>
        <v>0</v>
      </c>
      <c r="AP100" s="3">
        <f t="shared" si="37"/>
        <v>439830.76</v>
      </c>
      <c r="AQ100" s="3">
        <f t="shared" si="37"/>
        <v>0</v>
      </c>
      <c r="AR100" s="3">
        <f t="shared" si="37"/>
        <v>439830.76</v>
      </c>
      <c r="AS100" s="3">
        <f t="shared" si="37"/>
        <v>0</v>
      </c>
      <c r="AT100" s="3">
        <f t="shared" si="37"/>
        <v>0</v>
      </c>
      <c r="AU100" s="3">
        <f t="shared" ref="AU100:BZ100" si="38">AU105</f>
        <v>0</v>
      </c>
      <c r="AV100" s="3">
        <f t="shared" si="38"/>
        <v>439830.76</v>
      </c>
      <c r="AW100" s="3">
        <f t="shared" si="38"/>
        <v>0</v>
      </c>
      <c r="AX100" s="3">
        <f t="shared" si="38"/>
        <v>0</v>
      </c>
      <c r="AY100" s="3">
        <f t="shared" si="38"/>
        <v>0</v>
      </c>
      <c r="AZ100" s="3">
        <f t="shared" si="38"/>
        <v>439830.76</v>
      </c>
      <c r="BA100" s="3">
        <f t="shared" si="38"/>
        <v>0</v>
      </c>
      <c r="BB100" s="3">
        <f t="shared" si="38"/>
        <v>0</v>
      </c>
      <c r="BC100" s="3">
        <f t="shared" si="38"/>
        <v>0</v>
      </c>
      <c r="BD100" s="3">
        <f t="shared" si="38"/>
        <v>0</v>
      </c>
      <c r="BE100" s="3">
        <f t="shared" si="38"/>
        <v>0</v>
      </c>
      <c r="BF100" s="3">
        <f t="shared" si="38"/>
        <v>0</v>
      </c>
      <c r="BG100" s="3">
        <f t="shared" si="38"/>
        <v>0</v>
      </c>
      <c r="BH100" s="3">
        <f t="shared" si="38"/>
        <v>0</v>
      </c>
      <c r="BI100" s="3">
        <f t="shared" si="38"/>
        <v>0</v>
      </c>
      <c r="BJ100" s="3">
        <f t="shared" si="38"/>
        <v>0</v>
      </c>
      <c r="BK100" s="3">
        <f t="shared" si="38"/>
        <v>0</v>
      </c>
      <c r="BL100" s="3">
        <f t="shared" si="38"/>
        <v>0</v>
      </c>
      <c r="BM100" s="3">
        <f t="shared" si="38"/>
        <v>0</v>
      </c>
      <c r="BN100" s="3">
        <f t="shared" si="38"/>
        <v>0</v>
      </c>
      <c r="BO100" s="3">
        <f t="shared" si="38"/>
        <v>0</v>
      </c>
      <c r="BP100" s="3">
        <f t="shared" si="38"/>
        <v>0</v>
      </c>
      <c r="BQ100" s="3">
        <f t="shared" si="38"/>
        <v>0</v>
      </c>
      <c r="BR100" s="3">
        <f t="shared" si="38"/>
        <v>0</v>
      </c>
      <c r="BS100" s="3">
        <f t="shared" si="38"/>
        <v>0</v>
      </c>
      <c r="BT100" s="3">
        <f t="shared" si="38"/>
        <v>0</v>
      </c>
      <c r="BU100" s="3">
        <f t="shared" si="38"/>
        <v>0</v>
      </c>
      <c r="BV100" s="3">
        <f t="shared" si="38"/>
        <v>0</v>
      </c>
      <c r="BW100" s="3">
        <f t="shared" si="38"/>
        <v>0</v>
      </c>
      <c r="BX100" s="3">
        <f t="shared" si="38"/>
        <v>0</v>
      </c>
      <c r="BY100" s="3">
        <f t="shared" si="38"/>
        <v>439830.76</v>
      </c>
      <c r="BZ100" s="3">
        <f t="shared" si="38"/>
        <v>0</v>
      </c>
      <c r="CA100" s="3">
        <f t="shared" ref="CA100:DF100" si="39">CA105</f>
        <v>439830.76</v>
      </c>
      <c r="CB100" s="3">
        <f t="shared" si="39"/>
        <v>0</v>
      </c>
      <c r="CC100" s="3">
        <f t="shared" si="39"/>
        <v>0</v>
      </c>
      <c r="CD100" s="3">
        <f t="shared" si="39"/>
        <v>0</v>
      </c>
      <c r="CE100" s="3">
        <f t="shared" si="39"/>
        <v>439830.76</v>
      </c>
      <c r="CF100" s="3">
        <f t="shared" si="39"/>
        <v>0</v>
      </c>
      <c r="CG100" s="3">
        <f t="shared" si="39"/>
        <v>0</v>
      </c>
      <c r="CH100" s="3">
        <f t="shared" si="39"/>
        <v>0</v>
      </c>
      <c r="CI100" s="3">
        <f t="shared" si="39"/>
        <v>439830.76</v>
      </c>
      <c r="CJ100" s="3">
        <f t="shared" si="39"/>
        <v>0</v>
      </c>
      <c r="CK100" s="3">
        <f t="shared" si="39"/>
        <v>0</v>
      </c>
      <c r="CL100" s="3">
        <f t="shared" si="39"/>
        <v>0</v>
      </c>
      <c r="CM100" s="3">
        <f t="shared" si="39"/>
        <v>0</v>
      </c>
      <c r="CN100" s="3">
        <f t="shared" si="39"/>
        <v>0</v>
      </c>
      <c r="CO100" s="3">
        <f t="shared" si="39"/>
        <v>0</v>
      </c>
      <c r="CP100" s="3">
        <f t="shared" si="39"/>
        <v>0</v>
      </c>
      <c r="CQ100" s="3">
        <f t="shared" si="39"/>
        <v>0</v>
      </c>
      <c r="CR100" s="3">
        <f t="shared" si="39"/>
        <v>0</v>
      </c>
      <c r="CS100" s="3">
        <f t="shared" si="39"/>
        <v>0</v>
      </c>
      <c r="CT100" s="3">
        <f t="shared" si="39"/>
        <v>0</v>
      </c>
      <c r="CU100" s="3">
        <f t="shared" si="39"/>
        <v>0</v>
      </c>
      <c r="CV100" s="3">
        <f t="shared" si="39"/>
        <v>0</v>
      </c>
      <c r="CW100" s="3">
        <f t="shared" si="39"/>
        <v>0</v>
      </c>
      <c r="CX100" s="3">
        <f t="shared" si="39"/>
        <v>0</v>
      </c>
      <c r="CY100" s="3">
        <f t="shared" si="39"/>
        <v>0</v>
      </c>
      <c r="CZ100" s="3">
        <f t="shared" si="39"/>
        <v>0</v>
      </c>
      <c r="DA100" s="3">
        <f t="shared" si="39"/>
        <v>0</v>
      </c>
      <c r="DB100" s="3">
        <f t="shared" si="39"/>
        <v>0</v>
      </c>
      <c r="DC100" s="3">
        <f t="shared" si="39"/>
        <v>0</v>
      </c>
      <c r="DD100" s="3">
        <f t="shared" si="39"/>
        <v>0</v>
      </c>
      <c r="DE100" s="3">
        <f t="shared" si="39"/>
        <v>0</v>
      </c>
      <c r="DF100" s="3">
        <f t="shared" si="39"/>
        <v>0</v>
      </c>
      <c r="DG100" s="4">
        <f t="shared" ref="DG100:EL100" si="40">DG105</f>
        <v>3197569.63</v>
      </c>
      <c r="DH100" s="4">
        <f t="shared" si="40"/>
        <v>3197569.63</v>
      </c>
      <c r="DI100" s="4">
        <f t="shared" si="40"/>
        <v>0</v>
      </c>
      <c r="DJ100" s="4">
        <f t="shared" si="40"/>
        <v>0</v>
      </c>
      <c r="DK100" s="4">
        <f t="shared" si="40"/>
        <v>0</v>
      </c>
      <c r="DL100" s="4">
        <f t="shared" si="40"/>
        <v>0</v>
      </c>
      <c r="DM100" s="4">
        <f t="shared" si="40"/>
        <v>0</v>
      </c>
      <c r="DN100" s="4">
        <f t="shared" si="40"/>
        <v>0</v>
      </c>
      <c r="DO100" s="4">
        <f t="shared" si="40"/>
        <v>0</v>
      </c>
      <c r="DP100" s="4">
        <f t="shared" si="40"/>
        <v>0</v>
      </c>
      <c r="DQ100" s="4">
        <f t="shared" si="40"/>
        <v>0</v>
      </c>
      <c r="DR100" s="4">
        <f t="shared" si="40"/>
        <v>0</v>
      </c>
      <c r="DS100" s="4">
        <f t="shared" si="40"/>
        <v>0</v>
      </c>
      <c r="DT100" s="4">
        <f t="shared" si="40"/>
        <v>3197569.63</v>
      </c>
      <c r="DU100" s="4">
        <f t="shared" si="40"/>
        <v>3197569.63</v>
      </c>
      <c r="DV100" s="4">
        <f t="shared" si="40"/>
        <v>0</v>
      </c>
      <c r="DW100" s="4">
        <f t="shared" si="40"/>
        <v>0</v>
      </c>
      <c r="DX100" s="4">
        <f t="shared" si="40"/>
        <v>0</v>
      </c>
      <c r="DY100" s="4">
        <f t="shared" si="40"/>
        <v>0</v>
      </c>
      <c r="DZ100" s="4">
        <f t="shared" si="40"/>
        <v>0</v>
      </c>
      <c r="EA100" s="4">
        <f t="shared" si="40"/>
        <v>0</v>
      </c>
      <c r="EB100" s="4">
        <f t="shared" si="40"/>
        <v>0</v>
      </c>
      <c r="EC100" s="4">
        <f t="shared" si="40"/>
        <v>0</v>
      </c>
      <c r="ED100" s="4">
        <f t="shared" si="40"/>
        <v>0</v>
      </c>
      <c r="EE100" s="4">
        <f t="shared" si="40"/>
        <v>0</v>
      </c>
      <c r="EF100" s="4">
        <f t="shared" si="40"/>
        <v>0</v>
      </c>
      <c r="EG100" s="4">
        <f t="shared" si="40"/>
        <v>0</v>
      </c>
      <c r="EH100" s="4">
        <f t="shared" si="40"/>
        <v>3197569.63</v>
      </c>
      <c r="EI100" s="4">
        <f t="shared" si="40"/>
        <v>0</v>
      </c>
      <c r="EJ100" s="4">
        <f t="shared" si="40"/>
        <v>3197569.63</v>
      </c>
      <c r="EK100" s="4">
        <f t="shared" si="40"/>
        <v>0</v>
      </c>
      <c r="EL100" s="4">
        <f t="shared" si="40"/>
        <v>0</v>
      </c>
      <c r="EM100" s="4">
        <f t="shared" ref="EM100:FR100" si="41">EM105</f>
        <v>0</v>
      </c>
      <c r="EN100" s="4">
        <f t="shared" si="41"/>
        <v>3197569.63</v>
      </c>
      <c r="EO100" s="4">
        <f t="shared" si="41"/>
        <v>0</v>
      </c>
      <c r="EP100" s="4">
        <f t="shared" si="41"/>
        <v>0</v>
      </c>
      <c r="EQ100" s="4">
        <f t="shared" si="41"/>
        <v>0</v>
      </c>
      <c r="ER100" s="4">
        <f t="shared" si="41"/>
        <v>3197569.63</v>
      </c>
      <c r="ES100" s="4">
        <f t="shared" si="41"/>
        <v>0</v>
      </c>
      <c r="ET100" s="4">
        <f t="shared" si="41"/>
        <v>0</v>
      </c>
      <c r="EU100" s="4">
        <f t="shared" si="41"/>
        <v>0</v>
      </c>
      <c r="EV100" s="4">
        <f t="shared" si="41"/>
        <v>0</v>
      </c>
      <c r="EW100" s="4">
        <f t="shared" si="41"/>
        <v>0</v>
      </c>
      <c r="EX100" s="4">
        <f t="shared" si="41"/>
        <v>0</v>
      </c>
      <c r="EY100" s="4">
        <f t="shared" si="41"/>
        <v>0</v>
      </c>
      <c r="EZ100" s="4">
        <f t="shared" si="41"/>
        <v>0</v>
      </c>
      <c r="FA100" s="4">
        <f t="shared" si="41"/>
        <v>0</v>
      </c>
      <c r="FB100" s="4">
        <f t="shared" si="41"/>
        <v>0</v>
      </c>
      <c r="FC100" s="4">
        <f t="shared" si="41"/>
        <v>0</v>
      </c>
      <c r="FD100" s="4">
        <f t="shared" si="41"/>
        <v>0</v>
      </c>
      <c r="FE100" s="4">
        <f t="shared" si="41"/>
        <v>0</v>
      </c>
      <c r="FF100" s="4">
        <f t="shared" si="41"/>
        <v>0</v>
      </c>
      <c r="FG100" s="4">
        <f t="shared" si="41"/>
        <v>0</v>
      </c>
      <c r="FH100" s="4">
        <f t="shared" si="41"/>
        <v>0</v>
      </c>
      <c r="FI100" s="4">
        <f t="shared" si="41"/>
        <v>0</v>
      </c>
      <c r="FJ100" s="4">
        <f t="shared" si="41"/>
        <v>0</v>
      </c>
      <c r="FK100" s="4">
        <f t="shared" si="41"/>
        <v>0</v>
      </c>
      <c r="FL100" s="4">
        <f t="shared" si="41"/>
        <v>0</v>
      </c>
      <c r="FM100" s="4">
        <f t="shared" si="41"/>
        <v>0</v>
      </c>
      <c r="FN100" s="4">
        <f t="shared" si="41"/>
        <v>0</v>
      </c>
      <c r="FO100" s="4">
        <f t="shared" si="41"/>
        <v>0</v>
      </c>
      <c r="FP100" s="4">
        <f t="shared" si="41"/>
        <v>0</v>
      </c>
      <c r="FQ100" s="4">
        <f t="shared" si="41"/>
        <v>3197569.63</v>
      </c>
      <c r="FR100" s="4">
        <f t="shared" si="41"/>
        <v>0</v>
      </c>
      <c r="FS100" s="4">
        <f t="shared" ref="FS100:GX100" si="42">FS105</f>
        <v>3197569.63</v>
      </c>
      <c r="FT100" s="4">
        <f t="shared" si="42"/>
        <v>0</v>
      </c>
      <c r="FU100" s="4">
        <f t="shared" si="42"/>
        <v>0</v>
      </c>
      <c r="FV100" s="4">
        <f t="shared" si="42"/>
        <v>0</v>
      </c>
      <c r="FW100" s="4">
        <f t="shared" si="42"/>
        <v>3197569.63</v>
      </c>
      <c r="FX100" s="4">
        <f t="shared" si="42"/>
        <v>0</v>
      </c>
      <c r="FY100" s="4">
        <f t="shared" si="42"/>
        <v>0</v>
      </c>
      <c r="FZ100" s="4">
        <f t="shared" si="42"/>
        <v>0</v>
      </c>
      <c r="GA100" s="4">
        <f t="shared" si="42"/>
        <v>3197569.63</v>
      </c>
      <c r="GB100" s="4">
        <f t="shared" si="42"/>
        <v>0</v>
      </c>
      <c r="GC100" s="4">
        <f t="shared" si="42"/>
        <v>0</v>
      </c>
      <c r="GD100" s="4">
        <f t="shared" si="42"/>
        <v>0</v>
      </c>
      <c r="GE100" s="4">
        <f t="shared" si="42"/>
        <v>0</v>
      </c>
      <c r="GF100" s="4">
        <f t="shared" si="42"/>
        <v>0</v>
      </c>
      <c r="GG100" s="4">
        <f t="shared" si="42"/>
        <v>0</v>
      </c>
      <c r="GH100" s="4">
        <f t="shared" si="42"/>
        <v>0</v>
      </c>
      <c r="GI100" s="4">
        <f t="shared" si="42"/>
        <v>0</v>
      </c>
      <c r="GJ100" s="4">
        <f t="shared" si="42"/>
        <v>0</v>
      </c>
      <c r="GK100" s="4">
        <f t="shared" si="42"/>
        <v>0</v>
      </c>
      <c r="GL100" s="4">
        <f t="shared" si="42"/>
        <v>0</v>
      </c>
      <c r="GM100" s="4">
        <f t="shared" si="42"/>
        <v>0</v>
      </c>
      <c r="GN100" s="4">
        <f t="shared" si="42"/>
        <v>0</v>
      </c>
      <c r="GO100" s="4">
        <f t="shared" si="42"/>
        <v>0</v>
      </c>
      <c r="GP100" s="4">
        <f t="shared" si="42"/>
        <v>0</v>
      </c>
      <c r="GQ100" s="4">
        <f t="shared" si="42"/>
        <v>0</v>
      </c>
      <c r="GR100" s="4">
        <f t="shared" si="42"/>
        <v>0</v>
      </c>
      <c r="GS100" s="4">
        <f t="shared" si="42"/>
        <v>0</v>
      </c>
      <c r="GT100" s="4">
        <f t="shared" si="42"/>
        <v>0</v>
      </c>
      <c r="GU100" s="4">
        <f t="shared" si="42"/>
        <v>0</v>
      </c>
      <c r="GV100" s="4">
        <f t="shared" si="42"/>
        <v>0</v>
      </c>
      <c r="GW100" s="4">
        <f t="shared" si="42"/>
        <v>0</v>
      </c>
      <c r="GX100" s="4">
        <f t="shared" si="42"/>
        <v>0</v>
      </c>
    </row>
    <row r="102" spans="1:255">
      <c r="A102" s="2">
        <v>17</v>
      </c>
      <c r="B102" s="2">
        <v>1</v>
      </c>
      <c r="C102" s="2"/>
      <c r="D102" s="2"/>
      <c r="E102" s="2" t="s">
        <v>89</v>
      </c>
      <c r="F102" s="2" t="s">
        <v>90</v>
      </c>
      <c r="G102" s="2" t="s">
        <v>91</v>
      </c>
      <c r="H102" s="2" t="s">
        <v>92</v>
      </c>
      <c r="I102" s="2">
        <v>2</v>
      </c>
      <c r="J102" s="2">
        <v>0</v>
      </c>
      <c r="K102" s="2">
        <v>2</v>
      </c>
      <c r="L102" s="2"/>
      <c r="M102" s="2"/>
      <c r="N102" s="2"/>
      <c r="O102" s="2">
        <f>ROUND(CP102,2)</f>
        <v>439830.76</v>
      </c>
      <c r="P102" s="2">
        <f>ROUND((ROUND((AC102*AW102*I102),2)*BC102),2)</f>
        <v>439830.76</v>
      </c>
      <c r="Q102" s="2">
        <f>(ROUND((ROUND(((ET102)*AV102*I102),2)*BB102),2)+ROUND((ROUND(((AE102-(EU102))*AV102*I102),2)*BS102),2))</f>
        <v>0</v>
      </c>
      <c r="R102" s="2">
        <f>ROUND((ROUND((AE102*AV102*I102),2)*BS102),2)</f>
        <v>0</v>
      </c>
      <c r="S102" s="2">
        <f>ROUND((ROUND((AF102*AV102*I102),2)*BA102),2)</f>
        <v>0</v>
      </c>
      <c r="T102" s="2">
        <f>ROUND(CU102*I102,2)</f>
        <v>0</v>
      </c>
      <c r="U102" s="2">
        <f>CV102*I102</f>
        <v>0</v>
      </c>
      <c r="V102" s="2">
        <f>CW102*I102</f>
        <v>0</v>
      </c>
      <c r="W102" s="2">
        <f>ROUND(CX102*I102,2)</f>
        <v>0</v>
      </c>
      <c r="X102" s="2">
        <f>ROUND(CY102,2)</f>
        <v>0</v>
      </c>
      <c r="Y102" s="2">
        <f>ROUND(CZ102,2)</f>
        <v>0</v>
      </c>
      <c r="Z102" s="2"/>
      <c r="AA102" s="2">
        <v>70322994</v>
      </c>
      <c r="AB102" s="2">
        <f>ROUND((AC102+AD102+AF102),6)</f>
        <v>219915.38</v>
      </c>
      <c r="AC102" s="2">
        <f>ROUND((ES102),6)</f>
        <v>219915.38</v>
      </c>
      <c r="AD102" s="2">
        <f>ROUND((((ET102)-(EU102))+AE102),6)</f>
        <v>0</v>
      </c>
      <c r="AE102" s="2">
        <f>ROUND((EU102),6)</f>
        <v>0</v>
      </c>
      <c r="AF102" s="2">
        <f>ROUND((EV102),6)</f>
        <v>0</v>
      </c>
      <c r="AG102" s="2">
        <f>ROUND((AP102),6)</f>
        <v>0</v>
      </c>
      <c r="AH102" s="2">
        <f>(EW102)</f>
        <v>0</v>
      </c>
      <c r="AI102" s="2">
        <f>(EX102)</f>
        <v>0</v>
      </c>
      <c r="AJ102" s="2">
        <f>(AS102)</f>
        <v>0</v>
      </c>
      <c r="AK102" s="2">
        <v>219915.38</v>
      </c>
      <c r="AL102" s="2">
        <v>219915.38</v>
      </c>
      <c r="AM102" s="2">
        <v>0</v>
      </c>
      <c r="AN102" s="2">
        <v>0</v>
      </c>
      <c r="AO102" s="2">
        <v>0</v>
      </c>
      <c r="AP102" s="2">
        <v>0</v>
      </c>
      <c r="AQ102" s="2">
        <v>0</v>
      </c>
      <c r="AR102" s="2">
        <v>0</v>
      </c>
      <c r="AS102" s="2">
        <v>0</v>
      </c>
      <c r="AT102" s="2">
        <v>0</v>
      </c>
      <c r="AU102" s="2">
        <v>0</v>
      </c>
      <c r="AV102" s="2">
        <v>1</v>
      </c>
      <c r="AW102" s="2">
        <v>1</v>
      </c>
      <c r="AX102" s="2"/>
      <c r="AY102" s="2"/>
      <c r="AZ102" s="2">
        <v>1</v>
      </c>
      <c r="BA102" s="2">
        <v>1</v>
      </c>
      <c r="BB102" s="2">
        <v>1</v>
      </c>
      <c r="BC102" s="2">
        <v>1</v>
      </c>
      <c r="BD102" s="2" t="s">
        <v>4</v>
      </c>
      <c r="BE102" s="2" t="s">
        <v>4</v>
      </c>
      <c r="BF102" s="2" t="s">
        <v>4</v>
      </c>
      <c r="BG102" s="2" t="s">
        <v>4</v>
      </c>
      <c r="BH102" s="2">
        <v>3</v>
      </c>
      <c r="BI102" s="2">
        <v>3</v>
      </c>
      <c r="BJ102" s="2" t="s">
        <v>4</v>
      </c>
      <c r="BK102" s="2"/>
      <c r="BL102" s="2"/>
      <c r="BM102" s="2">
        <v>400002</v>
      </c>
      <c r="BN102" s="2">
        <v>0</v>
      </c>
      <c r="BO102" s="2" t="s">
        <v>4</v>
      </c>
      <c r="BP102" s="2">
        <v>0</v>
      </c>
      <c r="BQ102" s="2">
        <v>202</v>
      </c>
      <c r="BR102" s="2">
        <v>0</v>
      </c>
      <c r="BS102" s="2">
        <v>1</v>
      </c>
      <c r="BT102" s="2">
        <v>1</v>
      </c>
      <c r="BU102" s="2">
        <v>1</v>
      </c>
      <c r="BV102" s="2">
        <v>1</v>
      </c>
      <c r="BW102" s="2">
        <v>1</v>
      </c>
      <c r="BX102" s="2">
        <v>1</v>
      </c>
      <c r="BY102" s="2" t="s">
        <v>4</v>
      </c>
      <c r="BZ102" s="2">
        <v>0</v>
      </c>
      <c r="CA102" s="2">
        <v>0</v>
      </c>
      <c r="CB102" s="2" t="s">
        <v>4</v>
      </c>
      <c r="CC102" s="2"/>
      <c r="CD102" s="2"/>
      <c r="CE102" s="2">
        <v>30</v>
      </c>
      <c r="CF102" s="2">
        <v>0</v>
      </c>
      <c r="CG102" s="2">
        <v>0</v>
      </c>
      <c r="CH102" s="2"/>
      <c r="CI102" s="2"/>
      <c r="CJ102" s="2"/>
      <c r="CK102" s="2"/>
      <c r="CL102" s="2"/>
      <c r="CM102" s="2">
        <v>0</v>
      </c>
      <c r="CN102" s="2" t="s">
        <v>4</v>
      </c>
      <c r="CO102" s="2">
        <v>0</v>
      </c>
      <c r="CP102" s="2">
        <f>(P102+Q102+S102)</f>
        <v>439830.76</v>
      </c>
      <c r="CQ102" s="2">
        <f>ROUND((ROUND((AC102*AW102*1),2)*BC102),2)</f>
        <v>219915.38</v>
      </c>
      <c r="CR102" s="2">
        <f>(ROUND((ROUND(((ET102)*AV102*1),2)*BB102),2)+ROUND((ROUND(((AE102-(EU102))*AV102*1),2)*BS102),2))</f>
        <v>0</v>
      </c>
      <c r="CS102" s="2">
        <f>ROUND((ROUND((AE102*AV102*1),2)*BS102),2)</f>
        <v>0</v>
      </c>
      <c r="CT102" s="2">
        <f>ROUND((ROUND((AF102*AV102*1),2)*BA102),2)</f>
        <v>0</v>
      </c>
      <c r="CU102" s="2">
        <f>AG102</f>
        <v>0</v>
      </c>
      <c r="CV102" s="2">
        <f>(AH102*AV102)</f>
        <v>0</v>
      </c>
      <c r="CW102" s="2">
        <f>AI102</f>
        <v>0</v>
      </c>
      <c r="CX102" s="2">
        <f>AJ102</f>
        <v>0</v>
      </c>
      <c r="CY102" s="2">
        <f>((S102*BZ102)/100)</f>
        <v>0</v>
      </c>
      <c r="CZ102" s="2">
        <f>((S102*CA102)/100)</f>
        <v>0</v>
      </c>
      <c r="DA102" s="2"/>
      <c r="DB102" s="2"/>
      <c r="DC102" s="2" t="s">
        <v>4</v>
      </c>
      <c r="DD102" s="2" t="s">
        <v>4</v>
      </c>
      <c r="DE102" s="2" t="s">
        <v>4</v>
      </c>
      <c r="DF102" s="2" t="s">
        <v>4</v>
      </c>
      <c r="DG102" s="2" t="s">
        <v>4</v>
      </c>
      <c r="DH102" s="2" t="s">
        <v>4</v>
      </c>
      <c r="DI102" s="2" t="s">
        <v>4</v>
      </c>
      <c r="DJ102" s="2" t="s">
        <v>4</v>
      </c>
      <c r="DK102" s="2" t="s">
        <v>4</v>
      </c>
      <c r="DL102" s="2" t="s">
        <v>4</v>
      </c>
      <c r="DM102" s="2" t="s">
        <v>4</v>
      </c>
      <c r="DN102" s="2">
        <v>0</v>
      </c>
      <c r="DO102" s="2">
        <v>0</v>
      </c>
      <c r="DP102" s="2">
        <v>1</v>
      </c>
      <c r="DQ102" s="2">
        <v>1</v>
      </c>
      <c r="DR102" s="2"/>
      <c r="DS102" s="2"/>
      <c r="DT102" s="2"/>
      <c r="DU102" s="2">
        <v>1010</v>
      </c>
      <c r="DV102" s="2" t="s">
        <v>92</v>
      </c>
      <c r="DW102" s="2" t="s">
        <v>92</v>
      </c>
      <c r="DX102" s="2">
        <v>1</v>
      </c>
      <c r="DY102" s="2"/>
      <c r="DZ102" s="2" t="s">
        <v>4</v>
      </c>
      <c r="EA102" s="2" t="s">
        <v>4</v>
      </c>
      <c r="EB102" s="2" t="s">
        <v>4</v>
      </c>
      <c r="EC102" s="2" t="s">
        <v>4</v>
      </c>
      <c r="ED102" s="2"/>
      <c r="EE102" s="2">
        <v>69254592</v>
      </c>
      <c r="EF102" s="2">
        <v>202</v>
      </c>
      <c r="EG102" s="2" t="s">
        <v>93</v>
      </c>
      <c r="EH102" s="2">
        <v>0</v>
      </c>
      <c r="EI102" s="2" t="s">
        <v>4</v>
      </c>
      <c r="EJ102" s="2">
        <v>1</v>
      </c>
      <c r="EK102" s="2">
        <v>400002</v>
      </c>
      <c r="EL102" s="2" t="s">
        <v>94</v>
      </c>
      <c r="EM102" s="2" t="s">
        <v>93</v>
      </c>
      <c r="EN102" s="2"/>
      <c r="EO102" s="2" t="s">
        <v>4</v>
      </c>
      <c r="EP102" s="2"/>
      <c r="EQ102" s="2">
        <v>0</v>
      </c>
      <c r="ER102" s="2">
        <v>0</v>
      </c>
      <c r="ES102" s="2">
        <v>219915.38</v>
      </c>
      <c r="ET102" s="2">
        <v>0</v>
      </c>
      <c r="EU102" s="2">
        <v>0</v>
      </c>
      <c r="EV102" s="2">
        <v>0</v>
      </c>
      <c r="EW102" s="2">
        <v>0</v>
      </c>
      <c r="EX102" s="2">
        <v>0</v>
      </c>
      <c r="EY102" s="2">
        <v>0</v>
      </c>
      <c r="EZ102" s="2"/>
      <c r="FA102" s="2"/>
      <c r="FB102" s="2"/>
      <c r="FC102" s="2"/>
      <c r="FD102" s="2"/>
      <c r="FE102" s="2"/>
      <c r="FF102" s="2"/>
      <c r="FG102" s="2"/>
      <c r="FH102" s="2"/>
      <c r="FI102" s="2"/>
      <c r="FJ102" s="2"/>
      <c r="FK102" s="2"/>
      <c r="FL102" s="2"/>
      <c r="FM102" s="2"/>
      <c r="FN102" s="2"/>
      <c r="FO102" s="2"/>
      <c r="FP102" s="2"/>
      <c r="FQ102" s="2">
        <v>0</v>
      </c>
      <c r="FR102" s="2">
        <f>ROUND(IF(BI102=3,GM102,0),2)</f>
        <v>439830.76</v>
      </c>
      <c r="FS102" s="2">
        <v>0</v>
      </c>
      <c r="FT102" s="2"/>
      <c r="FU102" s="2"/>
      <c r="FV102" s="2"/>
      <c r="FW102" s="2"/>
      <c r="FX102" s="2">
        <v>0</v>
      </c>
      <c r="FY102" s="2">
        <v>0</v>
      </c>
      <c r="FZ102" s="2"/>
      <c r="GA102" s="2" t="s">
        <v>95</v>
      </c>
      <c r="GB102" s="2"/>
      <c r="GC102" s="2"/>
      <c r="GD102" s="2">
        <v>0</v>
      </c>
      <c r="GE102" s="2"/>
      <c r="GF102" s="2">
        <v>557906678</v>
      </c>
      <c r="GG102" s="2">
        <v>2</v>
      </c>
      <c r="GH102" s="2">
        <v>4</v>
      </c>
      <c r="GI102" s="2">
        <v>-2</v>
      </c>
      <c r="GJ102" s="2">
        <v>0</v>
      </c>
      <c r="GK102" s="2">
        <f>ROUND(R102*(R12)/100,2)</f>
        <v>0</v>
      </c>
      <c r="GL102" s="2">
        <f>ROUND(IF(AND(BH102=3,BI102=3,FS102&lt;&gt;0),P102,0),2)</f>
        <v>0</v>
      </c>
      <c r="GM102" s="2">
        <f>ROUND(O102+X102+Y102+GK102,2)+GX102</f>
        <v>439830.76</v>
      </c>
      <c r="GN102" s="2">
        <f>IF(OR(BI102=0,BI102=1),GM102-GX102,0)</f>
        <v>0</v>
      </c>
      <c r="GO102" s="2">
        <f>IF(BI102=2,GM102-GX102,0)</f>
        <v>0</v>
      </c>
      <c r="GP102" s="2">
        <f>IF(BI102=4,GM102-GX102,0)</f>
        <v>0</v>
      </c>
      <c r="GQ102" s="2"/>
      <c r="GR102" s="2">
        <v>0</v>
      </c>
      <c r="GS102" s="2">
        <v>2</v>
      </c>
      <c r="GT102" s="2">
        <v>0</v>
      </c>
      <c r="GU102" s="2" t="s">
        <v>4</v>
      </c>
      <c r="GV102" s="2">
        <f>ROUND((GT102),6)</f>
        <v>0</v>
      </c>
      <c r="GW102" s="2">
        <v>1</v>
      </c>
      <c r="GX102" s="2">
        <f>ROUND(HC102*I102,2)</f>
        <v>0</v>
      </c>
      <c r="GY102" s="2"/>
      <c r="GZ102" s="2"/>
      <c r="HA102" s="2">
        <v>0</v>
      </c>
      <c r="HB102" s="2">
        <v>0</v>
      </c>
      <c r="HC102" s="2">
        <f>GV102*GW102</f>
        <v>0</v>
      </c>
      <c r="HD102" s="2"/>
      <c r="HE102" s="2" t="s">
        <v>89</v>
      </c>
      <c r="HF102" s="2" t="s">
        <v>96</v>
      </c>
      <c r="HG102" s="2"/>
      <c r="HH102" s="2"/>
      <c r="HI102" s="2"/>
      <c r="HJ102" s="2"/>
      <c r="HK102" s="2"/>
      <c r="HL102" s="2"/>
      <c r="HM102" s="2" t="s">
        <v>4</v>
      </c>
      <c r="HN102" s="2" t="s">
        <v>4</v>
      </c>
      <c r="HO102" s="2" t="s">
        <v>4</v>
      </c>
      <c r="HP102" s="2" t="s">
        <v>4</v>
      </c>
      <c r="HQ102" s="2" t="s">
        <v>4</v>
      </c>
      <c r="HR102" s="2"/>
      <c r="HS102" s="2"/>
      <c r="HT102" s="2"/>
      <c r="HU102" s="2"/>
      <c r="HV102" s="2"/>
      <c r="HW102" s="2"/>
      <c r="HX102" s="2"/>
      <c r="HY102" s="2"/>
      <c r="HZ102" s="2"/>
      <c r="IA102" s="2"/>
      <c r="IB102" s="2"/>
      <c r="IC102" s="2"/>
      <c r="ID102" s="2"/>
      <c r="IE102" s="2"/>
      <c r="IF102" s="2"/>
      <c r="IG102" s="2"/>
      <c r="IH102" s="2"/>
      <c r="II102" s="2"/>
      <c r="IJ102" s="2"/>
      <c r="IK102" s="2">
        <v>0</v>
      </c>
      <c r="IL102" s="2"/>
      <c r="IM102" s="2"/>
      <c r="IN102" s="2"/>
      <c r="IO102" s="2"/>
      <c r="IP102" s="2"/>
      <c r="IQ102" s="2"/>
      <c r="IR102" s="2"/>
      <c r="IS102" s="2"/>
      <c r="IT102" s="2"/>
      <c r="IU102" s="2"/>
    </row>
    <row r="103" spans="1:255">
      <c r="A103">
        <v>17</v>
      </c>
      <c r="B103">
        <v>1</v>
      </c>
      <c r="E103" t="s">
        <v>89</v>
      </c>
      <c r="F103" t="s">
        <v>90</v>
      </c>
      <c r="G103" t="s">
        <v>91</v>
      </c>
      <c r="H103" t="s">
        <v>92</v>
      </c>
      <c r="I103">
        <v>2</v>
      </c>
      <c r="J103">
        <v>0</v>
      </c>
      <c r="K103">
        <v>2</v>
      </c>
      <c r="O103">
        <f>ROUND(CP103,2)</f>
        <v>3197569.63</v>
      </c>
      <c r="P103">
        <f>ROUND((ROUND((AC103*AW103*I103),2)*BC103),2)</f>
        <v>3197569.63</v>
      </c>
      <c r="Q103">
        <f>(ROUND((ROUND(((ET103)*AV103*I103),2)*BB103),2)+ROUND((ROUND(((AE103-(EU103))*AV103*I103),2)*BS103),2))</f>
        <v>0</v>
      </c>
      <c r="R103">
        <f>ROUND((ROUND((AE103*AV103*I103),2)*BS103),2)</f>
        <v>0</v>
      </c>
      <c r="S103">
        <f>ROUND((ROUND((AF103*AV103*I103),2)*BA103),2)</f>
        <v>0</v>
      </c>
      <c r="T103">
        <f>ROUND(CU103*I103,2)</f>
        <v>0</v>
      </c>
      <c r="U103">
        <f>CV103*I103</f>
        <v>0</v>
      </c>
      <c r="V103">
        <f>CW103*I103</f>
        <v>0</v>
      </c>
      <c r="W103">
        <f>ROUND(CX103*I103,2)</f>
        <v>0</v>
      </c>
      <c r="X103">
        <f>ROUND(CY103,2)</f>
        <v>0</v>
      </c>
      <c r="Y103">
        <f>ROUND(CZ103,2)</f>
        <v>0</v>
      </c>
      <c r="AA103">
        <v>70322991</v>
      </c>
      <c r="AB103">
        <f>ROUND((AC103+AD103+AF103),6)</f>
        <v>219915.38</v>
      </c>
      <c r="AC103">
        <f>ROUND((ES103),6)</f>
        <v>219915.38</v>
      </c>
      <c r="AD103">
        <f>ROUND((((ET103)-(EU103))+AE103),6)</f>
        <v>0</v>
      </c>
      <c r="AE103">
        <f>ROUND((EU103),6)</f>
        <v>0</v>
      </c>
      <c r="AF103">
        <f>ROUND((EV103),6)</f>
        <v>0</v>
      </c>
      <c r="AG103">
        <f>ROUND((AP103),6)</f>
        <v>0</v>
      </c>
      <c r="AH103">
        <f>(EW103)</f>
        <v>0</v>
      </c>
      <c r="AI103">
        <f>(EX103)</f>
        <v>0</v>
      </c>
      <c r="AJ103">
        <f>(AS103)</f>
        <v>0</v>
      </c>
      <c r="AK103">
        <v>219915.38</v>
      </c>
      <c r="AL103">
        <v>219915.38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1</v>
      </c>
      <c r="AW103">
        <v>1</v>
      </c>
      <c r="AZ103">
        <v>1</v>
      </c>
      <c r="BA103">
        <v>1</v>
      </c>
      <c r="BB103">
        <v>1</v>
      </c>
      <c r="BC103">
        <v>7.27</v>
      </c>
      <c r="BD103" t="s">
        <v>4</v>
      </c>
      <c r="BE103" t="s">
        <v>4</v>
      </c>
      <c r="BF103" t="s">
        <v>4</v>
      </c>
      <c r="BG103" t="s">
        <v>4</v>
      </c>
      <c r="BH103">
        <v>3</v>
      </c>
      <c r="BI103">
        <v>3</v>
      </c>
      <c r="BJ103" t="s">
        <v>4</v>
      </c>
      <c r="BM103">
        <v>400002</v>
      </c>
      <c r="BN103">
        <v>0</v>
      </c>
      <c r="BO103" t="s">
        <v>4</v>
      </c>
      <c r="BP103">
        <v>0</v>
      </c>
      <c r="BQ103">
        <v>202</v>
      </c>
      <c r="BR103">
        <v>0</v>
      </c>
      <c r="BS103">
        <v>1</v>
      </c>
      <c r="BT103">
        <v>1</v>
      </c>
      <c r="BU103">
        <v>1</v>
      </c>
      <c r="BV103">
        <v>1</v>
      </c>
      <c r="BW103">
        <v>1</v>
      </c>
      <c r="BX103">
        <v>1</v>
      </c>
      <c r="BY103" t="s">
        <v>4</v>
      </c>
      <c r="BZ103">
        <v>0</v>
      </c>
      <c r="CA103">
        <v>0</v>
      </c>
      <c r="CB103" t="s">
        <v>4</v>
      </c>
      <c r="CE103">
        <v>30</v>
      </c>
      <c r="CF103">
        <v>0</v>
      </c>
      <c r="CG103">
        <v>0</v>
      </c>
      <c r="CM103">
        <v>0</v>
      </c>
      <c r="CN103" t="s">
        <v>4</v>
      </c>
      <c r="CO103">
        <v>0</v>
      </c>
      <c r="CP103">
        <f>(P103+Q103+S103)</f>
        <v>3197569.63</v>
      </c>
      <c r="CQ103">
        <f>ROUND((ROUND((AC103*AW103*1),2)*BC103),2)</f>
        <v>1598784.81</v>
      </c>
      <c r="CR103">
        <f>(ROUND((ROUND(((ET103)*AV103*1),2)*BB103),2)+ROUND((ROUND(((AE103-(EU103))*AV103*1),2)*BS103),2))</f>
        <v>0</v>
      </c>
      <c r="CS103">
        <f>ROUND((ROUND((AE103*AV103*1),2)*BS103),2)</f>
        <v>0</v>
      </c>
      <c r="CT103">
        <f>ROUND((ROUND((AF103*AV103*1),2)*BA103),2)</f>
        <v>0</v>
      </c>
      <c r="CU103">
        <f>AG103</f>
        <v>0</v>
      </c>
      <c r="CV103">
        <f>(AH103*AV103)</f>
        <v>0</v>
      </c>
      <c r="CW103">
        <f>AI103</f>
        <v>0</v>
      </c>
      <c r="CX103">
        <f>AJ103</f>
        <v>0</v>
      </c>
      <c r="CY103">
        <f>S103*(BZ103/100)</f>
        <v>0</v>
      </c>
      <c r="CZ103">
        <f>S103*(CA103/100)</f>
        <v>0</v>
      </c>
      <c r="DC103" t="s">
        <v>4</v>
      </c>
      <c r="DD103" t="s">
        <v>4</v>
      </c>
      <c r="DE103" t="s">
        <v>4</v>
      </c>
      <c r="DF103" t="s">
        <v>4</v>
      </c>
      <c r="DG103" t="s">
        <v>4</v>
      </c>
      <c r="DH103" t="s">
        <v>4</v>
      </c>
      <c r="DI103" t="s">
        <v>4</v>
      </c>
      <c r="DJ103" t="s">
        <v>4</v>
      </c>
      <c r="DK103" t="s">
        <v>4</v>
      </c>
      <c r="DL103" t="s">
        <v>4</v>
      </c>
      <c r="DM103" t="s">
        <v>4</v>
      </c>
      <c r="DN103">
        <v>0</v>
      </c>
      <c r="DO103">
        <v>0</v>
      </c>
      <c r="DP103">
        <v>1</v>
      </c>
      <c r="DQ103">
        <v>1</v>
      </c>
      <c r="DU103">
        <v>1010</v>
      </c>
      <c r="DV103" t="s">
        <v>92</v>
      </c>
      <c r="DW103" t="s">
        <v>92</v>
      </c>
      <c r="DX103">
        <v>1</v>
      </c>
      <c r="DZ103" t="s">
        <v>4</v>
      </c>
      <c r="EA103" t="s">
        <v>4</v>
      </c>
      <c r="EB103" t="s">
        <v>4</v>
      </c>
      <c r="EC103" t="s">
        <v>4</v>
      </c>
      <c r="EE103">
        <v>69254592</v>
      </c>
      <c r="EF103">
        <v>202</v>
      </c>
      <c r="EG103" t="s">
        <v>93</v>
      </c>
      <c r="EH103">
        <v>0</v>
      </c>
      <c r="EI103" t="s">
        <v>4</v>
      </c>
      <c r="EJ103">
        <v>1</v>
      </c>
      <c r="EK103">
        <v>400002</v>
      </c>
      <c r="EL103" t="s">
        <v>94</v>
      </c>
      <c r="EM103" t="s">
        <v>93</v>
      </c>
      <c r="EO103" t="s">
        <v>4</v>
      </c>
      <c r="EQ103">
        <v>0</v>
      </c>
      <c r="ER103">
        <v>219915.38</v>
      </c>
      <c r="ES103">
        <v>219915.38</v>
      </c>
      <c r="ET103">
        <v>0</v>
      </c>
      <c r="EU103">
        <v>0</v>
      </c>
      <c r="EV103">
        <v>0</v>
      </c>
      <c r="EW103">
        <v>0</v>
      </c>
      <c r="EX103">
        <v>0</v>
      </c>
      <c r="EY103">
        <v>0</v>
      </c>
      <c r="EZ103">
        <v>5</v>
      </c>
      <c r="FC103">
        <v>1</v>
      </c>
      <c r="FD103">
        <v>18</v>
      </c>
      <c r="FF103">
        <v>1840575</v>
      </c>
      <c r="FQ103">
        <v>0</v>
      </c>
      <c r="FR103">
        <f>ROUND(IF(BI103=3,GM103,0),2)</f>
        <v>3197569.63</v>
      </c>
      <c r="FS103">
        <v>0</v>
      </c>
      <c r="FX103">
        <v>0</v>
      </c>
      <c r="FY103">
        <v>0</v>
      </c>
      <c r="GA103" t="s">
        <v>95</v>
      </c>
      <c r="GD103">
        <v>0</v>
      </c>
      <c r="GF103">
        <v>557906678</v>
      </c>
      <c r="GG103">
        <v>2</v>
      </c>
      <c r="GH103">
        <v>3</v>
      </c>
      <c r="GI103">
        <v>3</v>
      </c>
      <c r="GJ103">
        <v>0</v>
      </c>
      <c r="GK103">
        <f>ROUND(R103*(S12)/100,2)</f>
        <v>0</v>
      </c>
      <c r="GL103">
        <f>ROUND(IF(AND(BH103=3,BI103=3,FS103&lt;&gt;0),P103,0),2)</f>
        <v>0</v>
      </c>
      <c r="GM103">
        <f>ROUND(O103+X103+Y103+GK103,2)+GX103</f>
        <v>3197569.63</v>
      </c>
      <c r="GN103">
        <f>IF(OR(BI103=0,BI103=1),GM103-GX103,0)</f>
        <v>0</v>
      </c>
      <c r="GO103">
        <f>IF(BI103=2,GM103-GX103,0)</f>
        <v>0</v>
      </c>
      <c r="GP103">
        <f>IF(BI103=4,GM103-GX103,0)</f>
        <v>0</v>
      </c>
      <c r="GR103">
        <v>1</v>
      </c>
      <c r="GS103">
        <v>1</v>
      </c>
      <c r="GT103">
        <v>0</v>
      </c>
      <c r="GU103" t="s">
        <v>4</v>
      </c>
      <c r="GV103">
        <f>ROUND((GT103),6)</f>
        <v>0</v>
      </c>
      <c r="GW103">
        <v>1</v>
      </c>
      <c r="GX103">
        <f>ROUND(HC103*I103,2)</f>
        <v>0</v>
      </c>
      <c r="HA103">
        <v>0</v>
      </c>
      <c r="HB103">
        <v>0</v>
      </c>
      <c r="HC103">
        <f>GV103*GW103</f>
        <v>0</v>
      </c>
      <c r="HE103" t="s">
        <v>89</v>
      </c>
      <c r="HF103" t="s">
        <v>96</v>
      </c>
      <c r="HM103" t="s">
        <v>4</v>
      </c>
      <c r="HN103" t="s">
        <v>4</v>
      </c>
      <c r="HO103" t="s">
        <v>4</v>
      </c>
      <c r="HP103" t="s">
        <v>4</v>
      </c>
      <c r="HQ103" t="s">
        <v>4</v>
      </c>
      <c r="IK103">
        <v>0</v>
      </c>
    </row>
    <row r="105" spans="1:255">
      <c r="A105" s="3">
        <v>51</v>
      </c>
      <c r="B105" s="3">
        <f>B98</f>
        <v>1</v>
      </c>
      <c r="C105" s="3">
        <f>A98</f>
        <v>4</v>
      </c>
      <c r="D105" s="3">
        <f>ROW(A98)</f>
        <v>98</v>
      </c>
      <c r="E105" s="3"/>
      <c r="F105" s="3" t="str">
        <f>IF(F98&lt;&gt;"",F98,"")</f>
        <v>Новый раздел</v>
      </c>
      <c r="G105" s="3" t="str">
        <f>IF(G98&lt;&gt;"",G98,"")</f>
        <v>Оборудование</v>
      </c>
      <c r="H105" s="3">
        <v>0</v>
      </c>
      <c r="I105" s="3"/>
      <c r="J105" s="3"/>
      <c r="K105" s="3"/>
      <c r="L105" s="3"/>
      <c r="M105" s="3"/>
      <c r="N105" s="3"/>
      <c r="O105" s="3">
        <f t="shared" ref="O105:T105" si="43">ROUND(AB105,2)</f>
        <v>439830.76</v>
      </c>
      <c r="P105" s="3">
        <f t="shared" si="43"/>
        <v>439830.76</v>
      </c>
      <c r="Q105" s="3">
        <f t="shared" si="43"/>
        <v>0</v>
      </c>
      <c r="R105" s="3">
        <f t="shared" si="43"/>
        <v>0</v>
      </c>
      <c r="S105" s="3">
        <f t="shared" si="43"/>
        <v>0</v>
      </c>
      <c r="T105" s="3">
        <f t="shared" si="43"/>
        <v>0</v>
      </c>
      <c r="U105" s="3">
        <f>AH105</f>
        <v>0</v>
      </c>
      <c r="V105" s="3">
        <f>AI105</f>
        <v>0</v>
      </c>
      <c r="W105" s="3">
        <f>ROUND(AJ105,2)</f>
        <v>0</v>
      </c>
      <c r="X105" s="3">
        <f>ROUND(AK105,2)</f>
        <v>0</v>
      </c>
      <c r="Y105" s="3">
        <f>ROUND(AL105,2)</f>
        <v>0</v>
      </c>
      <c r="Z105" s="3"/>
      <c r="AA105" s="3"/>
      <c r="AB105" s="3">
        <f>ROUND(SUMIF(AA102:AA103,"=70322994",O102:O103),2)</f>
        <v>439830.76</v>
      </c>
      <c r="AC105" s="3">
        <f>ROUND(SUMIF(AA102:AA103,"=70322994",P102:P103),2)</f>
        <v>439830.76</v>
      </c>
      <c r="AD105" s="3">
        <f>ROUND(SUMIF(AA102:AA103,"=70322994",Q102:Q103),2)</f>
        <v>0</v>
      </c>
      <c r="AE105" s="3">
        <f>ROUND(SUMIF(AA102:AA103,"=70322994",R102:R103),2)</f>
        <v>0</v>
      </c>
      <c r="AF105" s="3">
        <f>ROUND(SUMIF(AA102:AA103,"=70322994",S102:S103),2)</f>
        <v>0</v>
      </c>
      <c r="AG105" s="3">
        <f>ROUND(SUMIF(AA102:AA103,"=70322994",T102:T103),2)</f>
        <v>0</v>
      </c>
      <c r="AH105" s="3">
        <f>SUMIF(AA102:AA103,"=70322994",U102:U103)</f>
        <v>0</v>
      </c>
      <c r="AI105" s="3">
        <f>SUMIF(AA102:AA103,"=70322994",V102:V103)</f>
        <v>0</v>
      </c>
      <c r="AJ105" s="3">
        <f>ROUND(SUMIF(AA102:AA103,"=70322994",W102:W103),2)</f>
        <v>0</v>
      </c>
      <c r="AK105" s="3">
        <f>ROUND(SUMIF(AA102:AA103,"=70322994",X102:X103),2)</f>
        <v>0</v>
      </c>
      <c r="AL105" s="3">
        <f>ROUND(SUMIF(AA102:AA103,"=70322994",Y102:Y103),2)</f>
        <v>0</v>
      </c>
      <c r="AM105" s="3"/>
      <c r="AN105" s="3"/>
      <c r="AO105" s="3">
        <f t="shared" ref="AO105:BD105" si="44">ROUND(BX105,2)</f>
        <v>0</v>
      </c>
      <c r="AP105" s="3">
        <f t="shared" si="44"/>
        <v>439830.76</v>
      </c>
      <c r="AQ105" s="3">
        <f t="shared" si="44"/>
        <v>0</v>
      </c>
      <c r="AR105" s="3">
        <f t="shared" si="44"/>
        <v>439830.76</v>
      </c>
      <c r="AS105" s="3">
        <f t="shared" si="44"/>
        <v>0</v>
      </c>
      <c r="AT105" s="3">
        <f t="shared" si="44"/>
        <v>0</v>
      </c>
      <c r="AU105" s="3">
        <f t="shared" si="44"/>
        <v>0</v>
      </c>
      <c r="AV105" s="3">
        <f t="shared" si="44"/>
        <v>439830.76</v>
      </c>
      <c r="AW105" s="3">
        <f t="shared" si="44"/>
        <v>0</v>
      </c>
      <c r="AX105" s="3">
        <f t="shared" si="44"/>
        <v>0</v>
      </c>
      <c r="AY105" s="3">
        <f t="shared" si="44"/>
        <v>0</v>
      </c>
      <c r="AZ105" s="3">
        <f t="shared" si="44"/>
        <v>439830.76</v>
      </c>
      <c r="BA105" s="3">
        <f t="shared" si="44"/>
        <v>0</v>
      </c>
      <c r="BB105" s="3">
        <f t="shared" si="44"/>
        <v>0</v>
      </c>
      <c r="BC105" s="3">
        <f t="shared" si="44"/>
        <v>0</v>
      </c>
      <c r="BD105" s="3">
        <f t="shared" si="44"/>
        <v>0</v>
      </c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>
        <f>ROUND(SUMIF(AA102:AA103,"=70322994",FQ102:FQ103),2)</f>
        <v>0</v>
      </c>
      <c r="BY105" s="3">
        <f>ROUND(SUMIF(AA102:AA103,"=70322994",FR102:FR103),2)</f>
        <v>439830.76</v>
      </c>
      <c r="BZ105" s="3">
        <f>ROUND(SUMIF(AA102:AA103,"=70322994",GL102:GL103),2)</f>
        <v>0</v>
      </c>
      <c r="CA105" s="3">
        <f>ROUND(SUMIF(AA102:AA103,"=70322994",GM102:GM103),2)</f>
        <v>439830.76</v>
      </c>
      <c r="CB105" s="3">
        <f>ROUND(SUMIF(AA102:AA103,"=70322994",GN102:GN103),2)</f>
        <v>0</v>
      </c>
      <c r="CC105" s="3">
        <f>ROUND(SUMIF(AA102:AA103,"=70322994",GO102:GO103),2)</f>
        <v>0</v>
      </c>
      <c r="CD105" s="3">
        <f>ROUND(SUMIF(AA102:AA103,"=70322994",GP102:GP103),2)</f>
        <v>0</v>
      </c>
      <c r="CE105" s="3">
        <f>AC105-BX105</f>
        <v>439830.76</v>
      </c>
      <c r="CF105" s="3">
        <f>AC105-BY105</f>
        <v>0</v>
      </c>
      <c r="CG105" s="3">
        <f>BX105-BZ105</f>
        <v>0</v>
      </c>
      <c r="CH105" s="3">
        <f>AC105-BX105-BY105+BZ105</f>
        <v>0</v>
      </c>
      <c r="CI105" s="3">
        <f>BY105-BZ105</f>
        <v>439830.76</v>
      </c>
      <c r="CJ105" s="3">
        <f>ROUND(SUMIF(AA102:AA103,"=70322994",GX102:GX103),2)</f>
        <v>0</v>
      </c>
      <c r="CK105" s="3">
        <f>ROUND(SUMIF(AA102:AA103,"=70322994",GY102:GY103),2)</f>
        <v>0</v>
      </c>
      <c r="CL105" s="3">
        <f>ROUND(SUMIF(AA102:AA103,"=70322994",GZ102:GZ103),2)</f>
        <v>0</v>
      </c>
      <c r="CM105" s="3">
        <f>ROUND(SUMIF(AA102:AA103,"=70322994",HD102:HD103),2)</f>
        <v>0</v>
      </c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  <c r="CZ105" s="3"/>
      <c r="DA105" s="3"/>
      <c r="DB105" s="3"/>
      <c r="DC105" s="3"/>
      <c r="DD105" s="3"/>
      <c r="DE105" s="3"/>
      <c r="DF105" s="3"/>
      <c r="DG105" s="4">
        <f t="shared" ref="DG105:DL105" si="45">ROUND(DT105,2)</f>
        <v>3197569.63</v>
      </c>
      <c r="DH105" s="4">
        <f t="shared" si="45"/>
        <v>3197569.63</v>
      </c>
      <c r="DI105" s="4">
        <f t="shared" si="45"/>
        <v>0</v>
      </c>
      <c r="DJ105" s="4">
        <f t="shared" si="45"/>
        <v>0</v>
      </c>
      <c r="DK105" s="4">
        <f t="shared" si="45"/>
        <v>0</v>
      </c>
      <c r="DL105" s="4">
        <f t="shared" si="45"/>
        <v>0</v>
      </c>
      <c r="DM105" s="4">
        <f>DZ105</f>
        <v>0</v>
      </c>
      <c r="DN105" s="4">
        <f>EA105</f>
        <v>0</v>
      </c>
      <c r="DO105" s="4">
        <f>ROUND(EB105,2)</f>
        <v>0</v>
      </c>
      <c r="DP105" s="4">
        <f>ROUND(EC105,2)</f>
        <v>0</v>
      </c>
      <c r="DQ105" s="4">
        <f>ROUND(ED105,2)</f>
        <v>0</v>
      </c>
      <c r="DR105" s="4"/>
      <c r="DS105" s="4"/>
      <c r="DT105" s="4">
        <f>ROUND(SUMIF(AA102:AA103,"=70322991",O102:O103),2)</f>
        <v>3197569.63</v>
      </c>
      <c r="DU105" s="4">
        <f>ROUND(SUMIF(AA102:AA103,"=70322991",P102:P103),2)</f>
        <v>3197569.63</v>
      </c>
      <c r="DV105" s="4">
        <f>ROUND(SUMIF(AA102:AA103,"=70322991",Q102:Q103),2)</f>
        <v>0</v>
      </c>
      <c r="DW105" s="4">
        <f>ROUND(SUMIF(AA102:AA103,"=70322991",R102:R103),2)</f>
        <v>0</v>
      </c>
      <c r="DX105" s="4">
        <f>ROUND(SUMIF(AA102:AA103,"=70322991",S102:S103),2)</f>
        <v>0</v>
      </c>
      <c r="DY105" s="4">
        <f>ROUND(SUMIF(AA102:AA103,"=70322991",T102:T103),2)</f>
        <v>0</v>
      </c>
      <c r="DZ105" s="4">
        <f>SUMIF(AA102:AA103,"=70322991",U102:U103)</f>
        <v>0</v>
      </c>
      <c r="EA105" s="4">
        <f>SUMIF(AA102:AA103,"=70322991",V102:V103)</f>
        <v>0</v>
      </c>
      <c r="EB105" s="4">
        <f>ROUND(SUMIF(AA102:AA103,"=70322991",W102:W103),2)</f>
        <v>0</v>
      </c>
      <c r="EC105" s="4">
        <f>ROUND(SUMIF(AA102:AA103,"=70322991",X102:X103),2)</f>
        <v>0</v>
      </c>
      <c r="ED105" s="4">
        <f>ROUND(SUMIF(AA102:AA103,"=70322991",Y102:Y103),2)</f>
        <v>0</v>
      </c>
      <c r="EE105" s="4"/>
      <c r="EF105" s="4"/>
      <c r="EG105" s="4">
        <f t="shared" ref="EG105:EV105" si="46">ROUND(FP105,2)</f>
        <v>0</v>
      </c>
      <c r="EH105" s="4">
        <f t="shared" si="46"/>
        <v>3197569.63</v>
      </c>
      <c r="EI105" s="4">
        <f t="shared" si="46"/>
        <v>0</v>
      </c>
      <c r="EJ105" s="4">
        <f t="shared" si="46"/>
        <v>3197569.63</v>
      </c>
      <c r="EK105" s="4">
        <f t="shared" si="46"/>
        <v>0</v>
      </c>
      <c r="EL105" s="4">
        <f t="shared" si="46"/>
        <v>0</v>
      </c>
      <c r="EM105" s="4">
        <f t="shared" si="46"/>
        <v>0</v>
      </c>
      <c r="EN105" s="4">
        <f t="shared" si="46"/>
        <v>3197569.63</v>
      </c>
      <c r="EO105" s="4">
        <f t="shared" si="46"/>
        <v>0</v>
      </c>
      <c r="EP105" s="4">
        <f t="shared" si="46"/>
        <v>0</v>
      </c>
      <c r="EQ105" s="4">
        <f t="shared" si="46"/>
        <v>0</v>
      </c>
      <c r="ER105" s="4">
        <f t="shared" si="46"/>
        <v>3197569.63</v>
      </c>
      <c r="ES105" s="4">
        <f t="shared" si="46"/>
        <v>0</v>
      </c>
      <c r="ET105" s="4">
        <f t="shared" si="46"/>
        <v>0</v>
      </c>
      <c r="EU105" s="4">
        <f t="shared" si="46"/>
        <v>0</v>
      </c>
      <c r="EV105" s="4">
        <f t="shared" si="46"/>
        <v>0</v>
      </c>
      <c r="EW105" s="4"/>
      <c r="EX105" s="4"/>
      <c r="EY105" s="4"/>
      <c r="EZ105" s="4"/>
      <c r="FA105" s="4"/>
      <c r="FB105" s="4"/>
      <c r="FC105" s="4"/>
      <c r="FD105" s="4"/>
      <c r="FE105" s="4"/>
      <c r="FF105" s="4"/>
      <c r="FG105" s="4"/>
      <c r="FH105" s="4"/>
      <c r="FI105" s="4"/>
      <c r="FJ105" s="4"/>
      <c r="FK105" s="4"/>
      <c r="FL105" s="4"/>
      <c r="FM105" s="4"/>
      <c r="FN105" s="4"/>
      <c r="FO105" s="4"/>
      <c r="FP105" s="4">
        <f>ROUND(SUMIF(AA102:AA103,"=70322991",FQ102:FQ103),2)</f>
        <v>0</v>
      </c>
      <c r="FQ105" s="4">
        <f>ROUND(SUMIF(AA102:AA103,"=70322991",FR102:FR103),2)</f>
        <v>3197569.63</v>
      </c>
      <c r="FR105" s="4">
        <f>ROUND(SUMIF(AA102:AA103,"=70322991",GL102:GL103),2)</f>
        <v>0</v>
      </c>
      <c r="FS105" s="4">
        <f>ROUND(SUMIF(AA102:AA103,"=70322991",GM102:GM103),2)</f>
        <v>3197569.63</v>
      </c>
      <c r="FT105" s="4">
        <f>ROUND(SUMIF(AA102:AA103,"=70322991",GN102:GN103),2)</f>
        <v>0</v>
      </c>
      <c r="FU105" s="4">
        <f>ROUND(SUMIF(AA102:AA103,"=70322991",GO102:GO103),2)</f>
        <v>0</v>
      </c>
      <c r="FV105" s="4">
        <f>ROUND(SUMIF(AA102:AA103,"=70322991",GP102:GP103),2)</f>
        <v>0</v>
      </c>
      <c r="FW105" s="4">
        <f>DU105-FP105</f>
        <v>3197569.63</v>
      </c>
      <c r="FX105" s="4">
        <f>DU105-FQ105</f>
        <v>0</v>
      </c>
      <c r="FY105" s="4">
        <f>FP105-FR105</f>
        <v>0</v>
      </c>
      <c r="FZ105" s="4">
        <f>DU105-FP105-FQ105+FR105</f>
        <v>0</v>
      </c>
      <c r="GA105" s="4">
        <f>FQ105-FR105</f>
        <v>3197569.63</v>
      </c>
      <c r="GB105" s="4">
        <f>ROUND(SUMIF(AA102:AA103,"=70322991",GX102:GX103),2)</f>
        <v>0</v>
      </c>
      <c r="GC105" s="4">
        <f>ROUND(SUMIF(AA102:AA103,"=70322991",GY102:GY103),2)</f>
        <v>0</v>
      </c>
      <c r="GD105" s="4">
        <f>ROUND(SUMIF(AA102:AA103,"=70322991",GZ102:GZ103),2)</f>
        <v>0</v>
      </c>
      <c r="GE105" s="4">
        <f>ROUND(SUMIF(AA102:AA103,"=70322991",HD102:HD103),2)</f>
        <v>0</v>
      </c>
      <c r="GF105" s="4"/>
      <c r="GG105" s="4"/>
      <c r="GH105" s="4"/>
      <c r="GI105" s="4"/>
      <c r="GJ105" s="4"/>
      <c r="GK105" s="4"/>
      <c r="GL105" s="4"/>
      <c r="GM105" s="4"/>
      <c r="GN105" s="4"/>
      <c r="GO105" s="4"/>
      <c r="GP105" s="4"/>
      <c r="GQ105" s="4"/>
      <c r="GR105" s="4"/>
      <c r="GS105" s="4"/>
      <c r="GT105" s="4"/>
      <c r="GU105" s="4"/>
      <c r="GV105" s="4"/>
      <c r="GW105" s="4"/>
      <c r="GX105" s="4">
        <v>0</v>
      </c>
    </row>
    <row r="107" spans="1:255">
      <c r="A107" s="5">
        <v>50</v>
      </c>
      <c r="B107" s="5">
        <v>0</v>
      </c>
      <c r="C107" s="5">
        <v>0</v>
      </c>
      <c r="D107" s="5">
        <v>1</v>
      </c>
      <c r="E107" s="5">
        <v>201</v>
      </c>
      <c r="F107" s="5">
        <f>ROUND(Source!O105,O107)</f>
        <v>439830.76</v>
      </c>
      <c r="G107" s="5" t="s">
        <v>32</v>
      </c>
      <c r="H107" s="5" t="s">
        <v>33</v>
      </c>
      <c r="I107" s="5"/>
      <c r="J107" s="5"/>
      <c r="K107" s="5">
        <v>201</v>
      </c>
      <c r="L107" s="5">
        <v>1</v>
      </c>
      <c r="M107" s="5">
        <v>3</v>
      </c>
      <c r="N107" s="5" t="s">
        <v>4</v>
      </c>
      <c r="O107" s="5">
        <v>2</v>
      </c>
      <c r="P107" s="5">
        <f>ROUND(Source!DG105,O107)</f>
        <v>3197569.63</v>
      </c>
      <c r="Q107" s="5"/>
      <c r="R107" s="5"/>
      <c r="S107" s="5"/>
      <c r="T107" s="5"/>
      <c r="U107" s="5"/>
      <c r="V107" s="5"/>
      <c r="W107" s="5">
        <v>439830.76</v>
      </c>
      <c r="X107" s="5">
        <v>1</v>
      </c>
      <c r="Y107" s="5">
        <v>439830.76</v>
      </c>
      <c r="Z107" s="5">
        <v>3197569.63</v>
      </c>
      <c r="AA107" s="5">
        <v>1</v>
      </c>
      <c r="AB107" s="5">
        <v>3197569.63</v>
      </c>
    </row>
    <row r="108" spans="1:255">
      <c r="A108" s="5">
        <v>50</v>
      </c>
      <c r="B108" s="5">
        <v>0</v>
      </c>
      <c r="C108" s="5">
        <v>0</v>
      </c>
      <c r="D108" s="5">
        <v>1</v>
      </c>
      <c r="E108" s="5">
        <v>202</v>
      </c>
      <c r="F108" s="5">
        <f>ROUND(Source!P105,O108)</f>
        <v>439830.76</v>
      </c>
      <c r="G108" s="5" t="s">
        <v>34</v>
      </c>
      <c r="H108" s="5" t="s">
        <v>35</v>
      </c>
      <c r="I108" s="5"/>
      <c r="J108" s="5"/>
      <c r="K108" s="5">
        <v>202</v>
      </c>
      <c r="L108" s="5">
        <v>2</v>
      </c>
      <c r="M108" s="5">
        <v>3</v>
      </c>
      <c r="N108" s="5" t="s">
        <v>4</v>
      </c>
      <c r="O108" s="5">
        <v>2</v>
      </c>
      <c r="P108" s="5">
        <f>ROUND(Source!DH105,O108)</f>
        <v>3197569.63</v>
      </c>
      <c r="Q108" s="5"/>
      <c r="R108" s="5"/>
      <c r="S108" s="5"/>
      <c r="T108" s="5"/>
      <c r="U108" s="5"/>
      <c r="V108" s="5"/>
      <c r="W108" s="5">
        <v>439830.76</v>
      </c>
      <c r="X108" s="5">
        <v>1</v>
      </c>
      <c r="Y108" s="5">
        <v>439830.76</v>
      </c>
      <c r="Z108" s="5">
        <v>3197569.63</v>
      </c>
      <c r="AA108" s="5">
        <v>1</v>
      </c>
      <c r="AB108" s="5">
        <v>3197569.63</v>
      </c>
    </row>
    <row r="109" spans="1:255">
      <c r="A109" s="5">
        <v>50</v>
      </c>
      <c r="B109" s="5">
        <v>0</v>
      </c>
      <c r="C109" s="5">
        <v>0</v>
      </c>
      <c r="D109" s="5">
        <v>1</v>
      </c>
      <c r="E109" s="5">
        <v>222</v>
      </c>
      <c r="F109" s="5">
        <f>ROUND(Source!AO105,O109)</f>
        <v>0</v>
      </c>
      <c r="G109" s="5" t="s">
        <v>36</v>
      </c>
      <c r="H109" s="5" t="s">
        <v>37</v>
      </c>
      <c r="I109" s="5"/>
      <c r="J109" s="5"/>
      <c r="K109" s="5">
        <v>222</v>
      </c>
      <c r="L109" s="5">
        <v>3</v>
      </c>
      <c r="M109" s="5">
        <v>3</v>
      </c>
      <c r="N109" s="5" t="s">
        <v>4</v>
      </c>
      <c r="O109" s="5">
        <v>2</v>
      </c>
      <c r="P109" s="5">
        <f>ROUND(Source!EG105,O109)</f>
        <v>0</v>
      </c>
      <c r="Q109" s="5"/>
      <c r="R109" s="5"/>
      <c r="S109" s="5"/>
      <c r="T109" s="5"/>
      <c r="U109" s="5"/>
      <c r="V109" s="5"/>
      <c r="W109" s="5">
        <v>0</v>
      </c>
      <c r="X109" s="5">
        <v>1</v>
      </c>
      <c r="Y109" s="5">
        <v>0</v>
      </c>
      <c r="Z109" s="5">
        <v>0</v>
      </c>
      <c r="AA109" s="5">
        <v>1</v>
      </c>
      <c r="AB109" s="5">
        <v>0</v>
      </c>
    </row>
    <row r="110" spans="1:255">
      <c r="A110" s="5">
        <v>50</v>
      </c>
      <c r="B110" s="5">
        <v>0</v>
      </c>
      <c r="C110" s="5">
        <v>0</v>
      </c>
      <c r="D110" s="5">
        <v>1</v>
      </c>
      <c r="E110" s="5">
        <v>225</v>
      </c>
      <c r="F110" s="5">
        <f>ROUND(Source!AV105,O110)</f>
        <v>439830.76</v>
      </c>
      <c r="G110" s="5" t="s">
        <v>38</v>
      </c>
      <c r="H110" s="5" t="s">
        <v>39</v>
      </c>
      <c r="I110" s="5"/>
      <c r="J110" s="5"/>
      <c r="K110" s="5">
        <v>225</v>
      </c>
      <c r="L110" s="5">
        <v>4</v>
      </c>
      <c r="M110" s="5">
        <v>3</v>
      </c>
      <c r="N110" s="5" t="s">
        <v>4</v>
      </c>
      <c r="O110" s="5">
        <v>2</v>
      </c>
      <c r="P110" s="5">
        <f>ROUND(Source!EN105,O110)</f>
        <v>3197569.63</v>
      </c>
      <c r="Q110" s="5"/>
      <c r="R110" s="5"/>
      <c r="S110" s="5"/>
      <c r="T110" s="5"/>
      <c r="U110" s="5"/>
      <c r="V110" s="5"/>
      <c r="W110" s="5">
        <v>439830.76</v>
      </c>
      <c r="X110" s="5">
        <v>1</v>
      </c>
      <c r="Y110" s="5">
        <v>439830.76</v>
      </c>
      <c r="Z110" s="5">
        <v>3197569.63</v>
      </c>
      <c r="AA110" s="5">
        <v>1</v>
      </c>
      <c r="AB110" s="5">
        <v>3197569.63</v>
      </c>
    </row>
    <row r="111" spans="1:255">
      <c r="A111" s="5">
        <v>50</v>
      </c>
      <c r="B111" s="5">
        <v>0</v>
      </c>
      <c r="C111" s="5">
        <v>0</v>
      </c>
      <c r="D111" s="5">
        <v>1</v>
      </c>
      <c r="E111" s="5">
        <v>226</v>
      </c>
      <c r="F111" s="5">
        <f>ROUND(Source!AW105,O111)</f>
        <v>0</v>
      </c>
      <c r="G111" s="5" t="s">
        <v>40</v>
      </c>
      <c r="H111" s="5" t="s">
        <v>41</v>
      </c>
      <c r="I111" s="5"/>
      <c r="J111" s="5"/>
      <c r="K111" s="5">
        <v>226</v>
      </c>
      <c r="L111" s="5">
        <v>5</v>
      </c>
      <c r="M111" s="5">
        <v>3</v>
      </c>
      <c r="N111" s="5" t="s">
        <v>4</v>
      </c>
      <c r="O111" s="5">
        <v>2</v>
      </c>
      <c r="P111" s="5">
        <f>ROUND(Source!EO105,O111)</f>
        <v>0</v>
      </c>
      <c r="Q111" s="5"/>
      <c r="R111" s="5"/>
      <c r="S111" s="5"/>
      <c r="T111" s="5"/>
      <c r="U111" s="5"/>
      <c r="V111" s="5"/>
      <c r="W111" s="5">
        <v>0</v>
      </c>
      <c r="X111" s="5">
        <v>1</v>
      </c>
      <c r="Y111" s="5">
        <v>0</v>
      </c>
      <c r="Z111" s="5">
        <v>0</v>
      </c>
      <c r="AA111" s="5">
        <v>1</v>
      </c>
      <c r="AB111" s="5">
        <v>0</v>
      </c>
    </row>
    <row r="112" spans="1:255">
      <c r="A112" s="5">
        <v>50</v>
      </c>
      <c r="B112" s="5">
        <v>0</v>
      </c>
      <c r="C112" s="5">
        <v>0</v>
      </c>
      <c r="D112" s="5">
        <v>1</v>
      </c>
      <c r="E112" s="5">
        <v>227</v>
      </c>
      <c r="F112" s="5">
        <f>ROUND(Source!AX105,O112)</f>
        <v>0</v>
      </c>
      <c r="G112" s="5" t="s">
        <v>42</v>
      </c>
      <c r="H112" s="5" t="s">
        <v>43</v>
      </c>
      <c r="I112" s="5"/>
      <c r="J112" s="5"/>
      <c r="K112" s="5">
        <v>227</v>
      </c>
      <c r="L112" s="5">
        <v>6</v>
      </c>
      <c r="M112" s="5">
        <v>3</v>
      </c>
      <c r="N112" s="5" t="s">
        <v>4</v>
      </c>
      <c r="O112" s="5">
        <v>2</v>
      </c>
      <c r="P112" s="5">
        <f>ROUND(Source!EP105,O112)</f>
        <v>0</v>
      </c>
      <c r="Q112" s="5"/>
      <c r="R112" s="5"/>
      <c r="S112" s="5"/>
      <c r="T112" s="5"/>
      <c r="U112" s="5"/>
      <c r="V112" s="5"/>
      <c r="W112" s="5">
        <v>0</v>
      </c>
      <c r="X112" s="5">
        <v>1</v>
      </c>
      <c r="Y112" s="5">
        <v>0</v>
      </c>
      <c r="Z112" s="5">
        <v>0</v>
      </c>
      <c r="AA112" s="5">
        <v>1</v>
      </c>
      <c r="AB112" s="5">
        <v>0</v>
      </c>
    </row>
    <row r="113" spans="1:28">
      <c r="A113" s="5">
        <v>50</v>
      </c>
      <c r="B113" s="5">
        <v>0</v>
      </c>
      <c r="C113" s="5">
        <v>0</v>
      </c>
      <c r="D113" s="5">
        <v>1</v>
      </c>
      <c r="E113" s="5">
        <v>228</v>
      </c>
      <c r="F113" s="5">
        <f>ROUND(Source!AY105,O113)</f>
        <v>0</v>
      </c>
      <c r="G113" s="5" t="s">
        <v>44</v>
      </c>
      <c r="H113" s="5" t="s">
        <v>45</v>
      </c>
      <c r="I113" s="5"/>
      <c r="J113" s="5"/>
      <c r="K113" s="5">
        <v>228</v>
      </c>
      <c r="L113" s="5">
        <v>7</v>
      </c>
      <c r="M113" s="5">
        <v>3</v>
      </c>
      <c r="N113" s="5" t="s">
        <v>4</v>
      </c>
      <c r="O113" s="5">
        <v>2</v>
      </c>
      <c r="P113" s="5">
        <f>ROUND(Source!EQ105,O113)</f>
        <v>0</v>
      </c>
      <c r="Q113" s="5"/>
      <c r="R113" s="5"/>
      <c r="S113" s="5"/>
      <c r="T113" s="5"/>
      <c r="U113" s="5"/>
      <c r="V113" s="5"/>
      <c r="W113" s="5">
        <v>0</v>
      </c>
      <c r="X113" s="5">
        <v>1</v>
      </c>
      <c r="Y113" s="5">
        <v>0</v>
      </c>
      <c r="Z113" s="5">
        <v>0</v>
      </c>
      <c r="AA113" s="5">
        <v>1</v>
      </c>
      <c r="AB113" s="5">
        <v>0</v>
      </c>
    </row>
    <row r="114" spans="1:28">
      <c r="A114" s="5">
        <v>50</v>
      </c>
      <c r="B114" s="5">
        <v>0</v>
      </c>
      <c r="C114" s="5">
        <v>0</v>
      </c>
      <c r="D114" s="5">
        <v>1</v>
      </c>
      <c r="E114" s="5">
        <v>216</v>
      </c>
      <c r="F114" s="5">
        <f>ROUND(Source!AP105,O114)</f>
        <v>439830.76</v>
      </c>
      <c r="G114" s="5" t="s">
        <v>46</v>
      </c>
      <c r="H114" s="5" t="s">
        <v>47</v>
      </c>
      <c r="I114" s="5"/>
      <c r="J114" s="5"/>
      <c r="K114" s="5">
        <v>216</v>
      </c>
      <c r="L114" s="5">
        <v>8</v>
      </c>
      <c r="M114" s="5">
        <v>3</v>
      </c>
      <c r="N114" s="5" t="s">
        <v>4</v>
      </c>
      <c r="O114" s="5">
        <v>2</v>
      </c>
      <c r="P114" s="5">
        <f>ROUND(Source!EH105,O114)</f>
        <v>3197569.63</v>
      </c>
      <c r="Q114" s="5"/>
      <c r="R114" s="5"/>
      <c r="S114" s="5"/>
      <c r="T114" s="5"/>
      <c r="U114" s="5"/>
      <c r="V114" s="5"/>
      <c r="W114" s="5">
        <v>439830.76</v>
      </c>
      <c r="X114" s="5">
        <v>1</v>
      </c>
      <c r="Y114" s="5">
        <v>439830.76</v>
      </c>
      <c r="Z114" s="5">
        <v>3197569.63</v>
      </c>
      <c r="AA114" s="5">
        <v>1</v>
      </c>
      <c r="AB114" s="5">
        <v>3197569.63</v>
      </c>
    </row>
    <row r="115" spans="1:28">
      <c r="A115" s="5">
        <v>50</v>
      </c>
      <c r="B115" s="5">
        <v>0</v>
      </c>
      <c r="C115" s="5">
        <v>0</v>
      </c>
      <c r="D115" s="5">
        <v>1</v>
      </c>
      <c r="E115" s="5">
        <v>223</v>
      </c>
      <c r="F115" s="5">
        <f>ROUND(Source!AQ105,O115)</f>
        <v>0</v>
      </c>
      <c r="G115" s="5" t="s">
        <v>48</v>
      </c>
      <c r="H115" s="5" t="s">
        <v>49</v>
      </c>
      <c r="I115" s="5"/>
      <c r="J115" s="5"/>
      <c r="K115" s="5">
        <v>223</v>
      </c>
      <c r="L115" s="5">
        <v>9</v>
      </c>
      <c r="M115" s="5">
        <v>3</v>
      </c>
      <c r="N115" s="5" t="s">
        <v>4</v>
      </c>
      <c r="O115" s="5">
        <v>2</v>
      </c>
      <c r="P115" s="5">
        <f>ROUND(Source!EI105,O115)</f>
        <v>0</v>
      </c>
      <c r="Q115" s="5"/>
      <c r="R115" s="5"/>
      <c r="S115" s="5"/>
      <c r="T115" s="5"/>
      <c r="U115" s="5"/>
      <c r="V115" s="5"/>
      <c r="W115" s="5">
        <v>0</v>
      </c>
      <c r="X115" s="5">
        <v>1</v>
      </c>
      <c r="Y115" s="5">
        <v>0</v>
      </c>
      <c r="Z115" s="5">
        <v>0</v>
      </c>
      <c r="AA115" s="5">
        <v>1</v>
      </c>
      <c r="AB115" s="5">
        <v>0</v>
      </c>
    </row>
    <row r="116" spans="1:28">
      <c r="A116" s="5">
        <v>50</v>
      </c>
      <c r="B116" s="5">
        <v>0</v>
      </c>
      <c r="C116" s="5">
        <v>0</v>
      </c>
      <c r="D116" s="5">
        <v>1</v>
      </c>
      <c r="E116" s="5">
        <v>229</v>
      </c>
      <c r="F116" s="5">
        <f>ROUND(Source!AZ105,O116)</f>
        <v>439830.76</v>
      </c>
      <c r="G116" s="5" t="s">
        <v>50</v>
      </c>
      <c r="H116" s="5" t="s">
        <v>51</v>
      </c>
      <c r="I116" s="5"/>
      <c r="J116" s="5"/>
      <c r="K116" s="5">
        <v>229</v>
      </c>
      <c r="L116" s="5">
        <v>10</v>
      </c>
      <c r="M116" s="5">
        <v>3</v>
      </c>
      <c r="N116" s="5" t="s">
        <v>4</v>
      </c>
      <c r="O116" s="5">
        <v>2</v>
      </c>
      <c r="P116" s="5">
        <f>ROUND(Source!ER105,O116)</f>
        <v>3197569.63</v>
      </c>
      <c r="Q116" s="5"/>
      <c r="R116" s="5"/>
      <c r="S116" s="5"/>
      <c r="T116" s="5"/>
      <c r="U116" s="5"/>
      <c r="V116" s="5"/>
      <c r="W116" s="5">
        <v>439830.76</v>
      </c>
      <c r="X116" s="5">
        <v>1</v>
      </c>
      <c r="Y116" s="5">
        <v>439830.76</v>
      </c>
      <c r="Z116" s="5">
        <v>3197569.63</v>
      </c>
      <c r="AA116" s="5">
        <v>1</v>
      </c>
      <c r="AB116" s="5">
        <v>3197569.63</v>
      </c>
    </row>
    <row r="117" spans="1:28">
      <c r="A117" s="5">
        <v>50</v>
      </c>
      <c r="B117" s="5">
        <v>0</v>
      </c>
      <c r="C117" s="5">
        <v>0</v>
      </c>
      <c r="D117" s="5">
        <v>1</v>
      </c>
      <c r="E117" s="5">
        <v>203</v>
      </c>
      <c r="F117" s="5">
        <f>ROUND(Source!Q105,O117)</f>
        <v>0</v>
      </c>
      <c r="G117" s="5" t="s">
        <v>52</v>
      </c>
      <c r="H117" s="5" t="s">
        <v>53</v>
      </c>
      <c r="I117" s="5"/>
      <c r="J117" s="5"/>
      <c r="K117" s="5">
        <v>203</v>
      </c>
      <c r="L117" s="5">
        <v>11</v>
      </c>
      <c r="M117" s="5">
        <v>3</v>
      </c>
      <c r="N117" s="5" t="s">
        <v>4</v>
      </c>
      <c r="O117" s="5">
        <v>2</v>
      </c>
      <c r="P117" s="5">
        <f>ROUND(Source!DI105,O117)</f>
        <v>0</v>
      </c>
      <c r="Q117" s="5"/>
      <c r="R117" s="5"/>
      <c r="S117" s="5"/>
      <c r="T117" s="5"/>
      <c r="U117" s="5"/>
      <c r="V117" s="5"/>
      <c r="W117" s="5">
        <v>0</v>
      </c>
      <c r="X117" s="5">
        <v>1</v>
      </c>
      <c r="Y117" s="5">
        <v>0</v>
      </c>
      <c r="Z117" s="5">
        <v>0</v>
      </c>
      <c r="AA117" s="5">
        <v>1</v>
      </c>
      <c r="AB117" s="5">
        <v>0</v>
      </c>
    </row>
    <row r="118" spans="1:28">
      <c r="A118" s="5">
        <v>50</v>
      </c>
      <c r="B118" s="5">
        <v>0</v>
      </c>
      <c r="C118" s="5">
        <v>0</v>
      </c>
      <c r="D118" s="5">
        <v>1</v>
      </c>
      <c r="E118" s="5">
        <v>231</v>
      </c>
      <c r="F118" s="5">
        <f>ROUND(Source!BB105,O118)</f>
        <v>0</v>
      </c>
      <c r="G118" s="5" t="s">
        <v>54</v>
      </c>
      <c r="H118" s="5" t="s">
        <v>55</v>
      </c>
      <c r="I118" s="5"/>
      <c r="J118" s="5"/>
      <c r="K118" s="5">
        <v>231</v>
      </c>
      <c r="L118" s="5">
        <v>12</v>
      </c>
      <c r="M118" s="5">
        <v>3</v>
      </c>
      <c r="N118" s="5" t="s">
        <v>4</v>
      </c>
      <c r="O118" s="5">
        <v>2</v>
      </c>
      <c r="P118" s="5">
        <f>ROUND(Source!ET105,O118)</f>
        <v>0</v>
      </c>
      <c r="Q118" s="5"/>
      <c r="R118" s="5"/>
      <c r="S118" s="5"/>
      <c r="T118" s="5"/>
      <c r="U118" s="5"/>
      <c r="V118" s="5"/>
      <c r="W118" s="5">
        <v>0</v>
      </c>
      <c r="X118" s="5">
        <v>1</v>
      </c>
      <c r="Y118" s="5">
        <v>0</v>
      </c>
      <c r="Z118" s="5">
        <v>0</v>
      </c>
      <c r="AA118" s="5">
        <v>1</v>
      </c>
      <c r="AB118" s="5">
        <v>0</v>
      </c>
    </row>
    <row r="119" spans="1:28">
      <c r="A119" s="5">
        <v>50</v>
      </c>
      <c r="B119" s="5">
        <v>0</v>
      </c>
      <c r="C119" s="5">
        <v>0</v>
      </c>
      <c r="D119" s="5">
        <v>1</v>
      </c>
      <c r="E119" s="5">
        <v>204</v>
      </c>
      <c r="F119" s="5">
        <f>ROUND(Source!R105,O119)</f>
        <v>0</v>
      </c>
      <c r="G119" s="5" t="s">
        <v>56</v>
      </c>
      <c r="H119" s="5" t="s">
        <v>57</v>
      </c>
      <c r="I119" s="5"/>
      <c r="J119" s="5"/>
      <c r="K119" s="5">
        <v>204</v>
      </c>
      <c r="L119" s="5">
        <v>13</v>
      </c>
      <c r="M119" s="5">
        <v>3</v>
      </c>
      <c r="N119" s="5" t="s">
        <v>4</v>
      </c>
      <c r="O119" s="5">
        <v>2</v>
      </c>
      <c r="P119" s="5">
        <f>ROUND(Source!DJ105,O119)</f>
        <v>0</v>
      </c>
      <c r="Q119" s="5"/>
      <c r="R119" s="5"/>
      <c r="S119" s="5"/>
      <c r="T119" s="5"/>
      <c r="U119" s="5"/>
      <c r="V119" s="5"/>
      <c r="W119" s="5">
        <v>0</v>
      </c>
      <c r="X119" s="5">
        <v>1</v>
      </c>
      <c r="Y119" s="5">
        <v>0</v>
      </c>
      <c r="Z119" s="5">
        <v>0</v>
      </c>
      <c r="AA119" s="5">
        <v>1</v>
      </c>
      <c r="AB119" s="5">
        <v>0</v>
      </c>
    </row>
    <row r="120" spans="1:28">
      <c r="A120" s="5">
        <v>50</v>
      </c>
      <c r="B120" s="5">
        <v>0</v>
      </c>
      <c r="C120" s="5">
        <v>0</v>
      </c>
      <c r="D120" s="5">
        <v>1</v>
      </c>
      <c r="E120" s="5">
        <v>205</v>
      </c>
      <c r="F120" s="5">
        <f>ROUND(Source!S105,O120)</f>
        <v>0</v>
      </c>
      <c r="G120" s="5" t="s">
        <v>58</v>
      </c>
      <c r="H120" s="5" t="s">
        <v>59</v>
      </c>
      <c r="I120" s="5"/>
      <c r="J120" s="5"/>
      <c r="K120" s="5">
        <v>205</v>
      </c>
      <c r="L120" s="5">
        <v>14</v>
      </c>
      <c r="M120" s="5">
        <v>3</v>
      </c>
      <c r="N120" s="5" t="s">
        <v>4</v>
      </c>
      <c r="O120" s="5">
        <v>2</v>
      </c>
      <c r="P120" s="5">
        <f>ROUND(Source!DK105,O120)</f>
        <v>0</v>
      </c>
      <c r="Q120" s="5"/>
      <c r="R120" s="5"/>
      <c r="S120" s="5"/>
      <c r="T120" s="5"/>
      <c r="U120" s="5"/>
      <c r="V120" s="5"/>
      <c r="W120" s="5">
        <v>0</v>
      </c>
      <c r="X120" s="5">
        <v>1</v>
      </c>
      <c r="Y120" s="5">
        <v>0</v>
      </c>
      <c r="Z120" s="5">
        <v>0</v>
      </c>
      <c r="AA120" s="5">
        <v>1</v>
      </c>
      <c r="AB120" s="5">
        <v>0</v>
      </c>
    </row>
    <row r="121" spans="1:28">
      <c r="A121" s="5">
        <v>50</v>
      </c>
      <c r="B121" s="5">
        <v>0</v>
      </c>
      <c r="C121" s="5">
        <v>0</v>
      </c>
      <c r="D121" s="5">
        <v>1</v>
      </c>
      <c r="E121" s="5">
        <v>232</v>
      </c>
      <c r="F121" s="5">
        <f>ROUND(Source!BC105,O121)</f>
        <v>0</v>
      </c>
      <c r="G121" s="5" t="s">
        <v>60</v>
      </c>
      <c r="H121" s="5" t="s">
        <v>61</v>
      </c>
      <c r="I121" s="5"/>
      <c r="J121" s="5"/>
      <c r="K121" s="5">
        <v>232</v>
      </c>
      <c r="L121" s="5">
        <v>15</v>
      </c>
      <c r="M121" s="5">
        <v>3</v>
      </c>
      <c r="N121" s="5" t="s">
        <v>4</v>
      </c>
      <c r="O121" s="5">
        <v>2</v>
      </c>
      <c r="P121" s="5">
        <f>ROUND(Source!EU105,O121)</f>
        <v>0</v>
      </c>
      <c r="Q121" s="5"/>
      <c r="R121" s="5"/>
      <c r="S121" s="5"/>
      <c r="T121" s="5"/>
      <c r="U121" s="5"/>
      <c r="V121" s="5"/>
      <c r="W121" s="5">
        <v>0</v>
      </c>
      <c r="X121" s="5">
        <v>1</v>
      </c>
      <c r="Y121" s="5">
        <v>0</v>
      </c>
      <c r="Z121" s="5">
        <v>0</v>
      </c>
      <c r="AA121" s="5">
        <v>1</v>
      </c>
      <c r="AB121" s="5">
        <v>0</v>
      </c>
    </row>
    <row r="122" spans="1:28">
      <c r="A122" s="5">
        <v>50</v>
      </c>
      <c r="B122" s="5">
        <v>0</v>
      </c>
      <c r="C122" s="5">
        <v>0</v>
      </c>
      <c r="D122" s="5">
        <v>1</v>
      </c>
      <c r="E122" s="5">
        <v>214</v>
      </c>
      <c r="F122" s="5">
        <f>ROUND(Source!AS105,O122)</f>
        <v>0</v>
      </c>
      <c r="G122" s="5" t="s">
        <v>62</v>
      </c>
      <c r="H122" s="5" t="s">
        <v>63</v>
      </c>
      <c r="I122" s="5"/>
      <c r="J122" s="5"/>
      <c r="K122" s="5">
        <v>214</v>
      </c>
      <c r="L122" s="5">
        <v>16</v>
      </c>
      <c r="M122" s="5">
        <v>3</v>
      </c>
      <c r="N122" s="5" t="s">
        <v>4</v>
      </c>
      <c r="O122" s="5">
        <v>2</v>
      </c>
      <c r="P122" s="5">
        <f>ROUND(Source!EK105,O122)</f>
        <v>0</v>
      </c>
      <c r="Q122" s="5"/>
      <c r="R122" s="5"/>
      <c r="S122" s="5"/>
      <c r="T122" s="5"/>
      <c r="U122" s="5"/>
      <c r="V122" s="5"/>
      <c r="W122" s="5">
        <v>0</v>
      </c>
      <c r="X122" s="5">
        <v>1</v>
      </c>
      <c r="Y122" s="5">
        <v>0</v>
      </c>
      <c r="Z122" s="5">
        <v>0</v>
      </c>
      <c r="AA122" s="5">
        <v>1</v>
      </c>
      <c r="AB122" s="5">
        <v>0</v>
      </c>
    </row>
    <row r="123" spans="1:28">
      <c r="A123" s="5">
        <v>50</v>
      </c>
      <c r="B123" s="5">
        <v>0</v>
      </c>
      <c r="C123" s="5">
        <v>0</v>
      </c>
      <c r="D123" s="5">
        <v>1</v>
      </c>
      <c r="E123" s="5">
        <v>215</v>
      </c>
      <c r="F123" s="5">
        <f>ROUND(Source!AT105,O123)</f>
        <v>0</v>
      </c>
      <c r="G123" s="5" t="s">
        <v>64</v>
      </c>
      <c r="H123" s="5" t="s">
        <v>65</v>
      </c>
      <c r="I123" s="5"/>
      <c r="J123" s="5"/>
      <c r="K123" s="5">
        <v>215</v>
      </c>
      <c r="L123" s="5">
        <v>17</v>
      </c>
      <c r="M123" s="5">
        <v>3</v>
      </c>
      <c r="N123" s="5" t="s">
        <v>4</v>
      </c>
      <c r="O123" s="5">
        <v>2</v>
      </c>
      <c r="P123" s="5">
        <f>ROUND(Source!EL105,O123)</f>
        <v>0</v>
      </c>
      <c r="Q123" s="5"/>
      <c r="R123" s="5"/>
      <c r="S123" s="5"/>
      <c r="T123" s="5"/>
      <c r="U123" s="5"/>
      <c r="V123" s="5"/>
      <c r="W123" s="5">
        <v>0</v>
      </c>
      <c r="X123" s="5">
        <v>1</v>
      </c>
      <c r="Y123" s="5">
        <v>0</v>
      </c>
      <c r="Z123" s="5">
        <v>0</v>
      </c>
      <c r="AA123" s="5">
        <v>1</v>
      </c>
      <c r="AB123" s="5">
        <v>0</v>
      </c>
    </row>
    <row r="124" spans="1:28">
      <c r="A124" s="5">
        <v>50</v>
      </c>
      <c r="B124" s="5">
        <v>0</v>
      </c>
      <c r="C124" s="5">
        <v>0</v>
      </c>
      <c r="D124" s="5">
        <v>1</v>
      </c>
      <c r="E124" s="5">
        <v>217</v>
      </c>
      <c r="F124" s="5">
        <f>ROUND(Source!AU105,O124)</f>
        <v>0</v>
      </c>
      <c r="G124" s="5" t="s">
        <v>66</v>
      </c>
      <c r="H124" s="5" t="s">
        <v>67</v>
      </c>
      <c r="I124" s="5"/>
      <c r="J124" s="5"/>
      <c r="K124" s="5">
        <v>217</v>
      </c>
      <c r="L124" s="5">
        <v>18</v>
      </c>
      <c r="M124" s="5">
        <v>3</v>
      </c>
      <c r="N124" s="5" t="s">
        <v>4</v>
      </c>
      <c r="O124" s="5">
        <v>2</v>
      </c>
      <c r="P124" s="5">
        <f>ROUND(Source!EM105,O124)</f>
        <v>0</v>
      </c>
      <c r="Q124" s="5"/>
      <c r="R124" s="5"/>
      <c r="S124" s="5"/>
      <c r="T124" s="5"/>
      <c r="U124" s="5"/>
      <c r="V124" s="5"/>
      <c r="W124" s="5">
        <v>0</v>
      </c>
      <c r="X124" s="5">
        <v>1</v>
      </c>
      <c r="Y124" s="5">
        <v>0</v>
      </c>
      <c r="Z124" s="5">
        <v>0</v>
      </c>
      <c r="AA124" s="5">
        <v>1</v>
      </c>
      <c r="AB124" s="5">
        <v>0</v>
      </c>
    </row>
    <row r="125" spans="1:28">
      <c r="A125" s="5">
        <v>50</v>
      </c>
      <c r="B125" s="5">
        <v>0</v>
      </c>
      <c r="C125" s="5">
        <v>0</v>
      </c>
      <c r="D125" s="5">
        <v>1</v>
      </c>
      <c r="E125" s="5">
        <v>230</v>
      </c>
      <c r="F125" s="5">
        <f>ROUND(Source!BA105,O125)</f>
        <v>0</v>
      </c>
      <c r="G125" s="5" t="s">
        <v>68</v>
      </c>
      <c r="H125" s="5" t="s">
        <v>69</v>
      </c>
      <c r="I125" s="5"/>
      <c r="J125" s="5"/>
      <c r="K125" s="5">
        <v>230</v>
      </c>
      <c r="L125" s="5">
        <v>19</v>
      </c>
      <c r="M125" s="5">
        <v>3</v>
      </c>
      <c r="N125" s="5" t="s">
        <v>4</v>
      </c>
      <c r="O125" s="5">
        <v>2</v>
      </c>
      <c r="P125" s="5">
        <f>ROUND(Source!ES105,O125)</f>
        <v>0</v>
      </c>
      <c r="Q125" s="5"/>
      <c r="R125" s="5"/>
      <c r="S125" s="5"/>
      <c r="T125" s="5"/>
      <c r="U125" s="5"/>
      <c r="V125" s="5"/>
      <c r="W125" s="5">
        <v>0</v>
      </c>
      <c r="X125" s="5">
        <v>1</v>
      </c>
      <c r="Y125" s="5">
        <v>0</v>
      </c>
      <c r="Z125" s="5">
        <v>0</v>
      </c>
      <c r="AA125" s="5">
        <v>1</v>
      </c>
      <c r="AB125" s="5">
        <v>0</v>
      </c>
    </row>
    <row r="126" spans="1:28">
      <c r="A126" s="5">
        <v>50</v>
      </c>
      <c r="B126" s="5">
        <v>0</v>
      </c>
      <c r="C126" s="5">
        <v>0</v>
      </c>
      <c r="D126" s="5">
        <v>1</v>
      </c>
      <c r="E126" s="5">
        <v>206</v>
      </c>
      <c r="F126" s="5">
        <f>ROUND(Source!T105,O126)</f>
        <v>0</v>
      </c>
      <c r="G126" s="5" t="s">
        <v>70</v>
      </c>
      <c r="H126" s="5" t="s">
        <v>71</v>
      </c>
      <c r="I126" s="5"/>
      <c r="J126" s="5"/>
      <c r="K126" s="5">
        <v>206</v>
      </c>
      <c r="L126" s="5">
        <v>20</v>
      </c>
      <c r="M126" s="5">
        <v>3</v>
      </c>
      <c r="N126" s="5" t="s">
        <v>4</v>
      </c>
      <c r="O126" s="5">
        <v>2</v>
      </c>
      <c r="P126" s="5">
        <f>ROUND(Source!DL105,O126)</f>
        <v>0</v>
      </c>
      <c r="Q126" s="5"/>
      <c r="R126" s="5"/>
      <c r="S126" s="5"/>
      <c r="T126" s="5"/>
      <c r="U126" s="5"/>
      <c r="V126" s="5"/>
      <c r="W126" s="5">
        <v>0</v>
      </c>
      <c r="X126" s="5">
        <v>1</v>
      </c>
      <c r="Y126" s="5">
        <v>0</v>
      </c>
      <c r="Z126" s="5">
        <v>0</v>
      </c>
      <c r="AA126" s="5">
        <v>1</v>
      </c>
      <c r="AB126" s="5">
        <v>0</v>
      </c>
    </row>
    <row r="127" spans="1:28">
      <c r="A127" s="5">
        <v>50</v>
      </c>
      <c r="B127" s="5">
        <v>0</v>
      </c>
      <c r="C127" s="5">
        <v>0</v>
      </c>
      <c r="D127" s="5">
        <v>1</v>
      </c>
      <c r="E127" s="5">
        <v>207</v>
      </c>
      <c r="F127" s="5">
        <f>Source!U105</f>
        <v>0</v>
      </c>
      <c r="G127" s="5" t="s">
        <v>72</v>
      </c>
      <c r="H127" s="5" t="s">
        <v>73</v>
      </c>
      <c r="I127" s="5"/>
      <c r="J127" s="5"/>
      <c r="K127" s="5">
        <v>207</v>
      </c>
      <c r="L127" s="5">
        <v>21</v>
      </c>
      <c r="M127" s="5">
        <v>3</v>
      </c>
      <c r="N127" s="5" t="s">
        <v>4</v>
      </c>
      <c r="O127" s="5">
        <v>-1</v>
      </c>
      <c r="P127" s="5">
        <f>Source!DM105</f>
        <v>0</v>
      </c>
      <c r="Q127" s="5"/>
      <c r="R127" s="5"/>
      <c r="S127" s="5"/>
      <c r="T127" s="5"/>
      <c r="U127" s="5"/>
      <c r="V127" s="5"/>
      <c r="W127" s="5">
        <v>0</v>
      </c>
      <c r="X127" s="5">
        <v>1</v>
      </c>
      <c r="Y127" s="5">
        <v>0</v>
      </c>
      <c r="Z127" s="5">
        <v>0</v>
      </c>
      <c r="AA127" s="5">
        <v>1</v>
      </c>
      <c r="AB127" s="5">
        <v>0</v>
      </c>
    </row>
    <row r="128" spans="1:28">
      <c r="A128" s="5">
        <v>50</v>
      </c>
      <c r="B128" s="5">
        <v>0</v>
      </c>
      <c r="C128" s="5">
        <v>0</v>
      </c>
      <c r="D128" s="5">
        <v>1</v>
      </c>
      <c r="E128" s="5">
        <v>208</v>
      </c>
      <c r="F128" s="5">
        <f>Source!V105</f>
        <v>0</v>
      </c>
      <c r="G128" s="5" t="s">
        <v>74</v>
      </c>
      <c r="H128" s="5" t="s">
        <v>75</v>
      </c>
      <c r="I128" s="5"/>
      <c r="J128" s="5"/>
      <c r="K128" s="5">
        <v>208</v>
      </c>
      <c r="L128" s="5">
        <v>22</v>
      </c>
      <c r="M128" s="5">
        <v>3</v>
      </c>
      <c r="N128" s="5" t="s">
        <v>4</v>
      </c>
      <c r="O128" s="5">
        <v>-1</v>
      </c>
      <c r="P128" s="5">
        <f>Source!DN105</f>
        <v>0</v>
      </c>
      <c r="Q128" s="5"/>
      <c r="R128" s="5"/>
      <c r="S128" s="5"/>
      <c r="T128" s="5"/>
      <c r="U128" s="5"/>
      <c r="V128" s="5"/>
      <c r="W128" s="5">
        <v>0</v>
      </c>
      <c r="X128" s="5">
        <v>1</v>
      </c>
      <c r="Y128" s="5">
        <v>0</v>
      </c>
      <c r="Z128" s="5">
        <v>0</v>
      </c>
      <c r="AA128" s="5">
        <v>1</v>
      </c>
      <c r="AB128" s="5">
        <v>0</v>
      </c>
    </row>
    <row r="129" spans="1:206">
      <c r="A129" s="5">
        <v>50</v>
      </c>
      <c r="B129" s="5">
        <v>0</v>
      </c>
      <c r="C129" s="5">
        <v>0</v>
      </c>
      <c r="D129" s="5">
        <v>1</v>
      </c>
      <c r="E129" s="5">
        <v>209</v>
      </c>
      <c r="F129" s="5">
        <f>ROUND(Source!W105,O129)</f>
        <v>0</v>
      </c>
      <c r="G129" s="5" t="s">
        <v>76</v>
      </c>
      <c r="H129" s="5" t="s">
        <v>77</v>
      </c>
      <c r="I129" s="5"/>
      <c r="J129" s="5"/>
      <c r="K129" s="5">
        <v>209</v>
      </c>
      <c r="L129" s="5">
        <v>23</v>
      </c>
      <c r="M129" s="5">
        <v>3</v>
      </c>
      <c r="N129" s="5" t="s">
        <v>4</v>
      </c>
      <c r="O129" s="5">
        <v>2</v>
      </c>
      <c r="P129" s="5">
        <f>ROUND(Source!DO105,O129)</f>
        <v>0</v>
      </c>
      <c r="Q129" s="5"/>
      <c r="R129" s="5"/>
      <c r="S129" s="5"/>
      <c r="T129" s="5"/>
      <c r="U129" s="5"/>
      <c r="V129" s="5"/>
      <c r="W129" s="5">
        <v>0</v>
      </c>
      <c r="X129" s="5">
        <v>1</v>
      </c>
      <c r="Y129" s="5">
        <v>0</v>
      </c>
      <c r="Z129" s="5">
        <v>0</v>
      </c>
      <c r="AA129" s="5">
        <v>1</v>
      </c>
      <c r="AB129" s="5">
        <v>0</v>
      </c>
    </row>
    <row r="130" spans="1:206">
      <c r="A130" s="5">
        <v>50</v>
      </c>
      <c r="B130" s="5">
        <v>0</v>
      </c>
      <c r="C130" s="5">
        <v>0</v>
      </c>
      <c r="D130" s="5">
        <v>1</v>
      </c>
      <c r="E130" s="5">
        <v>233</v>
      </c>
      <c r="F130" s="5">
        <f>ROUND(Source!BD105,O130)</f>
        <v>0</v>
      </c>
      <c r="G130" s="5" t="s">
        <v>78</v>
      </c>
      <c r="H130" s="5" t="s">
        <v>79</v>
      </c>
      <c r="I130" s="5"/>
      <c r="J130" s="5"/>
      <c r="K130" s="5">
        <v>233</v>
      </c>
      <c r="L130" s="5">
        <v>24</v>
      </c>
      <c r="M130" s="5">
        <v>3</v>
      </c>
      <c r="N130" s="5" t="s">
        <v>4</v>
      </c>
      <c r="O130" s="5">
        <v>2</v>
      </c>
      <c r="P130" s="5">
        <f>ROUND(Source!EV105,O130)</f>
        <v>0</v>
      </c>
      <c r="Q130" s="5"/>
      <c r="R130" s="5"/>
      <c r="S130" s="5"/>
      <c r="T130" s="5"/>
      <c r="U130" s="5"/>
      <c r="V130" s="5"/>
      <c r="W130" s="5">
        <v>0</v>
      </c>
      <c r="X130" s="5">
        <v>1</v>
      </c>
      <c r="Y130" s="5">
        <v>0</v>
      </c>
      <c r="Z130" s="5">
        <v>0</v>
      </c>
      <c r="AA130" s="5">
        <v>1</v>
      </c>
      <c r="AB130" s="5">
        <v>0</v>
      </c>
    </row>
    <row r="131" spans="1:206">
      <c r="A131" s="5">
        <v>50</v>
      </c>
      <c r="B131" s="5">
        <v>0</v>
      </c>
      <c r="C131" s="5">
        <v>0</v>
      </c>
      <c r="D131" s="5">
        <v>1</v>
      </c>
      <c r="E131" s="5">
        <v>210</v>
      </c>
      <c r="F131" s="5">
        <f>ROUND(Source!X105,O131)</f>
        <v>0</v>
      </c>
      <c r="G131" s="5" t="s">
        <v>80</v>
      </c>
      <c r="H131" s="5" t="s">
        <v>81</v>
      </c>
      <c r="I131" s="5"/>
      <c r="J131" s="5"/>
      <c r="K131" s="5">
        <v>210</v>
      </c>
      <c r="L131" s="5">
        <v>25</v>
      </c>
      <c r="M131" s="5">
        <v>3</v>
      </c>
      <c r="N131" s="5" t="s">
        <v>4</v>
      </c>
      <c r="O131" s="5">
        <v>2</v>
      </c>
      <c r="P131" s="5">
        <f>ROUND(Source!DP105,O131)</f>
        <v>0</v>
      </c>
      <c r="Q131" s="5"/>
      <c r="R131" s="5"/>
      <c r="S131" s="5"/>
      <c r="T131" s="5"/>
      <c r="U131" s="5"/>
      <c r="V131" s="5"/>
      <c r="W131" s="5">
        <v>0</v>
      </c>
      <c r="X131" s="5">
        <v>1</v>
      </c>
      <c r="Y131" s="5">
        <v>0</v>
      </c>
      <c r="Z131" s="5">
        <v>0</v>
      </c>
      <c r="AA131" s="5">
        <v>1</v>
      </c>
      <c r="AB131" s="5">
        <v>0</v>
      </c>
    </row>
    <row r="132" spans="1:206">
      <c r="A132" s="5">
        <v>50</v>
      </c>
      <c r="B132" s="5">
        <v>0</v>
      </c>
      <c r="C132" s="5">
        <v>0</v>
      </c>
      <c r="D132" s="5">
        <v>1</v>
      </c>
      <c r="E132" s="5">
        <v>211</v>
      </c>
      <c r="F132" s="5">
        <f>ROUND(Source!Y105,O132)</f>
        <v>0</v>
      </c>
      <c r="G132" s="5" t="s">
        <v>82</v>
      </c>
      <c r="H132" s="5" t="s">
        <v>83</v>
      </c>
      <c r="I132" s="5"/>
      <c r="J132" s="5"/>
      <c r="K132" s="5">
        <v>211</v>
      </c>
      <c r="L132" s="5">
        <v>26</v>
      </c>
      <c r="M132" s="5">
        <v>3</v>
      </c>
      <c r="N132" s="5" t="s">
        <v>4</v>
      </c>
      <c r="O132" s="5">
        <v>2</v>
      </c>
      <c r="P132" s="5">
        <f>ROUND(Source!DQ105,O132)</f>
        <v>0</v>
      </c>
      <c r="Q132" s="5"/>
      <c r="R132" s="5"/>
      <c r="S132" s="5"/>
      <c r="T132" s="5"/>
      <c r="U132" s="5"/>
      <c r="V132" s="5"/>
      <c r="W132" s="5">
        <v>0</v>
      </c>
      <c r="X132" s="5">
        <v>1</v>
      </c>
      <c r="Y132" s="5">
        <v>0</v>
      </c>
      <c r="Z132" s="5">
        <v>0</v>
      </c>
      <c r="AA132" s="5">
        <v>1</v>
      </c>
      <c r="AB132" s="5">
        <v>0</v>
      </c>
    </row>
    <row r="133" spans="1:206">
      <c r="A133" s="5">
        <v>50</v>
      </c>
      <c r="B133" s="5">
        <v>0</v>
      </c>
      <c r="C133" s="5">
        <v>0</v>
      </c>
      <c r="D133" s="5">
        <v>1</v>
      </c>
      <c r="E133" s="5">
        <v>224</v>
      </c>
      <c r="F133" s="5">
        <f>ROUND(Source!AR105,O133)</f>
        <v>439830.76</v>
      </c>
      <c r="G133" s="5" t="s">
        <v>84</v>
      </c>
      <c r="H133" s="5" t="s">
        <v>85</v>
      </c>
      <c r="I133" s="5"/>
      <c r="J133" s="5"/>
      <c r="K133" s="5">
        <v>224</v>
      </c>
      <c r="L133" s="5">
        <v>27</v>
      </c>
      <c r="M133" s="5">
        <v>3</v>
      </c>
      <c r="N133" s="5" t="s">
        <v>4</v>
      </c>
      <c r="O133" s="5">
        <v>2</v>
      </c>
      <c r="P133" s="5">
        <f>ROUND(Source!EJ105,O133)</f>
        <v>3197569.63</v>
      </c>
      <c r="Q133" s="5"/>
      <c r="R133" s="5"/>
      <c r="S133" s="5"/>
      <c r="T133" s="5"/>
      <c r="U133" s="5"/>
      <c r="V133" s="5"/>
      <c r="W133" s="5">
        <v>439830.76</v>
      </c>
      <c r="X133" s="5">
        <v>1</v>
      </c>
      <c r="Y133" s="5">
        <v>439830.76</v>
      </c>
      <c r="Z133" s="5">
        <v>3197569.63</v>
      </c>
      <c r="AA133" s="5">
        <v>1</v>
      </c>
      <c r="AB133" s="5">
        <v>3197569.63</v>
      </c>
    </row>
    <row r="135" spans="1:206">
      <c r="A135" s="3">
        <v>51</v>
      </c>
      <c r="B135" s="3">
        <f>B20</f>
        <v>1</v>
      </c>
      <c r="C135" s="3">
        <f>A20</f>
        <v>3</v>
      </c>
      <c r="D135" s="3">
        <f>ROW(A20)</f>
        <v>20</v>
      </c>
      <c r="E135" s="3"/>
      <c r="F135" s="3" t="str">
        <f>IF(F20&lt;&gt;"",F20,"")</f>
        <v>02-01-03</v>
      </c>
      <c r="G135" s="3" t="str">
        <f>IF(G20&lt;&gt;"",G20,"")</f>
        <v>Реконструкция ТП  28274</v>
      </c>
      <c r="H135" s="3">
        <v>0</v>
      </c>
      <c r="I135" s="3"/>
      <c r="J135" s="3"/>
      <c r="K135" s="3"/>
      <c r="L135" s="3"/>
      <c r="M135" s="3"/>
      <c r="N135" s="3"/>
      <c r="O135" s="3">
        <f t="shared" ref="O135:T135" si="47">ROUND(O31+O68+O105+AB135,2)</f>
        <v>443203.52</v>
      </c>
      <c r="P135" s="3">
        <f t="shared" si="47"/>
        <v>440005.2</v>
      </c>
      <c r="Q135" s="3">
        <f t="shared" si="47"/>
        <v>2132.8000000000002</v>
      </c>
      <c r="R135" s="3">
        <f t="shared" si="47"/>
        <v>572.80999999999995</v>
      </c>
      <c r="S135" s="3">
        <f t="shared" si="47"/>
        <v>1065.52</v>
      </c>
      <c r="T135" s="3">
        <f t="shared" si="47"/>
        <v>0</v>
      </c>
      <c r="U135" s="3">
        <f>U31+U68+U105+AH135</f>
        <v>84.430080000000004</v>
      </c>
      <c r="V135" s="3">
        <f>V31+V68+V105+AI135</f>
        <v>0</v>
      </c>
      <c r="W135" s="3">
        <f>ROUND(W31+W68+W105+AJ135,2)</f>
        <v>0</v>
      </c>
      <c r="X135" s="3">
        <f>ROUND(X31+X68+X105+AK135,2)</f>
        <v>1193.3800000000001</v>
      </c>
      <c r="Y135" s="3">
        <f>ROUND(Y31+Y68+Y105+AL135,2)</f>
        <v>745.86</v>
      </c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>
        <f t="shared" ref="AO135:BD135" si="48">ROUND(AO31+AO68+AO105+BX135,2)</f>
        <v>0</v>
      </c>
      <c r="AP135" s="3">
        <f t="shared" si="48"/>
        <v>439830.76</v>
      </c>
      <c r="AQ135" s="3">
        <f t="shared" si="48"/>
        <v>0</v>
      </c>
      <c r="AR135" s="3">
        <f t="shared" si="48"/>
        <v>446145.18</v>
      </c>
      <c r="AS135" s="3">
        <f t="shared" si="48"/>
        <v>0</v>
      </c>
      <c r="AT135" s="3">
        <f t="shared" si="48"/>
        <v>6314.42</v>
      </c>
      <c r="AU135" s="3">
        <f t="shared" si="48"/>
        <v>0</v>
      </c>
      <c r="AV135" s="3">
        <f t="shared" si="48"/>
        <v>440005.2</v>
      </c>
      <c r="AW135" s="3">
        <f t="shared" si="48"/>
        <v>174.44</v>
      </c>
      <c r="AX135" s="3">
        <f t="shared" si="48"/>
        <v>0</v>
      </c>
      <c r="AY135" s="3">
        <f t="shared" si="48"/>
        <v>174.44</v>
      </c>
      <c r="AZ135" s="3">
        <f t="shared" si="48"/>
        <v>439830.76</v>
      </c>
      <c r="BA135" s="3">
        <f t="shared" si="48"/>
        <v>0</v>
      </c>
      <c r="BB135" s="3">
        <f t="shared" si="48"/>
        <v>0</v>
      </c>
      <c r="BC135" s="3">
        <f t="shared" si="48"/>
        <v>0</v>
      </c>
      <c r="BD135" s="3">
        <f t="shared" si="48"/>
        <v>0</v>
      </c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  <c r="CC135" s="3"/>
      <c r="CD135" s="3"/>
      <c r="CE135" s="3"/>
      <c r="CF135" s="3"/>
      <c r="CG135" s="3"/>
      <c r="CH135" s="3"/>
      <c r="CI135" s="3"/>
      <c r="CJ135" s="3"/>
      <c r="CK135" s="3"/>
      <c r="CL135" s="3"/>
      <c r="CM135" s="3"/>
      <c r="CN135" s="3"/>
      <c r="CO135" s="3"/>
      <c r="CP135" s="3"/>
      <c r="CQ135" s="3"/>
      <c r="CR135" s="3"/>
      <c r="CS135" s="3"/>
      <c r="CT135" s="3"/>
      <c r="CU135" s="3"/>
      <c r="CV135" s="3"/>
      <c r="CW135" s="3"/>
      <c r="CX135" s="3"/>
      <c r="CY135" s="3"/>
      <c r="CZ135" s="3"/>
      <c r="DA135" s="3"/>
      <c r="DB135" s="3"/>
      <c r="DC135" s="3"/>
      <c r="DD135" s="3"/>
      <c r="DE135" s="3"/>
      <c r="DF135" s="3"/>
      <c r="DG135" s="4">
        <f t="shared" ref="DG135:DL135" si="49">ROUND(DG31+DG68+DG105+DT135,2)</f>
        <v>3293727.99</v>
      </c>
      <c r="DH135" s="4">
        <f t="shared" si="49"/>
        <v>3202303.93</v>
      </c>
      <c r="DI135" s="4">
        <f t="shared" si="49"/>
        <v>41696.239999999998</v>
      </c>
      <c r="DJ135" s="4">
        <f t="shared" si="49"/>
        <v>26733.040000000001</v>
      </c>
      <c r="DK135" s="4">
        <f t="shared" si="49"/>
        <v>49727.82</v>
      </c>
      <c r="DL135" s="4">
        <f t="shared" si="49"/>
        <v>0</v>
      </c>
      <c r="DM135" s="4">
        <f>DM31+DM68+DM105+DZ135</f>
        <v>84.430080000000004</v>
      </c>
      <c r="DN135" s="4">
        <f>DN31+DN68+DN105+EA135</f>
        <v>0</v>
      </c>
      <c r="DO135" s="4">
        <f>ROUND(DO31+DO68+DO105+EB135,2)</f>
        <v>0</v>
      </c>
      <c r="DP135" s="4">
        <f>ROUND(DP31+DP68+DP105+EC135,2)</f>
        <v>45749.59</v>
      </c>
      <c r="DQ135" s="4">
        <f>ROUND(DQ31+DQ68+DQ105+ED135,2)</f>
        <v>21382.959999999999</v>
      </c>
      <c r="DR135" s="4"/>
      <c r="DS135" s="4"/>
      <c r="DT135" s="4"/>
      <c r="DU135" s="4"/>
      <c r="DV135" s="4"/>
      <c r="DW135" s="4"/>
      <c r="DX135" s="4"/>
      <c r="DY135" s="4"/>
      <c r="DZ135" s="4"/>
      <c r="EA135" s="4"/>
      <c r="EB135" s="4"/>
      <c r="EC135" s="4"/>
      <c r="ED135" s="4"/>
      <c r="EE135" s="4"/>
      <c r="EF135" s="4"/>
      <c r="EG135" s="4">
        <f t="shared" ref="EG135:EV135" si="50">ROUND(EG31+EG68+EG105+FP135,2)</f>
        <v>0</v>
      </c>
      <c r="EH135" s="4">
        <f t="shared" si="50"/>
        <v>3197569.63</v>
      </c>
      <c r="EI135" s="4">
        <f t="shared" si="50"/>
        <v>0</v>
      </c>
      <c r="EJ135" s="4">
        <f t="shared" si="50"/>
        <v>3403633.41</v>
      </c>
      <c r="EK135" s="4">
        <f t="shared" si="50"/>
        <v>0</v>
      </c>
      <c r="EL135" s="4">
        <f t="shared" si="50"/>
        <v>206063.78</v>
      </c>
      <c r="EM135" s="4">
        <f t="shared" si="50"/>
        <v>0</v>
      </c>
      <c r="EN135" s="4">
        <f t="shared" si="50"/>
        <v>3202303.93</v>
      </c>
      <c r="EO135" s="4">
        <f t="shared" si="50"/>
        <v>4734.3</v>
      </c>
      <c r="EP135" s="4">
        <f t="shared" si="50"/>
        <v>0</v>
      </c>
      <c r="EQ135" s="4">
        <f t="shared" si="50"/>
        <v>4734.3</v>
      </c>
      <c r="ER135" s="4">
        <f t="shared" si="50"/>
        <v>3197569.63</v>
      </c>
      <c r="ES135" s="4">
        <f t="shared" si="50"/>
        <v>0</v>
      </c>
      <c r="ET135" s="4">
        <f t="shared" si="50"/>
        <v>0</v>
      </c>
      <c r="EU135" s="4">
        <f t="shared" si="50"/>
        <v>0</v>
      </c>
      <c r="EV135" s="4">
        <f t="shared" si="50"/>
        <v>0</v>
      </c>
      <c r="EW135" s="4"/>
      <c r="EX135" s="4"/>
      <c r="EY135" s="4"/>
      <c r="EZ135" s="4"/>
      <c r="FA135" s="4"/>
      <c r="FB135" s="4"/>
      <c r="FC135" s="4"/>
      <c r="FD135" s="4"/>
      <c r="FE135" s="4"/>
      <c r="FF135" s="4"/>
      <c r="FG135" s="4"/>
      <c r="FH135" s="4"/>
      <c r="FI135" s="4"/>
      <c r="FJ135" s="4"/>
      <c r="FK135" s="4"/>
      <c r="FL135" s="4"/>
      <c r="FM135" s="4"/>
      <c r="FN135" s="4"/>
      <c r="FO135" s="4"/>
      <c r="FP135" s="4"/>
      <c r="FQ135" s="4"/>
      <c r="FR135" s="4"/>
      <c r="FS135" s="4"/>
      <c r="FT135" s="4"/>
      <c r="FU135" s="4"/>
      <c r="FV135" s="4"/>
      <c r="FW135" s="4"/>
      <c r="FX135" s="4"/>
      <c r="FY135" s="4"/>
      <c r="FZ135" s="4"/>
      <c r="GA135" s="4"/>
      <c r="GB135" s="4"/>
      <c r="GC135" s="4"/>
      <c r="GD135" s="4"/>
      <c r="GE135" s="4"/>
      <c r="GF135" s="4"/>
      <c r="GG135" s="4"/>
      <c r="GH135" s="4"/>
      <c r="GI135" s="4"/>
      <c r="GJ135" s="4"/>
      <c r="GK135" s="4"/>
      <c r="GL135" s="4"/>
      <c r="GM135" s="4"/>
      <c r="GN135" s="4"/>
      <c r="GO135" s="4"/>
      <c r="GP135" s="4"/>
      <c r="GQ135" s="4"/>
      <c r="GR135" s="4"/>
      <c r="GS135" s="4"/>
      <c r="GT135" s="4"/>
      <c r="GU135" s="4"/>
      <c r="GV135" s="4"/>
      <c r="GW135" s="4"/>
      <c r="GX135" s="4">
        <v>0</v>
      </c>
    </row>
    <row r="137" spans="1:206">
      <c r="A137" s="5">
        <v>50</v>
      </c>
      <c r="B137" s="5">
        <v>0</v>
      </c>
      <c r="C137" s="5">
        <v>0</v>
      </c>
      <c r="D137" s="5">
        <v>1</v>
      </c>
      <c r="E137" s="5">
        <v>201</v>
      </c>
      <c r="F137" s="5">
        <f>ROUND(Source!O135,O137)</f>
        <v>443203.52</v>
      </c>
      <c r="G137" s="5" t="s">
        <v>32</v>
      </c>
      <c r="H137" s="5" t="s">
        <v>33</v>
      </c>
      <c r="I137" s="5"/>
      <c r="J137" s="5"/>
      <c r="K137" s="5">
        <v>201</v>
      </c>
      <c r="L137" s="5">
        <v>1</v>
      </c>
      <c r="M137" s="5">
        <v>3</v>
      </c>
      <c r="N137" s="5" t="s">
        <v>4</v>
      </c>
      <c r="O137" s="5">
        <v>2</v>
      </c>
      <c r="P137" s="5">
        <f>ROUND(Source!DG135,O137)</f>
        <v>3293727.99</v>
      </c>
      <c r="Q137" s="5"/>
      <c r="R137" s="5"/>
      <c r="S137" s="5"/>
      <c r="T137" s="5"/>
      <c r="U137" s="5"/>
      <c r="V137" s="5"/>
      <c r="W137" s="5">
        <v>443203.52</v>
      </c>
      <c r="X137" s="5">
        <v>1</v>
      </c>
      <c r="Y137" s="5">
        <v>443203.52</v>
      </c>
      <c r="Z137" s="5">
        <v>3293727.99</v>
      </c>
      <c r="AA137" s="5">
        <v>1</v>
      </c>
      <c r="AB137" s="5">
        <v>3293727.99</v>
      </c>
    </row>
    <row r="138" spans="1:206">
      <c r="A138" s="5">
        <v>50</v>
      </c>
      <c r="B138" s="5">
        <v>0</v>
      </c>
      <c r="C138" s="5">
        <v>0</v>
      </c>
      <c r="D138" s="5">
        <v>1</v>
      </c>
      <c r="E138" s="5">
        <v>202</v>
      </c>
      <c r="F138" s="5">
        <f>ROUND(Source!P135,O138)</f>
        <v>440005.2</v>
      </c>
      <c r="G138" s="5" t="s">
        <v>34</v>
      </c>
      <c r="H138" s="5" t="s">
        <v>35</v>
      </c>
      <c r="I138" s="5"/>
      <c r="J138" s="5"/>
      <c r="K138" s="5">
        <v>202</v>
      </c>
      <c r="L138" s="5">
        <v>2</v>
      </c>
      <c r="M138" s="5">
        <v>3</v>
      </c>
      <c r="N138" s="5" t="s">
        <v>4</v>
      </c>
      <c r="O138" s="5">
        <v>2</v>
      </c>
      <c r="P138" s="5">
        <f>ROUND(Source!DH135,O138)</f>
        <v>3202303.93</v>
      </c>
      <c r="Q138" s="5"/>
      <c r="R138" s="5"/>
      <c r="S138" s="5"/>
      <c r="T138" s="5"/>
      <c r="U138" s="5"/>
      <c r="V138" s="5"/>
      <c r="W138" s="5">
        <v>440005.2</v>
      </c>
      <c r="X138" s="5">
        <v>1</v>
      </c>
      <c r="Y138" s="5">
        <v>440005.2</v>
      </c>
      <c r="Z138" s="5">
        <v>3202303.93</v>
      </c>
      <c r="AA138" s="5">
        <v>1</v>
      </c>
      <c r="AB138" s="5">
        <v>3202303.93</v>
      </c>
    </row>
    <row r="139" spans="1:206">
      <c r="A139" s="5">
        <v>50</v>
      </c>
      <c r="B139" s="5">
        <v>0</v>
      </c>
      <c r="C139" s="5">
        <v>0</v>
      </c>
      <c r="D139" s="5">
        <v>1</v>
      </c>
      <c r="E139" s="5">
        <v>222</v>
      </c>
      <c r="F139" s="5">
        <f>ROUND(Source!AO135,O139)</f>
        <v>0</v>
      </c>
      <c r="G139" s="5" t="s">
        <v>36</v>
      </c>
      <c r="H139" s="5" t="s">
        <v>37</v>
      </c>
      <c r="I139" s="5"/>
      <c r="J139" s="5"/>
      <c r="K139" s="5">
        <v>222</v>
      </c>
      <c r="L139" s="5">
        <v>3</v>
      </c>
      <c r="M139" s="5">
        <v>3</v>
      </c>
      <c r="N139" s="5" t="s">
        <v>4</v>
      </c>
      <c r="O139" s="5">
        <v>2</v>
      </c>
      <c r="P139" s="5">
        <f>ROUND(Source!EG135,O139)</f>
        <v>0</v>
      </c>
      <c r="Q139" s="5"/>
      <c r="R139" s="5"/>
      <c r="S139" s="5"/>
      <c r="T139" s="5"/>
      <c r="U139" s="5"/>
      <c r="V139" s="5"/>
      <c r="W139" s="5">
        <v>0</v>
      </c>
      <c r="X139" s="5">
        <v>1</v>
      </c>
      <c r="Y139" s="5">
        <v>0</v>
      </c>
      <c r="Z139" s="5">
        <v>0</v>
      </c>
      <c r="AA139" s="5">
        <v>1</v>
      </c>
      <c r="AB139" s="5">
        <v>0</v>
      </c>
    </row>
    <row r="140" spans="1:206">
      <c r="A140" s="5">
        <v>50</v>
      </c>
      <c r="B140" s="5">
        <v>0</v>
      </c>
      <c r="C140" s="5">
        <v>0</v>
      </c>
      <c r="D140" s="5">
        <v>1</v>
      </c>
      <c r="E140" s="5">
        <v>225</v>
      </c>
      <c r="F140" s="5">
        <f>ROUND(Source!AV135,O140)</f>
        <v>440005.2</v>
      </c>
      <c r="G140" s="5" t="s">
        <v>38</v>
      </c>
      <c r="H140" s="5" t="s">
        <v>39</v>
      </c>
      <c r="I140" s="5"/>
      <c r="J140" s="5"/>
      <c r="K140" s="5">
        <v>225</v>
      </c>
      <c r="L140" s="5">
        <v>4</v>
      </c>
      <c r="M140" s="5">
        <v>3</v>
      </c>
      <c r="N140" s="5" t="s">
        <v>4</v>
      </c>
      <c r="O140" s="5">
        <v>2</v>
      </c>
      <c r="P140" s="5">
        <f>ROUND(Source!EN135,O140)</f>
        <v>3202303.93</v>
      </c>
      <c r="Q140" s="5"/>
      <c r="R140" s="5"/>
      <c r="S140" s="5"/>
      <c r="T140" s="5"/>
      <c r="U140" s="5"/>
      <c r="V140" s="5"/>
      <c r="W140" s="5">
        <v>440005.2</v>
      </c>
      <c r="X140" s="5">
        <v>1</v>
      </c>
      <c r="Y140" s="5">
        <v>440005.2</v>
      </c>
      <c r="Z140" s="5">
        <v>3202303.93</v>
      </c>
      <c r="AA140" s="5">
        <v>1</v>
      </c>
      <c r="AB140" s="5">
        <v>3202303.93</v>
      </c>
    </row>
    <row r="141" spans="1:206">
      <c r="A141" s="5">
        <v>50</v>
      </c>
      <c r="B141" s="5">
        <v>0</v>
      </c>
      <c r="C141" s="5">
        <v>0</v>
      </c>
      <c r="D141" s="5">
        <v>1</v>
      </c>
      <c r="E141" s="5">
        <v>226</v>
      </c>
      <c r="F141" s="5">
        <f>ROUND(Source!AW135,O141)</f>
        <v>174.44</v>
      </c>
      <c r="G141" s="5" t="s">
        <v>40</v>
      </c>
      <c r="H141" s="5" t="s">
        <v>41</v>
      </c>
      <c r="I141" s="5"/>
      <c r="J141" s="5"/>
      <c r="K141" s="5">
        <v>226</v>
      </c>
      <c r="L141" s="5">
        <v>5</v>
      </c>
      <c r="M141" s="5">
        <v>3</v>
      </c>
      <c r="N141" s="5" t="s">
        <v>4</v>
      </c>
      <c r="O141" s="5">
        <v>2</v>
      </c>
      <c r="P141" s="5">
        <f>ROUND(Source!EO135,O141)</f>
        <v>4734.3</v>
      </c>
      <c r="Q141" s="5"/>
      <c r="R141" s="5"/>
      <c r="S141" s="5"/>
      <c r="T141" s="5"/>
      <c r="U141" s="5"/>
      <c r="V141" s="5"/>
      <c r="W141" s="5">
        <v>174.44</v>
      </c>
      <c r="X141" s="5">
        <v>1</v>
      </c>
      <c r="Y141" s="5">
        <v>174.44</v>
      </c>
      <c r="Z141" s="5">
        <v>4734.3</v>
      </c>
      <c r="AA141" s="5">
        <v>1</v>
      </c>
      <c r="AB141" s="5">
        <v>4734.3</v>
      </c>
    </row>
    <row r="142" spans="1:206">
      <c r="A142" s="5">
        <v>50</v>
      </c>
      <c r="B142" s="5">
        <v>0</v>
      </c>
      <c r="C142" s="5">
        <v>0</v>
      </c>
      <c r="D142" s="5">
        <v>1</v>
      </c>
      <c r="E142" s="5">
        <v>227</v>
      </c>
      <c r="F142" s="5">
        <f>ROUND(Source!AX135,O142)</f>
        <v>0</v>
      </c>
      <c r="G142" s="5" t="s">
        <v>42</v>
      </c>
      <c r="H142" s="5" t="s">
        <v>43</v>
      </c>
      <c r="I142" s="5"/>
      <c r="J142" s="5"/>
      <c r="K142" s="5">
        <v>227</v>
      </c>
      <c r="L142" s="5">
        <v>6</v>
      </c>
      <c r="M142" s="5">
        <v>3</v>
      </c>
      <c r="N142" s="5" t="s">
        <v>4</v>
      </c>
      <c r="O142" s="5">
        <v>2</v>
      </c>
      <c r="P142" s="5">
        <f>ROUND(Source!EP135,O142)</f>
        <v>0</v>
      </c>
      <c r="Q142" s="5"/>
      <c r="R142" s="5"/>
      <c r="S142" s="5"/>
      <c r="T142" s="5"/>
      <c r="U142" s="5"/>
      <c r="V142" s="5"/>
      <c r="W142" s="5">
        <v>0</v>
      </c>
      <c r="X142" s="5">
        <v>1</v>
      </c>
      <c r="Y142" s="5">
        <v>0</v>
      </c>
      <c r="Z142" s="5">
        <v>0</v>
      </c>
      <c r="AA142" s="5">
        <v>1</v>
      </c>
      <c r="AB142" s="5">
        <v>0</v>
      </c>
    </row>
    <row r="143" spans="1:206">
      <c r="A143" s="5">
        <v>50</v>
      </c>
      <c r="B143" s="5">
        <v>0</v>
      </c>
      <c r="C143" s="5">
        <v>0</v>
      </c>
      <c r="D143" s="5">
        <v>1</v>
      </c>
      <c r="E143" s="5">
        <v>228</v>
      </c>
      <c r="F143" s="5">
        <f>ROUND(Source!AY135,O143)</f>
        <v>174.44</v>
      </c>
      <c r="G143" s="5" t="s">
        <v>44</v>
      </c>
      <c r="H143" s="5" t="s">
        <v>45</v>
      </c>
      <c r="I143" s="5"/>
      <c r="J143" s="5"/>
      <c r="K143" s="5">
        <v>228</v>
      </c>
      <c r="L143" s="5">
        <v>7</v>
      </c>
      <c r="M143" s="5">
        <v>3</v>
      </c>
      <c r="N143" s="5" t="s">
        <v>4</v>
      </c>
      <c r="O143" s="5">
        <v>2</v>
      </c>
      <c r="P143" s="5">
        <f>ROUND(Source!EQ135,O143)</f>
        <v>4734.3</v>
      </c>
      <c r="Q143" s="5"/>
      <c r="R143" s="5"/>
      <c r="S143" s="5"/>
      <c r="T143" s="5"/>
      <c r="U143" s="5"/>
      <c r="V143" s="5"/>
      <c r="W143" s="5">
        <v>174.44</v>
      </c>
      <c r="X143" s="5">
        <v>1</v>
      </c>
      <c r="Y143" s="5">
        <v>174.44</v>
      </c>
      <c r="Z143" s="5">
        <v>4734.3</v>
      </c>
      <c r="AA143" s="5">
        <v>1</v>
      </c>
      <c r="AB143" s="5">
        <v>4734.3</v>
      </c>
    </row>
    <row r="144" spans="1:206">
      <c r="A144" s="5">
        <v>50</v>
      </c>
      <c r="B144" s="5">
        <v>0</v>
      </c>
      <c r="C144" s="5">
        <v>0</v>
      </c>
      <c r="D144" s="5">
        <v>1</v>
      </c>
      <c r="E144" s="5">
        <v>216</v>
      </c>
      <c r="F144" s="5">
        <f>ROUND(Source!AP135,O144)</f>
        <v>439830.76</v>
      </c>
      <c r="G144" s="5" t="s">
        <v>46</v>
      </c>
      <c r="H144" s="5" t="s">
        <v>47</v>
      </c>
      <c r="I144" s="5"/>
      <c r="J144" s="5"/>
      <c r="K144" s="5">
        <v>216</v>
      </c>
      <c r="L144" s="5">
        <v>8</v>
      </c>
      <c r="M144" s="5">
        <v>3</v>
      </c>
      <c r="N144" s="5" t="s">
        <v>4</v>
      </c>
      <c r="O144" s="5">
        <v>2</v>
      </c>
      <c r="P144" s="5">
        <f>ROUND(Source!EH135,O144)</f>
        <v>3197569.63</v>
      </c>
      <c r="Q144" s="5"/>
      <c r="R144" s="5"/>
      <c r="S144" s="5"/>
      <c r="T144" s="5"/>
      <c r="U144" s="5"/>
      <c r="V144" s="5"/>
      <c r="W144" s="5">
        <v>439830.76</v>
      </c>
      <c r="X144" s="5">
        <v>1</v>
      </c>
      <c r="Y144" s="5">
        <v>439830.76</v>
      </c>
      <c r="Z144" s="5">
        <v>3197569.63</v>
      </c>
      <c r="AA144" s="5">
        <v>1</v>
      </c>
      <c r="AB144" s="5">
        <v>3197569.63</v>
      </c>
    </row>
    <row r="145" spans="1:28">
      <c r="A145" s="5">
        <v>50</v>
      </c>
      <c r="B145" s="5">
        <v>0</v>
      </c>
      <c r="C145" s="5">
        <v>0</v>
      </c>
      <c r="D145" s="5">
        <v>1</v>
      </c>
      <c r="E145" s="5">
        <v>223</v>
      </c>
      <c r="F145" s="5">
        <f>ROUND(Source!AQ135,O145)</f>
        <v>0</v>
      </c>
      <c r="G145" s="5" t="s">
        <v>48</v>
      </c>
      <c r="H145" s="5" t="s">
        <v>49</v>
      </c>
      <c r="I145" s="5"/>
      <c r="J145" s="5"/>
      <c r="K145" s="5">
        <v>223</v>
      </c>
      <c r="L145" s="5">
        <v>9</v>
      </c>
      <c r="M145" s="5">
        <v>3</v>
      </c>
      <c r="N145" s="5" t="s">
        <v>4</v>
      </c>
      <c r="O145" s="5">
        <v>2</v>
      </c>
      <c r="P145" s="5">
        <f>ROUND(Source!EI135,O145)</f>
        <v>0</v>
      </c>
      <c r="Q145" s="5"/>
      <c r="R145" s="5"/>
      <c r="S145" s="5"/>
      <c r="T145" s="5"/>
      <c r="U145" s="5"/>
      <c r="V145" s="5"/>
      <c r="W145" s="5">
        <v>0</v>
      </c>
      <c r="X145" s="5">
        <v>1</v>
      </c>
      <c r="Y145" s="5">
        <v>0</v>
      </c>
      <c r="Z145" s="5">
        <v>0</v>
      </c>
      <c r="AA145" s="5">
        <v>1</v>
      </c>
      <c r="AB145" s="5">
        <v>0</v>
      </c>
    </row>
    <row r="146" spans="1:28">
      <c r="A146" s="5">
        <v>50</v>
      </c>
      <c r="B146" s="5">
        <v>0</v>
      </c>
      <c r="C146" s="5">
        <v>0</v>
      </c>
      <c r="D146" s="5">
        <v>1</v>
      </c>
      <c r="E146" s="5">
        <v>229</v>
      </c>
      <c r="F146" s="5">
        <f>ROUND(Source!AZ135,O146)</f>
        <v>439830.76</v>
      </c>
      <c r="G146" s="5" t="s">
        <v>50</v>
      </c>
      <c r="H146" s="5" t="s">
        <v>51</v>
      </c>
      <c r="I146" s="5"/>
      <c r="J146" s="5"/>
      <c r="K146" s="5">
        <v>229</v>
      </c>
      <c r="L146" s="5">
        <v>10</v>
      </c>
      <c r="M146" s="5">
        <v>3</v>
      </c>
      <c r="N146" s="5" t="s">
        <v>4</v>
      </c>
      <c r="O146" s="5">
        <v>2</v>
      </c>
      <c r="P146" s="5">
        <f>ROUND(Source!ER135,O146)</f>
        <v>3197569.63</v>
      </c>
      <c r="Q146" s="5"/>
      <c r="R146" s="5"/>
      <c r="S146" s="5"/>
      <c r="T146" s="5"/>
      <c r="U146" s="5"/>
      <c r="V146" s="5"/>
      <c r="W146" s="5">
        <v>439830.76</v>
      </c>
      <c r="X146" s="5">
        <v>1</v>
      </c>
      <c r="Y146" s="5">
        <v>439830.76</v>
      </c>
      <c r="Z146" s="5">
        <v>3197569.63</v>
      </c>
      <c r="AA146" s="5">
        <v>1</v>
      </c>
      <c r="AB146" s="5">
        <v>3197569.63</v>
      </c>
    </row>
    <row r="147" spans="1:28">
      <c r="A147" s="5">
        <v>50</v>
      </c>
      <c r="B147" s="5">
        <v>0</v>
      </c>
      <c r="C147" s="5">
        <v>0</v>
      </c>
      <c r="D147" s="5">
        <v>1</v>
      </c>
      <c r="E147" s="5">
        <v>203</v>
      </c>
      <c r="F147" s="5">
        <f>ROUND(Source!Q135,O147)</f>
        <v>2132.8000000000002</v>
      </c>
      <c r="G147" s="5" t="s">
        <v>52</v>
      </c>
      <c r="H147" s="5" t="s">
        <v>53</v>
      </c>
      <c r="I147" s="5"/>
      <c r="J147" s="5"/>
      <c r="K147" s="5">
        <v>203</v>
      </c>
      <c r="L147" s="5">
        <v>11</v>
      </c>
      <c r="M147" s="5">
        <v>3</v>
      </c>
      <c r="N147" s="5" t="s">
        <v>4</v>
      </c>
      <c r="O147" s="5">
        <v>2</v>
      </c>
      <c r="P147" s="5">
        <f>ROUND(Source!DI135,O147)</f>
        <v>41696.239999999998</v>
      </c>
      <c r="Q147" s="5"/>
      <c r="R147" s="5"/>
      <c r="S147" s="5"/>
      <c r="T147" s="5"/>
      <c r="U147" s="5"/>
      <c r="V147" s="5"/>
      <c r="W147" s="5">
        <v>2132.8000000000002</v>
      </c>
      <c r="X147" s="5">
        <v>1</v>
      </c>
      <c r="Y147" s="5">
        <v>2132.8000000000002</v>
      </c>
      <c r="Z147" s="5">
        <v>41696.239999999998</v>
      </c>
      <c r="AA147" s="5">
        <v>1</v>
      </c>
      <c r="AB147" s="5">
        <v>41696.239999999998</v>
      </c>
    </row>
    <row r="148" spans="1:28">
      <c r="A148" s="5">
        <v>50</v>
      </c>
      <c r="B148" s="5">
        <v>0</v>
      </c>
      <c r="C148" s="5">
        <v>0</v>
      </c>
      <c r="D148" s="5">
        <v>1</v>
      </c>
      <c r="E148" s="5">
        <v>231</v>
      </c>
      <c r="F148" s="5">
        <f>ROUND(Source!BB135,O148)</f>
        <v>0</v>
      </c>
      <c r="G148" s="5" t="s">
        <v>54</v>
      </c>
      <c r="H148" s="5" t="s">
        <v>55</v>
      </c>
      <c r="I148" s="5"/>
      <c r="J148" s="5"/>
      <c r="K148" s="5">
        <v>231</v>
      </c>
      <c r="L148" s="5">
        <v>12</v>
      </c>
      <c r="M148" s="5">
        <v>3</v>
      </c>
      <c r="N148" s="5" t="s">
        <v>4</v>
      </c>
      <c r="O148" s="5">
        <v>2</v>
      </c>
      <c r="P148" s="5">
        <f>ROUND(Source!ET135,O148)</f>
        <v>0</v>
      </c>
      <c r="Q148" s="5"/>
      <c r="R148" s="5"/>
      <c r="S148" s="5"/>
      <c r="T148" s="5"/>
      <c r="U148" s="5"/>
      <c r="V148" s="5"/>
      <c r="W148" s="5">
        <v>0</v>
      </c>
      <c r="X148" s="5">
        <v>1</v>
      </c>
      <c r="Y148" s="5">
        <v>0</v>
      </c>
      <c r="Z148" s="5">
        <v>0</v>
      </c>
      <c r="AA148" s="5">
        <v>1</v>
      </c>
      <c r="AB148" s="5">
        <v>0</v>
      </c>
    </row>
    <row r="149" spans="1:28">
      <c r="A149" s="5">
        <v>50</v>
      </c>
      <c r="B149" s="5">
        <v>0</v>
      </c>
      <c r="C149" s="5">
        <v>0</v>
      </c>
      <c r="D149" s="5">
        <v>1</v>
      </c>
      <c r="E149" s="5">
        <v>204</v>
      </c>
      <c r="F149" s="5">
        <f>ROUND(Source!R135,O149)</f>
        <v>572.80999999999995</v>
      </c>
      <c r="G149" s="5" t="s">
        <v>56</v>
      </c>
      <c r="H149" s="5" t="s">
        <v>57</v>
      </c>
      <c r="I149" s="5"/>
      <c r="J149" s="5"/>
      <c r="K149" s="5">
        <v>204</v>
      </c>
      <c r="L149" s="5">
        <v>13</v>
      </c>
      <c r="M149" s="5">
        <v>3</v>
      </c>
      <c r="N149" s="5" t="s">
        <v>4</v>
      </c>
      <c r="O149" s="5">
        <v>2</v>
      </c>
      <c r="P149" s="5">
        <f>ROUND(Source!DJ135,O149)</f>
        <v>26733.040000000001</v>
      </c>
      <c r="Q149" s="5"/>
      <c r="R149" s="5"/>
      <c r="S149" s="5"/>
      <c r="T149" s="5"/>
      <c r="U149" s="5"/>
      <c r="V149" s="5"/>
      <c r="W149" s="5">
        <v>572.80999999999995</v>
      </c>
      <c r="X149" s="5">
        <v>1</v>
      </c>
      <c r="Y149" s="5">
        <v>572.80999999999995</v>
      </c>
      <c r="Z149" s="5">
        <v>26733.040000000001</v>
      </c>
      <c r="AA149" s="5">
        <v>1</v>
      </c>
      <c r="AB149" s="5">
        <v>26733.040000000001</v>
      </c>
    </row>
    <row r="150" spans="1:28">
      <c r="A150" s="5">
        <v>50</v>
      </c>
      <c r="B150" s="5">
        <v>0</v>
      </c>
      <c r="C150" s="5">
        <v>0</v>
      </c>
      <c r="D150" s="5">
        <v>1</v>
      </c>
      <c r="E150" s="5">
        <v>205</v>
      </c>
      <c r="F150" s="5">
        <f>ROUND(Source!S135,O150)</f>
        <v>1065.52</v>
      </c>
      <c r="G150" s="5" t="s">
        <v>58</v>
      </c>
      <c r="H150" s="5" t="s">
        <v>59</v>
      </c>
      <c r="I150" s="5"/>
      <c r="J150" s="5"/>
      <c r="K150" s="5">
        <v>205</v>
      </c>
      <c r="L150" s="5">
        <v>14</v>
      </c>
      <c r="M150" s="5">
        <v>3</v>
      </c>
      <c r="N150" s="5" t="s">
        <v>4</v>
      </c>
      <c r="O150" s="5">
        <v>2</v>
      </c>
      <c r="P150" s="5">
        <f>ROUND(Source!DK135,O150)</f>
        <v>49727.82</v>
      </c>
      <c r="Q150" s="5"/>
      <c r="R150" s="5"/>
      <c r="S150" s="5"/>
      <c r="T150" s="5"/>
      <c r="U150" s="5"/>
      <c r="V150" s="5"/>
      <c r="W150" s="5">
        <v>1065.52</v>
      </c>
      <c r="X150" s="5">
        <v>1</v>
      </c>
      <c r="Y150" s="5">
        <v>1065.52</v>
      </c>
      <c r="Z150" s="5">
        <v>49727.82</v>
      </c>
      <c r="AA150" s="5">
        <v>1</v>
      </c>
      <c r="AB150" s="5">
        <v>49727.82</v>
      </c>
    </row>
    <row r="151" spans="1:28">
      <c r="A151" s="5">
        <v>50</v>
      </c>
      <c r="B151" s="5">
        <v>0</v>
      </c>
      <c r="C151" s="5">
        <v>0</v>
      </c>
      <c r="D151" s="5">
        <v>1</v>
      </c>
      <c r="E151" s="5">
        <v>232</v>
      </c>
      <c r="F151" s="5">
        <f>ROUND(Source!BC135,O151)</f>
        <v>0</v>
      </c>
      <c r="G151" s="5" t="s">
        <v>60</v>
      </c>
      <c r="H151" s="5" t="s">
        <v>61</v>
      </c>
      <c r="I151" s="5"/>
      <c r="J151" s="5"/>
      <c r="K151" s="5">
        <v>232</v>
      </c>
      <c r="L151" s="5">
        <v>15</v>
      </c>
      <c r="M151" s="5">
        <v>3</v>
      </c>
      <c r="N151" s="5" t="s">
        <v>4</v>
      </c>
      <c r="O151" s="5">
        <v>2</v>
      </c>
      <c r="P151" s="5">
        <f>ROUND(Source!EU135,O151)</f>
        <v>0</v>
      </c>
      <c r="Q151" s="5"/>
      <c r="R151" s="5"/>
      <c r="S151" s="5"/>
      <c r="T151" s="5"/>
      <c r="U151" s="5"/>
      <c r="V151" s="5"/>
      <c r="W151" s="5">
        <v>0</v>
      </c>
      <c r="X151" s="5">
        <v>1</v>
      </c>
      <c r="Y151" s="5">
        <v>0</v>
      </c>
      <c r="Z151" s="5">
        <v>0</v>
      </c>
      <c r="AA151" s="5">
        <v>1</v>
      </c>
      <c r="AB151" s="5">
        <v>0</v>
      </c>
    </row>
    <row r="152" spans="1:28">
      <c r="A152" s="5">
        <v>50</v>
      </c>
      <c r="B152" s="5">
        <v>0</v>
      </c>
      <c r="C152" s="5">
        <v>0</v>
      </c>
      <c r="D152" s="5">
        <v>1</v>
      </c>
      <c r="E152" s="5">
        <v>214</v>
      </c>
      <c r="F152" s="5">
        <f>ROUND(Source!AS135,O152)</f>
        <v>0</v>
      </c>
      <c r="G152" s="5" t="s">
        <v>62</v>
      </c>
      <c r="H152" s="5" t="s">
        <v>63</v>
      </c>
      <c r="I152" s="5"/>
      <c r="J152" s="5"/>
      <c r="K152" s="5">
        <v>214</v>
      </c>
      <c r="L152" s="5">
        <v>16</v>
      </c>
      <c r="M152" s="5">
        <v>3</v>
      </c>
      <c r="N152" s="5" t="s">
        <v>4</v>
      </c>
      <c r="O152" s="5">
        <v>2</v>
      </c>
      <c r="P152" s="5">
        <f>ROUND(Source!EK135,O152)</f>
        <v>0</v>
      </c>
      <c r="Q152" s="5"/>
      <c r="R152" s="5"/>
      <c r="S152" s="5"/>
      <c r="T152" s="5"/>
      <c r="U152" s="5"/>
      <c r="V152" s="5"/>
      <c r="W152" s="5">
        <v>0</v>
      </c>
      <c r="X152" s="5">
        <v>1</v>
      </c>
      <c r="Y152" s="5">
        <v>0</v>
      </c>
      <c r="Z152" s="5">
        <v>0</v>
      </c>
      <c r="AA152" s="5">
        <v>1</v>
      </c>
      <c r="AB152" s="5">
        <v>0</v>
      </c>
    </row>
    <row r="153" spans="1:28">
      <c r="A153" s="5">
        <v>50</v>
      </c>
      <c r="B153" s="5">
        <v>0</v>
      </c>
      <c r="C153" s="5">
        <v>0</v>
      </c>
      <c r="D153" s="5">
        <v>1</v>
      </c>
      <c r="E153" s="5">
        <v>215</v>
      </c>
      <c r="F153" s="5">
        <f>ROUND(Source!AT135,O153)</f>
        <v>6314.42</v>
      </c>
      <c r="G153" s="5" t="s">
        <v>64</v>
      </c>
      <c r="H153" s="5" t="s">
        <v>65</v>
      </c>
      <c r="I153" s="5"/>
      <c r="J153" s="5"/>
      <c r="K153" s="5">
        <v>215</v>
      </c>
      <c r="L153" s="5">
        <v>17</v>
      </c>
      <c r="M153" s="5">
        <v>3</v>
      </c>
      <c r="N153" s="5" t="s">
        <v>4</v>
      </c>
      <c r="O153" s="5">
        <v>2</v>
      </c>
      <c r="P153" s="5">
        <f>ROUND(Source!EL135,O153)</f>
        <v>206063.78</v>
      </c>
      <c r="Q153" s="5"/>
      <c r="R153" s="5"/>
      <c r="S153" s="5"/>
      <c r="T153" s="5"/>
      <c r="U153" s="5"/>
      <c r="V153" s="5"/>
      <c r="W153" s="5">
        <v>6314.42</v>
      </c>
      <c r="X153" s="5">
        <v>1</v>
      </c>
      <c r="Y153" s="5">
        <v>6314.42</v>
      </c>
      <c r="Z153" s="5">
        <v>206063.78</v>
      </c>
      <c r="AA153" s="5">
        <v>1</v>
      </c>
      <c r="AB153" s="5">
        <v>206063.78</v>
      </c>
    </row>
    <row r="154" spans="1:28">
      <c r="A154" s="5">
        <v>50</v>
      </c>
      <c r="B154" s="5">
        <v>0</v>
      </c>
      <c r="C154" s="5">
        <v>0</v>
      </c>
      <c r="D154" s="5">
        <v>1</v>
      </c>
      <c r="E154" s="5">
        <v>217</v>
      </c>
      <c r="F154" s="5">
        <f>ROUND(Source!AU135,O154)</f>
        <v>0</v>
      </c>
      <c r="G154" s="5" t="s">
        <v>66</v>
      </c>
      <c r="H154" s="5" t="s">
        <v>67</v>
      </c>
      <c r="I154" s="5"/>
      <c r="J154" s="5"/>
      <c r="K154" s="5">
        <v>217</v>
      </c>
      <c r="L154" s="5">
        <v>18</v>
      </c>
      <c r="M154" s="5">
        <v>3</v>
      </c>
      <c r="N154" s="5" t="s">
        <v>4</v>
      </c>
      <c r="O154" s="5">
        <v>2</v>
      </c>
      <c r="P154" s="5">
        <f>ROUND(Source!EM135,O154)</f>
        <v>0</v>
      </c>
      <c r="Q154" s="5"/>
      <c r="R154" s="5"/>
      <c r="S154" s="5"/>
      <c r="T154" s="5"/>
      <c r="U154" s="5"/>
      <c r="V154" s="5"/>
      <c r="W154" s="5">
        <v>0</v>
      </c>
      <c r="X154" s="5">
        <v>1</v>
      </c>
      <c r="Y154" s="5">
        <v>0</v>
      </c>
      <c r="Z154" s="5">
        <v>0</v>
      </c>
      <c r="AA154" s="5">
        <v>1</v>
      </c>
      <c r="AB154" s="5">
        <v>0</v>
      </c>
    </row>
    <row r="155" spans="1:28">
      <c r="A155" s="5">
        <v>50</v>
      </c>
      <c r="B155" s="5">
        <v>0</v>
      </c>
      <c r="C155" s="5">
        <v>0</v>
      </c>
      <c r="D155" s="5">
        <v>1</v>
      </c>
      <c r="E155" s="5">
        <v>230</v>
      </c>
      <c r="F155" s="5">
        <f>ROUND(Source!BA135,O155)</f>
        <v>0</v>
      </c>
      <c r="G155" s="5" t="s">
        <v>68</v>
      </c>
      <c r="H155" s="5" t="s">
        <v>69</v>
      </c>
      <c r="I155" s="5"/>
      <c r="J155" s="5"/>
      <c r="K155" s="5">
        <v>230</v>
      </c>
      <c r="L155" s="5">
        <v>19</v>
      </c>
      <c r="M155" s="5">
        <v>3</v>
      </c>
      <c r="N155" s="5" t="s">
        <v>4</v>
      </c>
      <c r="O155" s="5">
        <v>2</v>
      </c>
      <c r="P155" s="5">
        <f>ROUND(Source!ES135,O155)</f>
        <v>0</v>
      </c>
      <c r="Q155" s="5"/>
      <c r="R155" s="5"/>
      <c r="S155" s="5"/>
      <c r="T155" s="5"/>
      <c r="U155" s="5"/>
      <c r="V155" s="5"/>
      <c r="W155" s="5">
        <v>0</v>
      </c>
      <c r="X155" s="5">
        <v>1</v>
      </c>
      <c r="Y155" s="5">
        <v>0</v>
      </c>
      <c r="Z155" s="5">
        <v>0</v>
      </c>
      <c r="AA155" s="5">
        <v>1</v>
      </c>
      <c r="AB155" s="5">
        <v>0</v>
      </c>
    </row>
    <row r="156" spans="1:28">
      <c r="A156" s="5">
        <v>50</v>
      </c>
      <c r="B156" s="5">
        <v>0</v>
      </c>
      <c r="C156" s="5">
        <v>0</v>
      </c>
      <c r="D156" s="5">
        <v>1</v>
      </c>
      <c r="E156" s="5">
        <v>206</v>
      </c>
      <c r="F156" s="5">
        <f>ROUND(Source!T135,O156)</f>
        <v>0</v>
      </c>
      <c r="G156" s="5" t="s">
        <v>70</v>
      </c>
      <c r="H156" s="5" t="s">
        <v>71</v>
      </c>
      <c r="I156" s="5"/>
      <c r="J156" s="5"/>
      <c r="K156" s="5">
        <v>206</v>
      </c>
      <c r="L156" s="5">
        <v>20</v>
      </c>
      <c r="M156" s="5">
        <v>3</v>
      </c>
      <c r="N156" s="5" t="s">
        <v>4</v>
      </c>
      <c r="O156" s="5">
        <v>2</v>
      </c>
      <c r="P156" s="5">
        <f>ROUND(Source!DL135,O156)</f>
        <v>0</v>
      </c>
      <c r="Q156" s="5"/>
      <c r="R156" s="5"/>
      <c r="S156" s="5"/>
      <c r="T156" s="5"/>
      <c r="U156" s="5"/>
      <c r="V156" s="5"/>
      <c r="W156" s="5">
        <v>0</v>
      </c>
      <c r="X156" s="5">
        <v>1</v>
      </c>
      <c r="Y156" s="5">
        <v>0</v>
      </c>
      <c r="Z156" s="5">
        <v>0</v>
      </c>
      <c r="AA156" s="5">
        <v>1</v>
      </c>
      <c r="AB156" s="5">
        <v>0</v>
      </c>
    </row>
    <row r="157" spans="1:28">
      <c r="A157" s="5">
        <v>50</v>
      </c>
      <c r="B157" s="5">
        <v>0</v>
      </c>
      <c r="C157" s="5">
        <v>0</v>
      </c>
      <c r="D157" s="5">
        <v>1</v>
      </c>
      <c r="E157" s="5">
        <v>207</v>
      </c>
      <c r="F157" s="5">
        <f>Source!U135</f>
        <v>84.430080000000004</v>
      </c>
      <c r="G157" s="5" t="s">
        <v>72</v>
      </c>
      <c r="H157" s="5" t="s">
        <v>73</v>
      </c>
      <c r="I157" s="5"/>
      <c r="J157" s="5"/>
      <c r="K157" s="5">
        <v>207</v>
      </c>
      <c r="L157" s="5">
        <v>21</v>
      </c>
      <c r="M157" s="5">
        <v>3</v>
      </c>
      <c r="N157" s="5" t="s">
        <v>4</v>
      </c>
      <c r="O157" s="5">
        <v>-1</v>
      </c>
      <c r="P157" s="5">
        <f>Source!DM135</f>
        <v>84.430080000000004</v>
      </c>
      <c r="Q157" s="5"/>
      <c r="R157" s="5"/>
      <c r="S157" s="5"/>
      <c r="T157" s="5"/>
      <c r="U157" s="5"/>
      <c r="V157" s="5"/>
      <c r="W157" s="5">
        <v>84.430080000000004</v>
      </c>
      <c r="X157" s="5">
        <v>1</v>
      </c>
      <c r="Y157" s="5">
        <v>84.430080000000004</v>
      </c>
      <c r="Z157" s="5">
        <v>84.430080000000004</v>
      </c>
      <c r="AA157" s="5">
        <v>1</v>
      </c>
      <c r="AB157" s="5">
        <v>84.430080000000004</v>
      </c>
    </row>
    <row r="158" spans="1:28">
      <c r="A158" s="5">
        <v>50</v>
      </c>
      <c r="B158" s="5">
        <v>0</v>
      </c>
      <c r="C158" s="5">
        <v>0</v>
      </c>
      <c r="D158" s="5">
        <v>1</v>
      </c>
      <c r="E158" s="5">
        <v>208</v>
      </c>
      <c r="F158" s="5">
        <f>Source!V135</f>
        <v>0</v>
      </c>
      <c r="G158" s="5" t="s">
        <v>74</v>
      </c>
      <c r="H158" s="5" t="s">
        <v>75</v>
      </c>
      <c r="I158" s="5"/>
      <c r="J158" s="5"/>
      <c r="K158" s="5">
        <v>208</v>
      </c>
      <c r="L158" s="5">
        <v>22</v>
      </c>
      <c r="M158" s="5">
        <v>3</v>
      </c>
      <c r="N158" s="5" t="s">
        <v>4</v>
      </c>
      <c r="O158" s="5">
        <v>-1</v>
      </c>
      <c r="P158" s="5">
        <f>Source!DN135</f>
        <v>0</v>
      </c>
      <c r="Q158" s="5"/>
      <c r="R158" s="5"/>
      <c r="S158" s="5"/>
      <c r="T158" s="5"/>
      <c r="U158" s="5"/>
      <c r="V158" s="5"/>
      <c r="W158" s="5">
        <v>0</v>
      </c>
      <c r="X158" s="5">
        <v>1</v>
      </c>
      <c r="Y158" s="5">
        <v>0</v>
      </c>
      <c r="Z158" s="5">
        <v>0</v>
      </c>
      <c r="AA158" s="5">
        <v>1</v>
      </c>
      <c r="AB158" s="5">
        <v>0</v>
      </c>
    </row>
    <row r="159" spans="1:28">
      <c r="A159" s="5">
        <v>50</v>
      </c>
      <c r="B159" s="5">
        <v>0</v>
      </c>
      <c r="C159" s="5">
        <v>0</v>
      </c>
      <c r="D159" s="5">
        <v>1</v>
      </c>
      <c r="E159" s="5">
        <v>209</v>
      </c>
      <c r="F159" s="5">
        <f>ROUND(Source!W135,O159)</f>
        <v>0</v>
      </c>
      <c r="G159" s="5" t="s">
        <v>76</v>
      </c>
      <c r="H159" s="5" t="s">
        <v>77</v>
      </c>
      <c r="I159" s="5"/>
      <c r="J159" s="5"/>
      <c r="K159" s="5">
        <v>209</v>
      </c>
      <c r="L159" s="5">
        <v>23</v>
      </c>
      <c r="M159" s="5">
        <v>3</v>
      </c>
      <c r="N159" s="5" t="s">
        <v>4</v>
      </c>
      <c r="O159" s="5">
        <v>2</v>
      </c>
      <c r="P159" s="5">
        <f>ROUND(Source!DO135,O159)</f>
        <v>0</v>
      </c>
      <c r="Q159" s="5"/>
      <c r="R159" s="5"/>
      <c r="S159" s="5"/>
      <c r="T159" s="5"/>
      <c r="U159" s="5"/>
      <c r="V159" s="5"/>
      <c r="W159" s="5">
        <v>0</v>
      </c>
      <c r="X159" s="5">
        <v>1</v>
      </c>
      <c r="Y159" s="5">
        <v>0</v>
      </c>
      <c r="Z159" s="5">
        <v>0</v>
      </c>
      <c r="AA159" s="5">
        <v>1</v>
      </c>
      <c r="AB159" s="5">
        <v>0</v>
      </c>
    </row>
    <row r="160" spans="1:28">
      <c r="A160" s="5">
        <v>50</v>
      </c>
      <c r="B160" s="5">
        <v>0</v>
      </c>
      <c r="C160" s="5">
        <v>0</v>
      </c>
      <c r="D160" s="5">
        <v>1</v>
      </c>
      <c r="E160" s="5">
        <v>233</v>
      </c>
      <c r="F160" s="5">
        <f>ROUND(Source!BD135,O160)</f>
        <v>0</v>
      </c>
      <c r="G160" s="5" t="s">
        <v>78</v>
      </c>
      <c r="H160" s="5" t="s">
        <v>79</v>
      </c>
      <c r="I160" s="5"/>
      <c r="J160" s="5"/>
      <c r="K160" s="5">
        <v>233</v>
      </c>
      <c r="L160" s="5">
        <v>24</v>
      </c>
      <c r="M160" s="5">
        <v>3</v>
      </c>
      <c r="N160" s="5" t="s">
        <v>4</v>
      </c>
      <c r="O160" s="5">
        <v>2</v>
      </c>
      <c r="P160" s="5">
        <f>ROUND(Source!EV135,O160)</f>
        <v>0</v>
      </c>
      <c r="Q160" s="5"/>
      <c r="R160" s="5"/>
      <c r="S160" s="5"/>
      <c r="T160" s="5"/>
      <c r="U160" s="5"/>
      <c r="V160" s="5"/>
      <c r="W160" s="5">
        <v>0</v>
      </c>
      <c r="X160" s="5">
        <v>1</v>
      </c>
      <c r="Y160" s="5">
        <v>0</v>
      </c>
      <c r="Z160" s="5">
        <v>0</v>
      </c>
      <c r="AA160" s="5">
        <v>1</v>
      </c>
      <c r="AB160" s="5">
        <v>0</v>
      </c>
    </row>
    <row r="161" spans="1:206">
      <c r="A161" s="5">
        <v>50</v>
      </c>
      <c r="B161" s="5">
        <v>0</v>
      </c>
      <c r="C161" s="5">
        <v>0</v>
      </c>
      <c r="D161" s="5">
        <v>1</v>
      </c>
      <c r="E161" s="5">
        <v>210</v>
      </c>
      <c r="F161" s="5">
        <f>ROUND(Source!X135,O161)</f>
        <v>1193.3800000000001</v>
      </c>
      <c r="G161" s="5" t="s">
        <v>80</v>
      </c>
      <c r="H161" s="5" t="s">
        <v>81</v>
      </c>
      <c r="I161" s="5"/>
      <c r="J161" s="5"/>
      <c r="K161" s="5">
        <v>210</v>
      </c>
      <c r="L161" s="5">
        <v>25</v>
      </c>
      <c r="M161" s="5">
        <v>3</v>
      </c>
      <c r="N161" s="5" t="s">
        <v>4</v>
      </c>
      <c r="O161" s="5">
        <v>2</v>
      </c>
      <c r="P161" s="5">
        <f>ROUND(Source!DP135,O161)</f>
        <v>45749.59</v>
      </c>
      <c r="Q161" s="5"/>
      <c r="R161" s="5"/>
      <c r="S161" s="5"/>
      <c r="T161" s="5"/>
      <c r="U161" s="5"/>
      <c r="V161" s="5"/>
      <c r="W161" s="5">
        <v>1193.3800000000001</v>
      </c>
      <c r="X161" s="5">
        <v>1</v>
      </c>
      <c r="Y161" s="5">
        <v>1193.3800000000001</v>
      </c>
      <c r="Z161" s="5">
        <v>45749.59</v>
      </c>
      <c r="AA161" s="5">
        <v>1</v>
      </c>
      <c r="AB161" s="5">
        <v>45749.59</v>
      </c>
    </row>
    <row r="162" spans="1:206">
      <c r="A162" s="5">
        <v>50</v>
      </c>
      <c r="B162" s="5">
        <v>0</v>
      </c>
      <c r="C162" s="5">
        <v>0</v>
      </c>
      <c r="D162" s="5">
        <v>1</v>
      </c>
      <c r="E162" s="5">
        <v>211</v>
      </c>
      <c r="F162" s="5">
        <f>ROUND(Source!Y135,O162)</f>
        <v>745.86</v>
      </c>
      <c r="G162" s="5" t="s">
        <v>82</v>
      </c>
      <c r="H162" s="5" t="s">
        <v>83</v>
      </c>
      <c r="I162" s="5"/>
      <c r="J162" s="5"/>
      <c r="K162" s="5">
        <v>211</v>
      </c>
      <c r="L162" s="5">
        <v>26</v>
      </c>
      <c r="M162" s="5">
        <v>3</v>
      </c>
      <c r="N162" s="5" t="s">
        <v>4</v>
      </c>
      <c r="O162" s="5">
        <v>2</v>
      </c>
      <c r="P162" s="5">
        <f>ROUND(Source!DQ135,O162)</f>
        <v>21382.959999999999</v>
      </c>
      <c r="Q162" s="5"/>
      <c r="R162" s="5"/>
      <c r="S162" s="5"/>
      <c r="T162" s="5"/>
      <c r="U162" s="5"/>
      <c r="V162" s="5"/>
      <c r="W162" s="5">
        <v>745.86</v>
      </c>
      <c r="X162" s="5">
        <v>1</v>
      </c>
      <c r="Y162" s="5">
        <v>745.86</v>
      </c>
      <c r="Z162" s="5">
        <v>21382.959999999999</v>
      </c>
      <c r="AA162" s="5">
        <v>1</v>
      </c>
      <c r="AB162" s="5">
        <v>21382.959999999999</v>
      </c>
    </row>
    <row r="163" spans="1:206">
      <c r="A163" s="5">
        <v>50</v>
      </c>
      <c r="B163" s="5">
        <v>0</v>
      </c>
      <c r="C163" s="5">
        <v>0</v>
      </c>
      <c r="D163" s="5">
        <v>1</v>
      </c>
      <c r="E163" s="5">
        <v>224</v>
      </c>
      <c r="F163" s="5">
        <f>ROUND(Source!AR135,O163)</f>
        <v>446145.18</v>
      </c>
      <c r="G163" s="5" t="s">
        <v>84</v>
      </c>
      <c r="H163" s="5" t="s">
        <v>85</v>
      </c>
      <c r="I163" s="5"/>
      <c r="J163" s="5"/>
      <c r="K163" s="5">
        <v>224</v>
      </c>
      <c r="L163" s="5">
        <v>27</v>
      </c>
      <c r="M163" s="5">
        <v>3</v>
      </c>
      <c r="N163" s="5" t="s">
        <v>4</v>
      </c>
      <c r="O163" s="5">
        <v>2</v>
      </c>
      <c r="P163" s="5">
        <f>ROUND(Source!EJ135,O163)</f>
        <v>3403633.41</v>
      </c>
      <c r="Q163" s="5"/>
      <c r="R163" s="5"/>
      <c r="S163" s="5"/>
      <c r="T163" s="5"/>
      <c r="U163" s="5"/>
      <c r="V163" s="5"/>
      <c r="W163" s="5">
        <v>446145.18</v>
      </c>
      <c r="X163" s="5">
        <v>1</v>
      </c>
      <c r="Y163" s="5">
        <v>446145.18</v>
      </c>
      <c r="Z163" s="5">
        <v>3403633.41</v>
      </c>
      <c r="AA163" s="5">
        <v>1</v>
      </c>
      <c r="AB163" s="5">
        <v>3403633.41</v>
      </c>
    </row>
    <row r="165" spans="1:206">
      <c r="A165" s="3">
        <v>51</v>
      </c>
      <c r="B165" s="3">
        <f>B12</f>
        <v>204</v>
      </c>
      <c r="C165" s="3">
        <f>A12</f>
        <v>1</v>
      </c>
      <c r="D165" s="3">
        <f>ROW(A12)</f>
        <v>12</v>
      </c>
      <c r="E165" s="3"/>
      <c r="F165" s="3" t="str">
        <f>IF(F12&lt;&gt;"",F12,"")</f>
        <v/>
      </c>
      <c r="G165" s="3" t="str">
        <f>IF(G12&lt;&gt;"",G12,"")</f>
        <v>02-01-03  Реконструкция ТП 27616 _24.04.25._</v>
      </c>
      <c r="H165" s="3">
        <v>0</v>
      </c>
      <c r="I165" s="3"/>
      <c r="J165" s="3"/>
      <c r="K165" s="3"/>
      <c r="L165" s="3"/>
      <c r="M165" s="3"/>
      <c r="N165" s="3"/>
      <c r="O165" s="3">
        <f t="shared" ref="O165:T165" si="51">ROUND(O135,2)</f>
        <v>443203.52</v>
      </c>
      <c r="P165" s="3">
        <f t="shared" si="51"/>
        <v>440005.2</v>
      </c>
      <c r="Q165" s="3">
        <f t="shared" si="51"/>
        <v>2132.8000000000002</v>
      </c>
      <c r="R165" s="3">
        <f t="shared" si="51"/>
        <v>572.80999999999995</v>
      </c>
      <c r="S165" s="3">
        <f t="shared" si="51"/>
        <v>1065.52</v>
      </c>
      <c r="T165" s="3">
        <f t="shared" si="51"/>
        <v>0</v>
      </c>
      <c r="U165" s="3">
        <f>U135</f>
        <v>84.430080000000004</v>
      </c>
      <c r="V165" s="3">
        <f>V135</f>
        <v>0</v>
      </c>
      <c r="W165" s="3">
        <f>ROUND(W135,2)</f>
        <v>0</v>
      </c>
      <c r="X165" s="3">
        <f>ROUND(X135,2)</f>
        <v>1193.3800000000001</v>
      </c>
      <c r="Y165" s="3">
        <f>ROUND(Y135,2)</f>
        <v>745.86</v>
      </c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>
        <f t="shared" ref="AO165:BD165" si="52">ROUND(AO135,2)</f>
        <v>0</v>
      </c>
      <c r="AP165" s="3">
        <f t="shared" si="52"/>
        <v>439830.76</v>
      </c>
      <c r="AQ165" s="3">
        <f t="shared" si="52"/>
        <v>0</v>
      </c>
      <c r="AR165" s="3">
        <f t="shared" si="52"/>
        <v>446145.18</v>
      </c>
      <c r="AS165" s="3">
        <f t="shared" si="52"/>
        <v>0</v>
      </c>
      <c r="AT165" s="3">
        <f t="shared" si="52"/>
        <v>6314.42</v>
      </c>
      <c r="AU165" s="3">
        <f t="shared" si="52"/>
        <v>0</v>
      </c>
      <c r="AV165" s="3">
        <f t="shared" si="52"/>
        <v>440005.2</v>
      </c>
      <c r="AW165" s="3">
        <f t="shared" si="52"/>
        <v>174.44</v>
      </c>
      <c r="AX165" s="3">
        <f t="shared" si="52"/>
        <v>0</v>
      </c>
      <c r="AY165" s="3">
        <f t="shared" si="52"/>
        <v>174.44</v>
      </c>
      <c r="AZ165" s="3">
        <f t="shared" si="52"/>
        <v>439830.76</v>
      </c>
      <c r="BA165" s="3">
        <f t="shared" si="52"/>
        <v>0</v>
      </c>
      <c r="BB165" s="3">
        <f t="shared" si="52"/>
        <v>0</v>
      </c>
      <c r="BC165" s="3">
        <f t="shared" si="52"/>
        <v>0</v>
      </c>
      <c r="BD165" s="3">
        <f t="shared" si="52"/>
        <v>0</v>
      </c>
      <c r="BE165" s="3"/>
      <c r="BF165" s="3"/>
      <c r="BG165" s="3"/>
      <c r="BH165" s="3"/>
      <c r="BI165" s="3"/>
      <c r="BJ165" s="3"/>
      <c r="BK165" s="3"/>
      <c r="BL165" s="3"/>
      <c r="BM165" s="3"/>
      <c r="BN165" s="3"/>
      <c r="BO165" s="3"/>
      <c r="BP165" s="3"/>
      <c r="BQ165" s="3"/>
      <c r="BR165" s="3"/>
      <c r="BS165" s="3"/>
      <c r="BT165" s="3"/>
      <c r="BU165" s="3"/>
      <c r="BV165" s="3"/>
      <c r="BW165" s="3"/>
      <c r="BX165" s="3"/>
      <c r="BY165" s="3"/>
      <c r="BZ165" s="3"/>
      <c r="CA165" s="3"/>
      <c r="CB165" s="3"/>
      <c r="CC165" s="3"/>
      <c r="CD165" s="3"/>
      <c r="CE165" s="3"/>
      <c r="CF165" s="3"/>
      <c r="CG165" s="3"/>
      <c r="CH165" s="3"/>
      <c r="CI165" s="3"/>
      <c r="CJ165" s="3"/>
      <c r="CK165" s="3"/>
      <c r="CL165" s="3"/>
      <c r="CM165" s="3"/>
      <c r="CN165" s="3"/>
      <c r="CO165" s="3"/>
      <c r="CP165" s="3"/>
      <c r="CQ165" s="3"/>
      <c r="CR165" s="3"/>
      <c r="CS165" s="3"/>
      <c r="CT165" s="3"/>
      <c r="CU165" s="3"/>
      <c r="CV165" s="3"/>
      <c r="CW165" s="3"/>
      <c r="CX165" s="3"/>
      <c r="CY165" s="3"/>
      <c r="CZ165" s="3"/>
      <c r="DA165" s="3"/>
      <c r="DB165" s="3"/>
      <c r="DC165" s="3"/>
      <c r="DD165" s="3"/>
      <c r="DE165" s="3"/>
      <c r="DF165" s="3"/>
      <c r="DG165" s="4">
        <f t="shared" ref="DG165:DL165" si="53">ROUND(DG135,2)</f>
        <v>3293727.99</v>
      </c>
      <c r="DH165" s="4">
        <f t="shared" si="53"/>
        <v>3202303.93</v>
      </c>
      <c r="DI165" s="4">
        <f t="shared" si="53"/>
        <v>41696.239999999998</v>
      </c>
      <c r="DJ165" s="4">
        <f t="shared" si="53"/>
        <v>26733.040000000001</v>
      </c>
      <c r="DK165" s="4">
        <f t="shared" si="53"/>
        <v>49727.82</v>
      </c>
      <c r="DL165" s="4">
        <f t="shared" si="53"/>
        <v>0</v>
      </c>
      <c r="DM165" s="4">
        <f>DM135</f>
        <v>84.430080000000004</v>
      </c>
      <c r="DN165" s="4">
        <f>DN135</f>
        <v>0</v>
      </c>
      <c r="DO165" s="4">
        <f>ROUND(DO135,2)</f>
        <v>0</v>
      </c>
      <c r="DP165" s="4">
        <f>ROUND(DP135,2)</f>
        <v>45749.59</v>
      </c>
      <c r="DQ165" s="4">
        <f>ROUND(DQ135,2)</f>
        <v>21382.959999999999</v>
      </c>
      <c r="DR165" s="4"/>
      <c r="DS165" s="4"/>
      <c r="DT165" s="4"/>
      <c r="DU165" s="4"/>
      <c r="DV165" s="4"/>
      <c r="DW165" s="4"/>
      <c r="DX165" s="4"/>
      <c r="DY165" s="4"/>
      <c r="DZ165" s="4"/>
      <c r="EA165" s="4"/>
      <c r="EB165" s="4"/>
      <c r="EC165" s="4"/>
      <c r="ED165" s="4"/>
      <c r="EE165" s="4"/>
      <c r="EF165" s="4"/>
      <c r="EG165" s="4">
        <f t="shared" ref="EG165:EV165" si="54">ROUND(EG135,2)</f>
        <v>0</v>
      </c>
      <c r="EH165" s="4">
        <f t="shared" si="54"/>
        <v>3197569.63</v>
      </c>
      <c r="EI165" s="4">
        <f t="shared" si="54"/>
        <v>0</v>
      </c>
      <c r="EJ165" s="4">
        <f t="shared" si="54"/>
        <v>3403633.41</v>
      </c>
      <c r="EK165" s="4">
        <f t="shared" si="54"/>
        <v>0</v>
      </c>
      <c r="EL165" s="4">
        <f t="shared" si="54"/>
        <v>206063.78</v>
      </c>
      <c r="EM165" s="4">
        <f t="shared" si="54"/>
        <v>0</v>
      </c>
      <c r="EN165" s="4">
        <f t="shared" si="54"/>
        <v>3202303.93</v>
      </c>
      <c r="EO165" s="4">
        <f t="shared" si="54"/>
        <v>4734.3</v>
      </c>
      <c r="EP165" s="4">
        <f t="shared" si="54"/>
        <v>0</v>
      </c>
      <c r="EQ165" s="4">
        <f t="shared" si="54"/>
        <v>4734.3</v>
      </c>
      <c r="ER165" s="4">
        <f t="shared" si="54"/>
        <v>3197569.63</v>
      </c>
      <c r="ES165" s="4">
        <f t="shared" si="54"/>
        <v>0</v>
      </c>
      <c r="ET165" s="4">
        <f t="shared" si="54"/>
        <v>0</v>
      </c>
      <c r="EU165" s="4">
        <f t="shared" si="54"/>
        <v>0</v>
      </c>
      <c r="EV165" s="4">
        <f t="shared" si="54"/>
        <v>0</v>
      </c>
      <c r="EW165" s="4"/>
      <c r="EX165" s="4"/>
      <c r="EY165" s="4"/>
      <c r="EZ165" s="4"/>
      <c r="FA165" s="4"/>
      <c r="FB165" s="4"/>
      <c r="FC165" s="4"/>
      <c r="FD165" s="4"/>
      <c r="FE165" s="4"/>
      <c r="FF165" s="4"/>
      <c r="FG165" s="4"/>
      <c r="FH165" s="4"/>
      <c r="FI165" s="4"/>
      <c r="FJ165" s="4"/>
      <c r="FK165" s="4"/>
      <c r="FL165" s="4"/>
      <c r="FM165" s="4"/>
      <c r="FN165" s="4"/>
      <c r="FO165" s="4"/>
      <c r="FP165" s="4"/>
      <c r="FQ165" s="4"/>
      <c r="FR165" s="4"/>
      <c r="FS165" s="4"/>
      <c r="FT165" s="4"/>
      <c r="FU165" s="4"/>
      <c r="FV165" s="4"/>
      <c r="FW165" s="4"/>
      <c r="FX165" s="4"/>
      <c r="FY165" s="4"/>
      <c r="FZ165" s="4"/>
      <c r="GA165" s="4"/>
      <c r="GB165" s="4"/>
      <c r="GC165" s="4"/>
      <c r="GD165" s="4"/>
      <c r="GE165" s="4"/>
      <c r="GF165" s="4"/>
      <c r="GG165" s="4"/>
      <c r="GH165" s="4"/>
      <c r="GI165" s="4"/>
      <c r="GJ165" s="4"/>
      <c r="GK165" s="4"/>
      <c r="GL165" s="4"/>
      <c r="GM165" s="4"/>
      <c r="GN165" s="4"/>
      <c r="GO165" s="4"/>
      <c r="GP165" s="4"/>
      <c r="GQ165" s="4"/>
      <c r="GR165" s="4"/>
      <c r="GS165" s="4"/>
      <c r="GT165" s="4"/>
      <c r="GU165" s="4"/>
      <c r="GV165" s="4"/>
      <c r="GW165" s="4"/>
      <c r="GX165" s="4">
        <v>0</v>
      </c>
    </row>
    <row r="167" spans="1:206">
      <c r="A167" s="5">
        <v>50</v>
      </c>
      <c r="B167" s="5">
        <v>0</v>
      </c>
      <c r="C167" s="5">
        <v>0</v>
      </c>
      <c r="D167" s="5">
        <v>1</v>
      </c>
      <c r="E167" s="5">
        <v>201</v>
      </c>
      <c r="F167" s="5">
        <f>ROUND(Source!O165,O167)</f>
        <v>443203.52</v>
      </c>
      <c r="G167" s="5" t="s">
        <v>32</v>
      </c>
      <c r="H167" s="5" t="s">
        <v>33</v>
      </c>
      <c r="I167" s="5"/>
      <c r="J167" s="5"/>
      <c r="K167" s="5">
        <v>201</v>
      </c>
      <c r="L167" s="5">
        <v>1</v>
      </c>
      <c r="M167" s="5">
        <v>3</v>
      </c>
      <c r="N167" s="5" t="s">
        <v>4</v>
      </c>
      <c r="O167" s="5">
        <v>2</v>
      </c>
      <c r="P167" s="5">
        <f>ROUND(Source!DG165,O167)</f>
        <v>3293727.99</v>
      </c>
      <c r="Q167" s="5"/>
      <c r="R167" s="5"/>
      <c r="S167" s="5"/>
      <c r="T167" s="5"/>
      <c r="U167" s="5"/>
      <c r="V167" s="5"/>
      <c r="W167" s="5">
        <v>443203.52</v>
      </c>
      <c r="X167" s="5">
        <v>1</v>
      </c>
      <c r="Y167" s="5">
        <v>443203.52</v>
      </c>
      <c r="Z167" s="5">
        <v>3293727.99</v>
      </c>
      <c r="AA167" s="5">
        <v>1</v>
      </c>
      <c r="AB167" s="5">
        <v>3293727.99</v>
      </c>
    </row>
    <row r="168" spans="1:206">
      <c r="A168" s="5">
        <v>50</v>
      </c>
      <c r="B168" s="5">
        <v>0</v>
      </c>
      <c r="C168" s="5">
        <v>0</v>
      </c>
      <c r="D168" s="5">
        <v>1</v>
      </c>
      <c r="E168" s="5">
        <v>202</v>
      </c>
      <c r="F168" s="5">
        <f>ROUND(Source!P165,O168)</f>
        <v>440005.2</v>
      </c>
      <c r="G168" s="5" t="s">
        <v>34</v>
      </c>
      <c r="H168" s="5" t="s">
        <v>35</v>
      </c>
      <c r="I168" s="5"/>
      <c r="J168" s="5"/>
      <c r="K168" s="5">
        <v>202</v>
      </c>
      <c r="L168" s="5">
        <v>2</v>
      </c>
      <c r="M168" s="5">
        <v>3</v>
      </c>
      <c r="N168" s="5" t="s">
        <v>4</v>
      </c>
      <c r="O168" s="5">
        <v>2</v>
      </c>
      <c r="P168" s="5">
        <f>ROUND(Source!DH165,O168)</f>
        <v>3202303.93</v>
      </c>
      <c r="Q168" s="5"/>
      <c r="R168" s="5"/>
      <c r="S168" s="5"/>
      <c r="T168" s="5"/>
      <c r="U168" s="5"/>
      <c r="V168" s="5"/>
      <c r="W168" s="5">
        <v>440005.2</v>
      </c>
      <c r="X168" s="5">
        <v>1</v>
      </c>
      <c r="Y168" s="5">
        <v>440005.2</v>
      </c>
      <c r="Z168" s="5">
        <v>3202303.93</v>
      </c>
      <c r="AA168" s="5">
        <v>1</v>
      </c>
      <c r="AB168" s="5">
        <v>3202303.93</v>
      </c>
    </row>
    <row r="169" spans="1:206">
      <c r="A169" s="5">
        <v>50</v>
      </c>
      <c r="B169" s="5">
        <v>0</v>
      </c>
      <c r="C169" s="5">
        <v>0</v>
      </c>
      <c r="D169" s="5">
        <v>1</v>
      </c>
      <c r="E169" s="5">
        <v>222</v>
      </c>
      <c r="F169" s="5">
        <f>ROUND(Source!AO165,O169)</f>
        <v>0</v>
      </c>
      <c r="G169" s="5" t="s">
        <v>36</v>
      </c>
      <c r="H169" s="5" t="s">
        <v>37</v>
      </c>
      <c r="I169" s="5"/>
      <c r="J169" s="5"/>
      <c r="K169" s="5">
        <v>222</v>
      </c>
      <c r="L169" s="5">
        <v>3</v>
      </c>
      <c r="M169" s="5">
        <v>3</v>
      </c>
      <c r="N169" s="5" t="s">
        <v>4</v>
      </c>
      <c r="O169" s="5">
        <v>2</v>
      </c>
      <c r="P169" s="5">
        <f>ROUND(Source!EG165,O169)</f>
        <v>0</v>
      </c>
      <c r="Q169" s="5"/>
      <c r="R169" s="5"/>
      <c r="S169" s="5"/>
      <c r="T169" s="5"/>
      <c r="U169" s="5"/>
      <c r="V169" s="5"/>
      <c r="W169" s="5">
        <v>0</v>
      </c>
      <c r="X169" s="5">
        <v>1</v>
      </c>
      <c r="Y169" s="5">
        <v>0</v>
      </c>
      <c r="Z169" s="5">
        <v>0</v>
      </c>
      <c r="AA169" s="5">
        <v>1</v>
      </c>
      <c r="AB169" s="5">
        <v>0</v>
      </c>
    </row>
    <row r="170" spans="1:206">
      <c r="A170" s="5">
        <v>50</v>
      </c>
      <c r="B170" s="5">
        <v>0</v>
      </c>
      <c r="C170" s="5">
        <v>0</v>
      </c>
      <c r="D170" s="5">
        <v>1</v>
      </c>
      <c r="E170" s="5">
        <v>225</v>
      </c>
      <c r="F170" s="5">
        <f>ROUND(Source!AV165,O170)</f>
        <v>440005.2</v>
      </c>
      <c r="G170" s="5" t="s">
        <v>38</v>
      </c>
      <c r="H170" s="5" t="s">
        <v>39</v>
      </c>
      <c r="I170" s="5"/>
      <c r="J170" s="5"/>
      <c r="K170" s="5">
        <v>225</v>
      </c>
      <c r="L170" s="5">
        <v>4</v>
      </c>
      <c r="M170" s="5">
        <v>3</v>
      </c>
      <c r="N170" s="5" t="s">
        <v>4</v>
      </c>
      <c r="O170" s="5">
        <v>2</v>
      </c>
      <c r="P170" s="5">
        <f>ROUND(Source!EN165,O170)</f>
        <v>3202303.93</v>
      </c>
      <c r="Q170" s="5"/>
      <c r="R170" s="5"/>
      <c r="S170" s="5"/>
      <c r="T170" s="5"/>
      <c r="U170" s="5"/>
      <c r="V170" s="5"/>
      <c r="W170" s="5">
        <v>440005.2</v>
      </c>
      <c r="X170" s="5">
        <v>1</v>
      </c>
      <c r="Y170" s="5">
        <v>440005.2</v>
      </c>
      <c r="Z170" s="5">
        <v>3202303.93</v>
      </c>
      <c r="AA170" s="5">
        <v>1</v>
      </c>
      <c r="AB170" s="5">
        <v>3202303.93</v>
      </c>
    </row>
    <row r="171" spans="1:206">
      <c r="A171" s="5">
        <v>50</v>
      </c>
      <c r="B171" s="5">
        <v>0</v>
      </c>
      <c r="C171" s="5">
        <v>0</v>
      </c>
      <c r="D171" s="5">
        <v>1</v>
      </c>
      <c r="E171" s="5">
        <v>226</v>
      </c>
      <c r="F171" s="5">
        <f>ROUND(Source!AW165,O171)</f>
        <v>174.44</v>
      </c>
      <c r="G171" s="5" t="s">
        <v>40</v>
      </c>
      <c r="H171" s="5" t="s">
        <v>41</v>
      </c>
      <c r="I171" s="5"/>
      <c r="J171" s="5"/>
      <c r="K171" s="5">
        <v>226</v>
      </c>
      <c r="L171" s="5">
        <v>5</v>
      </c>
      <c r="M171" s="5">
        <v>3</v>
      </c>
      <c r="N171" s="5" t="s">
        <v>4</v>
      </c>
      <c r="O171" s="5">
        <v>2</v>
      </c>
      <c r="P171" s="5">
        <f>ROUND(Source!EO165,O171)</f>
        <v>4734.3</v>
      </c>
      <c r="Q171" s="5"/>
      <c r="R171" s="5"/>
      <c r="S171" s="5"/>
      <c r="T171" s="5"/>
      <c r="U171" s="5"/>
      <c r="V171" s="5"/>
      <c r="W171" s="5">
        <v>174.44</v>
      </c>
      <c r="X171" s="5">
        <v>1</v>
      </c>
      <c r="Y171" s="5">
        <v>174.44</v>
      </c>
      <c r="Z171" s="5">
        <v>4734.3</v>
      </c>
      <c r="AA171" s="5">
        <v>1</v>
      </c>
      <c r="AB171" s="5">
        <v>4734.3</v>
      </c>
    </row>
    <row r="172" spans="1:206">
      <c r="A172" s="5">
        <v>50</v>
      </c>
      <c r="B172" s="5">
        <v>0</v>
      </c>
      <c r="C172" s="5">
        <v>0</v>
      </c>
      <c r="D172" s="5">
        <v>1</v>
      </c>
      <c r="E172" s="5">
        <v>227</v>
      </c>
      <c r="F172" s="5">
        <f>ROUND(Source!AX165,O172)</f>
        <v>0</v>
      </c>
      <c r="G172" s="5" t="s">
        <v>42</v>
      </c>
      <c r="H172" s="5" t="s">
        <v>43</v>
      </c>
      <c r="I172" s="5"/>
      <c r="J172" s="5"/>
      <c r="K172" s="5">
        <v>227</v>
      </c>
      <c r="L172" s="5">
        <v>6</v>
      </c>
      <c r="M172" s="5">
        <v>3</v>
      </c>
      <c r="N172" s="5" t="s">
        <v>4</v>
      </c>
      <c r="O172" s="5">
        <v>2</v>
      </c>
      <c r="P172" s="5">
        <f>ROUND(Source!EP165,O172)</f>
        <v>0</v>
      </c>
      <c r="Q172" s="5"/>
      <c r="R172" s="5"/>
      <c r="S172" s="5"/>
      <c r="T172" s="5"/>
      <c r="U172" s="5"/>
      <c r="V172" s="5"/>
      <c r="W172" s="5">
        <v>0</v>
      </c>
      <c r="X172" s="5">
        <v>1</v>
      </c>
      <c r="Y172" s="5">
        <v>0</v>
      </c>
      <c r="Z172" s="5">
        <v>0</v>
      </c>
      <c r="AA172" s="5">
        <v>1</v>
      </c>
      <c r="AB172" s="5">
        <v>0</v>
      </c>
    </row>
    <row r="173" spans="1:206">
      <c r="A173" s="5">
        <v>50</v>
      </c>
      <c r="B173" s="5">
        <v>0</v>
      </c>
      <c r="C173" s="5">
        <v>0</v>
      </c>
      <c r="D173" s="5">
        <v>1</v>
      </c>
      <c r="E173" s="5">
        <v>228</v>
      </c>
      <c r="F173" s="5">
        <f>ROUND(Source!AY165,O173)</f>
        <v>174.44</v>
      </c>
      <c r="G173" s="5" t="s">
        <v>44</v>
      </c>
      <c r="H173" s="5" t="s">
        <v>45</v>
      </c>
      <c r="I173" s="5"/>
      <c r="J173" s="5"/>
      <c r="K173" s="5">
        <v>228</v>
      </c>
      <c r="L173" s="5">
        <v>7</v>
      </c>
      <c r="M173" s="5">
        <v>3</v>
      </c>
      <c r="N173" s="5" t="s">
        <v>4</v>
      </c>
      <c r="O173" s="5">
        <v>2</v>
      </c>
      <c r="P173" s="5">
        <f>ROUND(Source!EQ165,O173)</f>
        <v>4734.3</v>
      </c>
      <c r="Q173" s="5"/>
      <c r="R173" s="5"/>
      <c r="S173" s="5"/>
      <c r="T173" s="5"/>
      <c r="U173" s="5"/>
      <c r="V173" s="5"/>
      <c r="W173" s="5">
        <v>174.44</v>
      </c>
      <c r="X173" s="5">
        <v>1</v>
      </c>
      <c r="Y173" s="5">
        <v>174.44</v>
      </c>
      <c r="Z173" s="5">
        <v>4734.3</v>
      </c>
      <c r="AA173" s="5">
        <v>1</v>
      </c>
      <c r="AB173" s="5">
        <v>4734.3</v>
      </c>
    </row>
    <row r="174" spans="1:206">
      <c r="A174" s="5">
        <v>50</v>
      </c>
      <c r="B174" s="5">
        <v>0</v>
      </c>
      <c r="C174" s="5">
        <v>0</v>
      </c>
      <c r="D174" s="5">
        <v>1</v>
      </c>
      <c r="E174" s="5">
        <v>216</v>
      </c>
      <c r="F174" s="5">
        <f>ROUND(Source!AP165,O174)</f>
        <v>439830.76</v>
      </c>
      <c r="G174" s="5" t="s">
        <v>46</v>
      </c>
      <c r="H174" s="5" t="s">
        <v>47</v>
      </c>
      <c r="I174" s="5"/>
      <c r="J174" s="5"/>
      <c r="K174" s="5">
        <v>216</v>
      </c>
      <c r="L174" s="5">
        <v>8</v>
      </c>
      <c r="M174" s="5">
        <v>3</v>
      </c>
      <c r="N174" s="5" t="s">
        <v>4</v>
      </c>
      <c r="O174" s="5">
        <v>2</v>
      </c>
      <c r="P174" s="5">
        <f>ROUND(Source!EH165,O174)</f>
        <v>3197569.63</v>
      </c>
      <c r="Q174" s="5"/>
      <c r="R174" s="5"/>
      <c r="S174" s="5"/>
      <c r="T174" s="5"/>
      <c r="U174" s="5"/>
      <c r="V174" s="5"/>
      <c r="W174" s="5">
        <v>439830.76</v>
      </c>
      <c r="X174" s="5">
        <v>1</v>
      </c>
      <c r="Y174" s="5">
        <v>439830.76</v>
      </c>
      <c r="Z174" s="5">
        <v>3197569.63</v>
      </c>
      <c r="AA174" s="5">
        <v>1</v>
      </c>
      <c r="AB174" s="5">
        <v>3197569.63</v>
      </c>
    </row>
    <row r="175" spans="1:206">
      <c r="A175" s="5">
        <v>50</v>
      </c>
      <c r="B175" s="5">
        <v>0</v>
      </c>
      <c r="C175" s="5">
        <v>0</v>
      </c>
      <c r="D175" s="5">
        <v>1</v>
      </c>
      <c r="E175" s="5">
        <v>223</v>
      </c>
      <c r="F175" s="5">
        <f>ROUND(Source!AQ165,O175)</f>
        <v>0</v>
      </c>
      <c r="G175" s="5" t="s">
        <v>48</v>
      </c>
      <c r="H175" s="5" t="s">
        <v>49</v>
      </c>
      <c r="I175" s="5"/>
      <c r="J175" s="5"/>
      <c r="K175" s="5">
        <v>223</v>
      </c>
      <c r="L175" s="5">
        <v>9</v>
      </c>
      <c r="M175" s="5">
        <v>3</v>
      </c>
      <c r="N175" s="5" t="s">
        <v>4</v>
      </c>
      <c r="O175" s="5">
        <v>2</v>
      </c>
      <c r="P175" s="5">
        <f>ROUND(Source!EI165,O175)</f>
        <v>0</v>
      </c>
      <c r="Q175" s="5"/>
      <c r="R175" s="5"/>
      <c r="S175" s="5"/>
      <c r="T175" s="5"/>
      <c r="U175" s="5"/>
      <c r="V175" s="5"/>
      <c r="W175" s="5">
        <v>0</v>
      </c>
      <c r="X175" s="5">
        <v>1</v>
      </c>
      <c r="Y175" s="5">
        <v>0</v>
      </c>
      <c r="Z175" s="5">
        <v>0</v>
      </c>
      <c r="AA175" s="5">
        <v>1</v>
      </c>
      <c r="AB175" s="5">
        <v>0</v>
      </c>
    </row>
    <row r="176" spans="1:206">
      <c r="A176" s="5">
        <v>50</v>
      </c>
      <c r="B176" s="5">
        <v>0</v>
      </c>
      <c r="C176" s="5">
        <v>0</v>
      </c>
      <c r="D176" s="5">
        <v>1</v>
      </c>
      <c r="E176" s="5">
        <v>229</v>
      </c>
      <c r="F176" s="5">
        <f>ROUND(Source!AZ165,O176)</f>
        <v>439830.76</v>
      </c>
      <c r="G176" s="5" t="s">
        <v>50</v>
      </c>
      <c r="H176" s="5" t="s">
        <v>51</v>
      </c>
      <c r="I176" s="5"/>
      <c r="J176" s="5"/>
      <c r="K176" s="5">
        <v>229</v>
      </c>
      <c r="L176" s="5">
        <v>10</v>
      </c>
      <c r="M176" s="5">
        <v>3</v>
      </c>
      <c r="N176" s="5" t="s">
        <v>4</v>
      </c>
      <c r="O176" s="5">
        <v>2</v>
      </c>
      <c r="P176" s="5">
        <f>ROUND(Source!ER165,O176)</f>
        <v>3197569.63</v>
      </c>
      <c r="Q176" s="5"/>
      <c r="R176" s="5"/>
      <c r="S176" s="5"/>
      <c r="T176" s="5"/>
      <c r="U176" s="5"/>
      <c r="V176" s="5"/>
      <c r="W176" s="5">
        <v>439830.76</v>
      </c>
      <c r="X176" s="5">
        <v>1</v>
      </c>
      <c r="Y176" s="5">
        <v>439830.76</v>
      </c>
      <c r="Z176" s="5">
        <v>3197569.63</v>
      </c>
      <c r="AA176" s="5">
        <v>1</v>
      </c>
      <c r="AB176" s="5">
        <v>3197569.63</v>
      </c>
    </row>
    <row r="177" spans="1:28">
      <c r="A177" s="5">
        <v>50</v>
      </c>
      <c r="B177" s="5">
        <v>0</v>
      </c>
      <c r="C177" s="5">
        <v>0</v>
      </c>
      <c r="D177" s="5">
        <v>1</v>
      </c>
      <c r="E177" s="5">
        <v>203</v>
      </c>
      <c r="F177" s="5">
        <f>ROUND(Source!Q165,O177)</f>
        <v>2132.8000000000002</v>
      </c>
      <c r="G177" s="5" t="s">
        <v>52</v>
      </c>
      <c r="H177" s="5" t="s">
        <v>53</v>
      </c>
      <c r="I177" s="5"/>
      <c r="J177" s="5"/>
      <c r="K177" s="5">
        <v>203</v>
      </c>
      <c r="L177" s="5">
        <v>11</v>
      </c>
      <c r="M177" s="5">
        <v>3</v>
      </c>
      <c r="N177" s="5" t="s">
        <v>4</v>
      </c>
      <c r="O177" s="5">
        <v>2</v>
      </c>
      <c r="P177" s="5">
        <f>ROUND(Source!DI165,O177)</f>
        <v>41696.239999999998</v>
      </c>
      <c r="Q177" s="5"/>
      <c r="R177" s="5"/>
      <c r="S177" s="5"/>
      <c r="T177" s="5"/>
      <c r="U177" s="5"/>
      <c r="V177" s="5"/>
      <c r="W177" s="5">
        <v>2132.8000000000002</v>
      </c>
      <c r="X177" s="5">
        <v>1</v>
      </c>
      <c r="Y177" s="5">
        <v>2132.8000000000002</v>
      </c>
      <c r="Z177" s="5">
        <v>41696.239999999998</v>
      </c>
      <c r="AA177" s="5">
        <v>1</v>
      </c>
      <c r="AB177" s="5">
        <v>41696.239999999998</v>
      </c>
    </row>
    <row r="178" spans="1:28">
      <c r="A178" s="5">
        <v>50</v>
      </c>
      <c r="B178" s="5">
        <v>0</v>
      </c>
      <c r="C178" s="5">
        <v>0</v>
      </c>
      <c r="D178" s="5">
        <v>1</v>
      </c>
      <c r="E178" s="5">
        <v>231</v>
      </c>
      <c r="F178" s="5">
        <f>ROUND(Source!BB165,O178)</f>
        <v>0</v>
      </c>
      <c r="G178" s="5" t="s">
        <v>54</v>
      </c>
      <c r="H178" s="5" t="s">
        <v>55</v>
      </c>
      <c r="I178" s="5"/>
      <c r="J178" s="5"/>
      <c r="K178" s="5">
        <v>231</v>
      </c>
      <c r="L178" s="5">
        <v>12</v>
      </c>
      <c r="M178" s="5">
        <v>3</v>
      </c>
      <c r="N178" s="5" t="s">
        <v>4</v>
      </c>
      <c r="O178" s="5">
        <v>2</v>
      </c>
      <c r="P178" s="5">
        <f>ROUND(Source!ET165,O178)</f>
        <v>0</v>
      </c>
      <c r="Q178" s="5"/>
      <c r="R178" s="5"/>
      <c r="S178" s="5"/>
      <c r="T178" s="5"/>
      <c r="U178" s="5"/>
      <c r="V178" s="5"/>
      <c r="W178" s="5">
        <v>0</v>
      </c>
      <c r="X178" s="5">
        <v>1</v>
      </c>
      <c r="Y178" s="5">
        <v>0</v>
      </c>
      <c r="Z178" s="5">
        <v>0</v>
      </c>
      <c r="AA178" s="5">
        <v>1</v>
      </c>
      <c r="AB178" s="5">
        <v>0</v>
      </c>
    </row>
    <row r="179" spans="1:28">
      <c r="A179" s="5">
        <v>50</v>
      </c>
      <c r="B179" s="5">
        <v>0</v>
      </c>
      <c r="C179" s="5">
        <v>0</v>
      </c>
      <c r="D179" s="5">
        <v>1</v>
      </c>
      <c r="E179" s="5">
        <v>204</v>
      </c>
      <c r="F179" s="5">
        <f>ROUND(Source!R165,O179)</f>
        <v>572.80999999999995</v>
      </c>
      <c r="G179" s="5" t="s">
        <v>56</v>
      </c>
      <c r="H179" s="5" t="s">
        <v>57</v>
      </c>
      <c r="I179" s="5"/>
      <c r="J179" s="5"/>
      <c r="K179" s="5">
        <v>204</v>
      </c>
      <c r="L179" s="5">
        <v>13</v>
      </c>
      <c r="M179" s="5">
        <v>3</v>
      </c>
      <c r="N179" s="5" t="s">
        <v>4</v>
      </c>
      <c r="O179" s="5">
        <v>2</v>
      </c>
      <c r="P179" s="5">
        <f>ROUND(Source!DJ165,O179)</f>
        <v>26733.040000000001</v>
      </c>
      <c r="Q179" s="5"/>
      <c r="R179" s="5"/>
      <c r="S179" s="5"/>
      <c r="T179" s="5"/>
      <c r="U179" s="5"/>
      <c r="V179" s="5"/>
      <c r="W179" s="5">
        <v>572.80999999999995</v>
      </c>
      <c r="X179" s="5">
        <v>1</v>
      </c>
      <c r="Y179" s="5">
        <v>572.80999999999995</v>
      </c>
      <c r="Z179" s="5">
        <v>26733.040000000001</v>
      </c>
      <c r="AA179" s="5">
        <v>1</v>
      </c>
      <c r="AB179" s="5">
        <v>26733.040000000001</v>
      </c>
    </row>
    <row r="180" spans="1:28">
      <c r="A180" s="5">
        <v>50</v>
      </c>
      <c r="B180" s="5">
        <v>0</v>
      </c>
      <c r="C180" s="5">
        <v>0</v>
      </c>
      <c r="D180" s="5">
        <v>1</v>
      </c>
      <c r="E180" s="5">
        <v>205</v>
      </c>
      <c r="F180" s="5">
        <f>ROUND(Source!S165,O180)</f>
        <v>1065.52</v>
      </c>
      <c r="G180" s="5" t="s">
        <v>58</v>
      </c>
      <c r="H180" s="5" t="s">
        <v>59</v>
      </c>
      <c r="I180" s="5"/>
      <c r="J180" s="5"/>
      <c r="K180" s="5">
        <v>205</v>
      </c>
      <c r="L180" s="5">
        <v>14</v>
      </c>
      <c r="M180" s="5">
        <v>3</v>
      </c>
      <c r="N180" s="5" t="s">
        <v>4</v>
      </c>
      <c r="O180" s="5">
        <v>2</v>
      </c>
      <c r="P180" s="5">
        <f>ROUND(Source!DK165,O180)</f>
        <v>49727.82</v>
      </c>
      <c r="Q180" s="5"/>
      <c r="R180" s="5"/>
      <c r="S180" s="5"/>
      <c r="T180" s="5"/>
      <c r="U180" s="5"/>
      <c r="V180" s="5"/>
      <c r="W180" s="5">
        <v>1065.52</v>
      </c>
      <c r="X180" s="5">
        <v>1</v>
      </c>
      <c r="Y180" s="5">
        <v>1065.52</v>
      </c>
      <c r="Z180" s="5">
        <v>49727.82</v>
      </c>
      <c r="AA180" s="5">
        <v>1</v>
      </c>
      <c r="AB180" s="5">
        <v>49727.82</v>
      </c>
    </row>
    <row r="181" spans="1:28">
      <c r="A181" s="5">
        <v>50</v>
      </c>
      <c r="B181" s="5">
        <v>0</v>
      </c>
      <c r="C181" s="5">
        <v>0</v>
      </c>
      <c r="D181" s="5">
        <v>1</v>
      </c>
      <c r="E181" s="5">
        <v>232</v>
      </c>
      <c r="F181" s="5">
        <f>ROUND(Source!BC165,O181)</f>
        <v>0</v>
      </c>
      <c r="G181" s="5" t="s">
        <v>60</v>
      </c>
      <c r="H181" s="5" t="s">
        <v>61</v>
      </c>
      <c r="I181" s="5"/>
      <c r="J181" s="5"/>
      <c r="K181" s="5">
        <v>232</v>
      </c>
      <c r="L181" s="5">
        <v>15</v>
      </c>
      <c r="M181" s="5">
        <v>3</v>
      </c>
      <c r="N181" s="5" t="s">
        <v>4</v>
      </c>
      <c r="O181" s="5">
        <v>2</v>
      </c>
      <c r="P181" s="5">
        <f>ROUND(Source!EU165,O181)</f>
        <v>0</v>
      </c>
      <c r="Q181" s="5"/>
      <c r="R181" s="5"/>
      <c r="S181" s="5"/>
      <c r="T181" s="5"/>
      <c r="U181" s="5"/>
      <c r="V181" s="5"/>
      <c r="W181" s="5">
        <v>0</v>
      </c>
      <c r="X181" s="5">
        <v>1</v>
      </c>
      <c r="Y181" s="5">
        <v>0</v>
      </c>
      <c r="Z181" s="5">
        <v>0</v>
      </c>
      <c r="AA181" s="5">
        <v>1</v>
      </c>
      <c r="AB181" s="5">
        <v>0</v>
      </c>
    </row>
    <row r="182" spans="1:28">
      <c r="A182" s="5">
        <v>50</v>
      </c>
      <c r="B182" s="5">
        <v>0</v>
      </c>
      <c r="C182" s="5">
        <v>0</v>
      </c>
      <c r="D182" s="5">
        <v>1</v>
      </c>
      <c r="E182" s="5">
        <v>214</v>
      </c>
      <c r="F182" s="5">
        <f>ROUND(Source!AS165,O182)</f>
        <v>0</v>
      </c>
      <c r="G182" s="5" t="s">
        <v>62</v>
      </c>
      <c r="H182" s="5" t="s">
        <v>63</v>
      </c>
      <c r="I182" s="5"/>
      <c r="J182" s="5"/>
      <c r="K182" s="5">
        <v>214</v>
      </c>
      <c r="L182" s="5">
        <v>16</v>
      </c>
      <c r="M182" s="5">
        <v>3</v>
      </c>
      <c r="N182" s="5" t="s">
        <v>4</v>
      </c>
      <c r="O182" s="5">
        <v>2</v>
      </c>
      <c r="P182" s="5">
        <f>ROUND(Source!EK165,O182)</f>
        <v>0</v>
      </c>
      <c r="Q182" s="5"/>
      <c r="R182" s="5"/>
      <c r="S182" s="5"/>
      <c r="T182" s="5"/>
      <c r="U182" s="5"/>
      <c r="V182" s="5"/>
      <c r="W182" s="5">
        <v>0</v>
      </c>
      <c r="X182" s="5">
        <v>1</v>
      </c>
      <c r="Y182" s="5">
        <v>0</v>
      </c>
      <c r="Z182" s="5">
        <v>0</v>
      </c>
      <c r="AA182" s="5">
        <v>1</v>
      </c>
      <c r="AB182" s="5">
        <v>0</v>
      </c>
    </row>
    <row r="183" spans="1:28">
      <c r="A183" s="5">
        <v>50</v>
      </c>
      <c r="B183" s="5">
        <v>0</v>
      </c>
      <c r="C183" s="5">
        <v>0</v>
      </c>
      <c r="D183" s="5">
        <v>1</v>
      </c>
      <c r="E183" s="5">
        <v>215</v>
      </c>
      <c r="F183" s="5">
        <f>ROUND(Source!AT165,O183)</f>
        <v>6314.42</v>
      </c>
      <c r="G183" s="5" t="s">
        <v>64</v>
      </c>
      <c r="H183" s="5" t="s">
        <v>65</v>
      </c>
      <c r="I183" s="5"/>
      <c r="J183" s="5"/>
      <c r="K183" s="5">
        <v>215</v>
      </c>
      <c r="L183" s="5">
        <v>17</v>
      </c>
      <c r="M183" s="5">
        <v>3</v>
      </c>
      <c r="N183" s="5" t="s">
        <v>4</v>
      </c>
      <c r="O183" s="5">
        <v>2</v>
      </c>
      <c r="P183" s="5">
        <f>ROUND(Source!EL165,O183)</f>
        <v>206063.78</v>
      </c>
      <c r="Q183" s="5"/>
      <c r="R183" s="5"/>
      <c r="S183" s="5"/>
      <c r="T183" s="5"/>
      <c r="U183" s="5"/>
      <c r="V183" s="5"/>
      <c r="W183" s="5">
        <v>6314.42</v>
      </c>
      <c r="X183" s="5">
        <v>1</v>
      </c>
      <c r="Y183" s="5">
        <v>6314.42</v>
      </c>
      <c r="Z183" s="5">
        <v>206063.78</v>
      </c>
      <c r="AA183" s="5">
        <v>1</v>
      </c>
      <c r="AB183" s="5">
        <v>206063.78</v>
      </c>
    </row>
    <row r="184" spans="1:28">
      <c r="A184" s="5">
        <v>50</v>
      </c>
      <c r="B184" s="5">
        <v>0</v>
      </c>
      <c r="C184" s="5">
        <v>0</v>
      </c>
      <c r="D184" s="5">
        <v>1</v>
      </c>
      <c r="E184" s="5">
        <v>217</v>
      </c>
      <c r="F184" s="5">
        <f>ROUND(Source!AU165,O184)</f>
        <v>0</v>
      </c>
      <c r="G184" s="5" t="s">
        <v>66</v>
      </c>
      <c r="H184" s="5" t="s">
        <v>67</v>
      </c>
      <c r="I184" s="5"/>
      <c r="J184" s="5"/>
      <c r="K184" s="5">
        <v>217</v>
      </c>
      <c r="L184" s="5">
        <v>18</v>
      </c>
      <c r="M184" s="5">
        <v>3</v>
      </c>
      <c r="N184" s="5" t="s">
        <v>4</v>
      </c>
      <c r="O184" s="5">
        <v>2</v>
      </c>
      <c r="P184" s="5">
        <f>ROUND(Source!EM165,O184)</f>
        <v>0</v>
      </c>
      <c r="Q184" s="5"/>
      <c r="R184" s="5"/>
      <c r="S184" s="5"/>
      <c r="T184" s="5"/>
      <c r="U184" s="5"/>
      <c r="V184" s="5"/>
      <c r="W184" s="5">
        <v>0</v>
      </c>
      <c r="X184" s="5">
        <v>1</v>
      </c>
      <c r="Y184" s="5">
        <v>0</v>
      </c>
      <c r="Z184" s="5">
        <v>0</v>
      </c>
      <c r="AA184" s="5">
        <v>1</v>
      </c>
      <c r="AB184" s="5">
        <v>0</v>
      </c>
    </row>
    <row r="185" spans="1:28">
      <c r="A185" s="5">
        <v>50</v>
      </c>
      <c r="B185" s="5">
        <v>0</v>
      </c>
      <c r="C185" s="5">
        <v>0</v>
      </c>
      <c r="D185" s="5">
        <v>1</v>
      </c>
      <c r="E185" s="5">
        <v>230</v>
      </c>
      <c r="F185" s="5">
        <f>ROUND(Source!BA165,O185)</f>
        <v>0</v>
      </c>
      <c r="G185" s="5" t="s">
        <v>68</v>
      </c>
      <c r="H185" s="5" t="s">
        <v>69</v>
      </c>
      <c r="I185" s="5"/>
      <c r="J185" s="5"/>
      <c r="K185" s="5">
        <v>230</v>
      </c>
      <c r="L185" s="5">
        <v>19</v>
      </c>
      <c r="M185" s="5">
        <v>3</v>
      </c>
      <c r="N185" s="5" t="s">
        <v>4</v>
      </c>
      <c r="O185" s="5">
        <v>2</v>
      </c>
      <c r="P185" s="5">
        <f>ROUND(Source!ES165,O185)</f>
        <v>0</v>
      </c>
      <c r="Q185" s="5"/>
      <c r="R185" s="5"/>
      <c r="S185" s="5"/>
      <c r="T185" s="5"/>
      <c r="U185" s="5"/>
      <c r="V185" s="5"/>
      <c r="W185" s="5">
        <v>0</v>
      </c>
      <c r="X185" s="5">
        <v>1</v>
      </c>
      <c r="Y185" s="5">
        <v>0</v>
      </c>
      <c r="Z185" s="5">
        <v>0</v>
      </c>
      <c r="AA185" s="5">
        <v>1</v>
      </c>
      <c r="AB185" s="5">
        <v>0</v>
      </c>
    </row>
    <row r="186" spans="1:28">
      <c r="A186" s="5">
        <v>50</v>
      </c>
      <c r="B186" s="5">
        <v>0</v>
      </c>
      <c r="C186" s="5">
        <v>0</v>
      </c>
      <c r="D186" s="5">
        <v>1</v>
      </c>
      <c r="E186" s="5">
        <v>206</v>
      </c>
      <c r="F186" s="5">
        <f>ROUND(Source!T165,O186)</f>
        <v>0</v>
      </c>
      <c r="G186" s="5" t="s">
        <v>70</v>
      </c>
      <c r="H186" s="5" t="s">
        <v>71</v>
      </c>
      <c r="I186" s="5"/>
      <c r="J186" s="5"/>
      <c r="K186" s="5">
        <v>206</v>
      </c>
      <c r="L186" s="5">
        <v>20</v>
      </c>
      <c r="M186" s="5">
        <v>3</v>
      </c>
      <c r="N186" s="5" t="s">
        <v>4</v>
      </c>
      <c r="O186" s="5">
        <v>2</v>
      </c>
      <c r="P186" s="5">
        <f>ROUND(Source!DL165,O186)</f>
        <v>0</v>
      </c>
      <c r="Q186" s="5"/>
      <c r="R186" s="5"/>
      <c r="S186" s="5"/>
      <c r="T186" s="5"/>
      <c r="U186" s="5"/>
      <c r="V186" s="5"/>
      <c r="W186" s="5">
        <v>0</v>
      </c>
      <c r="X186" s="5">
        <v>1</v>
      </c>
      <c r="Y186" s="5">
        <v>0</v>
      </c>
      <c r="Z186" s="5">
        <v>0</v>
      </c>
      <c r="AA186" s="5">
        <v>1</v>
      </c>
      <c r="AB186" s="5">
        <v>0</v>
      </c>
    </row>
    <row r="187" spans="1:28">
      <c r="A187" s="5">
        <v>50</v>
      </c>
      <c r="B187" s="5">
        <v>0</v>
      </c>
      <c r="C187" s="5">
        <v>0</v>
      </c>
      <c r="D187" s="5">
        <v>1</v>
      </c>
      <c r="E187" s="5">
        <v>207</v>
      </c>
      <c r="F187" s="5">
        <f>Source!U165</f>
        <v>84.430080000000004</v>
      </c>
      <c r="G187" s="5" t="s">
        <v>72</v>
      </c>
      <c r="H187" s="5" t="s">
        <v>73</v>
      </c>
      <c r="I187" s="5"/>
      <c r="J187" s="5"/>
      <c r="K187" s="5">
        <v>207</v>
      </c>
      <c r="L187" s="5">
        <v>21</v>
      </c>
      <c r="M187" s="5">
        <v>3</v>
      </c>
      <c r="N187" s="5" t="s">
        <v>4</v>
      </c>
      <c r="O187" s="5">
        <v>-1</v>
      </c>
      <c r="P187" s="5">
        <f>Source!DM165</f>
        <v>84.430080000000004</v>
      </c>
      <c r="Q187" s="5"/>
      <c r="R187" s="5"/>
      <c r="S187" s="5"/>
      <c r="T187" s="5"/>
      <c r="U187" s="5"/>
      <c r="V187" s="5"/>
      <c r="W187" s="5">
        <v>84.430080000000004</v>
      </c>
      <c r="X187" s="5">
        <v>1</v>
      </c>
      <c r="Y187" s="5">
        <v>84.430080000000004</v>
      </c>
      <c r="Z187" s="5">
        <v>84.430080000000004</v>
      </c>
      <c r="AA187" s="5">
        <v>1</v>
      </c>
      <c r="AB187" s="5">
        <v>84.430080000000004</v>
      </c>
    </row>
    <row r="188" spans="1:28">
      <c r="A188" s="5">
        <v>50</v>
      </c>
      <c r="B188" s="5">
        <v>0</v>
      </c>
      <c r="C188" s="5">
        <v>0</v>
      </c>
      <c r="D188" s="5">
        <v>1</v>
      </c>
      <c r="E188" s="5">
        <v>208</v>
      </c>
      <c r="F188" s="5">
        <f>Source!V165</f>
        <v>0</v>
      </c>
      <c r="G188" s="5" t="s">
        <v>74</v>
      </c>
      <c r="H188" s="5" t="s">
        <v>75</v>
      </c>
      <c r="I188" s="5"/>
      <c r="J188" s="5"/>
      <c r="K188" s="5">
        <v>208</v>
      </c>
      <c r="L188" s="5">
        <v>22</v>
      </c>
      <c r="M188" s="5">
        <v>3</v>
      </c>
      <c r="N188" s="5" t="s">
        <v>4</v>
      </c>
      <c r="O188" s="5">
        <v>-1</v>
      </c>
      <c r="P188" s="5">
        <f>Source!DN165</f>
        <v>0</v>
      </c>
      <c r="Q188" s="5"/>
      <c r="R188" s="5"/>
      <c r="S188" s="5"/>
      <c r="T188" s="5"/>
      <c r="U188" s="5"/>
      <c r="V188" s="5"/>
      <c r="W188" s="5">
        <v>0</v>
      </c>
      <c r="X188" s="5">
        <v>1</v>
      </c>
      <c r="Y188" s="5">
        <v>0</v>
      </c>
      <c r="Z188" s="5">
        <v>0</v>
      </c>
      <c r="AA188" s="5">
        <v>1</v>
      </c>
      <c r="AB188" s="5">
        <v>0</v>
      </c>
    </row>
    <row r="189" spans="1:28">
      <c r="A189" s="5">
        <v>50</v>
      </c>
      <c r="B189" s="5">
        <v>0</v>
      </c>
      <c r="C189" s="5">
        <v>0</v>
      </c>
      <c r="D189" s="5">
        <v>1</v>
      </c>
      <c r="E189" s="5">
        <v>209</v>
      </c>
      <c r="F189" s="5">
        <f>ROUND(Source!W165,O189)</f>
        <v>0</v>
      </c>
      <c r="G189" s="5" t="s">
        <v>76</v>
      </c>
      <c r="H189" s="5" t="s">
        <v>77</v>
      </c>
      <c r="I189" s="5"/>
      <c r="J189" s="5"/>
      <c r="K189" s="5">
        <v>209</v>
      </c>
      <c r="L189" s="5">
        <v>23</v>
      </c>
      <c r="M189" s="5">
        <v>3</v>
      </c>
      <c r="N189" s="5" t="s">
        <v>4</v>
      </c>
      <c r="O189" s="5">
        <v>2</v>
      </c>
      <c r="P189" s="5">
        <f>ROUND(Source!DO165,O189)</f>
        <v>0</v>
      </c>
      <c r="Q189" s="5"/>
      <c r="R189" s="5"/>
      <c r="S189" s="5"/>
      <c r="T189" s="5"/>
      <c r="U189" s="5"/>
      <c r="V189" s="5"/>
      <c r="W189" s="5">
        <v>0</v>
      </c>
      <c r="X189" s="5">
        <v>1</v>
      </c>
      <c r="Y189" s="5">
        <v>0</v>
      </c>
      <c r="Z189" s="5">
        <v>0</v>
      </c>
      <c r="AA189" s="5">
        <v>1</v>
      </c>
      <c r="AB189" s="5">
        <v>0</v>
      </c>
    </row>
    <row r="190" spans="1:28">
      <c r="A190" s="5">
        <v>50</v>
      </c>
      <c r="B190" s="5">
        <v>0</v>
      </c>
      <c r="C190" s="5">
        <v>0</v>
      </c>
      <c r="D190" s="5">
        <v>1</v>
      </c>
      <c r="E190" s="5">
        <v>233</v>
      </c>
      <c r="F190" s="5">
        <f>ROUND(Source!BD165,O190)</f>
        <v>0</v>
      </c>
      <c r="G190" s="5" t="s">
        <v>78</v>
      </c>
      <c r="H190" s="5" t="s">
        <v>79</v>
      </c>
      <c r="I190" s="5"/>
      <c r="J190" s="5"/>
      <c r="K190" s="5">
        <v>233</v>
      </c>
      <c r="L190" s="5">
        <v>24</v>
      </c>
      <c r="M190" s="5">
        <v>3</v>
      </c>
      <c r="N190" s="5" t="s">
        <v>4</v>
      </c>
      <c r="O190" s="5">
        <v>2</v>
      </c>
      <c r="P190" s="5">
        <f>ROUND(Source!EV165,O190)</f>
        <v>0</v>
      </c>
      <c r="Q190" s="5"/>
      <c r="R190" s="5"/>
      <c r="S190" s="5"/>
      <c r="T190" s="5"/>
      <c r="U190" s="5"/>
      <c r="V190" s="5"/>
      <c r="W190" s="5">
        <v>0</v>
      </c>
      <c r="X190" s="5">
        <v>1</v>
      </c>
      <c r="Y190" s="5">
        <v>0</v>
      </c>
      <c r="Z190" s="5">
        <v>0</v>
      </c>
      <c r="AA190" s="5">
        <v>1</v>
      </c>
      <c r="AB190" s="5">
        <v>0</v>
      </c>
    </row>
    <row r="191" spans="1:28">
      <c r="A191" s="5">
        <v>50</v>
      </c>
      <c r="B191" s="5">
        <v>0</v>
      </c>
      <c r="C191" s="5">
        <v>0</v>
      </c>
      <c r="D191" s="5">
        <v>1</v>
      </c>
      <c r="E191" s="5">
        <v>210</v>
      </c>
      <c r="F191" s="5">
        <f>ROUND(Source!X165,O191)</f>
        <v>1193.3800000000001</v>
      </c>
      <c r="G191" s="5" t="s">
        <v>80</v>
      </c>
      <c r="H191" s="5" t="s">
        <v>81</v>
      </c>
      <c r="I191" s="5"/>
      <c r="J191" s="5"/>
      <c r="K191" s="5">
        <v>210</v>
      </c>
      <c r="L191" s="5">
        <v>25</v>
      </c>
      <c r="M191" s="5">
        <v>3</v>
      </c>
      <c r="N191" s="5" t="s">
        <v>4</v>
      </c>
      <c r="O191" s="5">
        <v>2</v>
      </c>
      <c r="P191" s="5">
        <f>ROUND(Source!DP165,O191)</f>
        <v>45749.59</v>
      </c>
      <c r="Q191" s="5"/>
      <c r="R191" s="5"/>
      <c r="S191" s="5"/>
      <c r="T191" s="5"/>
      <c r="U191" s="5"/>
      <c r="V191" s="5"/>
      <c r="W191" s="5">
        <v>1193.3800000000001</v>
      </c>
      <c r="X191" s="5">
        <v>1</v>
      </c>
      <c r="Y191" s="5">
        <v>1193.3800000000001</v>
      </c>
      <c r="Z191" s="5">
        <v>45749.59</v>
      </c>
      <c r="AA191" s="5">
        <v>1</v>
      </c>
      <c r="AB191" s="5">
        <v>45749.59</v>
      </c>
    </row>
    <row r="192" spans="1:28">
      <c r="A192" s="5">
        <v>50</v>
      </c>
      <c r="B192" s="5">
        <v>0</v>
      </c>
      <c r="C192" s="5">
        <v>0</v>
      </c>
      <c r="D192" s="5">
        <v>1</v>
      </c>
      <c r="E192" s="5">
        <v>211</v>
      </c>
      <c r="F192" s="5">
        <f>ROUND(Source!Y165,O192)</f>
        <v>745.86</v>
      </c>
      <c r="G192" s="5" t="s">
        <v>82</v>
      </c>
      <c r="H192" s="5" t="s">
        <v>83</v>
      </c>
      <c r="I192" s="5"/>
      <c r="J192" s="5"/>
      <c r="K192" s="5">
        <v>211</v>
      </c>
      <c r="L192" s="5">
        <v>26</v>
      </c>
      <c r="M192" s="5">
        <v>3</v>
      </c>
      <c r="N192" s="5" t="s">
        <v>4</v>
      </c>
      <c r="O192" s="5">
        <v>2</v>
      </c>
      <c r="P192" s="5">
        <f>ROUND(Source!DQ165,O192)</f>
        <v>21382.959999999999</v>
      </c>
      <c r="Q192" s="5"/>
      <c r="R192" s="5"/>
      <c r="S192" s="5"/>
      <c r="T192" s="5"/>
      <c r="U192" s="5"/>
      <c r="V192" s="5"/>
      <c r="W192" s="5">
        <v>745.86</v>
      </c>
      <c r="X192" s="5">
        <v>1</v>
      </c>
      <c r="Y192" s="5">
        <v>745.86</v>
      </c>
      <c r="Z192" s="5">
        <v>21382.959999999999</v>
      </c>
      <c r="AA192" s="5">
        <v>1</v>
      </c>
      <c r="AB192" s="5">
        <v>21382.959999999999</v>
      </c>
    </row>
    <row r="193" spans="1:50">
      <c r="A193" s="5">
        <v>50</v>
      </c>
      <c r="B193" s="5">
        <v>0</v>
      </c>
      <c r="C193" s="5">
        <v>0</v>
      </c>
      <c r="D193" s="5">
        <v>1</v>
      </c>
      <c r="E193" s="5">
        <v>224</v>
      </c>
      <c r="F193" s="5">
        <f>ROUND(Source!AR165,O193)</f>
        <v>446145.18</v>
      </c>
      <c r="G193" s="5" t="s">
        <v>84</v>
      </c>
      <c r="H193" s="5" t="s">
        <v>85</v>
      </c>
      <c r="I193" s="5"/>
      <c r="J193" s="5"/>
      <c r="K193" s="5">
        <v>224</v>
      </c>
      <c r="L193" s="5">
        <v>27</v>
      </c>
      <c r="M193" s="5">
        <v>3</v>
      </c>
      <c r="N193" s="5" t="s">
        <v>4</v>
      </c>
      <c r="O193" s="5">
        <v>2</v>
      </c>
      <c r="P193" s="5">
        <f>ROUND(Source!EJ165,O193)</f>
        <v>3403633.41</v>
      </c>
      <c r="Q193" s="5"/>
      <c r="R193" s="5"/>
      <c r="S193" s="5"/>
      <c r="T193" s="5"/>
      <c r="U193" s="5"/>
      <c r="V193" s="5"/>
      <c r="W193" s="5">
        <v>446145.18</v>
      </c>
      <c r="X193" s="5">
        <v>1</v>
      </c>
      <c r="Y193" s="5">
        <v>446145.18</v>
      </c>
      <c r="Z193" s="5">
        <v>3403633.41</v>
      </c>
      <c r="AA193" s="5">
        <v>1</v>
      </c>
      <c r="AB193" s="5">
        <v>3403633.41</v>
      </c>
    </row>
    <row r="194" spans="1:50">
      <c r="A194" s="5">
        <v>50</v>
      </c>
      <c r="B194" s="5">
        <v>1</v>
      </c>
      <c r="C194" s="5">
        <v>0</v>
      </c>
      <c r="D194" s="5">
        <v>2</v>
      </c>
      <c r="E194" s="5">
        <v>0</v>
      </c>
      <c r="F194" s="5">
        <f>F193-F195-F196</f>
        <v>439830.76</v>
      </c>
      <c r="G194" s="5" t="s">
        <v>97</v>
      </c>
      <c r="H194" s="5" t="s">
        <v>98</v>
      </c>
      <c r="I194" s="5"/>
      <c r="J194" s="5"/>
      <c r="K194" s="5">
        <v>212</v>
      </c>
      <c r="L194" s="5">
        <v>28</v>
      </c>
      <c r="M194" s="5">
        <v>0</v>
      </c>
      <c r="N194" s="5" t="s">
        <v>4</v>
      </c>
      <c r="O194" s="5">
        <v>-1</v>
      </c>
      <c r="P194" s="5">
        <f>P193-P195-P196</f>
        <v>3197569.6300000004</v>
      </c>
      <c r="Q194" s="5"/>
      <c r="R194" s="5"/>
      <c r="S194" s="5"/>
      <c r="T194" s="5"/>
      <c r="U194" s="5"/>
      <c r="V194" s="5"/>
      <c r="W194" s="5">
        <v>439830.76</v>
      </c>
      <c r="X194" s="5">
        <v>1</v>
      </c>
      <c r="Y194" s="5">
        <v>439830.76</v>
      </c>
      <c r="Z194" s="5">
        <v>3197569.63</v>
      </c>
      <c r="AA194" s="5">
        <v>1</v>
      </c>
      <c r="AB194" s="5">
        <v>3197569.63</v>
      </c>
    </row>
    <row r="195" spans="1:50">
      <c r="A195" s="5">
        <v>50</v>
      </c>
      <c r="B195" s="5">
        <v>1</v>
      </c>
      <c r="C195" s="5">
        <v>0</v>
      </c>
      <c r="D195" s="5">
        <v>2</v>
      </c>
      <c r="E195" s="5">
        <v>0</v>
      </c>
      <c r="F195" s="5">
        <f>ROUND(F153,O195)</f>
        <v>6314.42</v>
      </c>
      <c r="G195" s="5" t="s">
        <v>99</v>
      </c>
      <c r="H195" s="5" t="s">
        <v>86</v>
      </c>
      <c r="I195" s="5"/>
      <c r="J195" s="5"/>
      <c r="K195" s="5">
        <v>212</v>
      </c>
      <c r="L195" s="5">
        <v>29</v>
      </c>
      <c r="M195" s="5">
        <v>0</v>
      </c>
      <c r="N195" s="5" t="s">
        <v>4</v>
      </c>
      <c r="O195" s="5">
        <v>2</v>
      </c>
      <c r="P195" s="5">
        <f>ROUND(P153,O195)</f>
        <v>206063.78</v>
      </c>
      <c r="Q195" s="5"/>
      <c r="R195" s="5"/>
      <c r="S195" s="5"/>
      <c r="T195" s="5"/>
      <c r="U195" s="5"/>
      <c r="V195" s="5"/>
      <c r="W195" s="5">
        <v>6314.42</v>
      </c>
      <c r="X195" s="5">
        <v>1</v>
      </c>
      <c r="Y195" s="5">
        <v>6314.42</v>
      </c>
      <c r="Z195" s="5">
        <v>206063.78</v>
      </c>
      <c r="AA195" s="5">
        <v>1</v>
      </c>
      <c r="AB195" s="5">
        <v>206063.78</v>
      </c>
    </row>
    <row r="196" spans="1:50">
      <c r="A196" s="5">
        <v>50</v>
      </c>
      <c r="B196" s="5">
        <v>1</v>
      </c>
      <c r="C196" s="5">
        <v>0</v>
      </c>
      <c r="D196" s="5">
        <v>2</v>
      </c>
      <c r="E196" s="5">
        <v>0</v>
      </c>
      <c r="F196" s="5">
        <f>ROUND(F154,O196)</f>
        <v>0</v>
      </c>
      <c r="G196" s="5" t="s">
        <v>100</v>
      </c>
      <c r="H196" s="5" t="s">
        <v>101</v>
      </c>
      <c r="I196" s="5"/>
      <c r="J196" s="5"/>
      <c r="K196" s="5">
        <v>212</v>
      </c>
      <c r="L196" s="5">
        <v>30</v>
      </c>
      <c r="M196" s="5">
        <v>0</v>
      </c>
      <c r="N196" s="5" t="s">
        <v>4</v>
      </c>
      <c r="O196" s="5">
        <v>2</v>
      </c>
      <c r="P196" s="5">
        <f>ROUND(P154,O196)</f>
        <v>0</v>
      </c>
      <c r="Q196" s="5"/>
      <c r="R196" s="5"/>
      <c r="S196" s="5"/>
      <c r="T196" s="5"/>
      <c r="U196" s="5"/>
      <c r="V196" s="5"/>
      <c r="W196" s="5">
        <v>0</v>
      </c>
      <c r="X196" s="5">
        <v>1</v>
      </c>
      <c r="Y196" s="5">
        <v>0</v>
      </c>
      <c r="Z196" s="5">
        <v>0</v>
      </c>
      <c r="AA196" s="5">
        <v>1</v>
      </c>
      <c r="AB196" s="5">
        <v>0</v>
      </c>
    </row>
    <row r="199" spans="1:50">
      <c r="A199">
        <v>70</v>
      </c>
      <c r="B199">
        <v>1</v>
      </c>
      <c r="D199">
        <v>1</v>
      </c>
      <c r="E199" t="s">
        <v>102</v>
      </c>
      <c r="F199" t="s">
        <v>103</v>
      </c>
      <c r="G199">
        <v>0</v>
      </c>
      <c r="H199">
        <v>0</v>
      </c>
      <c r="I199" t="s">
        <v>4</v>
      </c>
      <c r="J199">
        <v>1</v>
      </c>
      <c r="K199">
        <v>0</v>
      </c>
      <c r="L199" t="s">
        <v>4</v>
      </c>
      <c r="M199" t="s">
        <v>4</v>
      </c>
      <c r="N199">
        <v>0</v>
      </c>
      <c r="O199">
        <v>0</v>
      </c>
      <c r="P199" t="s">
        <v>4</v>
      </c>
    </row>
    <row r="200" spans="1:50">
      <c r="A200">
        <v>70</v>
      </c>
      <c r="B200">
        <v>1</v>
      </c>
      <c r="D200">
        <v>2</v>
      </c>
      <c r="E200" t="s">
        <v>104</v>
      </c>
      <c r="F200" t="s">
        <v>105</v>
      </c>
      <c r="G200">
        <v>1</v>
      </c>
      <c r="H200">
        <v>0</v>
      </c>
      <c r="I200" t="s">
        <v>4</v>
      </c>
      <c r="J200">
        <v>1</v>
      </c>
      <c r="K200">
        <v>0</v>
      </c>
      <c r="L200" t="s">
        <v>4</v>
      </c>
      <c r="M200" t="s">
        <v>4</v>
      </c>
      <c r="N200">
        <v>0</v>
      </c>
      <c r="O200">
        <v>1</v>
      </c>
      <c r="P200" t="s">
        <v>4</v>
      </c>
    </row>
    <row r="202" spans="1:50">
      <c r="A202">
        <v>-1</v>
      </c>
    </row>
    <row r="204" spans="1:50">
      <c r="A204" s="4">
        <v>75</v>
      </c>
      <c r="B204" s="4" t="s">
        <v>106</v>
      </c>
      <c r="C204" s="4">
        <v>2025</v>
      </c>
      <c r="D204" s="4">
        <v>0</v>
      </c>
      <c r="E204" s="4">
        <v>1</v>
      </c>
      <c r="F204" s="4"/>
      <c r="G204" s="4">
        <v>0</v>
      </c>
      <c r="H204" s="4">
        <v>2</v>
      </c>
      <c r="I204" s="4">
        <v>1</v>
      </c>
      <c r="J204" s="4">
        <v>1</v>
      </c>
      <c r="K204" s="4">
        <v>95</v>
      </c>
      <c r="L204" s="4">
        <v>65</v>
      </c>
      <c r="M204" s="4">
        <v>1</v>
      </c>
      <c r="N204" s="4">
        <v>70322991</v>
      </c>
      <c r="O204" s="4">
        <v>1</v>
      </c>
    </row>
    <row r="205" spans="1:50">
      <c r="A205" s="6">
        <v>1</v>
      </c>
      <c r="B205" s="6" t="s">
        <v>107</v>
      </c>
      <c r="C205" s="6" t="s">
        <v>108</v>
      </c>
      <c r="D205" s="6">
        <v>2025</v>
      </c>
      <c r="E205" s="6">
        <v>1</v>
      </c>
      <c r="F205" s="6">
        <v>1</v>
      </c>
      <c r="G205" s="6">
        <v>1</v>
      </c>
      <c r="H205" s="6">
        <v>0</v>
      </c>
      <c r="I205" s="6">
        <v>2</v>
      </c>
      <c r="J205" s="6">
        <v>1</v>
      </c>
      <c r="K205" s="6">
        <v>1</v>
      </c>
      <c r="L205" s="6">
        <v>1</v>
      </c>
      <c r="M205" s="6">
        <v>1</v>
      </c>
      <c r="N205" s="6">
        <v>1</v>
      </c>
      <c r="O205" s="6">
        <v>1</v>
      </c>
      <c r="P205" s="6">
        <v>1</v>
      </c>
      <c r="Q205" s="6">
        <v>1</v>
      </c>
      <c r="R205" s="6" t="s">
        <v>4</v>
      </c>
      <c r="S205" s="6" t="s">
        <v>4</v>
      </c>
      <c r="T205" s="6" t="s">
        <v>4</v>
      </c>
      <c r="U205" s="6" t="s">
        <v>4</v>
      </c>
      <c r="V205" s="6" t="s">
        <v>4</v>
      </c>
      <c r="W205" s="6" t="s">
        <v>4</v>
      </c>
      <c r="X205" s="6" t="s">
        <v>4</v>
      </c>
      <c r="Y205" s="6" t="s">
        <v>4</v>
      </c>
      <c r="Z205" s="6" t="s">
        <v>4</v>
      </c>
      <c r="AA205" s="6" t="s">
        <v>109</v>
      </c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>
        <v>70322992</v>
      </c>
      <c r="AO205" s="6"/>
      <c r="AP205" s="6"/>
      <c r="AQ205" s="6"/>
      <c r="AR205" s="6"/>
      <c r="AS205" s="6"/>
      <c r="AT205" s="6"/>
      <c r="AU205" s="6"/>
      <c r="AV205" s="6"/>
      <c r="AW205" s="6"/>
      <c r="AX205" s="6"/>
    </row>
    <row r="206" spans="1:50">
      <c r="A206" s="6">
        <v>1</v>
      </c>
      <c r="B206" s="6" t="s">
        <v>107</v>
      </c>
      <c r="C206" s="6" t="s">
        <v>110</v>
      </c>
      <c r="D206" s="6">
        <v>2025</v>
      </c>
      <c r="E206" s="6">
        <v>1</v>
      </c>
      <c r="F206" s="6">
        <v>1</v>
      </c>
      <c r="G206" s="6">
        <v>1</v>
      </c>
      <c r="H206" s="6">
        <v>0</v>
      </c>
      <c r="I206" s="6">
        <v>2</v>
      </c>
      <c r="J206" s="6">
        <v>1</v>
      </c>
      <c r="K206" s="6">
        <v>1</v>
      </c>
      <c r="L206" s="6">
        <v>1</v>
      </c>
      <c r="M206" s="6">
        <v>1</v>
      </c>
      <c r="N206" s="6">
        <v>1</v>
      </c>
      <c r="O206" s="6">
        <v>1</v>
      </c>
      <c r="P206" s="6">
        <v>1</v>
      </c>
      <c r="Q206" s="6">
        <v>1</v>
      </c>
      <c r="R206" s="6" t="s">
        <v>4</v>
      </c>
      <c r="S206" s="6" t="s">
        <v>4</v>
      </c>
      <c r="T206" s="6" t="s">
        <v>4</v>
      </c>
      <c r="U206" s="6" t="s">
        <v>4</v>
      </c>
      <c r="V206" s="6" t="s">
        <v>4</v>
      </c>
      <c r="W206" s="6" t="s">
        <v>4</v>
      </c>
      <c r="X206" s="6" t="s">
        <v>4</v>
      </c>
      <c r="Y206" s="6" t="s">
        <v>4</v>
      </c>
      <c r="Z206" s="6" t="s">
        <v>4</v>
      </c>
      <c r="AA206" s="6" t="s">
        <v>111</v>
      </c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>
        <v>70322993</v>
      </c>
      <c r="AO206" s="6"/>
      <c r="AP206" s="6"/>
      <c r="AQ206" s="6"/>
      <c r="AR206" s="6"/>
      <c r="AS206" s="6"/>
      <c r="AT206" s="6"/>
      <c r="AU206" s="6"/>
      <c r="AV206" s="6"/>
      <c r="AW206" s="6"/>
      <c r="AX206" s="6"/>
    </row>
    <row r="207" spans="1:50">
      <c r="A207" s="4">
        <v>75</v>
      </c>
      <c r="B207" s="4" t="s">
        <v>112</v>
      </c>
      <c r="C207" s="4">
        <v>2000</v>
      </c>
      <c r="D207" s="4">
        <v>0</v>
      </c>
      <c r="E207" s="4">
        <v>1</v>
      </c>
      <c r="F207" s="4">
        <v>0</v>
      </c>
      <c r="G207" s="4">
        <v>0</v>
      </c>
      <c r="H207" s="4">
        <v>1</v>
      </c>
      <c r="I207" s="4">
        <v>0</v>
      </c>
      <c r="J207" s="4">
        <v>1</v>
      </c>
      <c r="K207" s="4">
        <v>98</v>
      </c>
      <c r="L207" s="4">
        <v>77</v>
      </c>
      <c r="M207" s="4">
        <v>0</v>
      </c>
      <c r="N207" s="4">
        <v>70322994</v>
      </c>
      <c r="O207" s="4">
        <v>2</v>
      </c>
    </row>
    <row r="211" spans="1:5">
      <c r="A211">
        <v>65</v>
      </c>
      <c r="C211">
        <v>1</v>
      </c>
      <c r="D211">
        <v>0</v>
      </c>
      <c r="E211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EC57"/>
  <sheetViews>
    <sheetView workbookViewId="0"/>
  </sheetViews>
  <sheetFormatPr defaultColWidth="9.109375" defaultRowHeight="12.7"/>
  <cols>
    <col min="1" max="256" width="9.109375" customWidth="1"/>
  </cols>
  <sheetData>
    <row r="1" spans="1:133">
      <c r="A1">
        <v>0</v>
      </c>
      <c r="B1" t="s">
        <v>0</v>
      </c>
      <c r="D1" t="s">
        <v>113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21997</v>
      </c>
      <c r="M1">
        <v>10</v>
      </c>
      <c r="N1">
        <v>11</v>
      </c>
      <c r="O1">
        <v>12</v>
      </c>
      <c r="P1">
        <v>0</v>
      </c>
      <c r="Q1">
        <v>0</v>
      </c>
    </row>
    <row r="12" spans="1:133">
      <c r="A12" s="1">
        <v>1</v>
      </c>
      <c r="B12" s="1">
        <v>54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4</v>
      </c>
      <c r="I12" s="1">
        <v>0</v>
      </c>
      <c r="J12" s="1" t="s">
        <v>4</v>
      </c>
      <c r="K12" s="1">
        <v>0</v>
      </c>
      <c r="L12" s="1">
        <v>0</v>
      </c>
      <c r="M12" s="1">
        <v>4098</v>
      </c>
      <c r="N12" s="1"/>
      <c r="O12" s="1">
        <v>0</v>
      </c>
      <c r="P12" s="1">
        <v>0</v>
      </c>
      <c r="Q12" s="1">
        <v>0</v>
      </c>
      <c r="R12" s="1">
        <v>175</v>
      </c>
      <c r="S12" s="1">
        <v>160</v>
      </c>
      <c r="T12" s="1">
        <v>1</v>
      </c>
      <c r="U12" s="1" t="s">
        <v>4</v>
      </c>
      <c r="V12" s="1">
        <v>0</v>
      </c>
      <c r="W12" s="1" t="s">
        <v>4</v>
      </c>
      <c r="X12" s="1" t="s">
        <v>4</v>
      </c>
      <c r="Y12" s="1" t="s">
        <v>4</v>
      </c>
      <c r="Z12" s="1" t="s">
        <v>4</v>
      </c>
      <c r="AA12" s="1" t="s">
        <v>4</v>
      </c>
      <c r="AB12" s="1" t="s">
        <v>4</v>
      </c>
      <c r="AC12" s="1" t="s">
        <v>4</v>
      </c>
      <c r="AD12" s="1" t="s">
        <v>4</v>
      </c>
      <c r="AE12" s="1" t="s">
        <v>4</v>
      </c>
      <c r="AF12" s="1" t="s">
        <v>4</v>
      </c>
      <c r="AG12" s="1" t="s">
        <v>4</v>
      </c>
      <c r="AH12" s="1" t="s">
        <v>4</v>
      </c>
      <c r="AI12" s="1" t="s">
        <v>4</v>
      </c>
      <c r="AJ12" s="1" t="s">
        <v>4</v>
      </c>
      <c r="AK12" s="1"/>
      <c r="AL12" s="1" t="s">
        <v>4</v>
      </c>
      <c r="AM12" s="1" t="s">
        <v>4</v>
      </c>
      <c r="AN12" s="1" t="s">
        <v>4</v>
      </c>
      <c r="AO12" s="1"/>
      <c r="AP12" s="1" t="s">
        <v>4</v>
      </c>
      <c r="AQ12" s="1" t="s">
        <v>4</v>
      </c>
      <c r="AR12" s="1" t="s">
        <v>4</v>
      </c>
      <c r="AS12" s="1"/>
      <c r="AT12" s="1"/>
      <c r="AU12" s="1"/>
      <c r="AV12" s="1"/>
      <c r="AW12" s="1"/>
      <c r="AX12" s="1" t="s">
        <v>4</v>
      </c>
      <c r="AY12" s="1" t="s">
        <v>4</v>
      </c>
      <c r="AZ12" s="1" t="s">
        <v>4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8200</v>
      </c>
      <c r="CI12" s="1" t="s">
        <v>4</v>
      </c>
      <c r="CJ12" s="1" t="s">
        <v>4</v>
      </c>
      <c r="CK12" s="1">
        <v>75</v>
      </c>
      <c r="CL12" s="1"/>
      <c r="CM12" s="1"/>
      <c r="CN12" s="1"/>
      <c r="CO12" s="1"/>
      <c r="CP12" s="1"/>
      <c r="CQ12" s="1" t="s">
        <v>12</v>
      </c>
      <c r="CR12" s="1" t="s">
        <v>13</v>
      </c>
      <c r="CS12" s="1">
        <v>41660</v>
      </c>
      <c r="CT12" s="1">
        <v>1</v>
      </c>
      <c r="CU12" s="1">
        <v>75</v>
      </c>
      <c r="CV12" s="1"/>
      <c r="CW12" s="1"/>
      <c r="CX12" s="1"/>
      <c r="CY12" s="1">
        <v>0</v>
      </c>
      <c r="CZ12" s="1" t="s">
        <v>4</v>
      </c>
      <c r="DA12" s="1" t="s">
        <v>4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>
      <c r="A14" s="1">
        <v>22</v>
      </c>
      <c r="B14" s="1">
        <v>1</v>
      </c>
      <c r="C14" s="1">
        <v>0</v>
      </c>
      <c r="D14" s="1">
        <v>70322991</v>
      </c>
      <c r="E14" s="1">
        <v>70322994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>
      <c r="A16" s="7">
        <v>3</v>
      </c>
      <c r="B16" s="7">
        <v>0</v>
      </c>
      <c r="C16" s="7" t="s">
        <v>14</v>
      </c>
      <c r="D16" s="7" t="s">
        <v>15</v>
      </c>
      <c r="E16" s="8">
        <f>ROUND((Source!P152)/1000,2)</f>
        <v>0</v>
      </c>
      <c r="F16" s="8">
        <f>ROUND((Source!P153)/1000,2)</f>
        <v>206.06</v>
      </c>
      <c r="G16" s="8">
        <f>ROUND((Source!P144)/1000,2)</f>
        <v>3197.57</v>
      </c>
      <c r="H16" s="8">
        <f>ROUND((Source!P154)/1000+(Source!P155)/1000,2)</f>
        <v>0</v>
      </c>
      <c r="I16" s="8">
        <f>E16+F16+G16+H16</f>
        <v>3403.63</v>
      </c>
      <c r="J16" s="8">
        <f>ROUND((Source!P150+Source!P149)/1000,2)</f>
        <v>76.459999999999994</v>
      </c>
      <c r="T16" s="9">
        <f>ROUND((Source!F152)/1000,2)</f>
        <v>0</v>
      </c>
      <c r="U16" s="9">
        <f>ROUND((Source!F153)/1000,2)</f>
        <v>6.31</v>
      </c>
      <c r="V16" s="9">
        <f>ROUND((Source!F144)/1000,2)</f>
        <v>439.83</v>
      </c>
      <c r="W16" s="9">
        <f>ROUND((Source!F154)/1000+(Source!F155)/1000,2)</f>
        <v>0</v>
      </c>
      <c r="X16" s="9">
        <f>T16+U16+V16+W16</f>
        <v>446.14</v>
      </c>
      <c r="Y16" s="9">
        <f>ROUND((Source!F150+Source!F149)/1000,2)</f>
        <v>1.64</v>
      </c>
      <c r="AI16" s="7">
        <v>0</v>
      </c>
      <c r="AJ16" s="7">
        <v>-1</v>
      </c>
      <c r="AK16" s="7" t="s">
        <v>17</v>
      </c>
      <c r="AL16" s="7" t="s">
        <v>4</v>
      </c>
      <c r="AM16" s="7" t="s">
        <v>4</v>
      </c>
      <c r="AN16" s="7">
        <v>0</v>
      </c>
      <c r="AO16" s="7" t="s">
        <v>4</v>
      </c>
      <c r="AP16" s="7" t="s">
        <v>4</v>
      </c>
      <c r="AT16" s="8">
        <v>3293727.99</v>
      </c>
      <c r="AU16" s="8">
        <v>3202303.93</v>
      </c>
      <c r="AV16" s="8">
        <v>0</v>
      </c>
      <c r="AW16" s="8">
        <v>3197569.63</v>
      </c>
      <c r="AX16" s="8">
        <v>0</v>
      </c>
      <c r="AY16" s="8">
        <v>41696.239999999998</v>
      </c>
      <c r="AZ16" s="8">
        <v>26733.040000000001</v>
      </c>
      <c r="BA16" s="8">
        <v>49727.82</v>
      </c>
      <c r="BB16" s="8">
        <v>0</v>
      </c>
      <c r="BC16" s="8">
        <v>206063.78</v>
      </c>
      <c r="BD16" s="8">
        <v>0</v>
      </c>
      <c r="BE16" s="8">
        <v>0</v>
      </c>
      <c r="BF16" s="8">
        <v>84.430080000000004</v>
      </c>
      <c r="BG16" s="8">
        <v>0</v>
      </c>
      <c r="BH16" s="8">
        <v>0</v>
      </c>
      <c r="BI16" s="8">
        <v>45749.59</v>
      </c>
      <c r="BJ16" s="8">
        <v>21382.959999999999</v>
      </c>
      <c r="BK16" s="8">
        <v>3403633.41</v>
      </c>
      <c r="BR16" s="9">
        <v>443203.52</v>
      </c>
      <c r="BS16" s="9">
        <v>440005.2</v>
      </c>
      <c r="BT16" s="9">
        <v>0</v>
      </c>
      <c r="BU16" s="9">
        <v>439830.76</v>
      </c>
      <c r="BV16" s="9">
        <v>0</v>
      </c>
      <c r="BW16" s="9">
        <v>2132.8000000000002</v>
      </c>
      <c r="BX16" s="9">
        <v>572.80999999999995</v>
      </c>
      <c r="BY16" s="9">
        <v>1065.52</v>
      </c>
      <c r="BZ16" s="9">
        <v>0</v>
      </c>
      <c r="CA16" s="9">
        <v>6314.42</v>
      </c>
      <c r="CB16" s="9">
        <v>0</v>
      </c>
      <c r="CC16" s="9">
        <v>0</v>
      </c>
      <c r="CD16" s="9">
        <v>84.430080000000004</v>
      </c>
      <c r="CE16" s="9">
        <v>0</v>
      </c>
      <c r="CF16" s="9">
        <v>0</v>
      </c>
      <c r="CG16" s="9">
        <v>1193.3800000000001</v>
      </c>
      <c r="CH16" s="9">
        <v>745.86</v>
      </c>
      <c r="CI16" s="9">
        <v>446145.18</v>
      </c>
    </row>
    <row r="18" spans="1:40">
      <c r="A18">
        <v>51</v>
      </c>
      <c r="E18" s="10">
        <f>SUMIF(A16:A17,3,E16:E17)</f>
        <v>0</v>
      </c>
      <c r="F18" s="10">
        <f>SUMIF(A16:A17,3,F16:F17)</f>
        <v>206.06</v>
      </c>
      <c r="G18" s="10">
        <f>SUMIF(A16:A17,3,G16:G17)</f>
        <v>3197.57</v>
      </c>
      <c r="H18" s="10">
        <f>SUMIF(A16:A17,3,H16:H17)</f>
        <v>0</v>
      </c>
      <c r="I18" s="10">
        <f>SUMIF(A16:A17,3,I16:I17)</f>
        <v>3403.63</v>
      </c>
      <c r="J18" s="10">
        <f>SUMIF(A16:A17,3,J16:J17)</f>
        <v>76.459999999999994</v>
      </c>
      <c r="K18" s="10"/>
      <c r="L18" s="10"/>
      <c r="M18" s="10"/>
      <c r="N18" s="10"/>
      <c r="O18" s="10"/>
      <c r="P18" s="10"/>
      <c r="Q18" s="10"/>
      <c r="R18" s="10"/>
      <c r="S18" s="10"/>
      <c r="T18" s="3">
        <f>SUMIF(A16:A17,3,T16:T17)</f>
        <v>0</v>
      </c>
      <c r="U18" s="3">
        <f>SUMIF(A16:A17,3,U16:U17)</f>
        <v>6.31</v>
      </c>
      <c r="V18" s="3">
        <f>SUMIF(A16:A17,3,V16:V17)</f>
        <v>439.83</v>
      </c>
      <c r="W18" s="3">
        <f>SUMIF(A16:A17,3,W16:W17)</f>
        <v>0</v>
      </c>
      <c r="X18" s="3">
        <f>SUMIF(A16:A17,3,X16:X17)</f>
        <v>446.14</v>
      </c>
      <c r="Y18" s="3">
        <f>SUMIF(A16:A17,3,Y16:Y17)</f>
        <v>1.64</v>
      </c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</row>
    <row r="20" spans="1:40">
      <c r="A20" s="5">
        <v>50</v>
      </c>
      <c r="B20" s="5">
        <v>0</v>
      </c>
      <c r="C20" s="5">
        <v>0</v>
      </c>
      <c r="D20" s="5">
        <v>1</v>
      </c>
      <c r="E20" s="5">
        <v>201</v>
      </c>
      <c r="F20" s="5">
        <v>3293727.99</v>
      </c>
      <c r="G20" s="5" t="s">
        <v>32</v>
      </c>
      <c r="H20" s="5" t="s">
        <v>33</v>
      </c>
      <c r="I20" s="5"/>
      <c r="J20" s="5"/>
      <c r="K20" s="5">
        <v>201</v>
      </c>
      <c r="L20" s="5">
        <v>1</v>
      </c>
      <c r="M20" s="5">
        <v>3</v>
      </c>
      <c r="N20" s="5" t="s">
        <v>4</v>
      </c>
      <c r="O20" s="5">
        <v>2</v>
      </c>
      <c r="P20" s="5">
        <v>443203.52</v>
      </c>
    </row>
    <row r="21" spans="1:40">
      <c r="A21" s="5">
        <v>50</v>
      </c>
      <c r="B21" s="5">
        <v>0</v>
      </c>
      <c r="C21" s="5">
        <v>0</v>
      </c>
      <c r="D21" s="5">
        <v>1</v>
      </c>
      <c r="E21" s="5">
        <v>202</v>
      </c>
      <c r="F21" s="5">
        <v>3202303.93</v>
      </c>
      <c r="G21" s="5" t="s">
        <v>34</v>
      </c>
      <c r="H21" s="5" t="s">
        <v>35</v>
      </c>
      <c r="I21" s="5"/>
      <c r="J21" s="5"/>
      <c r="K21" s="5">
        <v>202</v>
      </c>
      <c r="L21" s="5">
        <v>2</v>
      </c>
      <c r="M21" s="5">
        <v>3</v>
      </c>
      <c r="N21" s="5" t="s">
        <v>4</v>
      </c>
      <c r="O21" s="5">
        <v>2</v>
      </c>
      <c r="P21" s="5">
        <v>440005.2</v>
      </c>
    </row>
    <row r="22" spans="1:40">
      <c r="A22" s="5">
        <v>50</v>
      </c>
      <c r="B22" s="5">
        <v>0</v>
      </c>
      <c r="C22" s="5">
        <v>0</v>
      </c>
      <c r="D22" s="5">
        <v>1</v>
      </c>
      <c r="E22" s="5">
        <v>222</v>
      </c>
      <c r="F22" s="5">
        <v>0</v>
      </c>
      <c r="G22" s="5" t="s">
        <v>36</v>
      </c>
      <c r="H22" s="5" t="s">
        <v>37</v>
      </c>
      <c r="I22" s="5"/>
      <c r="J22" s="5"/>
      <c r="K22" s="5">
        <v>222</v>
      </c>
      <c r="L22" s="5">
        <v>3</v>
      </c>
      <c r="M22" s="5">
        <v>3</v>
      </c>
      <c r="N22" s="5" t="s">
        <v>4</v>
      </c>
      <c r="O22" s="5">
        <v>2</v>
      </c>
      <c r="P22" s="5">
        <v>0</v>
      </c>
    </row>
    <row r="23" spans="1:40">
      <c r="A23" s="5">
        <v>50</v>
      </c>
      <c r="B23" s="5">
        <v>0</v>
      </c>
      <c r="C23" s="5">
        <v>0</v>
      </c>
      <c r="D23" s="5">
        <v>1</v>
      </c>
      <c r="E23" s="5">
        <v>225</v>
      </c>
      <c r="F23" s="5">
        <v>3202303.93</v>
      </c>
      <c r="G23" s="5" t="s">
        <v>38</v>
      </c>
      <c r="H23" s="5" t="s">
        <v>39</v>
      </c>
      <c r="I23" s="5"/>
      <c r="J23" s="5"/>
      <c r="K23" s="5">
        <v>225</v>
      </c>
      <c r="L23" s="5">
        <v>4</v>
      </c>
      <c r="M23" s="5">
        <v>3</v>
      </c>
      <c r="N23" s="5" t="s">
        <v>4</v>
      </c>
      <c r="O23" s="5">
        <v>2</v>
      </c>
      <c r="P23" s="5">
        <v>440005.2</v>
      </c>
    </row>
    <row r="24" spans="1:40">
      <c r="A24" s="5">
        <v>50</v>
      </c>
      <c r="B24" s="5">
        <v>0</v>
      </c>
      <c r="C24" s="5">
        <v>0</v>
      </c>
      <c r="D24" s="5">
        <v>1</v>
      </c>
      <c r="E24" s="5">
        <v>226</v>
      </c>
      <c r="F24" s="5">
        <v>4734.3</v>
      </c>
      <c r="G24" s="5" t="s">
        <v>40</v>
      </c>
      <c r="H24" s="5" t="s">
        <v>41</v>
      </c>
      <c r="I24" s="5"/>
      <c r="J24" s="5"/>
      <c r="K24" s="5">
        <v>226</v>
      </c>
      <c r="L24" s="5">
        <v>5</v>
      </c>
      <c r="M24" s="5">
        <v>3</v>
      </c>
      <c r="N24" s="5" t="s">
        <v>4</v>
      </c>
      <c r="O24" s="5">
        <v>2</v>
      </c>
      <c r="P24" s="5">
        <v>174.44</v>
      </c>
    </row>
    <row r="25" spans="1:40">
      <c r="A25" s="5">
        <v>50</v>
      </c>
      <c r="B25" s="5">
        <v>0</v>
      </c>
      <c r="C25" s="5">
        <v>0</v>
      </c>
      <c r="D25" s="5">
        <v>1</v>
      </c>
      <c r="E25" s="5">
        <v>227</v>
      </c>
      <c r="F25" s="5">
        <v>0</v>
      </c>
      <c r="G25" s="5" t="s">
        <v>42</v>
      </c>
      <c r="H25" s="5" t="s">
        <v>43</v>
      </c>
      <c r="I25" s="5"/>
      <c r="J25" s="5"/>
      <c r="K25" s="5">
        <v>227</v>
      </c>
      <c r="L25" s="5">
        <v>6</v>
      </c>
      <c r="M25" s="5">
        <v>3</v>
      </c>
      <c r="N25" s="5" t="s">
        <v>4</v>
      </c>
      <c r="O25" s="5">
        <v>2</v>
      </c>
      <c r="P25" s="5">
        <v>0</v>
      </c>
    </row>
    <row r="26" spans="1:40">
      <c r="A26" s="5">
        <v>50</v>
      </c>
      <c r="B26" s="5">
        <v>0</v>
      </c>
      <c r="C26" s="5">
        <v>0</v>
      </c>
      <c r="D26" s="5">
        <v>1</v>
      </c>
      <c r="E26" s="5">
        <v>228</v>
      </c>
      <c r="F26" s="5">
        <v>4734.3</v>
      </c>
      <c r="G26" s="5" t="s">
        <v>44</v>
      </c>
      <c r="H26" s="5" t="s">
        <v>45</v>
      </c>
      <c r="I26" s="5"/>
      <c r="J26" s="5"/>
      <c r="K26" s="5">
        <v>228</v>
      </c>
      <c r="L26" s="5">
        <v>7</v>
      </c>
      <c r="M26" s="5">
        <v>3</v>
      </c>
      <c r="N26" s="5" t="s">
        <v>4</v>
      </c>
      <c r="O26" s="5">
        <v>2</v>
      </c>
      <c r="P26" s="5">
        <v>174.44</v>
      </c>
    </row>
    <row r="27" spans="1:40">
      <c r="A27" s="5">
        <v>50</v>
      </c>
      <c r="B27" s="5">
        <v>0</v>
      </c>
      <c r="C27" s="5">
        <v>0</v>
      </c>
      <c r="D27" s="5">
        <v>1</v>
      </c>
      <c r="E27" s="5">
        <v>216</v>
      </c>
      <c r="F27" s="5">
        <v>3197569.63</v>
      </c>
      <c r="G27" s="5" t="s">
        <v>46</v>
      </c>
      <c r="H27" s="5" t="s">
        <v>47</v>
      </c>
      <c r="I27" s="5"/>
      <c r="J27" s="5"/>
      <c r="K27" s="5">
        <v>216</v>
      </c>
      <c r="L27" s="5">
        <v>8</v>
      </c>
      <c r="M27" s="5">
        <v>3</v>
      </c>
      <c r="N27" s="5" t="s">
        <v>4</v>
      </c>
      <c r="O27" s="5">
        <v>2</v>
      </c>
      <c r="P27" s="5">
        <v>439830.76</v>
      </c>
    </row>
    <row r="28" spans="1:40">
      <c r="A28" s="5">
        <v>50</v>
      </c>
      <c r="B28" s="5">
        <v>0</v>
      </c>
      <c r="C28" s="5">
        <v>0</v>
      </c>
      <c r="D28" s="5">
        <v>1</v>
      </c>
      <c r="E28" s="5">
        <v>223</v>
      </c>
      <c r="F28" s="5">
        <v>0</v>
      </c>
      <c r="G28" s="5" t="s">
        <v>48</v>
      </c>
      <c r="H28" s="5" t="s">
        <v>49</v>
      </c>
      <c r="I28" s="5"/>
      <c r="J28" s="5"/>
      <c r="K28" s="5">
        <v>223</v>
      </c>
      <c r="L28" s="5">
        <v>9</v>
      </c>
      <c r="M28" s="5">
        <v>3</v>
      </c>
      <c r="N28" s="5" t="s">
        <v>4</v>
      </c>
      <c r="O28" s="5">
        <v>2</v>
      </c>
      <c r="P28" s="5">
        <v>0</v>
      </c>
    </row>
    <row r="29" spans="1:40">
      <c r="A29" s="5">
        <v>50</v>
      </c>
      <c r="B29" s="5">
        <v>0</v>
      </c>
      <c r="C29" s="5">
        <v>0</v>
      </c>
      <c r="D29" s="5">
        <v>1</v>
      </c>
      <c r="E29" s="5">
        <v>229</v>
      </c>
      <c r="F29" s="5">
        <v>3197569.63</v>
      </c>
      <c r="G29" s="5" t="s">
        <v>50</v>
      </c>
      <c r="H29" s="5" t="s">
        <v>51</v>
      </c>
      <c r="I29" s="5"/>
      <c r="J29" s="5"/>
      <c r="K29" s="5">
        <v>229</v>
      </c>
      <c r="L29" s="5">
        <v>10</v>
      </c>
      <c r="M29" s="5">
        <v>3</v>
      </c>
      <c r="N29" s="5" t="s">
        <v>4</v>
      </c>
      <c r="O29" s="5">
        <v>2</v>
      </c>
      <c r="P29" s="5">
        <v>439830.76</v>
      </c>
    </row>
    <row r="30" spans="1:40">
      <c r="A30" s="5">
        <v>50</v>
      </c>
      <c r="B30" s="5">
        <v>0</v>
      </c>
      <c r="C30" s="5">
        <v>0</v>
      </c>
      <c r="D30" s="5">
        <v>1</v>
      </c>
      <c r="E30" s="5">
        <v>203</v>
      </c>
      <c r="F30" s="5">
        <v>41696.239999999998</v>
      </c>
      <c r="G30" s="5" t="s">
        <v>52</v>
      </c>
      <c r="H30" s="5" t="s">
        <v>53</v>
      </c>
      <c r="I30" s="5"/>
      <c r="J30" s="5"/>
      <c r="K30" s="5">
        <v>203</v>
      </c>
      <c r="L30" s="5">
        <v>11</v>
      </c>
      <c r="M30" s="5">
        <v>3</v>
      </c>
      <c r="N30" s="5" t="s">
        <v>4</v>
      </c>
      <c r="O30" s="5">
        <v>2</v>
      </c>
      <c r="P30" s="5">
        <v>2132.8000000000002</v>
      </c>
    </row>
    <row r="31" spans="1:40">
      <c r="A31" s="5">
        <v>50</v>
      </c>
      <c r="B31" s="5">
        <v>0</v>
      </c>
      <c r="C31" s="5">
        <v>0</v>
      </c>
      <c r="D31" s="5">
        <v>1</v>
      </c>
      <c r="E31" s="5">
        <v>231</v>
      </c>
      <c r="F31" s="5">
        <v>0</v>
      </c>
      <c r="G31" s="5" t="s">
        <v>54</v>
      </c>
      <c r="H31" s="5" t="s">
        <v>55</v>
      </c>
      <c r="I31" s="5"/>
      <c r="J31" s="5"/>
      <c r="K31" s="5">
        <v>231</v>
      </c>
      <c r="L31" s="5">
        <v>12</v>
      </c>
      <c r="M31" s="5">
        <v>3</v>
      </c>
      <c r="N31" s="5" t="s">
        <v>4</v>
      </c>
      <c r="O31" s="5">
        <v>2</v>
      </c>
      <c r="P31" s="5">
        <v>0</v>
      </c>
    </row>
    <row r="32" spans="1:40">
      <c r="A32" s="5">
        <v>50</v>
      </c>
      <c r="B32" s="5">
        <v>0</v>
      </c>
      <c r="C32" s="5">
        <v>0</v>
      </c>
      <c r="D32" s="5">
        <v>1</v>
      </c>
      <c r="E32" s="5">
        <v>204</v>
      </c>
      <c r="F32" s="5">
        <v>26733.040000000001</v>
      </c>
      <c r="G32" s="5" t="s">
        <v>56</v>
      </c>
      <c r="H32" s="5" t="s">
        <v>57</v>
      </c>
      <c r="I32" s="5"/>
      <c r="J32" s="5"/>
      <c r="K32" s="5">
        <v>204</v>
      </c>
      <c r="L32" s="5">
        <v>13</v>
      </c>
      <c r="M32" s="5">
        <v>3</v>
      </c>
      <c r="N32" s="5" t="s">
        <v>4</v>
      </c>
      <c r="O32" s="5">
        <v>2</v>
      </c>
      <c r="P32" s="5">
        <v>572.80999999999995</v>
      </c>
    </row>
    <row r="33" spans="1:16">
      <c r="A33" s="5">
        <v>50</v>
      </c>
      <c r="B33" s="5">
        <v>0</v>
      </c>
      <c r="C33" s="5">
        <v>0</v>
      </c>
      <c r="D33" s="5">
        <v>1</v>
      </c>
      <c r="E33" s="5">
        <v>205</v>
      </c>
      <c r="F33" s="5">
        <v>49727.82</v>
      </c>
      <c r="G33" s="5" t="s">
        <v>58</v>
      </c>
      <c r="H33" s="5" t="s">
        <v>59</v>
      </c>
      <c r="I33" s="5"/>
      <c r="J33" s="5"/>
      <c r="K33" s="5">
        <v>205</v>
      </c>
      <c r="L33" s="5">
        <v>14</v>
      </c>
      <c r="M33" s="5">
        <v>3</v>
      </c>
      <c r="N33" s="5" t="s">
        <v>4</v>
      </c>
      <c r="O33" s="5">
        <v>2</v>
      </c>
      <c r="P33" s="5">
        <v>1065.52</v>
      </c>
    </row>
    <row r="34" spans="1:16">
      <c r="A34" s="5">
        <v>50</v>
      </c>
      <c r="B34" s="5">
        <v>0</v>
      </c>
      <c r="C34" s="5">
        <v>0</v>
      </c>
      <c r="D34" s="5">
        <v>1</v>
      </c>
      <c r="E34" s="5">
        <v>232</v>
      </c>
      <c r="F34" s="5">
        <v>0</v>
      </c>
      <c r="G34" s="5" t="s">
        <v>60</v>
      </c>
      <c r="H34" s="5" t="s">
        <v>61</v>
      </c>
      <c r="I34" s="5"/>
      <c r="J34" s="5"/>
      <c r="K34" s="5">
        <v>232</v>
      </c>
      <c r="L34" s="5">
        <v>15</v>
      </c>
      <c r="M34" s="5">
        <v>3</v>
      </c>
      <c r="N34" s="5" t="s">
        <v>4</v>
      </c>
      <c r="O34" s="5">
        <v>2</v>
      </c>
      <c r="P34" s="5">
        <v>0</v>
      </c>
    </row>
    <row r="35" spans="1:16">
      <c r="A35" s="5">
        <v>50</v>
      </c>
      <c r="B35" s="5">
        <v>0</v>
      </c>
      <c r="C35" s="5">
        <v>0</v>
      </c>
      <c r="D35" s="5">
        <v>1</v>
      </c>
      <c r="E35" s="5">
        <v>214</v>
      </c>
      <c r="F35" s="5">
        <v>0</v>
      </c>
      <c r="G35" s="5" t="s">
        <v>62</v>
      </c>
      <c r="H35" s="5" t="s">
        <v>63</v>
      </c>
      <c r="I35" s="5"/>
      <c r="J35" s="5"/>
      <c r="K35" s="5">
        <v>214</v>
      </c>
      <c r="L35" s="5">
        <v>16</v>
      </c>
      <c r="M35" s="5">
        <v>3</v>
      </c>
      <c r="N35" s="5" t="s">
        <v>4</v>
      </c>
      <c r="O35" s="5">
        <v>2</v>
      </c>
      <c r="P35" s="5">
        <v>0</v>
      </c>
    </row>
    <row r="36" spans="1:16">
      <c r="A36" s="5">
        <v>50</v>
      </c>
      <c r="B36" s="5">
        <v>0</v>
      </c>
      <c r="C36" s="5">
        <v>0</v>
      </c>
      <c r="D36" s="5">
        <v>1</v>
      </c>
      <c r="E36" s="5">
        <v>215</v>
      </c>
      <c r="F36" s="5">
        <v>206063.78</v>
      </c>
      <c r="G36" s="5" t="s">
        <v>64</v>
      </c>
      <c r="H36" s="5" t="s">
        <v>65</v>
      </c>
      <c r="I36" s="5"/>
      <c r="J36" s="5"/>
      <c r="K36" s="5">
        <v>215</v>
      </c>
      <c r="L36" s="5">
        <v>17</v>
      </c>
      <c r="M36" s="5">
        <v>3</v>
      </c>
      <c r="N36" s="5" t="s">
        <v>4</v>
      </c>
      <c r="O36" s="5">
        <v>2</v>
      </c>
      <c r="P36" s="5">
        <v>6314.42</v>
      </c>
    </row>
    <row r="37" spans="1:16">
      <c r="A37" s="5">
        <v>50</v>
      </c>
      <c r="B37" s="5">
        <v>0</v>
      </c>
      <c r="C37" s="5">
        <v>0</v>
      </c>
      <c r="D37" s="5">
        <v>1</v>
      </c>
      <c r="E37" s="5">
        <v>217</v>
      </c>
      <c r="F37" s="5">
        <v>0</v>
      </c>
      <c r="G37" s="5" t="s">
        <v>66</v>
      </c>
      <c r="H37" s="5" t="s">
        <v>67</v>
      </c>
      <c r="I37" s="5"/>
      <c r="J37" s="5"/>
      <c r="K37" s="5">
        <v>217</v>
      </c>
      <c r="L37" s="5">
        <v>18</v>
      </c>
      <c r="M37" s="5">
        <v>3</v>
      </c>
      <c r="N37" s="5" t="s">
        <v>4</v>
      </c>
      <c r="O37" s="5">
        <v>2</v>
      </c>
      <c r="P37" s="5">
        <v>0</v>
      </c>
    </row>
    <row r="38" spans="1:16">
      <c r="A38" s="5">
        <v>50</v>
      </c>
      <c r="B38" s="5">
        <v>0</v>
      </c>
      <c r="C38" s="5">
        <v>0</v>
      </c>
      <c r="D38" s="5">
        <v>1</v>
      </c>
      <c r="E38" s="5">
        <v>230</v>
      </c>
      <c r="F38" s="5">
        <v>0</v>
      </c>
      <c r="G38" s="5" t="s">
        <v>68</v>
      </c>
      <c r="H38" s="5" t="s">
        <v>69</v>
      </c>
      <c r="I38" s="5"/>
      <c r="J38" s="5"/>
      <c r="K38" s="5">
        <v>230</v>
      </c>
      <c r="L38" s="5">
        <v>19</v>
      </c>
      <c r="M38" s="5">
        <v>3</v>
      </c>
      <c r="N38" s="5" t="s">
        <v>4</v>
      </c>
      <c r="O38" s="5">
        <v>2</v>
      </c>
      <c r="P38" s="5">
        <v>0</v>
      </c>
    </row>
    <row r="39" spans="1:16">
      <c r="A39" s="5">
        <v>50</v>
      </c>
      <c r="B39" s="5">
        <v>0</v>
      </c>
      <c r="C39" s="5">
        <v>0</v>
      </c>
      <c r="D39" s="5">
        <v>1</v>
      </c>
      <c r="E39" s="5">
        <v>206</v>
      </c>
      <c r="F39" s="5">
        <v>0</v>
      </c>
      <c r="G39" s="5" t="s">
        <v>70</v>
      </c>
      <c r="H39" s="5" t="s">
        <v>71</v>
      </c>
      <c r="I39" s="5"/>
      <c r="J39" s="5"/>
      <c r="K39" s="5">
        <v>206</v>
      </c>
      <c r="L39" s="5">
        <v>20</v>
      </c>
      <c r="M39" s="5">
        <v>3</v>
      </c>
      <c r="N39" s="5" t="s">
        <v>4</v>
      </c>
      <c r="O39" s="5">
        <v>2</v>
      </c>
      <c r="P39" s="5">
        <v>0</v>
      </c>
    </row>
    <row r="40" spans="1:16">
      <c r="A40" s="5">
        <v>50</v>
      </c>
      <c r="B40" s="5">
        <v>0</v>
      </c>
      <c r="C40" s="5">
        <v>0</v>
      </c>
      <c r="D40" s="5">
        <v>1</v>
      </c>
      <c r="E40" s="5">
        <v>207</v>
      </c>
      <c r="F40" s="5">
        <v>84.430080000000004</v>
      </c>
      <c r="G40" s="5" t="s">
        <v>72</v>
      </c>
      <c r="H40" s="5" t="s">
        <v>73</v>
      </c>
      <c r="I40" s="5"/>
      <c r="J40" s="5"/>
      <c r="K40" s="5">
        <v>207</v>
      </c>
      <c r="L40" s="5">
        <v>21</v>
      </c>
      <c r="M40" s="5">
        <v>3</v>
      </c>
      <c r="N40" s="5" t="s">
        <v>4</v>
      </c>
      <c r="O40" s="5">
        <v>-1</v>
      </c>
      <c r="P40" s="5">
        <v>84.430080000000004</v>
      </c>
    </row>
    <row r="41" spans="1:16">
      <c r="A41" s="5">
        <v>50</v>
      </c>
      <c r="B41" s="5">
        <v>0</v>
      </c>
      <c r="C41" s="5">
        <v>0</v>
      </c>
      <c r="D41" s="5">
        <v>1</v>
      </c>
      <c r="E41" s="5">
        <v>208</v>
      </c>
      <c r="F41" s="5">
        <v>0</v>
      </c>
      <c r="G41" s="5" t="s">
        <v>74</v>
      </c>
      <c r="H41" s="5" t="s">
        <v>75</v>
      </c>
      <c r="I41" s="5"/>
      <c r="J41" s="5"/>
      <c r="K41" s="5">
        <v>208</v>
      </c>
      <c r="L41" s="5">
        <v>22</v>
      </c>
      <c r="M41" s="5">
        <v>3</v>
      </c>
      <c r="N41" s="5" t="s">
        <v>4</v>
      </c>
      <c r="O41" s="5">
        <v>-1</v>
      </c>
      <c r="P41" s="5">
        <v>0</v>
      </c>
    </row>
    <row r="42" spans="1:16">
      <c r="A42" s="5">
        <v>50</v>
      </c>
      <c r="B42" s="5">
        <v>0</v>
      </c>
      <c r="C42" s="5">
        <v>0</v>
      </c>
      <c r="D42" s="5">
        <v>1</v>
      </c>
      <c r="E42" s="5">
        <v>209</v>
      </c>
      <c r="F42" s="5">
        <v>0</v>
      </c>
      <c r="G42" s="5" t="s">
        <v>76</v>
      </c>
      <c r="H42" s="5" t="s">
        <v>77</v>
      </c>
      <c r="I42" s="5"/>
      <c r="J42" s="5"/>
      <c r="K42" s="5">
        <v>209</v>
      </c>
      <c r="L42" s="5">
        <v>23</v>
      </c>
      <c r="M42" s="5">
        <v>3</v>
      </c>
      <c r="N42" s="5" t="s">
        <v>4</v>
      </c>
      <c r="O42" s="5">
        <v>2</v>
      </c>
      <c r="P42" s="5">
        <v>0</v>
      </c>
    </row>
    <row r="43" spans="1:16">
      <c r="A43" s="5">
        <v>50</v>
      </c>
      <c r="B43" s="5">
        <v>0</v>
      </c>
      <c r="C43" s="5">
        <v>0</v>
      </c>
      <c r="D43" s="5">
        <v>1</v>
      </c>
      <c r="E43" s="5">
        <v>233</v>
      </c>
      <c r="F43" s="5">
        <v>0</v>
      </c>
      <c r="G43" s="5" t="s">
        <v>78</v>
      </c>
      <c r="H43" s="5" t="s">
        <v>79</v>
      </c>
      <c r="I43" s="5"/>
      <c r="J43" s="5"/>
      <c r="K43" s="5">
        <v>233</v>
      </c>
      <c r="L43" s="5">
        <v>24</v>
      </c>
      <c r="M43" s="5">
        <v>3</v>
      </c>
      <c r="N43" s="5" t="s">
        <v>4</v>
      </c>
      <c r="O43" s="5">
        <v>2</v>
      </c>
      <c r="P43" s="5">
        <v>0</v>
      </c>
    </row>
    <row r="44" spans="1:16">
      <c r="A44" s="5">
        <v>50</v>
      </c>
      <c r="B44" s="5">
        <v>0</v>
      </c>
      <c r="C44" s="5">
        <v>0</v>
      </c>
      <c r="D44" s="5">
        <v>1</v>
      </c>
      <c r="E44" s="5">
        <v>210</v>
      </c>
      <c r="F44" s="5">
        <v>45749.59</v>
      </c>
      <c r="G44" s="5" t="s">
        <v>80</v>
      </c>
      <c r="H44" s="5" t="s">
        <v>81</v>
      </c>
      <c r="I44" s="5"/>
      <c r="J44" s="5"/>
      <c r="K44" s="5">
        <v>210</v>
      </c>
      <c r="L44" s="5">
        <v>25</v>
      </c>
      <c r="M44" s="5">
        <v>3</v>
      </c>
      <c r="N44" s="5" t="s">
        <v>4</v>
      </c>
      <c r="O44" s="5">
        <v>2</v>
      </c>
      <c r="P44" s="5">
        <v>1193.3800000000001</v>
      </c>
    </row>
    <row r="45" spans="1:16">
      <c r="A45" s="5">
        <v>50</v>
      </c>
      <c r="B45" s="5">
        <v>0</v>
      </c>
      <c r="C45" s="5">
        <v>0</v>
      </c>
      <c r="D45" s="5">
        <v>1</v>
      </c>
      <c r="E45" s="5">
        <v>211</v>
      </c>
      <c r="F45" s="5">
        <v>21382.959999999999</v>
      </c>
      <c r="G45" s="5" t="s">
        <v>82</v>
      </c>
      <c r="H45" s="5" t="s">
        <v>83</v>
      </c>
      <c r="I45" s="5"/>
      <c r="J45" s="5"/>
      <c r="K45" s="5">
        <v>211</v>
      </c>
      <c r="L45" s="5">
        <v>26</v>
      </c>
      <c r="M45" s="5">
        <v>3</v>
      </c>
      <c r="N45" s="5" t="s">
        <v>4</v>
      </c>
      <c r="O45" s="5">
        <v>2</v>
      </c>
      <c r="P45" s="5">
        <v>745.86</v>
      </c>
    </row>
    <row r="46" spans="1:16">
      <c r="A46" s="5">
        <v>50</v>
      </c>
      <c r="B46" s="5">
        <v>0</v>
      </c>
      <c r="C46" s="5">
        <v>0</v>
      </c>
      <c r="D46" s="5">
        <v>1</v>
      </c>
      <c r="E46" s="5">
        <v>224</v>
      </c>
      <c r="F46" s="5">
        <v>3403633.41</v>
      </c>
      <c r="G46" s="5" t="s">
        <v>84</v>
      </c>
      <c r="H46" s="5" t="s">
        <v>85</v>
      </c>
      <c r="I46" s="5"/>
      <c r="J46" s="5"/>
      <c r="K46" s="5">
        <v>224</v>
      </c>
      <c r="L46" s="5">
        <v>27</v>
      </c>
      <c r="M46" s="5">
        <v>3</v>
      </c>
      <c r="N46" s="5" t="s">
        <v>4</v>
      </c>
      <c r="O46" s="5">
        <v>2</v>
      </c>
      <c r="P46" s="5">
        <v>446145.18</v>
      </c>
    </row>
    <row r="47" spans="1:16">
      <c r="A47" s="5">
        <v>50</v>
      </c>
      <c r="B47" s="5">
        <v>1</v>
      </c>
      <c r="C47" s="5">
        <v>0</v>
      </c>
      <c r="D47" s="5">
        <v>2</v>
      </c>
      <c r="E47" s="5">
        <v>0</v>
      </c>
      <c r="F47" s="5">
        <v>3197569.63</v>
      </c>
      <c r="G47" s="5" t="s">
        <v>97</v>
      </c>
      <c r="H47" s="5" t="s">
        <v>98</v>
      </c>
      <c r="I47" s="5"/>
      <c r="J47" s="5"/>
      <c r="K47" s="5">
        <v>212</v>
      </c>
      <c r="L47" s="5">
        <v>28</v>
      </c>
      <c r="M47" s="5">
        <v>0</v>
      </c>
      <c r="N47" s="5" t="s">
        <v>4</v>
      </c>
      <c r="O47" s="5">
        <v>-1</v>
      </c>
      <c r="P47" s="5">
        <v>439830.76</v>
      </c>
    </row>
    <row r="48" spans="1:16">
      <c r="A48" s="5">
        <v>50</v>
      </c>
      <c r="B48" s="5">
        <v>1</v>
      </c>
      <c r="C48" s="5">
        <v>0</v>
      </c>
      <c r="D48" s="5">
        <v>2</v>
      </c>
      <c r="E48" s="5">
        <v>0</v>
      </c>
      <c r="F48" s="5">
        <v>206063.78</v>
      </c>
      <c r="G48" s="5" t="s">
        <v>99</v>
      </c>
      <c r="H48" s="5" t="s">
        <v>86</v>
      </c>
      <c r="I48" s="5"/>
      <c r="J48" s="5"/>
      <c r="K48" s="5">
        <v>212</v>
      </c>
      <c r="L48" s="5">
        <v>29</v>
      </c>
      <c r="M48" s="5">
        <v>0</v>
      </c>
      <c r="N48" s="5" t="s">
        <v>4</v>
      </c>
      <c r="O48" s="5">
        <v>2</v>
      </c>
      <c r="P48" s="5">
        <v>6314.42</v>
      </c>
    </row>
    <row r="49" spans="1:50">
      <c r="A49" s="5">
        <v>50</v>
      </c>
      <c r="B49" s="5">
        <v>1</v>
      </c>
      <c r="C49" s="5">
        <v>0</v>
      </c>
      <c r="D49" s="5">
        <v>2</v>
      </c>
      <c r="E49" s="5">
        <v>0</v>
      </c>
      <c r="F49" s="5">
        <v>0</v>
      </c>
      <c r="G49" s="5" t="s">
        <v>100</v>
      </c>
      <c r="H49" s="5" t="s">
        <v>101</v>
      </c>
      <c r="I49" s="5"/>
      <c r="J49" s="5"/>
      <c r="K49" s="5">
        <v>212</v>
      </c>
      <c r="L49" s="5">
        <v>30</v>
      </c>
      <c r="M49" s="5">
        <v>0</v>
      </c>
      <c r="N49" s="5" t="s">
        <v>4</v>
      </c>
      <c r="O49" s="5">
        <v>2</v>
      </c>
      <c r="P49" s="5">
        <v>0</v>
      </c>
    </row>
    <row r="51" spans="1:50">
      <c r="A51">
        <v>-1</v>
      </c>
    </row>
    <row r="54" spans="1:50">
      <c r="A54" s="4">
        <v>75</v>
      </c>
      <c r="B54" s="4" t="s">
        <v>106</v>
      </c>
      <c r="C54" s="4">
        <v>2025</v>
      </c>
      <c r="D54" s="4">
        <v>0</v>
      </c>
      <c r="E54" s="4">
        <v>1</v>
      </c>
      <c r="F54" s="4"/>
      <c r="G54" s="4">
        <v>0</v>
      </c>
      <c r="H54" s="4">
        <v>2</v>
      </c>
      <c r="I54" s="4">
        <v>1</v>
      </c>
      <c r="J54" s="4">
        <v>1</v>
      </c>
      <c r="K54" s="4">
        <v>95</v>
      </c>
      <c r="L54" s="4">
        <v>65</v>
      </c>
      <c r="M54" s="4">
        <v>1</v>
      </c>
      <c r="N54" s="4">
        <v>70322991</v>
      </c>
      <c r="O54" s="4">
        <v>1</v>
      </c>
    </row>
    <row r="55" spans="1:50">
      <c r="A55" s="6">
        <v>1</v>
      </c>
      <c r="B55" s="6" t="s">
        <v>107</v>
      </c>
      <c r="C55" s="6" t="s">
        <v>108</v>
      </c>
      <c r="D55" s="6">
        <v>2025</v>
      </c>
      <c r="E55" s="6">
        <v>1</v>
      </c>
      <c r="F55" s="6">
        <v>1</v>
      </c>
      <c r="G55" s="6">
        <v>1</v>
      </c>
      <c r="H55" s="6">
        <v>0</v>
      </c>
      <c r="I55" s="6">
        <v>2</v>
      </c>
      <c r="J55" s="6">
        <v>1</v>
      </c>
      <c r="K55" s="6">
        <v>1</v>
      </c>
      <c r="L55" s="6">
        <v>1</v>
      </c>
      <c r="M55" s="6">
        <v>1</v>
      </c>
      <c r="N55" s="6">
        <v>1</v>
      </c>
      <c r="O55" s="6">
        <v>1</v>
      </c>
      <c r="P55" s="6">
        <v>1</v>
      </c>
      <c r="Q55" s="6">
        <v>1</v>
      </c>
      <c r="R55" s="6" t="s">
        <v>4</v>
      </c>
      <c r="S55" s="6" t="s">
        <v>4</v>
      </c>
      <c r="T55" s="6" t="s">
        <v>4</v>
      </c>
      <c r="U55" s="6" t="s">
        <v>4</v>
      </c>
      <c r="V55" s="6" t="s">
        <v>4</v>
      </c>
      <c r="W55" s="6" t="s">
        <v>4</v>
      </c>
      <c r="X55" s="6" t="s">
        <v>4</v>
      </c>
      <c r="Y55" s="6" t="s">
        <v>4</v>
      </c>
      <c r="Z55" s="6" t="s">
        <v>4</v>
      </c>
      <c r="AA55" s="6" t="s">
        <v>109</v>
      </c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>
        <v>70322992</v>
      </c>
      <c r="AO55" s="6"/>
      <c r="AP55" s="6"/>
      <c r="AQ55" s="6"/>
      <c r="AR55" s="6"/>
      <c r="AS55" s="6"/>
      <c r="AT55" s="6"/>
      <c r="AU55" s="6"/>
      <c r="AV55" s="6"/>
      <c r="AW55" s="6"/>
      <c r="AX55" s="6"/>
    </row>
    <row r="56" spans="1:50">
      <c r="A56" s="6">
        <v>1</v>
      </c>
      <c r="B56" s="6" t="s">
        <v>107</v>
      </c>
      <c r="C56" s="6" t="s">
        <v>110</v>
      </c>
      <c r="D56" s="6">
        <v>2025</v>
      </c>
      <c r="E56" s="6">
        <v>1</v>
      </c>
      <c r="F56" s="6">
        <v>1</v>
      </c>
      <c r="G56" s="6">
        <v>1</v>
      </c>
      <c r="H56" s="6">
        <v>0</v>
      </c>
      <c r="I56" s="6">
        <v>2</v>
      </c>
      <c r="J56" s="6">
        <v>1</v>
      </c>
      <c r="K56" s="6">
        <v>1</v>
      </c>
      <c r="L56" s="6">
        <v>1</v>
      </c>
      <c r="M56" s="6">
        <v>1</v>
      </c>
      <c r="N56" s="6">
        <v>1</v>
      </c>
      <c r="O56" s="6">
        <v>1</v>
      </c>
      <c r="P56" s="6">
        <v>1</v>
      </c>
      <c r="Q56" s="6">
        <v>1</v>
      </c>
      <c r="R56" s="6" t="s">
        <v>4</v>
      </c>
      <c r="S56" s="6" t="s">
        <v>4</v>
      </c>
      <c r="T56" s="6" t="s">
        <v>4</v>
      </c>
      <c r="U56" s="6" t="s">
        <v>4</v>
      </c>
      <c r="V56" s="6" t="s">
        <v>4</v>
      </c>
      <c r="W56" s="6" t="s">
        <v>4</v>
      </c>
      <c r="X56" s="6" t="s">
        <v>4</v>
      </c>
      <c r="Y56" s="6" t="s">
        <v>4</v>
      </c>
      <c r="Z56" s="6" t="s">
        <v>4</v>
      </c>
      <c r="AA56" s="6" t="s">
        <v>111</v>
      </c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>
        <v>70322993</v>
      </c>
      <c r="AO56" s="6"/>
      <c r="AP56" s="6"/>
      <c r="AQ56" s="6"/>
      <c r="AR56" s="6"/>
      <c r="AS56" s="6"/>
      <c r="AT56" s="6"/>
      <c r="AU56" s="6"/>
      <c r="AV56" s="6"/>
      <c r="AW56" s="6"/>
      <c r="AX56" s="6"/>
    </row>
    <row r="57" spans="1:50">
      <c r="A57" s="4">
        <v>75</v>
      </c>
      <c r="B57" s="4" t="s">
        <v>112</v>
      </c>
      <c r="C57" s="4">
        <v>2000</v>
      </c>
      <c r="D57" s="4">
        <v>0</v>
      </c>
      <c r="E57" s="4">
        <v>1</v>
      </c>
      <c r="F57" s="4">
        <v>0</v>
      </c>
      <c r="G57" s="4">
        <v>0</v>
      </c>
      <c r="H57" s="4">
        <v>1</v>
      </c>
      <c r="I57" s="4">
        <v>0</v>
      </c>
      <c r="J57" s="4">
        <v>1</v>
      </c>
      <c r="K57" s="4">
        <v>98</v>
      </c>
      <c r="L57" s="4">
        <v>77</v>
      </c>
      <c r="M57" s="4">
        <v>0</v>
      </c>
      <c r="N57" s="4">
        <v>70322994</v>
      </c>
      <c r="O57" s="4">
        <v>2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DO40"/>
  <sheetViews>
    <sheetView workbookViewId="0"/>
  </sheetViews>
  <sheetFormatPr defaultColWidth="9.109375" defaultRowHeight="12.7"/>
  <cols>
    <col min="1" max="256" width="9.109375" customWidth="1"/>
  </cols>
  <sheetData>
    <row r="1" spans="1:119">
      <c r="A1">
        <f>ROW(Source!A28)</f>
        <v>28</v>
      </c>
      <c r="B1">
        <v>70322994</v>
      </c>
      <c r="C1">
        <v>70324492</v>
      </c>
      <c r="D1">
        <v>69275358</v>
      </c>
      <c r="E1">
        <v>1075</v>
      </c>
      <c r="F1">
        <v>1</v>
      </c>
      <c r="G1">
        <v>1075</v>
      </c>
      <c r="H1">
        <v>1</v>
      </c>
      <c r="I1" t="s">
        <v>114</v>
      </c>
      <c r="J1" t="s">
        <v>4</v>
      </c>
      <c r="K1" t="s">
        <v>115</v>
      </c>
      <c r="L1">
        <v>1191</v>
      </c>
      <c r="N1">
        <v>1013</v>
      </c>
      <c r="O1" t="s">
        <v>116</v>
      </c>
      <c r="P1" t="s">
        <v>116</v>
      </c>
      <c r="Q1">
        <v>1</v>
      </c>
      <c r="W1">
        <v>0</v>
      </c>
      <c r="X1">
        <v>476480486</v>
      </c>
      <c r="Y1">
        <f>(AT1*0.4)</f>
        <v>11.520000000000001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4</v>
      </c>
      <c r="AT1">
        <v>28.8</v>
      </c>
      <c r="AU1" t="s">
        <v>27</v>
      </c>
      <c r="AV1">
        <v>1</v>
      </c>
      <c r="AW1">
        <v>2</v>
      </c>
      <c r="AX1">
        <v>70324503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U1">
        <f>ROUND(AT1*Source!I28*AH1*AL1,2)</f>
        <v>0</v>
      </c>
      <c r="CV1">
        <f>ROUND(Y1*Source!I28,9)</f>
        <v>23.04</v>
      </c>
      <c r="CW1">
        <v>0</v>
      </c>
      <c r="CX1">
        <f>ROUND(Y1*Source!I28,9)</f>
        <v>23.04</v>
      </c>
      <c r="CY1">
        <f>AD1</f>
        <v>0</v>
      </c>
      <c r="CZ1">
        <f>AH1</f>
        <v>0</v>
      </c>
      <c r="DA1">
        <f>AL1</f>
        <v>1</v>
      </c>
      <c r="DB1">
        <f>ROUND((ROUND(AT1*CZ1,2)*0.4),6)</f>
        <v>0</v>
      </c>
      <c r="DC1">
        <f>ROUND((ROUND(AT1*AG1,2)*0.4),6)</f>
        <v>0</v>
      </c>
      <c r="DD1" t="s">
        <v>4</v>
      </c>
      <c r="DE1" t="s">
        <v>4</v>
      </c>
      <c r="DF1">
        <f t="shared" ref="DF1:DF14" si="0">ROUND(ROUND(AE1,2)*CX1,2)</f>
        <v>0</v>
      </c>
      <c r="DG1">
        <f t="shared" ref="DG1:DG11" si="1">ROUND(ROUND(AF1,2)*CX1,2)</f>
        <v>0</v>
      </c>
      <c r="DH1">
        <f t="shared" ref="DH1:DH11" si="2">ROUND(ROUND(AG1,2)*CX1,2)</f>
        <v>0</v>
      </c>
      <c r="DI1">
        <f t="shared" ref="DI1:DI40" si="3">ROUND(ROUND(AH1,2)*CX1,2)</f>
        <v>0</v>
      </c>
      <c r="DJ1">
        <f>DI1</f>
        <v>0</v>
      </c>
      <c r="DK1">
        <v>0</v>
      </c>
      <c r="DL1" t="s">
        <v>4</v>
      </c>
      <c r="DM1">
        <v>0</v>
      </c>
      <c r="DN1" t="s">
        <v>4</v>
      </c>
      <c r="DO1">
        <v>0</v>
      </c>
    </row>
    <row r="2" spans="1:119">
      <c r="A2">
        <f>ROW(Source!A28)</f>
        <v>28</v>
      </c>
      <c r="B2">
        <v>70322994</v>
      </c>
      <c r="C2">
        <v>70324492</v>
      </c>
      <c r="D2">
        <v>69364211</v>
      </c>
      <c r="E2">
        <v>1</v>
      </c>
      <c r="F2">
        <v>1</v>
      </c>
      <c r="G2">
        <v>1075</v>
      </c>
      <c r="H2">
        <v>2</v>
      </c>
      <c r="I2" t="s">
        <v>117</v>
      </c>
      <c r="J2" t="s">
        <v>118</v>
      </c>
      <c r="K2" t="s">
        <v>119</v>
      </c>
      <c r="L2">
        <v>1368</v>
      </c>
      <c r="N2">
        <v>1011</v>
      </c>
      <c r="O2" t="s">
        <v>120</v>
      </c>
      <c r="P2" t="s">
        <v>120</v>
      </c>
      <c r="Q2">
        <v>1</v>
      </c>
      <c r="W2">
        <v>0</v>
      </c>
      <c r="X2">
        <v>-1854754343</v>
      </c>
      <c r="Y2">
        <f>(AT2*0.4)</f>
        <v>6.8000000000000005E-2</v>
      </c>
      <c r="AA2">
        <v>0</v>
      </c>
      <c r="AB2">
        <v>7.11</v>
      </c>
      <c r="AC2">
        <v>0</v>
      </c>
      <c r="AD2">
        <v>0</v>
      </c>
      <c r="AE2">
        <v>0</v>
      </c>
      <c r="AF2">
        <v>7.11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4</v>
      </c>
      <c r="AT2">
        <v>0.17</v>
      </c>
      <c r="AU2" t="s">
        <v>27</v>
      </c>
      <c r="AV2">
        <v>0</v>
      </c>
      <c r="AW2">
        <v>2</v>
      </c>
      <c r="AX2">
        <v>70324504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V2">
        <v>0</v>
      </c>
      <c r="CW2">
        <f>ROUND(Y2*Source!I28*DO2,9)</f>
        <v>0</v>
      </c>
      <c r="CX2">
        <f>ROUND(Y2*Source!I28,9)</f>
        <v>0.13600000000000001</v>
      </c>
      <c r="CY2">
        <f>AB2</f>
        <v>7.11</v>
      </c>
      <c r="CZ2">
        <f>AF2</f>
        <v>7.11</v>
      </c>
      <c r="DA2">
        <f>AJ2</f>
        <v>1</v>
      </c>
      <c r="DB2">
        <f>ROUND((ROUND(AT2*CZ2,2)*0.4),6)</f>
        <v>0.48399999999999999</v>
      </c>
      <c r="DC2">
        <f>ROUND((ROUND(AT2*AG2,2)*0.4),6)</f>
        <v>0</v>
      </c>
      <c r="DD2" t="s">
        <v>4</v>
      </c>
      <c r="DE2" t="s">
        <v>4</v>
      </c>
      <c r="DF2">
        <f t="shared" si="0"/>
        <v>0</v>
      </c>
      <c r="DG2">
        <f t="shared" si="1"/>
        <v>0.97</v>
      </c>
      <c r="DH2">
        <f t="shared" si="2"/>
        <v>0</v>
      </c>
      <c r="DI2">
        <f t="shared" si="3"/>
        <v>0</v>
      </c>
      <c r="DJ2">
        <f>DG2</f>
        <v>0.97</v>
      </c>
      <c r="DK2">
        <v>0</v>
      </c>
      <c r="DL2" t="s">
        <v>4</v>
      </c>
      <c r="DM2">
        <v>0</v>
      </c>
      <c r="DN2" t="s">
        <v>4</v>
      </c>
      <c r="DO2">
        <v>0</v>
      </c>
    </row>
    <row r="3" spans="1:119">
      <c r="A3">
        <f>ROW(Source!A28)</f>
        <v>28</v>
      </c>
      <c r="B3">
        <v>70322994</v>
      </c>
      <c r="C3">
        <v>70324492</v>
      </c>
      <c r="D3">
        <v>69364509</v>
      </c>
      <c r="E3">
        <v>1</v>
      </c>
      <c r="F3">
        <v>1</v>
      </c>
      <c r="G3">
        <v>1075</v>
      </c>
      <c r="H3">
        <v>2</v>
      </c>
      <c r="I3" t="s">
        <v>121</v>
      </c>
      <c r="J3" t="s">
        <v>122</v>
      </c>
      <c r="K3" t="s">
        <v>123</v>
      </c>
      <c r="L3">
        <v>1368</v>
      </c>
      <c r="N3">
        <v>1011</v>
      </c>
      <c r="O3" t="s">
        <v>120</v>
      </c>
      <c r="P3" t="s">
        <v>120</v>
      </c>
      <c r="Q3">
        <v>1</v>
      </c>
      <c r="W3">
        <v>0</v>
      </c>
      <c r="X3">
        <v>322366203</v>
      </c>
      <c r="Y3">
        <f>(AT3*0.4)</f>
        <v>1.1720000000000002</v>
      </c>
      <c r="AA3">
        <v>0</v>
      </c>
      <c r="AB3">
        <v>83.1</v>
      </c>
      <c r="AC3">
        <v>12.62</v>
      </c>
      <c r="AD3">
        <v>0</v>
      </c>
      <c r="AE3">
        <v>0</v>
      </c>
      <c r="AF3">
        <v>83.1</v>
      </c>
      <c r="AG3">
        <v>12.62</v>
      </c>
      <c r="AH3">
        <v>0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4</v>
      </c>
      <c r="AT3">
        <v>2.93</v>
      </c>
      <c r="AU3" t="s">
        <v>27</v>
      </c>
      <c r="AV3">
        <v>0</v>
      </c>
      <c r="AW3">
        <v>2</v>
      </c>
      <c r="AX3">
        <v>70324505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V3">
        <v>0</v>
      </c>
      <c r="CW3">
        <f>ROUND(Y3*Source!I28*DO3,9)</f>
        <v>0</v>
      </c>
      <c r="CX3">
        <f>ROUND(Y3*Source!I28,9)</f>
        <v>2.3439999999999999</v>
      </c>
      <c r="CY3">
        <f>AB3</f>
        <v>83.1</v>
      </c>
      <c r="CZ3">
        <f>AF3</f>
        <v>83.1</v>
      </c>
      <c r="DA3">
        <f>AJ3</f>
        <v>1</v>
      </c>
      <c r="DB3">
        <f>ROUND((ROUND(AT3*CZ3,2)*0.4),6)</f>
        <v>97.391999999999996</v>
      </c>
      <c r="DC3">
        <f>ROUND((ROUND(AT3*AG3,2)*0.4),6)</f>
        <v>14.792</v>
      </c>
      <c r="DD3" t="s">
        <v>4</v>
      </c>
      <c r="DE3" t="s">
        <v>4</v>
      </c>
      <c r="DF3">
        <f t="shared" si="0"/>
        <v>0</v>
      </c>
      <c r="DG3">
        <f t="shared" si="1"/>
        <v>194.79</v>
      </c>
      <c r="DH3">
        <f t="shared" si="2"/>
        <v>29.58</v>
      </c>
      <c r="DI3">
        <f t="shared" si="3"/>
        <v>0</v>
      </c>
      <c r="DJ3">
        <f>DG3</f>
        <v>194.79</v>
      </c>
      <c r="DK3">
        <v>0</v>
      </c>
      <c r="DL3" t="s">
        <v>4</v>
      </c>
      <c r="DM3">
        <v>0</v>
      </c>
      <c r="DN3" t="s">
        <v>4</v>
      </c>
      <c r="DO3">
        <v>0</v>
      </c>
    </row>
    <row r="4" spans="1:119">
      <c r="A4">
        <f>ROW(Source!A28)</f>
        <v>28</v>
      </c>
      <c r="B4">
        <v>70322994</v>
      </c>
      <c r="C4">
        <v>70324492</v>
      </c>
      <c r="D4">
        <v>69363847</v>
      </c>
      <c r="E4">
        <v>1</v>
      </c>
      <c r="F4">
        <v>1</v>
      </c>
      <c r="G4">
        <v>1075</v>
      </c>
      <c r="H4">
        <v>2</v>
      </c>
      <c r="I4" t="s">
        <v>124</v>
      </c>
      <c r="J4" t="s">
        <v>125</v>
      </c>
      <c r="K4" t="s">
        <v>126</v>
      </c>
      <c r="L4">
        <v>1368</v>
      </c>
      <c r="N4">
        <v>1011</v>
      </c>
      <c r="O4" t="s">
        <v>120</v>
      </c>
      <c r="P4" t="s">
        <v>120</v>
      </c>
      <c r="Q4">
        <v>1</v>
      </c>
      <c r="W4">
        <v>0</v>
      </c>
      <c r="X4">
        <v>-1536647364</v>
      </c>
      <c r="Y4">
        <f>(AT4*0.4)</f>
        <v>6.2</v>
      </c>
      <c r="AA4">
        <v>0</v>
      </c>
      <c r="AB4">
        <v>31.15</v>
      </c>
      <c r="AC4">
        <v>10.220000000000001</v>
      </c>
      <c r="AD4">
        <v>0</v>
      </c>
      <c r="AE4">
        <v>0</v>
      </c>
      <c r="AF4">
        <v>31.15</v>
      </c>
      <c r="AG4">
        <v>10.220000000000001</v>
      </c>
      <c r="AH4">
        <v>0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4</v>
      </c>
      <c r="AT4">
        <v>15.5</v>
      </c>
      <c r="AU4" t="s">
        <v>27</v>
      </c>
      <c r="AV4">
        <v>0</v>
      </c>
      <c r="AW4">
        <v>2</v>
      </c>
      <c r="AX4">
        <v>70324506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V4">
        <v>0</v>
      </c>
      <c r="CW4">
        <f>ROUND(Y4*Source!I28*DO4,9)</f>
        <v>0</v>
      </c>
      <c r="CX4">
        <f>ROUND(Y4*Source!I28,9)</f>
        <v>12.4</v>
      </c>
      <c r="CY4">
        <f>AB4</f>
        <v>31.15</v>
      </c>
      <c r="CZ4">
        <f>AF4</f>
        <v>31.15</v>
      </c>
      <c r="DA4">
        <f>AJ4</f>
        <v>1</v>
      </c>
      <c r="DB4">
        <f>ROUND((ROUND(AT4*CZ4,2)*0.4),6)</f>
        <v>193.13200000000001</v>
      </c>
      <c r="DC4">
        <f>ROUND((ROUND(AT4*AG4,2)*0.4),6)</f>
        <v>63.363999999999997</v>
      </c>
      <c r="DD4" t="s">
        <v>4</v>
      </c>
      <c r="DE4" t="s">
        <v>4</v>
      </c>
      <c r="DF4">
        <f t="shared" si="0"/>
        <v>0</v>
      </c>
      <c r="DG4">
        <f t="shared" si="1"/>
        <v>386.26</v>
      </c>
      <c r="DH4">
        <f t="shared" si="2"/>
        <v>126.73</v>
      </c>
      <c r="DI4">
        <f t="shared" si="3"/>
        <v>0</v>
      </c>
      <c r="DJ4">
        <f>DG4</f>
        <v>386.26</v>
      </c>
      <c r="DK4">
        <v>0</v>
      </c>
      <c r="DL4" t="s">
        <v>4</v>
      </c>
      <c r="DM4">
        <v>0</v>
      </c>
      <c r="DN4" t="s">
        <v>4</v>
      </c>
      <c r="DO4">
        <v>0</v>
      </c>
    </row>
    <row r="5" spans="1:119">
      <c r="A5">
        <f>ROW(Source!A28)</f>
        <v>28</v>
      </c>
      <c r="B5">
        <v>70322994</v>
      </c>
      <c r="C5">
        <v>70324492</v>
      </c>
      <c r="D5">
        <v>69334386</v>
      </c>
      <c r="E5">
        <v>1</v>
      </c>
      <c r="F5">
        <v>1</v>
      </c>
      <c r="G5">
        <v>1075</v>
      </c>
      <c r="H5">
        <v>3</v>
      </c>
      <c r="I5" t="s">
        <v>127</v>
      </c>
      <c r="J5" t="s">
        <v>128</v>
      </c>
      <c r="K5" t="s">
        <v>129</v>
      </c>
      <c r="L5">
        <v>1346</v>
      </c>
      <c r="N5">
        <v>1009</v>
      </c>
      <c r="O5" t="s">
        <v>130</v>
      </c>
      <c r="P5" t="s">
        <v>130</v>
      </c>
      <c r="Q5">
        <v>1</v>
      </c>
      <c r="W5">
        <v>0</v>
      </c>
      <c r="X5">
        <v>1295075275</v>
      </c>
      <c r="Y5">
        <f t="shared" ref="Y5:Y10" si="4">(AT5*0)</f>
        <v>0</v>
      </c>
      <c r="AA5">
        <v>26.89</v>
      </c>
      <c r="AB5">
        <v>0</v>
      </c>
      <c r="AC5">
        <v>0</v>
      </c>
      <c r="AD5">
        <v>0</v>
      </c>
      <c r="AE5">
        <v>26.89</v>
      </c>
      <c r="AF5">
        <v>0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M5">
        <v>-2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4</v>
      </c>
      <c r="AT5">
        <v>2.4</v>
      </c>
      <c r="AU5" t="s">
        <v>26</v>
      </c>
      <c r="AV5">
        <v>0</v>
      </c>
      <c r="AW5">
        <v>2</v>
      </c>
      <c r="AX5">
        <v>70324507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V5">
        <v>0</v>
      </c>
      <c r="CW5">
        <v>0</v>
      </c>
      <c r="CX5">
        <f>ROUND(Y5*Source!I28,9)</f>
        <v>0</v>
      </c>
      <c r="CY5">
        <f t="shared" ref="CY5:CY10" si="5">AA5</f>
        <v>26.89</v>
      </c>
      <c r="CZ5">
        <f t="shared" ref="CZ5:CZ10" si="6">AE5</f>
        <v>26.89</v>
      </c>
      <c r="DA5">
        <f t="shared" ref="DA5:DA10" si="7">AI5</f>
        <v>1</v>
      </c>
      <c r="DB5">
        <f t="shared" ref="DB5:DB10" si="8">ROUND((ROUND(AT5*CZ5,2)*0),6)</f>
        <v>0</v>
      </c>
      <c r="DC5">
        <f t="shared" ref="DC5:DC10" si="9">ROUND((ROUND(AT5*AG5,2)*0),6)</f>
        <v>0</v>
      </c>
      <c r="DD5" t="s">
        <v>4</v>
      </c>
      <c r="DE5" t="s">
        <v>4</v>
      </c>
      <c r="DF5">
        <f t="shared" si="0"/>
        <v>0</v>
      </c>
      <c r="DG5">
        <f t="shared" si="1"/>
        <v>0</v>
      </c>
      <c r="DH5">
        <f t="shared" si="2"/>
        <v>0</v>
      </c>
      <c r="DI5">
        <f t="shared" si="3"/>
        <v>0</v>
      </c>
      <c r="DJ5">
        <f t="shared" ref="DJ5:DJ10" si="10">DF5</f>
        <v>0</v>
      </c>
      <c r="DK5">
        <v>0</v>
      </c>
      <c r="DL5" t="s">
        <v>4</v>
      </c>
      <c r="DM5">
        <v>0</v>
      </c>
      <c r="DN5" t="s">
        <v>4</v>
      </c>
      <c r="DO5">
        <v>0</v>
      </c>
    </row>
    <row r="6" spans="1:119">
      <c r="A6">
        <f>ROW(Source!A28)</f>
        <v>28</v>
      </c>
      <c r="B6">
        <v>70322994</v>
      </c>
      <c r="C6">
        <v>70324492</v>
      </c>
      <c r="D6">
        <v>69334411</v>
      </c>
      <c r="E6">
        <v>1</v>
      </c>
      <c r="F6">
        <v>1</v>
      </c>
      <c r="G6">
        <v>1075</v>
      </c>
      <c r="H6">
        <v>3</v>
      </c>
      <c r="I6" t="s">
        <v>131</v>
      </c>
      <c r="J6" t="s">
        <v>132</v>
      </c>
      <c r="K6" t="s">
        <v>133</v>
      </c>
      <c r="L6">
        <v>1348</v>
      </c>
      <c r="N6">
        <v>1009</v>
      </c>
      <c r="O6" t="s">
        <v>134</v>
      </c>
      <c r="P6" t="s">
        <v>134</v>
      </c>
      <c r="Q6">
        <v>1000</v>
      </c>
      <c r="W6">
        <v>0</v>
      </c>
      <c r="X6">
        <v>-606968375</v>
      </c>
      <c r="Y6">
        <f t="shared" si="4"/>
        <v>0</v>
      </c>
      <c r="AA6">
        <v>7254.88</v>
      </c>
      <c r="AB6">
        <v>0</v>
      </c>
      <c r="AC6">
        <v>0</v>
      </c>
      <c r="AD6">
        <v>0</v>
      </c>
      <c r="AE6">
        <v>7254.88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M6">
        <v>-2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4</v>
      </c>
      <c r="AT6">
        <v>1E-3</v>
      </c>
      <c r="AU6" t="s">
        <v>26</v>
      </c>
      <c r="AV6">
        <v>0</v>
      </c>
      <c r="AW6">
        <v>2</v>
      </c>
      <c r="AX6">
        <v>70324508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V6">
        <v>0</v>
      </c>
      <c r="CW6">
        <v>0</v>
      </c>
      <c r="CX6">
        <f>ROUND(Y6*Source!I28,9)</f>
        <v>0</v>
      </c>
      <c r="CY6">
        <f t="shared" si="5"/>
        <v>7254.88</v>
      </c>
      <c r="CZ6">
        <f t="shared" si="6"/>
        <v>7254.88</v>
      </c>
      <c r="DA6">
        <f t="shared" si="7"/>
        <v>1</v>
      </c>
      <c r="DB6">
        <f t="shared" si="8"/>
        <v>0</v>
      </c>
      <c r="DC6">
        <f t="shared" si="9"/>
        <v>0</v>
      </c>
      <c r="DD6" t="s">
        <v>4</v>
      </c>
      <c r="DE6" t="s">
        <v>4</v>
      </c>
      <c r="DF6">
        <f t="shared" si="0"/>
        <v>0</v>
      </c>
      <c r="DG6">
        <f t="shared" si="1"/>
        <v>0</v>
      </c>
      <c r="DH6">
        <f t="shared" si="2"/>
        <v>0</v>
      </c>
      <c r="DI6">
        <f t="shared" si="3"/>
        <v>0</v>
      </c>
      <c r="DJ6">
        <f t="shared" si="10"/>
        <v>0</v>
      </c>
      <c r="DK6">
        <v>0</v>
      </c>
      <c r="DL6" t="s">
        <v>4</v>
      </c>
      <c r="DM6">
        <v>0</v>
      </c>
      <c r="DN6" t="s">
        <v>4</v>
      </c>
      <c r="DO6">
        <v>0</v>
      </c>
    </row>
    <row r="7" spans="1:119">
      <c r="A7">
        <f>ROW(Source!A28)</f>
        <v>28</v>
      </c>
      <c r="B7">
        <v>70322994</v>
      </c>
      <c r="C7">
        <v>70324492</v>
      </c>
      <c r="D7">
        <v>69334814</v>
      </c>
      <c r="E7">
        <v>1</v>
      </c>
      <c r="F7">
        <v>1</v>
      </c>
      <c r="G7">
        <v>1075</v>
      </c>
      <c r="H7">
        <v>3</v>
      </c>
      <c r="I7" t="s">
        <v>135</v>
      </c>
      <c r="J7" t="s">
        <v>136</v>
      </c>
      <c r="K7" t="s">
        <v>137</v>
      </c>
      <c r="L7">
        <v>1346</v>
      </c>
      <c r="N7">
        <v>1009</v>
      </c>
      <c r="O7" t="s">
        <v>130</v>
      </c>
      <c r="P7" t="s">
        <v>130</v>
      </c>
      <c r="Q7">
        <v>1</v>
      </c>
      <c r="W7">
        <v>0</v>
      </c>
      <c r="X7">
        <v>-2000333744</v>
      </c>
      <c r="Y7">
        <f t="shared" si="4"/>
        <v>0</v>
      </c>
      <c r="AA7">
        <v>29.9</v>
      </c>
      <c r="AB7">
        <v>0</v>
      </c>
      <c r="AC7">
        <v>0</v>
      </c>
      <c r="AD7">
        <v>0</v>
      </c>
      <c r="AE7">
        <v>29.9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4</v>
      </c>
      <c r="AT7">
        <v>0.2</v>
      </c>
      <c r="AU7" t="s">
        <v>26</v>
      </c>
      <c r="AV7">
        <v>0</v>
      </c>
      <c r="AW7">
        <v>2</v>
      </c>
      <c r="AX7">
        <v>70324509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V7">
        <v>0</v>
      </c>
      <c r="CW7">
        <v>0</v>
      </c>
      <c r="CX7">
        <f>ROUND(Y7*Source!I28,9)</f>
        <v>0</v>
      </c>
      <c r="CY7">
        <f t="shared" si="5"/>
        <v>29.9</v>
      </c>
      <c r="CZ7">
        <f t="shared" si="6"/>
        <v>29.9</v>
      </c>
      <c r="DA7">
        <f t="shared" si="7"/>
        <v>1</v>
      </c>
      <c r="DB7">
        <f t="shared" si="8"/>
        <v>0</v>
      </c>
      <c r="DC7">
        <f t="shared" si="9"/>
        <v>0</v>
      </c>
      <c r="DD7" t="s">
        <v>4</v>
      </c>
      <c r="DE7" t="s">
        <v>4</v>
      </c>
      <c r="DF7">
        <f t="shared" si="0"/>
        <v>0</v>
      </c>
      <c r="DG7">
        <f t="shared" si="1"/>
        <v>0</v>
      </c>
      <c r="DH7">
        <f t="shared" si="2"/>
        <v>0</v>
      </c>
      <c r="DI7">
        <f t="shared" si="3"/>
        <v>0</v>
      </c>
      <c r="DJ7">
        <f t="shared" si="10"/>
        <v>0</v>
      </c>
      <c r="DK7">
        <v>0</v>
      </c>
      <c r="DL7" t="s">
        <v>4</v>
      </c>
      <c r="DM7">
        <v>0</v>
      </c>
      <c r="DN7" t="s">
        <v>4</v>
      </c>
      <c r="DO7">
        <v>0</v>
      </c>
    </row>
    <row r="8" spans="1:119">
      <c r="A8">
        <f>ROW(Source!A28)</f>
        <v>28</v>
      </c>
      <c r="B8">
        <v>70322994</v>
      </c>
      <c r="C8">
        <v>70324492</v>
      </c>
      <c r="D8">
        <v>69335526</v>
      </c>
      <c r="E8">
        <v>1</v>
      </c>
      <c r="F8">
        <v>1</v>
      </c>
      <c r="G8">
        <v>1075</v>
      </c>
      <c r="H8">
        <v>3</v>
      </c>
      <c r="I8" t="s">
        <v>138</v>
      </c>
      <c r="J8" t="s">
        <v>139</v>
      </c>
      <c r="K8" t="s">
        <v>140</v>
      </c>
      <c r="L8">
        <v>1346</v>
      </c>
      <c r="N8">
        <v>1009</v>
      </c>
      <c r="O8" t="s">
        <v>130</v>
      </c>
      <c r="P8" t="s">
        <v>130</v>
      </c>
      <c r="Q8">
        <v>1</v>
      </c>
      <c r="W8">
        <v>0</v>
      </c>
      <c r="X8">
        <v>-1164981962</v>
      </c>
      <c r="Y8">
        <f t="shared" si="4"/>
        <v>0</v>
      </c>
      <c r="AA8">
        <v>21.04</v>
      </c>
      <c r="AB8">
        <v>0</v>
      </c>
      <c r="AC8">
        <v>0</v>
      </c>
      <c r="AD8">
        <v>0</v>
      </c>
      <c r="AE8">
        <v>21.04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4</v>
      </c>
      <c r="AT8">
        <v>0.3</v>
      </c>
      <c r="AU8" t="s">
        <v>26</v>
      </c>
      <c r="AV8">
        <v>0</v>
      </c>
      <c r="AW8">
        <v>2</v>
      </c>
      <c r="AX8">
        <v>70324510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V8">
        <v>0</v>
      </c>
      <c r="CW8">
        <v>0</v>
      </c>
      <c r="CX8">
        <f>ROUND(Y8*Source!I28,9)</f>
        <v>0</v>
      </c>
      <c r="CY8">
        <f t="shared" si="5"/>
        <v>21.04</v>
      </c>
      <c r="CZ8">
        <f t="shared" si="6"/>
        <v>21.04</v>
      </c>
      <c r="DA8">
        <f t="shared" si="7"/>
        <v>1</v>
      </c>
      <c r="DB8">
        <f t="shared" si="8"/>
        <v>0</v>
      </c>
      <c r="DC8">
        <f t="shared" si="9"/>
        <v>0</v>
      </c>
      <c r="DD8" t="s">
        <v>4</v>
      </c>
      <c r="DE8" t="s">
        <v>4</v>
      </c>
      <c r="DF8">
        <f t="shared" si="0"/>
        <v>0</v>
      </c>
      <c r="DG8">
        <f t="shared" si="1"/>
        <v>0</v>
      </c>
      <c r="DH8">
        <f t="shared" si="2"/>
        <v>0</v>
      </c>
      <c r="DI8">
        <f t="shared" si="3"/>
        <v>0</v>
      </c>
      <c r="DJ8">
        <f t="shared" si="10"/>
        <v>0</v>
      </c>
      <c r="DK8">
        <v>0</v>
      </c>
      <c r="DL8" t="s">
        <v>4</v>
      </c>
      <c r="DM8">
        <v>0</v>
      </c>
      <c r="DN8" t="s">
        <v>4</v>
      </c>
      <c r="DO8">
        <v>0</v>
      </c>
    </row>
    <row r="9" spans="1:119">
      <c r="A9">
        <f>ROW(Source!A28)</f>
        <v>28</v>
      </c>
      <c r="B9">
        <v>70322994</v>
      </c>
      <c r="C9">
        <v>70324492</v>
      </c>
      <c r="D9">
        <v>69340457</v>
      </c>
      <c r="E9">
        <v>1</v>
      </c>
      <c r="F9">
        <v>1</v>
      </c>
      <c r="G9">
        <v>1075</v>
      </c>
      <c r="H9">
        <v>3</v>
      </c>
      <c r="I9" t="s">
        <v>141</v>
      </c>
      <c r="J9" t="s">
        <v>142</v>
      </c>
      <c r="K9" t="s">
        <v>143</v>
      </c>
      <c r="L9">
        <v>1302</v>
      </c>
      <c r="N9">
        <v>1003</v>
      </c>
      <c r="O9" t="s">
        <v>144</v>
      </c>
      <c r="P9" t="s">
        <v>144</v>
      </c>
      <c r="Q9">
        <v>10</v>
      </c>
      <c r="W9">
        <v>0</v>
      </c>
      <c r="X9">
        <v>-471450150</v>
      </c>
      <c r="Y9">
        <f t="shared" si="4"/>
        <v>0</v>
      </c>
      <c r="AA9">
        <v>46.16</v>
      </c>
      <c r="AB9">
        <v>0</v>
      </c>
      <c r="AC9">
        <v>0</v>
      </c>
      <c r="AD9">
        <v>0</v>
      </c>
      <c r="AE9">
        <v>46.16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M9">
        <v>-2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4</v>
      </c>
      <c r="AT9">
        <v>0.03</v>
      </c>
      <c r="AU9" t="s">
        <v>26</v>
      </c>
      <c r="AV9">
        <v>0</v>
      </c>
      <c r="AW9">
        <v>2</v>
      </c>
      <c r="AX9">
        <v>70324511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V9">
        <v>0</v>
      </c>
      <c r="CW9">
        <v>0</v>
      </c>
      <c r="CX9">
        <f>ROUND(Y9*Source!I28,9)</f>
        <v>0</v>
      </c>
      <c r="CY9">
        <f t="shared" si="5"/>
        <v>46.16</v>
      </c>
      <c r="CZ9">
        <f t="shared" si="6"/>
        <v>46.16</v>
      </c>
      <c r="DA9">
        <f t="shared" si="7"/>
        <v>1</v>
      </c>
      <c r="DB9">
        <f t="shared" si="8"/>
        <v>0</v>
      </c>
      <c r="DC9">
        <f t="shared" si="9"/>
        <v>0</v>
      </c>
      <c r="DD9" t="s">
        <v>4</v>
      </c>
      <c r="DE9" t="s">
        <v>4</v>
      </c>
      <c r="DF9">
        <f t="shared" si="0"/>
        <v>0</v>
      </c>
      <c r="DG9">
        <f t="shared" si="1"/>
        <v>0</v>
      </c>
      <c r="DH9">
        <f t="shared" si="2"/>
        <v>0</v>
      </c>
      <c r="DI9">
        <f t="shared" si="3"/>
        <v>0</v>
      </c>
      <c r="DJ9">
        <f t="shared" si="10"/>
        <v>0</v>
      </c>
      <c r="DK9">
        <v>0</v>
      </c>
      <c r="DL9" t="s">
        <v>4</v>
      </c>
      <c r="DM9">
        <v>0</v>
      </c>
      <c r="DN9" t="s">
        <v>4</v>
      </c>
      <c r="DO9">
        <v>0</v>
      </c>
    </row>
    <row r="10" spans="1:119">
      <c r="A10">
        <f>ROW(Source!A28)</f>
        <v>28</v>
      </c>
      <c r="B10">
        <v>70322994</v>
      </c>
      <c r="C10">
        <v>70324492</v>
      </c>
      <c r="D10">
        <v>69351117</v>
      </c>
      <c r="E10">
        <v>1</v>
      </c>
      <c r="F10">
        <v>1</v>
      </c>
      <c r="G10">
        <v>1075</v>
      </c>
      <c r="H10">
        <v>3</v>
      </c>
      <c r="I10" t="s">
        <v>145</v>
      </c>
      <c r="J10" t="s">
        <v>146</v>
      </c>
      <c r="K10" t="s">
        <v>147</v>
      </c>
      <c r="L10">
        <v>1301</v>
      </c>
      <c r="N10">
        <v>1003</v>
      </c>
      <c r="O10" t="s">
        <v>148</v>
      </c>
      <c r="P10" t="s">
        <v>148</v>
      </c>
      <c r="Q10">
        <v>1</v>
      </c>
      <c r="W10">
        <v>0</v>
      </c>
      <c r="X10">
        <v>1183683129</v>
      </c>
      <c r="Y10">
        <f t="shared" si="4"/>
        <v>0</v>
      </c>
      <c r="AA10">
        <v>0.7</v>
      </c>
      <c r="AB10">
        <v>0</v>
      </c>
      <c r="AC10">
        <v>0</v>
      </c>
      <c r="AD10">
        <v>0</v>
      </c>
      <c r="AE10">
        <v>0.7</v>
      </c>
      <c r="AF10">
        <v>0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M10">
        <v>-2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4</v>
      </c>
      <c r="AT10">
        <v>2.5</v>
      </c>
      <c r="AU10" t="s">
        <v>26</v>
      </c>
      <c r="AV10">
        <v>0</v>
      </c>
      <c r="AW10">
        <v>2</v>
      </c>
      <c r="AX10">
        <v>70324512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V10">
        <v>0</v>
      </c>
      <c r="CW10">
        <v>0</v>
      </c>
      <c r="CX10">
        <f>ROUND(Y10*Source!I28,9)</f>
        <v>0</v>
      </c>
      <c r="CY10">
        <f t="shared" si="5"/>
        <v>0.7</v>
      </c>
      <c r="CZ10">
        <f t="shared" si="6"/>
        <v>0.7</v>
      </c>
      <c r="DA10">
        <f t="shared" si="7"/>
        <v>1</v>
      </c>
      <c r="DB10">
        <f t="shared" si="8"/>
        <v>0</v>
      </c>
      <c r="DC10">
        <f t="shared" si="9"/>
        <v>0</v>
      </c>
      <c r="DD10" t="s">
        <v>4</v>
      </c>
      <c r="DE10" t="s">
        <v>4</v>
      </c>
      <c r="DF10">
        <f t="shared" si="0"/>
        <v>0</v>
      </c>
      <c r="DG10">
        <f t="shared" si="1"/>
        <v>0</v>
      </c>
      <c r="DH10">
        <f t="shared" si="2"/>
        <v>0</v>
      </c>
      <c r="DI10">
        <f t="shared" si="3"/>
        <v>0</v>
      </c>
      <c r="DJ10">
        <f t="shared" si="10"/>
        <v>0</v>
      </c>
      <c r="DK10">
        <v>0</v>
      </c>
      <c r="DL10" t="s">
        <v>4</v>
      </c>
      <c r="DM10">
        <v>0</v>
      </c>
      <c r="DN10" t="s">
        <v>4</v>
      </c>
      <c r="DO10">
        <v>0</v>
      </c>
    </row>
    <row r="11" spans="1:119">
      <c r="A11">
        <f>ROW(Source!A29)</f>
        <v>29</v>
      </c>
      <c r="B11">
        <v>70322991</v>
      </c>
      <c r="C11">
        <v>70324492</v>
      </c>
      <c r="D11">
        <v>69275358</v>
      </c>
      <c r="E11">
        <v>1075</v>
      </c>
      <c r="F11">
        <v>1</v>
      </c>
      <c r="G11">
        <v>1075</v>
      </c>
      <c r="H11">
        <v>1</v>
      </c>
      <c r="I11" t="s">
        <v>114</v>
      </c>
      <c r="J11" t="s">
        <v>4</v>
      </c>
      <c r="K11" t="s">
        <v>115</v>
      </c>
      <c r="L11">
        <v>1191</v>
      </c>
      <c r="N11">
        <v>1013</v>
      </c>
      <c r="O11" t="s">
        <v>116</v>
      </c>
      <c r="P11" t="s">
        <v>116</v>
      </c>
      <c r="Q11">
        <v>1</v>
      </c>
      <c r="W11">
        <v>0</v>
      </c>
      <c r="X11">
        <v>476480486</v>
      </c>
      <c r="Y11">
        <f>(AT11*0.4)</f>
        <v>11.520000000000001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4</v>
      </c>
      <c r="AT11">
        <v>28.8</v>
      </c>
      <c r="AU11" t="s">
        <v>27</v>
      </c>
      <c r="AV11">
        <v>1</v>
      </c>
      <c r="AW11">
        <v>2</v>
      </c>
      <c r="AX11">
        <v>70324503</v>
      </c>
      <c r="AY11">
        <v>1</v>
      </c>
      <c r="AZ11">
        <v>0</v>
      </c>
      <c r="BA11">
        <v>13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U11">
        <f>ROUND(AT11*Source!I29*AH11*AL11,2)</f>
        <v>0</v>
      </c>
      <c r="CV11">
        <f>ROUND(Y11*Source!I29,9)</f>
        <v>23.04</v>
      </c>
      <c r="CW11">
        <v>0</v>
      </c>
      <c r="CX11">
        <f>ROUND(Y11*Source!I29,9)</f>
        <v>23.04</v>
      </c>
      <c r="CY11">
        <f>AD11</f>
        <v>0</v>
      </c>
      <c r="CZ11">
        <f>AH11</f>
        <v>0</v>
      </c>
      <c r="DA11">
        <f>AL11</f>
        <v>1</v>
      </c>
      <c r="DB11">
        <f>ROUND((ROUND(AT11*CZ11,2)*0.4),6)</f>
        <v>0</v>
      </c>
      <c r="DC11">
        <f>ROUND((ROUND(AT11*AG11,2)*0.4),6)</f>
        <v>0</v>
      </c>
      <c r="DD11" t="s">
        <v>4</v>
      </c>
      <c r="DE11" t="s">
        <v>4</v>
      </c>
      <c r="DF11">
        <f t="shared" si="0"/>
        <v>0</v>
      </c>
      <c r="DG11">
        <f t="shared" si="1"/>
        <v>0</v>
      </c>
      <c r="DH11">
        <f t="shared" si="2"/>
        <v>0</v>
      </c>
      <c r="DI11">
        <f t="shared" si="3"/>
        <v>0</v>
      </c>
      <c r="DJ11">
        <f>DI11</f>
        <v>0</v>
      </c>
      <c r="DK11">
        <v>0</v>
      </c>
      <c r="DL11" t="s">
        <v>4</v>
      </c>
      <c r="DM11">
        <v>0</v>
      </c>
      <c r="DN11" t="s">
        <v>4</v>
      </c>
      <c r="DO11">
        <v>0</v>
      </c>
    </row>
    <row r="12" spans="1:119">
      <c r="A12">
        <f>ROW(Source!A29)</f>
        <v>29</v>
      </c>
      <c r="B12">
        <v>70322991</v>
      </c>
      <c r="C12">
        <v>70324492</v>
      </c>
      <c r="D12">
        <v>69364211</v>
      </c>
      <c r="E12">
        <v>1</v>
      </c>
      <c r="F12">
        <v>1</v>
      </c>
      <c r="G12">
        <v>1075</v>
      </c>
      <c r="H12">
        <v>2</v>
      </c>
      <c r="I12" t="s">
        <v>117</v>
      </c>
      <c r="J12" t="s">
        <v>118</v>
      </c>
      <c r="K12" t="s">
        <v>119</v>
      </c>
      <c r="L12">
        <v>1368</v>
      </c>
      <c r="N12">
        <v>1011</v>
      </c>
      <c r="O12" t="s">
        <v>120</v>
      </c>
      <c r="P12" t="s">
        <v>120</v>
      </c>
      <c r="Q12">
        <v>1</v>
      </c>
      <c r="W12">
        <v>0</v>
      </c>
      <c r="X12">
        <v>-1854754343</v>
      </c>
      <c r="Y12">
        <f>(AT12*0.4)</f>
        <v>6.8000000000000005E-2</v>
      </c>
      <c r="AA12">
        <v>0</v>
      </c>
      <c r="AB12">
        <v>87.69</v>
      </c>
      <c r="AC12">
        <v>0</v>
      </c>
      <c r="AD12">
        <v>0</v>
      </c>
      <c r="AE12">
        <v>0</v>
      </c>
      <c r="AF12">
        <v>7.11</v>
      </c>
      <c r="AG12">
        <v>0</v>
      </c>
      <c r="AH12">
        <v>0</v>
      </c>
      <c r="AI12">
        <v>1</v>
      </c>
      <c r="AJ12">
        <v>11.78</v>
      </c>
      <c r="AK12">
        <v>46.67</v>
      </c>
      <c r="AL12">
        <v>1</v>
      </c>
      <c r="AM12">
        <v>2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4</v>
      </c>
      <c r="AT12">
        <v>0.17</v>
      </c>
      <c r="AU12" t="s">
        <v>27</v>
      </c>
      <c r="AV12">
        <v>0</v>
      </c>
      <c r="AW12">
        <v>2</v>
      </c>
      <c r="AX12">
        <v>70324504</v>
      </c>
      <c r="AY12">
        <v>1</v>
      </c>
      <c r="AZ12">
        <v>0</v>
      </c>
      <c r="BA12">
        <v>14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V12">
        <v>0</v>
      </c>
      <c r="CW12">
        <f>ROUND(Y12*Source!I29*DO12,9)</f>
        <v>0</v>
      </c>
      <c r="CX12">
        <f>ROUND(Y12*Source!I29,9)</f>
        <v>0.13600000000000001</v>
      </c>
      <c r="CY12">
        <f>AB12</f>
        <v>87.69</v>
      </c>
      <c r="CZ12">
        <f>AF12</f>
        <v>7.11</v>
      </c>
      <c r="DA12">
        <f>AJ12</f>
        <v>11.78</v>
      </c>
      <c r="DB12">
        <f>ROUND((ROUND(AT12*CZ12,2)*0.4),6)</f>
        <v>0.48399999999999999</v>
      </c>
      <c r="DC12">
        <f>ROUND((ROUND(AT12*AG12,2)*0.4),6)</f>
        <v>0</v>
      </c>
      <c r="DD12" t="s">
        <v>4</v>
      </c>
      <c r="DE12" t="s">
        <v>4</v>
      </c>
      <c r="DF12">
        <f t="shared" si="0"/>
        <v>0</v>
      </c>
      <c r="DG12">
        <f>ROUND(ROUND(AF12*AJ12,2)*CX12,2)</f>
        <v>11.39</v>
      </c>
      <c r="DH12">
        <f>ROUND(ROUND(AG12*AK12,2)*CX12,2)</f>
        <v>0</v>
      </c>
      <c r="DI12">
        <f t="shared" si="3"/>
        <v>0</v>
      </c>
      <c r="DJ12">
        <f>DG12</f>
        <v>11.39</v>
      </c>
      <c r="DK12">
        <v>0</v>
      </c>
      <c r="DL12" t="s">
        <v>4</v>
      </c>
      <c r="DM12">
        <v>0</v>
      </c>
      <c r="DN12" t="s">
        <v>4</v>
      </c>
      <c r="DO12">
        <v>0</v>
      </c>
    </row>
    <row r="13" spans="1:119">
      <c r="A13">
        <f>ROW(Source!A29)</f>
        <v>29</v>
      </c>
      <c r="B13">
        <v>70322991</v>
      </c>
      <c r="C13">
        <v>70324492</v>
      </c>
      <c r="D13">
        <v>69364509</v>
      </c>
      <c r="E13">
        <v>1</v>
      </c>
      <c r="F13">
        <v>1</v>
      </c>
      <c r="G13">
        <v>1075</v>
      </c>
      <c r="H13">
        <v>2</v>
      </c>
      <c r="I13" t="s">
        <v>121</v>
      </c>
      <c r="J13" t="s">
        <v>122</v>
      </c>
      <c r="K13" t="s">
        <v>123</v>
      </c>
      <c r="L13">
        <v>1368</v>
      </c>
      <c r="N13">
        <v>1011</v>
      </c>
      <c r="O13" t="s">
        <v>120</v>
      </c>
      <c r="P13" t="s">
        <v>120</v>
      </c>
      <c r="Q13">
        <v>1</v>
      </c>
      <c r="W13">
        <v>0</v>
      </c>
      <c r="X13">
        <v>322366203</v>
      </c>
      <c r="Y13">
        <f>(AT13*0.4)</f>
        <v>1.1720000000000002</v>
      </c>
      <c r="AA13">
        <v>0</v>
      </c>
      <c r="AB13">
        <v>1308.57</v>
      </c>
      <c r="AC13">
        <v>616.66</v>
      </c>
      <c r="AD13">
        <v>0</v>
      </c>
      <c r="AE13">
        <v>0</v>
      </c>
      <c r="AF13">
        <v>83.1</v>
      </c>
      <c r="AG13">
        <v>12.62</v>
      </c>
      <c r="AH13">
        <v>0</v>
      </c>
      <c r="AI13">
        <v>1</v>
      </c>
      <c r="AJ13">
        <v>15.04</v>
      </c>
      <c r="AK13">
        <v>46.67</v>
      </c>
      <c r="AL13">
        <v>1</v>
      </c>
      <c r="AM13">
        <v>2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4</v>
      </c>
      <c r="AT13">
        <v>2.93</v>
      </c>
      <c r="AU13" t="s">
        <v>27</v>
      </c>
      <c r="AV13">
        <v>0</v>
      </c>
      <c r="AW13">
        <v>2</v>
      </c>
      <c r="AX13">
        <v>70324505</v>
      </c>
      <c r="AY13">
        <v>1</v>
      </c>
      <c r="AZ13">
        <v>0</v>
      </c>
      <c r="BA13">
        <v>15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V13">
        <v>0</v>
      </c>
      <c r="CW13">
        <f>ROUND(Y13*Source!I29*DO13,9)</f>
        <v>0</v>
      </c>
      <c r="CX13">
        <f>ROUND(Y13*Source!I29,9)</f>
        <v>2.3439999999999999</v>
      </c>
      <c r="CY13">
        <f>AB13</f>
        <v>1308.57</v>
      </c>
      <c r="CZ13">
        <f>AF13</f>
        <v>83.1</v>
      </c>
      <c r="DA13">
        <f>AJ13</f>
        <v>15.04</v>
      </c>
      <c r="DB13">
        <f>ROUND((ROUND(AT13*CZ13,2)*0.4),6)</f>
        <v>97.391999999999996</v>
      </c>
      <c r="DC13">
        <f>ROUND((ROUND(AT13*AG13,2)*0.4),6)</f>
        <v>14.792</v>
      </c>
      <c r="DD13" t="s">
        <v>4</v>
      </c>
      <c r="DE13" t="s">
        <v>4</v>
      </c>
      <c r="DF13">
        <f t="shared" si="0"/>
        <v>0</v>
      </c>
      <c r="DG13">
        <f>ROUND(ROUND(AF13*AJ13,2)*CX13,2)</f>
        <v>2929.58</v>
      </c>
      <c r="DH13">
        <f>ROUND(ROUND(AG13*AK13,2)*CX13,2)</f>
        <v>1380.57</v>
      </c>
      <c r="DI13">
        <f t="shared" si="3"/>
        <v>0</v>
      </c>
      <c r="DJ13">
        <f>DG13</f>
        <v>2929.58</v>
      </c>
      <c r="DK13">
        <v>0</v>
      </c>
      <c r="DL13" t="s">
        <v>4</v>
      </c>
      <c r="DM13">
        <v>0</v>
      </c>
      <c r="DN13" t="s">
        <v>4</v>
      </c>
      <c r="DO13">
        <v>0</v>
      </c>
    </row>
    <row r="14" spans="1:119">
      <c r="A14">
        <f>ROW(Source!A29)</f>
        <v>29</v>
      </c>
      <c r="B14">
        <v>70322991</v>
      </c>
      <c r="C14">
        <v>70324492</v>
      </c>
      <c r="D14">
        <v>69363847</v>
      </c>
      <c r="E14">
        <v>1</v>
      </c>
      <c r="F14">
        <v>1</v>
      </c>
      <c r="G14">
        <v>1075</v>
      </c>
      <c r="H14">
        <v>2</v>
      </c>
      <c r="I14" t="s">
        <v>124</v>
      </c>
      <c r="J14" t="s">
        <v>125</v>
      </c>
      <c r="K14" t="s">
        <v>126</v>
      </c>
      <c r="L14">
        <v>1368</v>
      </c>
      <c r="N14">
        <v>1011</v>
      </c>
      <c r="O14" t="s">
        <v>120</v>
      </c>
      <c r="P14" t="s">
        <v>120</v>
      </c>
      <c r="Q14">
        <v>1</v>
      </c>
      <c r="W14">
        <v>0</v>
      </c>
      <c r="X14">
        <v>-1536647364</v>
      </c>
      <c r="Y14">
        <f>(AT14*0.4)</f>
        <v>6.2</v>
      </c>
      <c r="AA14">
        <v>0</v>
      </c>
      <c r="AB14">
        <v>712.62</v>
      </c>
      <c r="AC14">
        <v>499.38</v>
      </c>
      <c r="AD14">
        <v>0</v>
      </c>
      <c r="AE14">
        <v>0</v>
      </c>
      <c r="AF14">
        <v>31.15</v>
      </c>
      <c r="AG14">
        <v>10.220000000000001</v>
      </c>
      <c r="AH14">
        <v>0</v>
      </c>
      <c r="AI14">
        <v>1</v>
      </c>
      <c r="AJ14">
        <v>21.85</v>
      </c>
      <c r="AK14">
        <v>46.67</v>
      </c>
      <c r="AL14">
        <v>1</v>
      </c>
      <c r="AM14">
        <v>2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4</v>
      </c>
      <c r="AT14">
        <v>15.5</v>
      </c>
      <c r="AU14" t="s">
        <v>27</v>
      </c>
      <c r="AV14">
        <v>0</v>
      </c>
      <c r="AW14">
        <v>2</v>
      </c>
      <c r="AX14">
        <v>70324506</v>
      </c>
      <c r="AY14">
        <v>1</v>
      </c>
      <c r="AZ14">
        <v>0</v>
      </c>
      <c r="BA14">
        <v>16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V14">
        <v>0</v>
      </c>
      <c r="CW14">
        <f>ROUND(Y14*Source!I29*DO14,9)</f>
        <v>0</v>
      </c>
      <c r="CX14">
        <f>ROUND(Y14*Source!I29,9)</f>
        <v>12.4</v>
      </c>
      <c r="CY14">
        <f>AB14</f>
        <v>712.62</v>
      </c>
      <c r="CZ14">
        <f>AF14</f>
        <v>31.15</v>
      </c>
      <c r="DA14">
        <f>AJ14</f>
        <v>21.85</v>
      </c>
      <c r="DB14">
        <f>ROUND((ROUND(AT14*CZ14,2)*0.4),6)</f>
        <v>193.13200000000001</v>
      </c>
      <c r="DC14">
        <f>ROUND((ROUND(AT14*AG14,2)*0.4),6)</f>
        <v>63.363999999999997</v>
      </c>
      <c r="DD14" t="s">
        <v>4</v>
      </c>
      <c r="DE14" t="s">
        <v>4</v>
      </c>
      <c r="DF14">
        <f t="shared" si="0"/>
        <v>0</v>
      </c>
      <c r="DG14">
        <f>ROUND(ROUND(AF14*AJ14,2)*CX14,2)</f>
        <v>8439.81</v>
      </c>
      <c r="DH14">
        <f>ROUND(ROUND(AG14*AK14,2)*CX14,2)</f>
        <v>5914.43</v>
      </c>
      <c r="DI14">
        <f t="shared" si="3"/>
        <v>0</v>
      </c>
      <c r="DJ14">
        <f>DG14</f>
        <v>8439.81</v>
      </c>
      <c r="DK14">
        <v>0</v>
      </c>
      <c r="DL14" t="s">
        <v>4</v>
      </c>
      <c r="DM14">
        <v>0</v>
      </c>
      <c r="DN14" t="s">
        <v>4</v>
      </c>
      <c r="DO14">
        <v>0</v>
      </c>
    </row>
    <row r="15" spans="1:119">
      <c r="A15">
        <f>ROW(Source!A29)</f>
        <v>29</v>
      </c>
      <c r="B15">
        <v>70322991</v>
      </c>
      <c r="C15">
        <v>70324492</v>
      </c>
      <c r="D15">
        <v>69334386</v>
      </c>
      <c r="E15">
        <v>1</v>
      </c>
      <c r="F15">
        <v>1</v>
      </c>
      <c r="G15">
        <v>1075</v>
      </c>
      <c r="H15">
        <v>3</v>
      </c>
      <c r="I15" t="s">
        <v>127</v>
      </c>
      <c r="J15" t="s">
        <v>128</v>
      </c>
      <c r="K15" t="s">
        <v>129</v>
      </c>
      <c r="L15">
        <v>1346</v>
      </c>
      <c r="N15">
        <v>1009</v>
      </c>
      <c r="O15" t="s">
        <v>130</v>
      </c>
      <c r="P15" t="s">
        <v>130</v>
      </c>
      <c r="Q15">
        <v>1</v>
      </c>
      <c r="W15">
        <v>0</v>
      </c>
      <c r="X15">
        <v>1295075275</v>
      </c>
      <c r="Y15">
        <f t="shared" ref="Y15:Y20" si="11">(AT15*0)</f>
        <v>0</v>
      </c>
      <c r="AA15">
        <v>919.37</v>
      </c>
      <c r="AB15">
        <v>0</v>
      </c>
      <c r="AC15">
        <v>0</v>
      </c>
      <c r="AD15">
        <v>0</v>
      </c>
      <c r="AE15">
        <v>26.89</v>
      </c>
      <c r="AF15">
        <v>0</v>
      </c>
      <c r="AG15">
        <v>0</v>
      </c>
      <c r="AH15">
        <v>0</v>
      </c>
      <c r="AI15">
        <v>34.19</v>
      </c>
      <c r="AJ15">
        <v>1</v>
      </c>
      <c r="AK15">
        <v>1</v>
      </c>
      <c r="AL15">
        <v>1</v>
      </c>
      <c r="AM15">
        <v>2</v>
      </c>
      <c r="AN15">
        <v>0</v>
      </c>
      <c r="AO15">
        <v>1</v>
      </c>
      <c r="AP15">
        <v>1</v>
      </c>
      <c r="AQ15">
        <v>0</v>
      </c>
      <c r="AR15">
        <v>0</v>
      </c>
      <c r="AS15" t="s">
        <v>4</v>
      </c>
      <c r="AT15">
        <v>2.4</v>
      </c>
      <c r="AU15" t="s">
        <v>26</v>
      </c>
      <c r="AV15">
        <v>0</v>
      </c>
      <c r="AW15">
        <v>2</v>
      </c>
      <c r="AX15">
        <v>70324507</v>
      </c>
      <c r="AY15">
        <v>1</v>
      </c>
      <c r="AZ15">
        <v>0</v>
      </c>
      <c r="BA15">
        <v>17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V15">
        <v>0</v>
      </c>
      <c r="CW15">
        <v>0</v>
      </c>
      <c r="CX15">
        <f>ROUND(Y15*Source!I29,9)</f>
        <v>0</v>
      </c>
      <c r="CY15">
        <f t="shared" ref="CY15:CY20" si="12">AA15</f>
        <v>919.37</v>
      </c>
      <c r="CZ15">
        <f t="shared" ref="CZ15:CZ20" si="13">AE15</f>
        <v>26.89</v>
      </c>
      <c r="DA15">
        <f t="shared" ref="DA15:DA20" si="14">AI15</f>
        <v>34.19</v>
      </c>
      <c r="DB15">
        <f t="shared" ref="DB15:DB20" si="15">ROUND((ROUND(AT15*CZ15,2)*0),6)</f>
        <v>0</v>
      </c>
      <c r="DC15">
        <f t="shared" ref="DC15:DC20" si="16">ROUND((ROUND(AT15*AG15,2)*0),6)</f>
        <v>0</v>
      </c>
      <c r="DD15" t="s">
        <v>4</v>
      </c>
      <c r="DE15" t="s">
        <v>4</v>
      </c>
      <c r="DF15">
        <f t="shared" ref="DF15:DF20" si="17">ROUND(ROUND(AE15*AI15,2)*CX15,2)</f>
        <v>0</v>
      </c>
      <c r="DG15">
        <f t="shared" ref="DG15:DG31" si="18">ROUND(ROUND(AF15,2)*CX15,2)</f>
        <v>0</v>
      </c>
      <c r="DH15">
        <f t="shared" ref="DH15:DH31" si="19">ROUND(ROUND(AG15,2)*CX15,2)</f>
        <v>0</v>
      </c>
      <c r="DI15">
        <f t="shared" si="3"/>
        <v>0</v>
      </c>
      <c r="DJ15">
        <f t="shared" ref="DJ15:DJ20" si="20">DF15</f>
        <v>0</v>
      </c>
      <c r="DK15">
        <v>0</v>
      </c>
      <c r="DL15" t="s">
        <v>4</v>
      </c>
      <c r="DM15">
        <v>0</v>
      </c>
      <c r="DN15" t="s">
        <v>4</v>
      </c>
      <c r="DO15">
        <v>0</v>
      </c>
    </row>
    <row r="16" spans="1:119">
      <c r="A16">
        <f>ROW(Source!A29)</f>
        <v>29</v>
      </c>
      <c r="B16">
        <v>70322991</v>
      </c>
      <c r="C16">
        <v>70324492</v>
      </c>
      <c r="D16">
        <v>69334411</v>
      </c>
      <c r="E16">
        <v>1</v>
      </c>
      <c r="F16">
        <v>1</v>
      </c>
      <c r="G16">
        <v>1075</v>
      </c>
      <c r="H16">
        <v>3</v>
      </c>
      <c r="I16" t="s">
        <v>131</v>
      </c>
      <c r="J16" t="s">
        <v>132</v>
      </c>
      <c r="K16" t="s">
        <v>133</v>
      </c>
      <c r="L16">
        <v>1348</v>
      </c>
      <c r="N16">
        <v>1009</v>
      </c>
      <c r="O16" t="s">
        <v>134</v>
      </c>
      <c r="P16" t="s">
        <v>134</v>
      </c>
      <c r="Q16">
        <v>1000</v>
      </c>
      <c r="W16">
        <v>0</v>
      </c>
      <c r="X16">
        <v>-606968375</v>
      </c>
      <c r="Y16">
        <f t="shared" si="11"/>
        <v>0</v>
      </c>
      <c r="AA16">
        <v>67978.23</v>
      </c>
      <c r="AB16">
        <v>0</v>
      </c>
      <c r="AC16">
        <v>0</v>
      </c>
      <c r="AD16">
        <v>0</v>
      </c>
      <c r="AE16">
        <v>7254.88</v>
      </c>
      <c r="AF16">
        <v>0</v>
      </c>
      <c r="AG16">
        <v>0</v>
      </c>
      <c r="AH16">
        <v>0</v>
      </c>
      <c r="AI16">
        <v>9.3699999999999992</v>
      </c>
      <c r="AJ16">
        <v>1</v>
      </c>
      <c r="AK16">
        <v>1</v>
      </c>
      <c r="AL16">
        <v>1</v>
      </c>
      <c r="AM16">
        <v>2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4</v>
      </c>
      <c r="AT16">
        <v>1E-3</v>
      </c>
      <c r="AU16" t="s">
        <v>26</v>
      </c>
      <c r="AV16">
        <v>0</v>
      </c>
      <c r="AW16">
        <v>2</v>
      </c>
      <c r="AX16">
        <v>70324508</v>
      </c>
      <c r="AY16">
        <v>1</v>
      </c>
      <c r="AZ16">
        <v>0</v>
      </c>
      <c r="BA16">
        <v>18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V16">
        <v>0</v>
      </c>
      <c r="CW16">
        <v>0</v>
      </c>
      <c r="CX16">
        <f>ROUND(Y16*Source!I29,9)</f>
        <v>0</v>
      </c>
      <c r="CY16">
        <f t="shared" si="12"/>
        <v>67978.23</v>
      </c>
      <c r="CZ16">
        <f t="shared" si="13"/>
        <v>7254.88</v>
      </c>
      <c r="DA16">
        <f t="shared" si="14"/>
        <v>9.3699999999999992</v>
      </c>
      <c r="DB16">
        <f t="shared" si="15"/>
        <v>0</v>
      </c>
      <c r="DC16">
        <f t="shared" si="16"/>
        <v>0</v>
      </c>
      <c r="DD16" t="s">
        <v>4</v>
      </c>
      <c r="DE16" t="s">
        <v>4</v>
      </c>
      <c r="DF16">
        <f t="shared" si="17"/>
        <v>0</v>
      </c>
      <c r="DG16">
        <f t="shared" si="18"/>
        <v>0</v>
      </c>
      <c r="DH16">
        <f t="shared" si="19"/>
        <v>0</v>
      </c>
      <c r="DI16">
        <f t="shared" si="3"/>
        <v>0</v>
      </c>
      <c r="DJ16">
        <f t="shared" si="20"/>
        <v>0</v>
      </c>
      <c r="DK16">
        <v>0</v>
      </c>
      <c r="DL16" t="s">
        <v>4</v>
      </c>
      <c r="DM16">
        <v>0</v>
      </c>
      <c r="DN16" t="s">
        <v>4</v>
      </c>
      <c r="DO16">
        <v>0</v>
      </c>
    </row>
    <row r="17" spans="1:119">
      <c r="A17">
        <f>ROW(Source!A29)</f>
        <v>29</v>
      </c>
      <c r="B17">
        <v>70322991</v>
      </c>
      <c r="C17">
        <v>70324492</v>
      </c>
      <c r="D17">
        <v>69334814</v>
      </c>
      <c r="E17">
        <v>1</v>
      </c>
      <c r="F17">
        <v>1</v>
      </c>
      <c r="G17">
        <v>1075</v>
      </c>
      <c r="H17">
        <v>3</v>
      </c>
      <c r="I17" t="s">
        <v>135</v>
      </c>
      <c r="J17" t="s">
        <v>136</v>
      </c>
      <c r="K17" t="s">
        <v>137</v>
      </c>
      <c r="L17">
        <v>1346</v>
      </c>
      <c r="N17">
        <v>1009</v>
      </c>
      <c r="O17" t="s">
        <v>130</v>
      </c>
      <c r="P17" t="s">
        <v>130</v>
      </c>
      <c r="Q17">
        <v>1</v>
      </c>
      <c r="W17">
        <v>0</v>
      </c>
      <c r="X17">
        <v>-2000333744</v>
      </c>
      <c r="Y17">
        <f t="shared" si="11"/>
        <v>0</v>
      </c>
      <c r="AA17">
        <v>87.91</v>
      </c>
      <c r="AB17">
        <v>0</v>
      </c>
      <c r="AC17">
        <v>0</v>
      </c>
      <c r="AD17">
        <v>0</v>
      </c>
      <c r="AE17">
        <v>29.9</v>
      </c>
      <c r="AF17">
        <v>0</v>
      </c>
      <c r="AG17">
        <v>0</v>
      </c>
      <c r="AH17">
        <v>0</v>
      </c>
      <c r="AI17">
        <v>2.94</v>
      </c>
      <c r="AJ17">
        <v>1</v>
      </c>
      <c r="AK17">
        <v>1</v>
      </c>
      <c r="AL17">
        <v>1</v>
      </c>
      <c r="AM17">
        <v>2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4</v>
      </c>
      <c r="AT17">
        <v>0.2</v>
      </c>
      <c r="AU17" t="s">
        <v>26</v>
      </c>
      <c r="AV17">
        <v>0</v>
      </c>
      <c r="AW17">
        <v>2</v>
      </c>
      <c r="AX17">
        <v>70324509</v>
      </c>
      <c r="AY17">
        <v>1</v>
      </c>
      <c r="AZ17">
        <v>0</v>
      </c>
      <c r="BA17">
        <v>19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V17">
        <v>0</v>
      </c>
      <c r="CW17">
        <v>0</v>
      </c>
      <c r="CX17">
        <f>ROUND(Y17*Source!I29,9)</f>
        <v>0</v>
      </c>
      <c r="CY17">
        <f t="shared" si="12"/>
        <v>87.91</v>
      </c>
      <c r="CZ17">
        <f t="shared" si="13"/>
        <v>29.9</v>
      </c>
      <c r="DA17">
        <f t="shared" si="14"/>
        <v>2.94</v>
      </c>
      <c r="DB17">
        <f t="shared" si="15"/>
        <v>0</v>
      </c>
      <c r="DC17">
        <f t="shared" si="16"/>
        <v>0</v>
      </c>
      <c r="DD17" t="s">
        <v>4</v>
      </c>
      <c r="DE17" t="s">
        <v>4</v>
      </c>
      <c r="DF17">
        <f t="shared" si="17"/>
        <v>0</v>
      </c>
      <c r="DG17">
        <f t="shared" si="18"/>
        <v>0</v>
      </c>
      <c r="DH17">
        <f t="shared" si="19"/>
        <v>0</v>
      </c>
      <c r="DI17">
        <f t="shared" si="3"/>
        <v>0</v>
      </c>
      <c r="DJ17">
        <f t="shared" si="20"/>
        <v>0</v>
      </c>
      <c r="DK17">
        <v>0</v>
      </c>
      <c r="DL17" t="s">
        <v>4</v>
      </c>
      <c r="DM17">
        <v>0</v>
      </c>
      <c r="DN17" t="s">
        <v>4</v>
      </c>
      <c r="DO17">
        <v>0</v>
      </c>
    </row>
    <row r="18" spans="1:119">
      <c r="A18">
        <f>ROW(Source!A29)</f>
        <v>29</v>
      </c>
      <c r="B18">
        <v>70322991</v>
      </c>
      <c r="C18">
        <v>70324492</v>
      </c>
      <c r="D18">
        <v>69335526</v>
      </c>
      <c r="E18">
        <v>1</v>
      </c>
      <c r="F18">
        <v>1</v>
      </c>
      <c r="G18">
        <v>1075</v>
      </c>
      <c r="H18">
        <v>3</v>
      </c>
      <c r="I18" t="s">
        <v>138</v>
      </c>
      <c r="J18" t="s">
        <v>139</v>
      </c>
      <c r="K18" t="s">
        <v>140</v>
      </c>
      <c r="L18">
        <v>1346</v>
      </c>
      <c r="N18">
        <v>1009</v>
      </c>
      <c r="O18" t="s">
        <v>130</v>
      </c>
      <c r="P18" t="s">
        <v>130</v>
      </c>
      <c r="Q18">
        <v>1</v>
      </c>
      <c r="W18">
        <v>0</v>
      </c>
      <c r="X18">
        <v>-1164981962</v>
      </c>
      <c r="Y18">
        <f t="shared" si="11"/>
        <v>0</v>
      </c>
      <c r="AA18">
        <v>177.16</v>
      </c>
      <c r="AB18">
        <v>0</v>
      </c>
      <c r="AC18">
        <v>0</v>
      </c>
      <c r="AD18">
        <v>0</v>
      </c>
      <c r="AE18">
        <v>21.04</v>
      </c>
      <c r="AF18">
        <v>0</v>
      </c>
      <c r="AG18">
        <v>0</v>
      </c>
      <c r="AH18">
        <v>0</v>
      </c>
      <c r="AI18">
        <v>8.42</v>
      </c>
      <c r="AJ18">
        <v>1</v>
      </c>
      <c r="AK18">
        <v>1</v>
      </c>
      <c r="AL18">
        <v>1</v>
      </c>
      <c r="AM18">
        <v>2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4</v>
      </c>
      <c r="AT18">
        <v>0.3</v>
      </c>
      <c r="AU18" t="s">
        <v>26</v>
      </c>
      <c r="AV18">
        <v>0</v>
      </c>
      <c r="AW18">
        <v>2</v>
      </c>
      <c r="AX18">
        <v>70324510</v>
      </c>
      <c r="AY18">
        <v>1</v>
      </c>
      <c r="AZ18">
        <v>0</v>
      </c>
      <c r="BA18">
        <v>20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V18">
        <v>0</v>
      </c>
      <c r="CW18">
        <v>0</v>
      </c>
      <c r="CX18">
        <f>ROUND(Y18*Source!I29,9)</f>
        <v>0</v>
      </c>
      <c r="CY18">
        <f t="shared" si="12"/>
        <v>177.16</v>
      </c>
      <c r="CZ18">
        <f t="shared" si="13"/>
        <v>21.04</v>
      </c>
      <c r="DA18">
        <f t="shared" si="14"/>
        <v>8.42</v>
      </c>
      <c r="DB18">
        <f t="shared" si="15"/>
        <v>0</v>
      </c>
      <c r="DC18">
        <f t="shared" si="16"/>
        <v>0</v>
      </c>
      <c r="DD18" t="s">
        <v>4</v>
      </c>
      <c r="DE18" t="s">
        <v>4</v>
      </c>
      <c r="DF18">
        <f t="shared" si="17"/>
        <v>0</v>
      </c>
      <c r="DG18">
        <f t="shared" si="18"/>
        <v>0</v>
      </c>
      <c r="DH18">
        <f t="shared" si="19"/>
        <v>0</v>
      </c>
      <c r="DI18">
        <f t="shared" si="3"/>
        <v>0</v>
      </c>
      <c r="DJ18">
        <f t="shared" si="20"/>
        <v>0</v>
      </c>
      <c r="DK18">
        <v>0</v>
      </c>
      <c r="DL18" t="s">
        <v>4</v>
      </c>
      <c r="DM18">
        <v>0</v>
      </c>
      <c r="DN18" t="s">
        <v>4</v>
      </c>
      <c r="DO18">
        <v>0</v>
      </c>
    </row>
    <row r="19" spans="1:119">
      <c r="A19">
        <f>ROW(Source!A29)</f>
        <v>29</v>
      </c>
      <c r="B19">
        <v>70322991</v>
      </c>
      <c r="C19">
        <v>70324492</v>
      </c>
      <c r="D19">
        <v>69340457</v>
      </c>
      <c r="E19">
        <v>1</v>
      </c>
      <c r="F19">
        <v>1</v>
      </c>
      <c r="G19">
        <v>1075</v>
      </c>
      <c r="H19">
        <v>3</v>
      </c>
      <c r="I19" t="s">
        <v>141</v>
      </c>
      <c r="J19" t="s">
        <v>142</v>
      </c>
      <c r="K19" t="s">
        <v>143</v>
      </c>
      <c r="L19">
        <v>1302</v>
      </c>
      <c r="N19">
        <v>1003</v>
      </c>
      <c r="O19" t="s">
        <v>144</v>
      </c>
      <c r="P19" t="s">
        <v>144</v>
      </c>
      <c r="Q19">
        <v>10</v>
      </c>
      <c r="W19">
        <v>0</v>
      </c>
      <c r="X19">
        <v>-471450150</v>
      </c>
      <c r="Y19">
        <f t="shared" si="11"/>
        <v>0</v>
      </c>
      <c r="AA19">
        <v>326.81</v>
      </c>
      <c r="AB19">
        <v>0</v>
      </c>
      <c r="AC19">
        <v>0</v>
      </c>
      <c r="AD19">
        <v>0</v>
      </c>
      <c r="AE19">
        <v>46.16</v>
      </c>
      <c r="AF19">
        <v>0</v>
      </c>
      <c r="AG19">
        <v>0</v>
      </c>
      <c r="AH19">
        <v>0</v>
      </c>
      <c r="AI19">
        <v>7.08</v>
      </c>
      <c r="AJ19">
        <v>1</v>
      </c>
      <c r="AK19">
        <v>1</v>
      </c>
      <c r="AL19">
        <v>1</v>
      </c>
      <c r="AM19">
        <v>2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4</v>
      </c>
      <c r="AT19">
        <v>0.03</v>
      </c>
      <c r="AU19" t="s">
        <v>26</v>
      </c>
      <c r="AV19">
        <v>0</v>
      </c>
      <c r="AW19">
        <v>2</v>
      </c>
      <c r="AX19">
        <v>70324511</v>
      </c>
      <c r="AY19">
        <v>1</v>
      </c>
      <c r="AZ19">
        <v>0</v>
      </c>
      <c r="BA19">
        <v>21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V19">
        <v>0</v>
      </c>
      <c r="CW19">
        <v>0</v>
      </c>
      <c r="CX19">
        <f>ROUND(Y19*Source!I29,9)</f>
        <v>0</v>
      </c>
      <c r="CY19">
        <f t="shared" si="12"/>
        <v>326.81</v>
      </c>
      <c r="CZ19">
        <f t="shared" si="13"/>
        <v>46.16</v>
      </c>
      <c r="DA19">
        <f t="shared" si="14"/>
        <v>7.08</v>
      </c>
      <c r="DB19">
        <f t="shared" si="15"/>
        <v>0</v>
      </c>
      <c r="DC19">
        <f t="shared" si="16"/>
        <v>0</v>
      </c>
      <c r="DD19" t="s">
        <v>4</v>
      </c>
      <c r="DE19" t="s">
        <v>4</v>
      </c>
      <c r="DF19">
        <f t="shared" si="17"/>
        <v>0</v>
      </c>
      <c r="DG19">
        <f t="shared" si="18"/>
        <v>0</v>
      </c>
      <c r="DH19">
        <f t="shared" si="19"/>
        <v>0</v>
      </c>
      <c r="DI19">
        <f t="shared" si="3"/>
        <v>0</v>
      </c>
      <c r="DJ19">
        <f t="shared" si="20"/>
        <v>0</v>
      </c>
      <c r="DK19">
        <v>0</v>
      </c>
      <c r="DL19" t="s">
        <v>4</v>
      </c>
      <c r="DM19">
        <v>0</v>
      </c>
      <c r="DN19" t="s">
        <v>4</v>
      </c>
      <c r="DO19">
        <v>0</v>
      </c>
    </row>
    <row r="20" spans="1:119">
      <c r="A20">
        <f>ROW(Source!A29)</f>
        <v>29</v>
      </c>
      <c r="B20">
        <v>70322991</v>
      </c>
      <c r="C20">
        <v>70324492</v>
      </c>
      <c r="D20">
        <v>69351117</v>
      </c>
      <c r="E20">
        <v>1</v>
      </c>
      <c r="F20">
        <v>1</v>
      </c>
      <c r="G20">
        <v>1075</v>
      </c>
      <c r="H20">
        <v>3</v>
      </c>
      <c r="I20" t="s">
        <v>145</v>
      </c>
      <c r="J20" t="s">
        <v>146</v>
      </c>
      <c r="K20" t="s">
        <v>147</v>
      </c>
      <c r="L20">
        <v>1301</v>
      </c>
      <c r="N20">
        <v>1003</v>
      </c>
      <c r="O20" t="s">
        <v>148</v>
      </c>
      <c r="P20" t="s">
        <v>148</v>
      </c>
      <c r="Q20">
        <v>1</v>
      </c>
      <c r="W20">
        <v>0</v>
      </c>
      <c r="X20">
        <v>1183683129</v>
      </c>
      <c r="Y20">
        <f t="shared" si="11"/>
        <v>0</v>
      </c>
      <c r="AA20">
        <v>4.72</v>
      </c>
      <c r="AB20">
        <v>0</v>
      </c>
      <c r="AC20">
        <v>0</v>
      </c>
      <c r="AD20">
        <v>0</v>
      </c>
      <c r="AE20">
        <v>0.7</v>
      </c>
      <c r="AF20">
        <v>0</v>
      </c>
      <c r="AG20">
        <v>0</v>
      </c>
      <c r="AH20">
        <v>0</v>
      </c>
      <c r="AI20">
        <v>6.74</v>
      </c>
      <c r="AJ20">
        <v>1</v>
      </c>
      <c r="AK20">
        <v>1</v>
      </c>
      <c r="AL20">
        <v>1</v>
      </c>
      <c r="AM20">
        <v>2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4</v>
      </c>
      <c r="AT20">
        <v>2.5</v>
      </c>
      <c r="AU20" t="s">
        <v>26</v>
      </c>
      <c r="AV20">
        <v>0</v>
      </c>
      <c r="AW20">
        <v>2</v>
      </c>
      <c r="AX20">
        <v>70324512</v>
      </c>
      <c r="AY20">
        <v>1</v>
      </c>
      <c r="AZ20">
        <v>0</v>
      </c>
      <c r="BA20">
        <v>22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V20">
        <v>0</v>
      </c>
      <c r="CW20">
        <v>0</v>
      </c>
      <c r="CX20">
        <f>ROUND(Y20*Source!I29,9)</f>
        <v>0</v>
      </c>
      <c r="CY20">
        <f t="shared" si="12"/>
        <v>4.72</v>
      </c>
      <c r="CZ20">
        <f t="shared" si="13"/>
        <v>0.7</v>
      </c>
      <c r="DA20">
        <f t="shared" si="14"/>
        <v>6.74</v>
      </c>
      <c r="DB20">
        <f t="shared" si="15"/>
        <v>0</v>
      </c>
      <c r="DC20">
        <f t="shared" si="16"/>
        <v>0</v>
      </c>
      <c r="DD20" t="s">
        <v>4</v>
      </c>
      <c r="DE20" t="s">
        <v>4</v>
      </c>
      <c r="DF20">
        <f t="shared" si="17"/>
        <v>0</v>
      </c>
      <c r="DG20">
        <f t="shared" si="18"/>
        <v>0</v>
      </c>
      <c r="DH20">
        <f t="shared" si="19"/>
        <v>0</v>
      </c>
      <c r="DI20">
        <f t="shared" si="3"/>
        <v>0</v>
      </c>
      <c r="DJ20">
        <f t="shared" si="20"/>
        <v>0</v>
      </c>
      <c r="DK20">
        <v>0</v>
      </c>
      <c r="DL20" t="s">
        <v>4</v>
      </c>
      <c r="DM20">
        <v>0</v>
      </c>
      <c r="DN20" t="s">
        <v>4</v>
      </c>
      <c r="DO20">
        <v>0</v>
      </c>
    </row>
    <row r="21" spans="1:119">
      <c r="A21">
        <f>ROW(Source!A65)</f>
        <v>65</v>
      </c>
      <c r="B21">
        <v>70322994</v>
      </c>
      <c r="C21">
        <v>70323171</v>
      </c>
      <c r="D21">
        <v>69275358</v>
      </c>
      <c r="E21">
        <v>1075</v>
      </c>
      <c r="F21">
        <v>1</v>
      </c>
      <c r="G21">
        <v>1075</v>
      </c>
      <c r="H21">
        <v>1</v>
      </c>
      <c r="I21" t="s">
        <v>114</v>
      </c>
      <c r="J21" t="s">
        <v>4</v>
      </c>
      <c r="K21" t="s">
        <v>115</v>
      </c>
      <c r="L21">
        <v>1191</v>
      </c>
      <c r="N21">
        <v>1013</v>
      </c>
      <c r="O21" t="s">
        <v>116</v>
      </c>
      <c r="P21" t="s">
        <v>116</v>
      </c>
      <c r="Q21">
        <v>1</v>
      </c>
      <c r="W21">
        <v>0</v>
      </c>
      <c r="X21">
        <v>476480486</v>
      </c>
      <c r="Y21">
        <f t="shared" ref="Y21:Y40" si="21">AT21</f>
        <v>28.8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M21">
        <v>-2</v>
      </c>
      <c r="AN21">
        <v>0</v>
      </c>
      <c r="AO21">
        <v>1</v>
      </c>
      <c r="AP21">
        <v>0</v>
      </c>
      <c r="AQ21">
        <v>0</v>
      </c>
      <c r="AR21">
        <v>0</v>
      </c>
      <c r="AS21" t="s">
        <v>4</v>
      </c>
      <c r="AT21">
        <v>28.8</v>
      </c>
      <c r="AU21" t="s">
        <v>4</v>
      </c>
      <c r="AV21">
        <v>1</v>
      </c>
      <c r="AW21">
        <v>2</v>
      </c>
      <c r="AX21">
        <v>70323182</v>
      </c>
      <c r="AY21">
        <v>1</v>
      </c>
      <c r="AZ21">
        <v>0</v>
      </c>
      <c r="BA21">
        <v>25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U21">
        <f>ROUND(AT21*Source!I65*AH21*AL21,2)</f>
        <v>0</v>
      </c>
      <c r="CV21">
        <f>ROUND(Y21*Source!I65,9)</f>
        <v>57.6</v>
      </c>
      <c r="CW21">
        <v>0</v>
      </c>
      <c r="CX21">
        <f>ROUND(Y21*Source!I65,9)</f>
        <v>57.6</v>
      </c>
      <c r="CY21">
        <f>AD21</f>
        <v>0</v>
      </c>
      <c r="CZ21">
        <f>AH21</f>
        <v>0</v>
      </c>
      <c r="DA21">
        <f>AL21</f>
        <v>1</v>
      </c>
      <c r="DB21">
        <f t="shared" ref="DB21:DB40" si="22">ROUND(ROUND(AT21*CZ21,2),6)</f>
        <v>0</v>
      </c>
      <c r="DC21">
        <f t="shared" ref="DC21:DC40" si="23">ROUND(ROUND(AT21*AG21,2),6)</f>
        <v>0</v>
      </c>
      <c r="DD21" t="s">
        <v>4</v>
      </c>
      <c r="DE21" t="s">
        <v>4</v>
      </c>
      <c r="DF21">
        <f t="shared" ref="DF21:DF34" si="24">ROUND(ROUND(AE21,2)*CX21,2)</f>
        <v>0</v>
      </c>
      <c r="DG21">
        <f t="shared" si="18"/>
        <v>0</v>
      </c>
      <c r="DH21">
        <f t="shared" si="19"/>
        <v>0</v>
      </c>
      <c r="DI21">
        <f t="shared" si="3"/>
        <v>0</v>
      </c>
      <c r="DJ21">
        <f>DI21</f>
        <v>0</v>
      </c>
      <c r="DK21">
        <v>0</v>
      </c>
      <c r="DL21" t="s">
        <v>4</v>
      </c>
      <c r="DM21">
        <v>0</v>
      </c>
      <c r="DN21" t="s">
        <v>4</v>
      </c>
      <c r="DO21">
        <v>0</v>
      </c>
    </row>
    <row r="22" spans="1:119">
      <c r="A22">
        <f>ROW(Source!A65)</f>
        <v>65</v>
      </c>
      <c r="B22">
        <v>70322994</v>
      </c>
      <c r="C22">
        <v>70323171</v>
      </c>
      <c r="D22">
        <v>69364211</v>
      </c>
      <c r="E22">
        <v>1</v>
      </c>
      <c r="F22">
        <v>1</v>
      </c>
      <c r="G22">
        <v>1075</v>
      </c>
      <c r="H22">
        <v>2</v>
      </c>
      <c r="I22" t="s">
        <v>117</v>
      </c>
      <c r="J22" t="s">
        <v>118</v>
      </c>
      <c r="K22" t="s">
        <v>119</v>
      </c>
      <c r="L22">
        <v>1368</v>
      </c>
      <c r="N22">
        <v>1011</v>
      </c>
      <c r="O22" t="s">
        <v>120</v>
      </c>
      <c r="P22" t="s">
        <v>120</v>
      </c>
      <c r="Q22">
        <v>1</v>
      </c>
      <c r="W22">
        <v>0</v>
      </c>
      <c r="X22">
        <v>-1854754343</v>
      </c>
      <c r="Y22">
        <f t="shared" si="21"/>
        <v>0.17</v>
      </c>
      <c r="AA22">
        <v>0</v>
      </c>
      <c r="AB22">
        <v>7.11</v>
      </c>
      <c r="AC22">
        <v>0</v>
      </c>
      <c r="AD22">
        <v>0</v>
      </c>
      <c r="AE22">
        <v>0</v>
      </c>
      <c r="AF22">
        <v>7.11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M22">
        <v>-2</v>
      </c>
      <c r="AN22">
        <v>0</v>
      </c>
      <c r="AO22">
        <v>1</v>
      </c>
      <c r="AP22">
        <v>0</v>
      </c>
      <c r="AQ22">
        <v>0</v>
      </c>
      <c r="AR22">
        <v>0</v>
      </c>
      <c r="AS22" t="s">
        <v>4</v>
      </c>
      <c r="AT22">
        <v>0.17</v>
      </c>
      <c r="AU22" t="s">
        <v>4</v>
      </c>
      <c r="AV22">
        <v>0</v>
      </c>
      <c r="AW22">
        <v>2</v>
      </c>
      <c r="AX22">
        <v>70323183</v>
      </c>
      <c r="AY22">
        <v>1</v>
      </c>
      <c r="AZ22">
        <v>0</v>
      </c>
      <c r="BA22">
        <v>26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V22">
        <v>0</v>
      </c>
      <c r="CW22">
        <f>ROUND(Y22*Source!I65*DO22,9)</f>
        <v>0</v>
      </c>
      <c r="CX22">
        <f>ROUND(Y22*Source!I65,9)</f>
        <v>0.34</v>
      </c>
      <c r="CY22">
        <f>AB22</f>
        <v>7.11</v>
      </c>
      <c r="CZ22">
        <f>AF22</f>
        <v>7.11</v>
      </c>
      <c r="DA22">
        <f>AJ22</f>
        <v>1</v>
      </c>
      <c r="DB22">
        <f t="shared" si="22"/>
        <v>1.21</v>
      </c>
      <c r="DC22">
        <f t="shared" si="23"/>
        <v>0</v>
      </c>
      <c r="DD22" t="s">
        <v>4</v>
      </c>
      <c r="DE22" t="s">
        <v>4</v>
      </c>
      <c r="DF22">
        <f t="shared" si="24"/>
        <v>0</v>
      </c>
      <c r="DG22">
        <f t="shared" si="18"/>
        <v>2.42</v>
      </c>
      <c r="DH22">
        <f t="shared" si="19"/>
        <v>0</v>
      </c>
      <c r="DI22">
        <f t="shared" si="3"/>
        <v>0</v>
      </c>
      <c r="DJ22">
        <f>DG22</f>
        <v>2.42</v>
      </c>
      <c r="DK22">
        <v>0</v>
      </c>
      <c r="DL22" t="s">
        <v>4</v>
      </c>
      <c r="DM22">
        <v>0</v>
      </c>
      <c r="DN22" t="s">
        <v>4</v>
      </c>
      <c r="DO22">
        <v>0</v>
      </c>
    </row>
    <row r="23" spans="1:119">
      <c r="A23">
        <f>ROW(Source!A65)</f>
        <v>65</v>
      </c>
      <c r="B23">
        <v>70322994</v>
      </c>
      <c r="C23">
        <v>70323171</v>
      </c>
      <c r="D23">
        <v>69364509</v>
      </c>
      <c r="E23">
        <v>1</v>
      </c>
      <c r="F23">
        <v>1</v>
      </c>
      <c r="G23">
        <v>1075</v>
      </c>
      <c r="H23">
        <v>2</v>
      </c>
      <c r="I23" t="s">
        <v>121</v>
      </c>
      <c r="J23" t="s">
        <v>122</v>
      </c>
      <c r="K23" t="s">
        <v>123</v>
      </c>
      <c r="L23">
        <v>1368</v>
      </c>
      <c r="N23">
        <v>1011</v>
      </c>
      <c r="O23" t="s">
        <v>120</v>
      </c>
      <c r="P23" t="s">
        <v>120</v>
      </c>
      <c r="Q23">
        <v>1</v>
      </c>
      <c r="W23">
        <v>0</v>
      </c>
      <c r="X23">
        <v>322366203</v>
      </c>
      <c r="Y23">
        <f t="shared" si="21"/>
        <v>2.93</v>
      </c>
      <c r="AA23">
        <v>0</v>
      </c>
      <c r="AB23">
        <v>83.1</v>
      </c>
      <c r="AC23">
        <v>12.62</v>
      </c>
      <c r="AD23">
        <v>0</v>
      </c>
      <c r="AE23">
        <v>0</v>
      </c>
      <c r="AF23">
        <v>83.1</v>
      </c>
      <c r="AG23">
        <v>12.62</v>
      </c>
      <c r="AH23">
        <v>0</v>
      </c>
      <c r="AI23">
        <v>1</v>
      </c>
      <c r="AJ23">
        <v>1</v>
      </c>
      <c r="AK23">
        <v>1</v>
      </c>
      <c r="AL23">
        <v>1</v>
      </c>
      <c r="AM23">
        <v>-2</v>
      </c>
      <c r="AN23">
        <v>0</v>
      </c>
      <c r="AO23">
        <v>1</v>
      </c>
      <c r="AP23">
        <v>0</v>
      </c>
      <c r="AQ23">
        <v>0</v>
      </c>
      <c r="AR23">
        <v>0</v>
      </c>
      <c r="AS23" t="s">
        <v>4</v>
      </c>
      <c r="AT23">
        <v>2.93</v>
      </c>
      <c r="AU23" t="s">
        <v>4</v>
      </c>
      <c r="AV23">
        <v>0</v>
      </c>
      <c r="AW23">
        <v>2</v>
      </c>
      <c r="AX23">
        <v>70323184</v>
      </c>
      <c r="AY23">
        <v>1</v>
      </c>
      <c r="AZ23">
        <v>0</v>
      </c>
      <c r="BA23">
        <v>27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V23">
        <v>0</v>
      </c>
      <c r="CW23">
        <f>ROUND(Y23*Source!I65*DO23,9)</f>
        <v>0</v>
      </c>
      <c r="CX23">
        <f>ROUND(Y23*Source!I65,9)</f>
        <v>5.86</v>
      </c>
      <c r="CY23">
        <f>AB23</f>
        <v>83.1</v>
      </c>
      <c r="CZ23">
        <f>AF23</f>
        <v>83.1</v>
      </c>
      <c r="DA23">
        <f>AJ23</f>
        <v>1</v>
      </c>
      <c r="DB23">
        <f t="shared" si="22"/>
        <v>243.48</v>
      </c>
      <c r="DC23">
        <f t="shared" si="23"/>
        <v>36.979999999999997</v>
      </c>
      <c r="DD23" t="s">
        <v>4</v>
      </c>
      <c r="DE23" t="s">
        <v>4</v>
      </c>
      <c r="DF23">
        <f t="shared" si="24"/>
        <v>0</v>
      </c>
      <c r="DG23">
        <f t="shared" si="18"/>
        <v>486.97</v>
      </c>
      <c r="DH23">
        <f t="shared" si="19"/>
        <v>73.95</v>
      </c>
      <c r="DI23">
        <f t="shared" si="3"/>
        <v>0</v>
      </c>
      <c r="DJ23">
        <f>DG23</f>
        <v>486.97</v>
      </c>
      <c r="DK23">
        <v>0</v>
      </c>
      <c r="DL23" t="s">
        <v>4</v>
      </c>
      <c r="DM23">
        <v>0</v>
      </c>
      <c r="DN23" t="s">
        <v>4</v>
      </c>
      <c r="DO23">
        <v>0</v>
      </c>
    </row>
    <row r="24" spans="1:119">
      <c r="A24">
        <f>ROW(Source!A65)</f>
        <v>65</v>
      </c>
      <c r="B24">
        <v>70322994</v>
      </c>
      <c r="C24">
        <v>70323171</v>
      </c>
      <c r="D24">
        <v>69363847</v>
      </c>
      <c r="E24">
        <v>1</v>
      </c>
      <c r="F24">
        <v>1</v>
      </c>
      <c r="G24">
        <v>1075</v>
      </c>
      <c r="H24">
        <v>2</v>
      </c>
      <c r="I24" t="s">
        <v>124</v>
      </c>
      <c r="J24" t="s">
        <v>125</v>
      </c>
      <c r="K24" t="s">
        <v>126</v>
      </c>
      <c r="L24">
        <v>1368</v>
      </c>
      <c r="N24">
        <v>1011</v>
      </c>
      <c r="O24" t="s">
        <v>120</v>
      </c>
      <c r="P24" t="s">
        <v>120</v>
      </c>
      <c r="Q24">
        <v>1</v>
      </c>
      <c r="W24">
        <v>0</v>
      </c>
      <c r="X24">
        <v>-1536647364</v>
      </c>
      <c r="Y24">
        <f t="shared" si="21"/>
        <v>15.5</v>
      </c>
      <c r="AA24">
        <v>0</v>
      </c>
      <c r="AB24">
        <v>31.15</v>
      </c>
      <c r="AC24">
        <v>10.220000000000001</v>
      </c>
      <c r="AD24">
        <v>0</v>
      </c>
      <c r="AE24">
        <v>0</v>
      </c>
      <c r="AF24">
        <v>31.15</v>
      </c>
      <c r="AG24">
        <v>10.220000000000001</v>
      </c>
      <c r="AH24">
        <v>0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1</v>
      </c>
      <c r="AP24">
        <v>0</v>
      </c>
      <c r="AQ24">
        <v>0</v>
      </c>
      <c r="AR24">
        <v>0</v>
      </c>
      <c r="AS24" t="s">
        <v>4</v>
      </c>
      <c r="AT24">
        <v>15.5</v>
      </c>
      <c r="AU24" t="s">
        <v>4</v>
      </c>
      <c r="AV24">
        <v>0</v>
      </c>
      <c r="AW24">
        <v>2</v>
      </c>
      <c r="AX24">
        <v>70323185</v>
      </c>
      <c r="AY24">
        <v>1</v>
      </c>
      <c r="AZ24">
        <v>0</v>
      </c>
      <c r="BA24">
        <v>28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V24">
        <v>0</v>
      </c>
      <c r="CW24">
        <f>ROUND(Y24*Source!I65*DO24,9)</f>
        <v>0</v>
      </c>
      <c r="CX24">
        <f>ROUND(Y24*Source!I65,9)</f>
        <v>31</v>
      </c>
      <c r="CY24">
        <f>AB24</f>
        <v>31.15</v>
      </c>
      <c r="CZ24">
        <f>AF24</f>
        <v>31.15</v>
      </c>
      <c r="DA24">
        <f>AJ24</f>
        <v>1</v>
      </c>
      <c r="DB24">
        <f t="shared" si="22"/>
        <v>482.83</v>
      </c>
      <c r="DC24">
        <f t="shared" si="23"/>
        <v>158.41</v>
      </c>
      <c r="DD24" t="s">
        <v>4</v>
      </c>
      <c r="DE24" t="s">
        <v>4</v>
      </c>
      <c r="DF24">
        <f t="shared" si="24"/>
        <v>0</v>
      </c>
      <c r="DG24">
        <f t="shared" si="18"/>
        <v>965.65</v>
      </c>
      <c r="DH24">
        <f t="shared" si="19"/>
        <v>316.82</v>
      </c>
      <c r="DI24">
        <f t="shared" si="3"/>
        <v>0</v>
      </c>
      <c r="DJ24">
        <f>DG24</f>
        <v>965.65</v>
      </c>
      <c r="DK24">
        <v>0</v>
      </c>
      <c r="DL24" t="s">
        <v>4</v>
      </c>
      <c r="DM24">
        <v>0</v>
      </c>
      <c r="DN24" t="s">
        <v>4</v>
      </c>
      <c r="DO24">
        <v>0</v>
      </c>
    </row>
    <row r="25" spans="1:119">
      <c r="A25">
        <f>ROW(Source!A65)</f>
        <v>65</v>
      </c>
      <c r="B25">
        <v>70322994</v>
      </c>
      <c r="C25">
        <v>70323171</v>
      </c>
      <c r="D25">
        <v>69334386</v>
      </c>
      <c r="E25">
        <v>1</v>
      </c>
      <c r="F25">
        <v>1</v>
      </c>
      <c r="G25">
        <v>1075</v>
      </c>
      <c r="H25">
        <v>3</v>
      </c>
      <c r="I25" t="s">
        <v>127</v>
      </c>
      <c r="J25" t="s">
        <v>128</v>
      </c>
      <c r="K25" t="s">
        <v>129</v>
      </c>
      <c r="L25">
        <v>1346</v>
      </c>
      <c r="N25">
        <v>1009</v>
      </c>
      <c r="O25" t="s">
        <v>130</v>
      </c>
      <c r="P25" t="s">
        <v>130</v>
      </c>
      <c r="Q25">
        <v>1</v>
      </c>
      <c r="W25">
        <v>0</v>
      </c>
      <c r="X25">
        <v>1295075275</v>
      </c>
      <c r="Y25">
        <f t="shared" si="21"/>
        <v>2.4</v>
      </c>
      <c r="AA25">
        <v>26.89</v>
      </c>
      <c r="AB25">
        <v>0</v>
      </c>
      <c r="AC25">
        <v>0</v>
      </c>
      <c r="AD25">
        <v>0</v>
      </c>
      <c r="AE25">
        <v>26.89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M25">
        <v>-2</v>
      </c>
      <c r="AN25">
        <v>0</v>
      </c>
      <c r="AO25">
        <v>1</v>
      </c>
      <c r="AP25">
        <v>0</v>
      </c>
      <c r="AQ25">
        <v>0</v>
      </c>
      <c r="AR25">
        <v>0</v>
      </c>
      <c r="AS25" t="s">
        <v>4</v>
      </c>
      <c r="AT25">
        <v>2.4</v>
      </c>
      <c r="AU25" t="s">
        <v>4</v>
      </c>
      <c r="AV25">
        <v>0</v>
      </c>
      <c r="AW25">
        <v>2</v>
      </c>
      <c r="AX25">
        <v>70323186</v>
      </c>
      <c r="AY25">
        <v>1</v>
      </c>
      <c r="AZ25">
        <v>0</v>
      </c>
      <c r="BA25">
        <v>29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V25">
        <v>0</v>
      </c>
      <c r="CW25">
        <v>0</v>
      </c>
      <c r="CX25">
        <f>ROUND(Y25*Source!I65,9)</f>
        <v>4.8</v>
      </c>
      <c r="CY25">
        <f t="shared" ref="CY25:CY30" si="25">AA25</f>
        <v>26.89</v>
      </c>
      <c r="CZ25">
        <f t="shared" ref="CZ25:CZ30" si="26">AE25</f>
        <v>26.89</v>
      </c>
      <c r="DA25">
        <f t="shared" ref="DA25:DA30" si="27">AI25</f>
        <v>1</v>
      </c>
      <c r="DB25">
        <f t="shared" si="22"/>
        <v>64.540000000000006</v>
      </c>
      <c r="DC25">
        <f t="shared" si="23"/>
        <v>0</v>
      </c>
      <c r="DD25" t="s">
        <v>4</v>
      </c>
      <c r="DE25" t="s">
        <v>4</v>
      </c>
      <c r="DF25">
        <f t="shared" si="24"/>
        <v>129.07</v>
      </c>
      <c r="DG25">
        <f t="shared" si="18"/>
        <v>0</v>
      </c>
      <c r="DH25">
        <f t="shared" si="19"/>
        <v>0</v>
      </c>
      <c r="DI25">
        <f t="shared" si="3"/>
        <v>0</v>
      </c>
      <c r="DJ25">
        <f t="shared" ref="DJ25:DJ30" si="28">DF25</f>
        <v>129.07</v>
      </c>
      <c r="DK25">
        <v>0</v>
      </c>
      <c r="DL25" t="s">
        <v>4</v>
      </c>
      <c r="DM25">
        <v>0</v>
      </c>
      <c r="DN25" t="s">
        <v>4</v>
      </c>
      <c r="DO25">
        <v>0</v>
      </c>
    </row>
    <row r="26" spans="1:119">
      <c r="A26">
        <f>ROW(Source!A65)</f>
        <v>65</v>
      </c>
      <c r="B26">
        <v>70322994</v>
      </c>
      <c r="C26">
        <v>70323171</v>
      </c>
      <c r="D26">
        <v>69334411</v>
      </c>
      <c r="E26">
        <v>1</v>
      </c>
      <c r="F26">
        <v>1</v>
      </c>
      <c r="G26">
        <v>1075</v>
      </c>
      <c r="H26">
        <v>3</v>
      </c>
      <c r="I26" t="s">
        <v>131</v>
      </c>
      <c r="J26" t="s">
        <v>132</v>
      </c>
      <c r="K26" t="s">
        <v>133</v>
      </c>
      <c r="L26">
        <v>1348</v>
      </c>
      <c r="N26">
        <v>1009</v>
      </c>
      <c r="O26" t="s">
        <v>134</v>
      </c>
      <c r="P26" t="s">
        <v>134</v>
      </c>
      <c r="Q26">
        <v>1000</v>
      </c>
      <c r="W26">
        <v>0</v>
      </c>
      <c r="X26">
        <v>-606968375</v>
      </c>
      <c r="Y26">
        <f t="shared" si="21"/>
        <v>1E-3</v>
      </c>
      <c r="AA26">
        <v>7254.88</v>
      </c>
      <c r="AB26">
        <v>0</v>
      </c>
      <c r="AC26">
        <v>0</v>
      </c>
      <c r="AD26">
        <v>0</v>
      </c>
      <c r="AE26">
        <v>7254.88</v>
      </c>
      <c r="AF26">
        <v>0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M26">
        <v>-2</v>
      </c>
      <c r="AN26">
        <v>0</v>
      </c>
      <c r="AO26">
        <v>1</v>
      </c>
      <c r="AP26">
        <v>0</v>
      </c>
      <c r="AQ26">
        <v>0</v>
      </c>
      <c r="AR26">
        <v>0</v>
      </c>
      <c r="AS26" t="s">
        <v>4</v>
      </c>
      <c r="AT26">
        <v>1E-3</v>
      </c>
      <c r="AU26" t="s">
        <v>4</v>
      </c>
      <c r="AV26">
        <v>0</v>
      </c>
      <c r="AW26">
        <v>2</v>
      </c>
      <c r="AX26">
        <v>70323187</v>
      </c>
      <c r="AY26">
        <v>1</v>
      </c>
      <c r="AZ26">
        <v>0</v>
      </c>
      <c r="BA26">
        <v>30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V26">
        <v>0</v>
      </c>
      <c r="CW26">
        <v>0</v>
      </c>
      <c r="CX26">
        <f>ROUND(Y26*Source!I65,9)</f>
        <v>2E-3</v>
      </c>
      <c r="CY26">
        <f t="shared" si="25"/>
        <v>7254.88</v>
      </c>
      <c r="CZ26">
        <f t="shared" si="26"/>
        <v>7254.88</v>
      </c>
      <c r="DA26">
        <f t="shared" si="27"/>
        <v>1</v>
      </c>
      <c r="DB26">
        <f t="shared" si="22"/>
        <v>7.25</v>
      </c>
      <c r="DC26">
        <f t="shared" si="23"/>
        <v>0</v>
      </c>
      <c r="DD26" t="s">
        <v>4</v>
      </c>
      <c r="DE26" t="s">
        <v>4</v>
      </c>
      <c r="DF26">
        <f t="shared" si="24"/>
        <v>14.51</v>
      </c>
      <c r="DG26">
        <f t="shared" si="18"/>
        <v>0</v>
      </c>
      <c r="DH26">
        <f t="shared" si="19"/>
        <v>0</v>
      </c>
      <c r="DI26">
        <f t="shared" si="3"/>
        <v>0</v>
      </c>
      <c r="DJ26">
        <f t="shared" si="28"/>
        <v>14.51</v>
      </c>
      <c r="DK26">
        <v>0</v>
      </c>
      <c r="DL26" t="s">
        <v>4</v>
      </c>
      <c r="DM26">
        <v>0</v>
      </c>
      <c r="DN26" t="s">
        <v>4</v>
      </c>
      <c r="DO26">
        <v>0</v>
      </c>
    </row>
    <row r="27" spans="1:119">
      <c r="A27">
        <f>ROW(Source!A65)</f>
        <v>65</v>
      </c>
      <c r="B27">
        <v>70322994</v>
      </c>
      <c r="C27">
        <v>70323171</v>
      </c>
      <c r="D27">
        <v>69334814</v>
      </c>
      <c r="E27">
        <v>1</v>
      </c>
      <c r="F27">
        <v>1</v>
      </c>
      <c r="G27">
        <v>1075</v>
      </c>
      <c r="H27">
        <v>3</v>
      </c>
      <c r="I27" t="s">
        <v>135</v>
      </c>
      <c r="J27" t="s">
        <v>136</v>
      </c>
      <c r="K27" t="s">
        <v>137</v>
      </c>
      <c r="L27">
        <v>1346</v>
      </c>
      <c r="N27">
        <v>1009</v>
      </c>
      <c r="O27" t="s">
        <v>130</v>
      </c>
      <c r="P27" t="s">
        <v>130</v>
      </c>
      <c r="Q27">
        <v>1</v>
      </c>
      <c r="W27">
        <v>0</v>
      </c>
      <c r="X27">
        <v>-2000333744</v>
      </c>
      <c r="Y27">
        <f t="shared" si="21"/>
        <v>0.2</v>
      </c>
      <c r="AA27">
        <v>29.9</v>
      </c>
      <c r="AB27">
        <v>0</v>
      </c>
      <c r="AC27">
        <v>0</v>
      </c>
      <c r="AD27">
        <v>0</v>
      </c>
      <c r="AE27">
        <v>29.9</v>
      </c>
      <c r="AF27">
        <v>0</v>
      </c>
      <c r="AG27">
        <v>0</v>
      </c>
      <c r="AH27">
        <v>0</v>
      </c>
      <c r="AI27">
        <v>1</v>
      </c>
      <c r="AJ27">
        <v>1</v>
      </c>
      <c r="AK27">
        <v>1</v>
      </c>
      <c r="AL27">
        <v>1</v>
      </c>
      <c r="AM27">
        <v>-2</v>
      </c>
      <c r="AN27">
        <v>0</v>
      </c>
      <c r="AO27">
        <v>1</v>
      </c>
      <c r="AP27">
        <v>0</v>
      </c>
      <c r="AQ27">
        <v>0</v>
      </c>
      <c r="AR27">
        <v>0</v>
      </c>
      <c r="AS27" t="s">
        <v>4</v>
      </c>
      <c r="AT27">
        <v>0.2</v>
      </c>
      <c r="AU27" t="s">
        <v>4</v>
      </c>
      <c r="AV27">
        <v>0</v>
      </c>
      <c r="AW27">
        <v>2</v>
      </c>
      <c r="AX27">
        <v>70323188</v>
      </c>
      <c r="AY27">
        <v>1</v>
      </c>
      <c r="AZ27">
        <v>0</v>
      </c>
      <c r="BA27">
        <v>31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V27">
        <v>0</v>
      </c>
      <c r="CW27">
        <v>0</v>
      </c>
      <c r="CX27">
        <f>ROUND(Y27*Source!I65,9)</f>
        <v>0.4</v>
      </c>
      <c r="CY27">
        <f t="shared" si="25"/>
        <v>29.9</v>
      </c>
      <c r="CZ27">
        <f t="shared" si="26"/>
        <v>29.9</v>
      </c>
      <c r="DA27">
        <f t="shared" si="27"/>
        <v>1</v>
      </c>
      <c r="DB27">
        <f t="shared" si="22"/>
        <v>5.98</v>
      </c>
      <c r="DC27">
        <f t="shared" si="23"/>
        <v>0</v>
      </c>
      <c r="DD27" t="s">
        <v>4</v>
      </c>
      <c r="DE27" t="s">
        <v>4</v>
      </c>
      <c r="DF27">
        <f t="shared" si="24"/>
        <v>11.96</v>
      </c>
      <c r="DG27">
        <f t="shared" si="18"/>
        <v>0</v>
      </c>
      <c r="DH27">
        <f t="shared" si="19"/>
        <v>0</v>
      </c>
      <c r="DI27">
        <f t="shared" si="3"/>
        <v>0</v>
      </c>
      <c r="DJ27">
        <f t="shared" si="28"/>
        <v>11.96</v>
      </c>
      <c r="DK27">
        <v>0</v>
      </c>
      <c r="DL27" t="s">
        <v>4</v>
      </c>
      <c r="DM27">
        <v>0</v>
      </c>
      <c r="DN27" t="s">
        <v>4</v>
      </c>
      <c r="DO27">
        <v>0</v>
      </c>
    </row>
    <row r="28" spans="1:119">
      <c r="A28">
        <f>ROW(Source!A65)</f>
        <v>65</v>
      </c>
      <c r="B28">
        <v>70322994</v>
      </c>
      <c r="C28">
        <v>70323171</v>
      </c>
      <c r="D28">
        <v>69335526</v>
      </c>
      <c r="E28">
        <v>1</v>
      </c>
      <c r="F28">
        <v>1</v>
      </c>
      <c r="G28">
        <v>1075</v>
      </c>
      <c r="H28">
        <v>3</v>
      </c>
      <c r="I28" t="s">
        <v>138</v>
      </c>
      <c r="J28" t="s">
        <v>139</v>
      </c>
      <c r="K28" t="s">
        <v>140</v>
      </c>
      <c r="L28">
        <v>1346</v>
      </c>
      <c r="N28">
        <v>1009</v>
      </c>
      <c r="O28" t="s">
        <v>130</v>
      </c>
      <c r="P28" t="s">
        <v>130</v>
      </c>
      <c r="Q28">
        <v>1</v>
      </c>
      <c r="W28">
        <v>0</v>
      </c>
      <c r="X28">
        <v>-1164981962</v>
      </c>
      <c r="Y28">
        <f t="shared" si="21"/>
        <v>0.3</v>
      </c>
      <c r="AA28">
        <v>21.04</v>
      </c>
      <c r="AB28">
        <v>0</v>
      </c>
      <c r="AC28">
        <v>0</v>
      </c>
      <c r="AD28">
        <v>0</v>
      </c>
      <c r="AE28">
        <v>21.04</v>
      </c>
      <c r="AF28">
        <v>0</v>
      </c>
      <c r="AG28">
        <v>0</v>
      </c>
      <c r="AH28">
        <v>0</v>
      </c>
      <c r="AI28">
        <v>1</v>
      </c>
      <c r="AJ28">
        <v>1</v>
      </c>
      <c r="AK28">
        <v>1</v>
      </c>
      <c r="AL28">
        <v>1</v>
      </c>
      <c r="AM28">
        <v>-2</v>
      </c>
      <c r="AN28">
        <v>0</v>
      </c>
      <c r="AO28">
        <v>1</v>
      </c>
      <c r="AP28">
        <v>0</v>
      </c>
      <c r="AQ28">
        <v>0</v>
      </c>
      <c r="AR28">
        <v>0</v>
      </c>
      <c r="AS28" t="s">
        <v>4</v>
      </c>
      <c r="AT28">
        <v>0.3</v>
      </c>
      <c r="AU28" t="s">
        <v>4</v>
      </c>
      <c r="AV28">
        <v>0</v>
      </c>
      <c r="AW28">
        <v>2</v>
      </c>
      <c r="AX28">
        <v>70323189</v>
      </c>
      <c r="AY28">
        <v>1</v>
      </c>
      <c r="AZ28">
        <v>0</v>
      </c>
      <c r="BA28">
        <v>32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V28">
        <v>0</v>
      </c>
      <c r="CW28">
        <v>0</v>
      </c>
      <c r="CX28">
        <f>ROUND(Y28*Source!I65,9)</f>
        <v>0.6</v>
      </c>
      <c r="CY28">
        <f t="shared" si="25"/>
        <v>21.04</v>
      </c>
      <c r="CZ28">
        <f t="shared" si="26"/>
        <v>21.04</v>
      </c>
      <c r="DA28">
        <f t="shared" si="27"/>
        <v>1</v>
      </c>
      <c r="DB28">
        <f t="shared" si="22"/>
        <v>6.31</v>
      </c>
      <c r="DC28">
        <f t="shared" si="23"/>
        <v>0</v>
      </c>
      <c r="DD28" t="s">
        <v>4</v>
      </c>
      <c r="DE28" t="s">
        <v>4</v>
      </c>
      <c r="DF28">
        <f t="shared" si="24"/>
        <v>12.62</v>
      </c>
      <c r="DG28">
        <f t="shared" si="18"/>
        <v>0</v>
      </c>
      <c r="DH28">
        <f t="shared" si="19"/>
        <v>0</v>
      </c>
      <c r="DI28">
        <f t="shared" si="3"/>
        <v>0</v>
      </c>
      <c r="DJ28">
        <f t="shared" si="28"/>
        <v>12.62</v>
      </c>
      <c r="DK28">
        <v>0</v>
      </c>
      <c r="DL28" t="s">
        <v>4</v>
      </c>
      <c r="DM28">
        <v>0</v>
      </c>
      <c r="DN28" t="s">
        <v>4</v>
      </c>
      <c r="DO28">
        <v>0</v>
      </c>
    </row>
    <row r="29" spans="1:119">
      <c r="A29">
        <f>ROW(Source!A65)</f>
        <v>65</v>
      </c>
      <c r="B29">
        <v>70322994</v>
      </c>
      <c r="C29">
        <v>70323171</v>
      </c>
      <c r="D29">
        <v>69340457</v>
      </c>
      <c r="E29">
        <v>1</v>
      </c>
      <c r="F29">
        <v>1</v>
      </c>
      <c r="G29">
        <v>1075</v>
      </c>
      <c r="H29">
        <v>3</v>
      </c>
      <c r="I29" t="s">
        <v>141</v>
      </c>
      <c r="J29" t="s">
        <v>142</v>
      </c>
      <c r="K29" t="s">
        <v>143</v>
      </c>
      <c r="L29">
        <v>1302</v>
      </c>
      <c r="N29">
        <v>1003</v>
      </c>
      <c r="O29" t="s">
        <v>144</v>
      </c>
      <c r="P29" t="s">
        <v>144</v>
      </c>
      <c r="Q29">
        <v>10</v>
      </c>
      <c r="W29">
        <v>0</v>
      </c>
      <c r="X29">
        <v>-471450150</v>
      </c>
      <c r="Y29">
        <f t="shared" si="21"/>
        <v>0.03</v>
      </c>
      <c r="AA29">
        <v>46.16</v>
      </c>
      <c r="AB29">
        <v>0</v>
      </c>
      <c r="AC29">
        <v>0</v>
      </c>
      <c r="AD29">
        <v>0</v>
      </c>
      <c r="AE29">
        <v>46.16</v>
      </c>
      <c r="AF29">
        <v>0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M29">
        <v>-2</v>
      </c>
      <c r="AN29">
        <v>0</v>
      </c>
      <c r="AO29">
        <v>1</v>
      </c>
      <c r="AP29">
        <v>0</v>
      </c>
      <c r="AQ29">
        <v>0</v>
      </c>
      <c r="AR29">
        <v>0</v>
      </c>
      <c r="AS29" t="s">
        <v>4</v>
      </c>
      <c r="AT29">
        <v>0.03</v>
      </c>
      <c r="AU29" t="s">
        <v>4</v>
      </c>
      <c r="AV29">
        <v>0</v>
      </c>
      <c r="AW29">
        <v>2</v>
      </c>
      <c r="AX29">
        <v>70323190</v>
      </c>
      <c r="AY29">
        <v>1</v>
      </c>
      <c r="AZ29">
        <v>0</v>
      </c>
      <c r="BA29">
        <v>33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V29">
        <v>0</v>
      </c>
      <c r="CW29">
        <v>0</v>
      </c>
      <c r="CX29">
        <f>ROUND(Y29*Source!I65,9)</f>
        <v>0.06</v>
      </c>
      <c r="CY29">
        <f t="shared" si="25"/>
        <v>46.16</v>
      </c>
      <c r="CZ29">
        <f t="shared" si="26"/>
        <v>46.16</v>
      </c>
      <c r="DA29">
        <f t="shared" si="27"/>
        <v>1</v>
      </c>
      <c r="DB29">
        <f t="shared" si="22"/>
        <v>1.38</v>
      </c>
      <c r="DC29">
        <f t="shared" si="23"/>
        <v>0</v>
      </c>
      <c r="DD29" t="s">
        <v>4</v>
      </c>
      <c r="DE29" t="s">
        <v>4</v>
      </c>
      <c r="DF29">
        <f t="shared" si="24"/>
        <v>2.77</v>
      </c>
      <c r="DG29">
        <f t="shared" si="18"/>
        <v>0</v>
      </c>
      <c r="DH29">
        <f t="shared" si="19"/>
        <v>0</v>
      </c>
      <c r="DI29">
        <f t="shared" si="3"/>
        <v>0</v>
      </c>
      <c r="DJ29">
        <f t="shared" si="28"/>
        <v>2.77</v>
      </c>
      <c r="DK29">
        <v>0</v>
      </c>
      <c r="DL29" t="s">
        <v>4</v>
      </c>
      <c r="DM29">
        <v>0</v>
      </c>
      <c r="DN29" t="s">
        <v>4</v>
      </c>
      <c r="DO29">
        <v>0</v>
      </c>
    </row>
    <row r="30" spans="1:119">
      <c r="A30">
        <f>ROW(Source!A65)</f>
        <v>65</v>
      </c>
      <c r="B30">
        <v>70322994</v>
      </c>
      <c r="C30">
        <v>70323171</v>
      </c>
      <c r="D30">
        <v>69351117</v>
      </c>
      <c r="E30">
        <v>1</v>
      </c>
      <c r="F30">
        <v>1</v>
      </c>
      <c r="G30">
        <v>1075</v>
      </c>
      <c r="H30">
        <v>3</v>
      </c>
      <c r="I30" t="s">
        <v>145</v>
      </c>
      <c r="J30" t="s">
        <v>146</v>
      </c>
      <c r="K30" t="s">
        <v>147</v>
      </c>
      <c r="L30">
        <v>1301</v>
      </c>
      <c r="N30">
        <v>1003</v>
      </c>
      <c r="O30" t="s">
        <v>148</v>
      </c>
      <c r="P30" t="s">
        <v>148</v>
      </c>
      <c r="Q30">
        <v>1</v>
      </c>
      <c r="W30">
        <v>0</v>
      </c>
      <c r="X30">
        <v>1183683129</v>
      </c>
      <c r="Y30">
        <f t="shared" si="21"/>
        <v>2.5</v>
      </c>
      <c r="AA30">
        <v>0.7</v>
      </c>
      <c r="AB30">
        <v>0</v>
      </c>
      <c r="AC30">
        <v>0</v>
      </c>
      <c r="AD30">
        <v>0</v>
      </c>
      <c r="AE30">
        <v>0.7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M30">
        <v>-2</v>
      </c>
      <c r="AN30">
        <v>0</v>
      </c>
      <c r="AO30">
        <v>1</v>
      </c>
      <c r="AP30">
        <v>0</v>
      </c>
      <c r="AQ30">
        <v>0</v>
      </c>
      <c r="AR30">
        <v>0</v>
      </c>
      <c r="AS30" t="s">
        <v>4</v>
      </c>
      <c r="AT30">
        <v>2.5</v>
      </c>
      <c r="AU30" t="s">
        <v>4</v>
      </c>
      <c r="AV30">
        <v>0</v>
      </c>
      <c r="AW30">
        <v>2</v>
      </c>
      <c r="AX30">
        <v>70323191</v>
      </c>
      <c r="AY30">
        <v>1</v>
      </c>
      <c r="AZ30">
        <v>0</v>
      </c>
      <c r="BA30">
        <v>34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V30">
        <v>0</v>
      </c>
      <c r="CW30">
        <v>0</v>
      </c>
      <c r="CX30">
        <f>ROUND(Y30*Source!I65,9)</f>
        <v>5</v>
      </c>
      <c r="CY30">
        <f t="shared" si="25"/>
        <v>0.7</v>
      </c>
      <c r="CZ30">
        <f t="shared" si="26"/>
        <v>0.7</v>
      </c>
      <c r="DA30">
        <f t="shared" si="27"/>
        <v>1</v>
      </c>
      <c r="DB30">
        <f t="shared" si="22"/>
        <v>1.75</v>
      </c>
      <c r="DC30">
        <f t="shared" si="23"/>
        <v>0</v>
      </c>
      <c r="DD30" t="s">
        <v>4</v>
      </c>
      <c r="DE30" t="s">
        <v>4</v>
      </c>
      <c r="DF30">
        <f t="shared" si="24"/>
        <v>3.5</v>
      </c>
      <c r="DG30">
        <f t="shared" si="18"/>
        <v>0</v>
      </c>
      <c r="DH30">
        <f t="shared" si="19"/>
        <v>0</v>
      </c>
      <c r="DI30">
        <f t="shared" si="3"/>
        <v>0</v>
      </c>
      <c r="DJ30">
        <f t="shared" si="28"/>
        <v>3.5</v>
      </c>
      <c r="DK30">
        <v>0</v>
      </c>
      <c r="DL30" t="s">
        <v>4</v>
      </c>
      <c r="DM30">
        <v>0</v>
      </c>
      <c r="DN30" t="s">
        <v>4</v>
      </c>
      <c r="DO30">
        <v>0</v>
      </c>
    </row>
    <row r="31" spans="1:119">
      <c r="A31">
        <f>ROW(Source!A66)</f>
        <v>66</v>
      </c>
      <c r="B31">
        <v>70322991</v>
      </c>
      <c r="C31">
        <v>70323171</v>
      </c>
      <c r="D31">
        <v>69275358</v>
      </c>
      <c r="E31">
        <v>1075</v>
      </c>
      <c r="F31">
        <v>1</v>
      </c>
      <c r="G31">
        <v>1075</v>
      </c>
      <c r="H31">
        <v>1</v>
      </c>
      <c r="I31" t="s">
        <v>114</v>
      </c>
      <c r="J31" t="s">
        <v>4</v>
      </c>
      <c r="K31" t="s">
        <v>115</v>
      </c>
      <c r="L31">
        <v>1191</v>
      </c>
      <c r="N31">
        <v>1013</v>
      </c>
      <c r="O31" t="s">
        <v>116</v>
      </c>
      <c r="P31" t="s">
        <v>116</v>
      </c>
      <c r="Q31">
        <v>1</v>
      </c>
      <c r="W31">
        <v>0</v>
      </c>
      <c r="X31">
        <v>476480486</v>
      </c>
      <c r="Y31">
        <f t="shared" si="21"/>
        <v>28.8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1</v>
      </c>
      <c r="AJ31">
        <v>1</v>
      </c>
      <c r="AK31">
        <v>1</v>
      </c>
      <c r="AL31">
        <v>1</v>
      </c>
      <c r="AM31">
        <v>-2</v>
      </c>
      <c r="AN31">
        <v>0</v>
      </c>
      <c r="AO31">
        <v>1</v>
      </c>
      <c r="AP31">
        <v>0</v>
      </c>
      <c r="AQ31">
        <v>0</v>
      </c>
      <c r="AR31">
        <v>0</v>
      </c>
      <c r="AS31" t="s">
        <v>4</v>
      </c>
      <c r="AT31">
        <v>28.8</v>
      </c>
      <c r="AU31" t="s">
        <v>4</v>
      </c>
      <c r="AV31">
        <v>1</v>
      </c>
      <c r="AW31">
        <v>2</v>
      </c>
      <c r="AX31">
        <v>70323182</v>
      </c>
      <c r="AY31">
        <v>1</v>
      </c>
      <c r="AZ31">
        <v>0</v>
      </c>
      <c r="BA31">
        <v>37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U31">
        <f>ROUND(AT31*Source!I66*AH31*AL31,2)</f>
        <v>0</v>
      </c>
      <c r="CV31">
        <f>ROUND(Y31*Source!I66,9)</f>
        <v>57.6</v>
      </c>
      <c r="CW31">
        <v>0</v>
      </c>
      <c r="CX31">
        <f>ROUND(Y31*Source!I66,9)</f>
        <v>57.6</v>
      </c>
      <c r="CY31">
        <f>AD31</f>
        <v>0</v>
      </c>
      <c r="CZ31">
        <f>AH31</f>
        <v>0</v>
      </c>
      <c r="DA31">
        <f>AL31</f>
        <v>1</v>
      </c>
      <c r="DB31">
        <f t="shared" si="22"/>
        <v>0</v>
      </c>
      <c r="DC31">
        <f t="shared" si="23"/>
        <v>0</v>
      </c>
      <c r="DD31" t="s">
        <v>4</v>
      </c>
      <c r="DE31" t="s">
        <v>4</v>
      </c>
      <c r="DF31">
        <f t="shared" si="24"/>
        <v>0</v>
      </c>
      <c r="DG31">
        <f t="shared" si="18"/>
        <v>0</v>
      </c>
      <c r="DH31">
        <f t="shared" si="19"/>
        <v>0</v>
      </c>
      <c r="DI31">
        <f t="shared" si="3"/>
        <v>0</v>
      </c>
      <c r="DJ31">
        <f>DI31</f>
        <v>0</v>
      </c>
      <c r="DK31">
        <v>0</v>
      </c>
      <c r="DL31" t="s">
        <v>4</v>
      </c>
      <c r="DM31">
        <v>0</v>
      </c>
      <c r="DN31" t="s">
        <v>4</v>
      </c>
      <c r="DO31">
        <v>0</v>
      </c>
    </row>
    <row r="32" spans="1:119">
      <c r="A32">
        <f>ROW(Source!A66)</f>
        <v>66</v>
      </c>
      <c r="B32">
        <v>70322991</v>
      </c>
      <c r="C32">
        <v>70323171</v>
      </c>
      <c r="D32">
        <v>69364211</v>
      </c>
      <c r="E32">
        <v>1</v>
      </c>
      <c r="F32">
        <v>1</v>
      </c>
      <c r="G32">
        <v>1075</v>
      </c>
      <c r="H32">
        <v>2</v>
      </c>
      <c r="I32" t="s">
        <v>117</v>
      </c>
      <c r="J32" t="s">
        <v>118</v>
      </c>
      <c r="K32" t="s">
        <v>119</v>
      </c>
      <c r="L32">
        <v>1368</v>
      </c>
      <c r="N32">
        <v>1011</v>
      </c>
      <c r="O32" t="s">
        <v>120</v>
      </c>
      <c r="P32" t="s">
        <v>120</v>
      </c>
      <c r="Q32">
        <v>1</v>
      </c>
      <c r="W32">
        <v>0</v>
      </c>
      <c r="X32">
        <v>-1854754343</v>
      </c>
      <c r="Y32">
        <f t="shared" si="21"/>
        <v>0.17</v>
      </c>
      <c r="AA32">
        <v>0</v>
      </c>
      <c r="AB32">
        <v>87.69</v>
      </c>
      <c r="AC32">
        <v>0</v>
      </c>
      <c r="AD32">
        <v>0</v>
      </c>
      <c r="AE32">
        <v>0</v>
      </c>
      <c r="AF32">
        <v>7.11</v>
      </c>
      <c r="AG32">
        <v>0</v>
      </c>
      <c r="AH32">
        <v>0</v>
      </c>
      <c r="AI32">
        <v>1</v>
      </c>
      <c r="AJ32">
        <v>11.78</v>
      </c>
      <c r="AK32">
        <v>46.67</v>
      </c>
      <c r="AL32">
        <v>1</v>
      </c>
      <c r="AM32">
        <v>2</v>
      </c>
      <c r="AN32">
        <v>0</v>
      </c>
      <c r="AO32">
        <v>1</v>
      </c>
      <c r="AP32">
        <v>0</v>
      </c>
      <c r="AQ32">
        <v>0</v>
      </c>
      <c r="AR32">
        <v>0</v>
      </c>
      <c r="AS32" t="s">
        <v>4</v>
      </c>
      <c r="AT32">
        <v>0.17</v>
      </c>
      <c r="AU32" t="s">
        <v>4</v>
      </c>
      <c r="AV32">
        <v>0</v>
      </c>
      <c r="AW32">
        <v>2</v>
      </c>
      <c r="AX32">
        <v>70323183</v>
      </c>
      <c r="AY32">
        <v>1</v>
      </c>
      <c r="AZ32">
        <v>0</v>
      </c>
      <c r="BA32">
        <v>38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V32">
        <v>0</v>
      </c>
      <c r="CW32">
        <f>ROUND(Y32*Source!I66*DO32,9)</f>
        <v>0</v>
      </c>
      <c r="CX32">
        <f>ROUND(Y32*Source!I66,9)</f>
        <v>0.34</v>
      </c>
      <c r="CY32">
        <f>AB32</f>
        <v>87.69</v>
      </c>
      <c r="CZ32">
        <f>AF32</f>
        <v>7.11</v>
      </c>
      <c r="DA32">
        <f>AJ32</f>
        <v>11.78</v>
      </c>
      <c r="DB32">
        <f t="shared" si="22"/>
        <v>1.21</v>
      </c>
      <c r="DC32">
        <f t="shared" si="23"/>
        <v>0</v>
      </c>
      <c r="DD32" t="s">
        <v>4</v>
      </c>
      <c r="DE32" t="s">
        <v>4</v>
      </c>
      <c r="DF32">
        <f t="shared" si="24"/>
        <v>0</v>
      </c>
      <c r="DG32">
        <f>ROUND(ROUND(AF32*AJ32,2)*CX32,2)</f>
        <v>28.48</v>
      </c>
      <c r="DH32">
        <f>ROUND(ROUND(AG32*AK32,2)*CX32,2)</f>
        <v>0</v>
      </c>
      <c r="DI32">
        <f t="shared" si="3"/>
        <v>0</v>
      </c>
      <c r="DJ32">
        <f>DG32</f>
        <v>28.48</v>
      </c>
      <c r="DK32">
        <v>0</v>
      </c>
      <c r="DL32" t="s">
        <v>4</v>
      </c>
      <c r="DM32">
        <v>0</v>
      </c>
      <c r="DN32" t="s">
        <v>4</v>
      </c>
      <c r="DO32">
        <v>0</v>
      </c>
    </row>
    <row r="33" spans="1:119">
      <c r="A33">
        <f>ROW(Source!A66)</f>
        <v>66</v>
      </c>
      <c r="B33">
        <v>70322991</v>
      </c>
      <c r="C33">
        <v>70323171</v>
      </c>
      <c r="D33">
        <v>69364509</v>
      </c>
      <c r="E33">
        <v>1</v>
      </c>
      <c r="F33">
        <v>1</v>
      </c>
      <c r="G33">
        <v>1075</v>
      </c>
      <c r="H33">
        <v>2</v>
      </c>
      <c r="I33" t="s">
        <v>121</v>
      </c>
      <c r="J33" t="s">
        <v>122</v>
      </c>
      <c r="K33" t="s">
        <v>123</v>
      </c>
      <c r="L33">
        <v>1368</v>
      </c>
      <c r="N33">
        <v>1011</v>
      </c>
      <c r="O33" t="s">
        <v>120</v>
      </c>
      <c r="P33" t="s">
        <v>120</v>
      </c>
      <c r="Q33">
        <v>1</v>
      </c>
      <c r="W33">
        <v>0</v>
      </c>
      <c r="X33">
        <v>322366203</v>
      </c>
      <c r="Y33">
        <f t="shared" si="21"/>
        <v>2.93</v>
      </c>
      <c r="AA33">
        <v>0</v>
      </c>
      <c r="AB33">
        <v>1308.57</v>
      </c>
      <c r="AC33">
        <v>616.66</v>
      </c>
      <c r="AD33">
        <v>0</v>
      </c>
      <c r="AE33">
        <v>0</v>
      </c>
      <c r="AF33">
        <v>83.1</v>
      </c>
      <c r="AG33">
        <v>12.62</v>
      </c>
      <c r="AH33">
        <v>0</v>
      </c>
      <c r="AI33">
        <v>1</v>
      </c>
      <c r="AJ33">
        <v>15.04</v>
      </c>
      <c r="AK33">
        <v>46.67</v>
      </c>
      <c r="AL33">
        <v>1</v>
      </c>
      <c r="AM33">
        <v>2</v>
      </c>
      <c r="AN33">
        <v>0</v>
      </c>
      <c r="AO33">
        <v>1</v>
      </c>
      <c r="AP33">
        <v>0</v>
      </c>
      <c r="AQ33">
        <v>0</v>
      </c>
      <c r="AR33">
        <v>0</v>
      </c>
      <c r="AS33" t="s">
        <v>4</v>
      </c>
      <c r="AT33">
        <v>2.93</v>
      </c>
      <c r="AU33" t="s">
        <v>4</v>
      </c>
      <c r="AV33">
        <v>0</v>
      </c>
      <c r="AW33">
        <v>2</v>
      </c>
      <c r="AX33">
        <v>70323184</v>
      </c>
      <c r="AY33">
        <v>1</v>
      </c>
      <c r="AZ33">
        <v>0</v>
      </c>
      <c r="BA33">
        <v>39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V33">
        <v>0</v>
      </c>
      <c r="CW33">
        <f>ROUND(Y33*Source!I66*DO33,9)</f>
        <v>0</v>
      </c>
      <c r="CX33">
        <f>ROUND(Y33*Source!I66,9)</f>
        <v>5.86</v>
      </c>
      <c r="CY33">
        <f>AB33</f>
        <v>1308.57</v>
      </c>
      <c r="CZ33">
        <f>AF33</f>
        <v>83.1</v>
      </c>
      <c r="DA33">
        <f>AJ33</f>
        <v>15.04</v>
      </c>
      <c r="DB33">
        <f t="shared" si="22"/>
        <v>243.48</v>
      </c>
      <c r="DC33">
        <f t="shared" si="23"/>
        <v>36.979999999999997</v>
      </c>
      <c r="DD33" t="s">
        <v>4</v>
      </c>
      <c r="DE33" t="s">
        <v>4</v>
      </c>
      <c r="DF33">
        <f t="shared" si="24"/>
        <v>0</v>
      </c>
      <c r="DG33">
        <f>ROUND(ROUND(AF33*AJ33,2)*CX33,2)</f>
        <v>7323.95</v>
      </c>
      <c r="DH33">
        <f>ROUND(ROUND(AG33*AK33,2)*CX33,2)</f>
        <v>3451.42</v>
      </c>
      <c r="DI33">
        <f t="shared" si="3"/>
        <v>0</v>
      </c>
      <c r="DJ33">
        <f>DG33</f>
        <v>7323.95</v>
      </c>
      <c r="DK33">
        <v>0</v>
      </c>
      <c r="DL33" t="s">
        <v>4</v>
      </c>
      <c r="DM33">
        <v>0</v>
      </c>
      <c r="DN33" t="s">
        <v>4</v>
      </c>
      <c r="DO33">
        <v>0</v>
      </c>
    </row>
    <row r="34" spans="1:119">
      <c r="A34">
        <f>ROW(Source!A66)</f>
        <v>66</v>
      </c>
      <c r="B34">
        <v>70322991</v>
      </c>
      <c r="C34">
        <v>70323171</v>
      </c>
      <c r="D34">
        <v>69363847</v>
      </c>
      <c r="E34">
        <v>1</v>
      </c>
      <c r="F34">
        <v>1</v>
      </c>
      <c r="G34">
        <v>1075</v>
      </c>
      <c r="H34">
        <v>2</v>
      </c>
      <c r="I34" t="s">
        <v>124</v>
      </c>
      <c r="J34" t="s">
        <v>125</v>
      </c>
      <c r="K34" t="s">
        <v>126</v>
      </c>
      <c r="L34">
        <v>1368</v>
      </c>
      <c r="N34">
        <v>1011</v>
      </c>
      <c r="O34" t="s">
        <v>120</v>
      </c>
      <c r="P34" t="s">
        <v>120</v>
      </c>
      <c r="Q34">
        <v>1</v>
      </c>
      <c r="W34">
        <v>0</v>
      </c>
      <c r="X34">
        <v>-1536647364</v>
      </c>
      <c r="Y34">
        <f t="shared" si="21"/>
        <v>15.5</v>
      </c>
      <c r="AA34">
        <v>0</v>
      </c>
      <c r="AB34">
        <v>712.62</v>
      </c>
      <c r="AC34">
        <v>499.38</v>
      </c>
      <c r="AD34">
        <v>0</v>
      </c>
      <c r="AE34">
        <v>0</v>
      </c>
      <c r="AF34">
        <v>31.15</v>
      </c>
      <c r="AG34">
        <v>10.220000000000001</v>
      </c>
      <c r="AH34">
        <v>0</v>
      </c>
      <c r="AI34">
        <v>1</v>
      </c>
      <c r="AJ34">
        <v>21.85</v>
      </c>
      <c r="AK34">
        <v>46.67</v>
      </c>
      <c r="AL34">
        <v>1</v>
      </c>
      <c r="AM34">
        <v>2</v>
      </c>
      <c r="AN34">
        <v>0</v>
      </c>
      <c r="AO34">
        <v>1</v>
      </c>
      <c r="AP34">
        <v>0</v>
      </c>
      <c r="AQ34">
        <v>0</v>
      </c>
      <c r="AR34">
        <v>0</v>
      </c>
      <c r="AS34" t="s">
        <v>4</v>
      </c>
      <c r="AT34">
        <v>15.5</v>
      </c>
      <c r="AU34" t="s">
        <v>4</v>
      </c>
      <c r="AV34">
        <v>0</v>
      </c>
      <c r="AW34">
        <v>2</v>
      </c>
      <c r="AX34">
        <v>70323185</v>
      </c>
      <c r="AY34">
        <v>1</v>
      </c>
      <c r="AZ34">
        <v>0</v>
      </c>
      <c r="BA34">
        <v>40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V34">
        <v>0</v>
      </c>
      <c r="CW34">
        <f>ROUND(Y34*Source!I66*DO34,9)</f>
        <v>0</v>
      </c>
      <c r="CX34">
        <f>ROUND(Y34*Source!I66,9)</f>
        <v>31</v>
      </c>
      <c r="CY34">
        <f>AB34</f>
        <v>712.62</v>
      </c>
      <c r="CZ34">
        <f>AF34</f>
        <v>31.15</v>
      </c>
      <c r="DA34">
        <f>AJ34</f>
        <v>21.85</v>
      </c>
      <c r="DB34">
        <f t="shared" si="22"/>
        <v>482.83</v>
      </c>
      <c r="DC34">
        <f t="shared" si="23"/>
        <v>158.41</v>
      </c>
      <c r="DD34" t="s">
        <v>4</v>
      </c>
      <c r="DE34" t="s">
        <v>4</v>
      </c>
      <c r="DF34">
        <f t="shared" si="24"/>
        <v>0</v>
      </c>
      <c r="DG34">
        <f>ROUND(ROUND(AF34*AJ34,2)*CX34,2)</f>
        <v>21099.53</v>
      </c>
      <c r="DH34">
        <f>ROUND(ROUND(AG34*AK34,2)*CX34,2)</f>
        <v>14786.07</v>
      </c>
      <c r="DI34">
        <f t="shared" si="3"/>
        <v>0</v>
      </c>
      <c r="DJ34">
        <f>DG34</f>
        <v>21099.53</v>
      </c>
      <c r="DK34">
        <v>0</v>
      </c>
      <c r="DL34" t="s">
        <v>4</v>
      </c>
      <c r="DM34">
        <v>0</v>
      </c>
      <c r="DN34" t="s">
        <v>4</v>
      </c>
      <c r="DO34">
        <v>0</v>
      </c>
    </row>
    <row r="35" spans="1:119">
      <c r="A35">
        <f>ROW(Source!A66)</f>
        <v>66</v>
      </c>
      <c r="B35">
        <v>70322991</v>
      </c>
      <c r="C35">
        <v>70323171</v>
      </c>
      <c r="D35">
        <v>69334386</v>
      </c>
      <c r="E35">
        <v>1</v>
      </c>
      <c r="F35">
        <v>1</v>
      </c>
      <c r="G35">
        <v>1075</v>
      </c>
      <c r="H35">
        <v>3</v>
      </c>
      <c r="I35" t="s">
        <v>127</v>
      </c>
      <c r="J35" t="s">
        <v>128</v>
      </c>
      <c r="K35" t="s">
        <v>129</v>
      </c>
      <c r="L35">
        <v>1346</v>
      </c>
      <c r="N35">
        <v>1009</v>
      </c>
      <c r="O35" t="s">
        <v>130</v>
      </c>
      <c r="P35" t="s">
        <v>130</v>
      </c>
      <c r="Q35">
        <v>1</v>
      </c>
      <c r="W35">
        <v>0</v>
      </c>
      <c r="X35">
        <v>1295075275</v>
      </c>
      <c r="Y35">
        <f t="shared" si="21"/>
        <v>2.4</v>
      </c>
      <c r="AA35">
        <v>919.37</v>
      </c>
      <c r="AB35">
        <v>0</v>
      </c>
      <c r="AC35">
        <v>0</v>
      </c>
      <c r="AD35">
        <v>0</v>
      </c>
      <c r="AE35">
        <v>26.89</v>
      </c>
      <c r="AF35">
        <v>0</v>
      </c>
      <c r="AG35">
        <v>0</v>
      </c>
      <c r="AH35">
        <v>0</v>
      </c>
      <c r="AI35">
        <v>34.19</v>
      </c>
      <c r="AJ35">
        <v>1</v>
      </c>
      <c r="AK35">
        <v>1</v>
      </c>
      <c r="AL35">
        <v>1</v>
      </c>
      <c r="AM35">
        <v>2</v>
      </c>
      <c r="AN35">
        <v>0</v>
      </c>
      <c r="AO35">
        <v>1</v>
      </c>
      <c r="AP35">
        <v>0</v>
      </c>
      <c r="AQ35">
        <v>0</v>
      </c>
      <c r="AR35">
        <v>0</v>
      </c>
      <c r="AS35" t="s">
        <v>4</v>
      </c>
      <c r="AT35">
        <v>2.4</v>
      </c>
      <c r="AU35" t="s">
        <v>4</v>
      </c>
      <c r="AV35">
        <v>0</v>
      </c>
      <c r="AW35">
        <v>2</v>
      </c>
      <c r="AX35">
        <v>70323186</v>
      </c>
      <c r="AY35">
        <v>1</v>
      </c>
      <c r="AZ35">
        <v>0</v>
      </c>
      <c r="BA35">
        <v>41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V35">
        <v>0</v>
      </c>
      <c r="CW35">
        <v>0</v>
      </c>
      <c r="CX35">
        <f>ROUND(Y35*Source!I66,9)</f>
        <v>4.8</v>
      </c>
      <c r="CY35">
        <f t="shared" ref="CY35:CY40" si="29">AA35</f>
        <v>919.37</v>
      </c>
      <c r="CZ35">
        <f t="shared" ref="CZ35:CZ40" si="30">AE35</f>
        <v>26.89</v>
      </c>
      <c r="DA35">
        <f t="shared" ref="DA35:DA40" si="31">AI35</f>
        <v>34.19</v>
      </c>
      <c r="DB35">
        <f t="shared" si="22"/>
        <v>64.540000000000006</v>
      </c>
      <c r="DC35">
        <f t="shared" si="23"/>
        <v>0</v>
      </c>
      <c r="DD35" t="s">
        <v>4</v>
      </c>
      <c r="DE35" t="s">
        <v>4</v>
      </c>
      <c r="DF35">
        <f t="shared" ref="DF35:DF40" si="32">ROUND(ROUND(AE35*AI35,2)*CX35,2)</f>
        <v>4412.9799999999996</v>
      </c>
      <c r="DG35">
        <f t="shared" ref="DG35:DG40" si="33">ROUND(ROUND(AF35,2)*CX35,2)</f>
        <v>0</v>
      </c>
      <c r="DH35">
        <f t="shared" ref="DH35:DH40" si="34">ROUND(ROUND(AG35,2)*CX35,2)</f>
        <v>0</v>
      </c>
      <c r="DI35">
        <f t="shared" si="3"/>
        <v>0</v>
      </c>
      <c r="DJ35">
        <f t="shared" ref="DJ35:DJ40" si="35">DF35</f>
        <v>4412.9799999999996</v>
      </c>
      <c r="DK35">
        <v>0</v>
      </c>
      <c r="DL35" t="s">
        <v>4</v>
      </c>
      <c r="DM35">
        <v>0</v>
      </c>
      <c r="DN35" t="s">
        <v>4</v>
      </c>
      <c r="DO35">
        <v>0</v>
      </c>
    </row>
    <row r="36" spans="1:119">
      <c r="A36">
        <f>ROW(Source!A66)</f>
        <v>66</v>
      </c>
      <c r="B36">
        <v>70322991</v>
      </c>
      <c r="C36">
        <v>70323171</v>
      </c>
      <c r="D36">
        <v>69334411</v>
      </c>
      <c r="E36">
        <v>1</v>
      </c>
      <c r="F36">
        <v>1</v>
      </c>
      <c r="G36">
        <v>1075</v>
      </c>
      <c r="H36">
        <v>3</v>
      </c>
      <c r="I36" t="s">
        <v>131</v>
      </c>
      <c r="J36" t="s">
        <v>132</v>
      </c>
      <c r="K36" t="s">
        <v>133</v>
      </c>
      <c r="L36">
        <v>1348</v>
      </c>
      <c r="N36">
        <v>1009</v>
      </c>
      <c r="O36" t="s">
        <v>134</v>
      </c>
      <c r="P36" t="s">
        <v>134</v>
      </c>
      <c r="Q36">
        <v>1000</v>
      </c>
      <c r="W36">
        <v>0</v>
      </c>
      <c r="X36">
        <v>-606968375</v>
      </c>
      <c r="Y36">
        <f t="shared" si="21"/>
        <v>1E-3</v>
      </c>
      <c r="AA36">
        <v>67978.23</v>
      </c>
      <c r="AB36">
        <v>0</v>
      </c>
      <c r="AC36">
        <v>0</v>
      </c>
      <c r="AD36">
        <v>0</v>
      </c>
      <c r="AE36">
        <v>7254.88</v>
      </c>
      <c r="AF36">
        <v>0</v>
      </c>
      <c r="AG36">
        <v>0</v>
      </c>
      <c r="AH36">
        <v>0</v>
      </c>
      <c r="AI36">
        <v>9.3699999999999992</v>
      </c>
      <c r="AJ36">
        <v>1</v>
      </c>
      <c r="AK36">
        <v>1</v>
      </c>
      <c r="AL36">
        <v>1</v>
      </c>
      <c r="AM36">
        <v>2</v>
      </c>
      <c r="AN36">
        <v>0</v>
      </c>
      <c r="AO36">
        <v>1</v>
      </c>
      <c r="AP36">
        <v>0</v>
      </c>
      <c r="AQ36">
        <v>0</v>
      </c>
      <c r="AR36">
        <v>0</v>
      </c>
      <c r="AS36" t="s">
        <v>4</v>
      </c>
      <c r="AT36">
        <v>1E-3</v>
      </c>
      <c r="AU36" t="s">
        <v>4</v>
      </c>
      <c r="AV36">
        <v>0</v>
      </c>
      <c r="AW36">
        <v>2</v>
      </c>
      <c r="AX36">
        <v>70323187</v>
      </c>
      <c r="AY36">
        <v>1</v>
      </c>
      <c r="AZ36">
        <v>0</v>
      </c>
      <c r="BA36">
        <v>42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V36">
        <v>0</v>
      </c>
      <c r="CW36">
        <v>0</v>
      </c>
      <c r="CX36">
        <f>ROUND(Y36*Source!I66,9)</f>
        <v>2E-3</v>
      </c>
      <c r="CY36">
        <f t="shared" si="29"/>
        <v>67978.23</v>
      </c>
      <c r="CZ36">
        <f t="shared" si="30"/>
        <v>7254.88</v>
      </c>
      <c r="DA36">
        <f t="shared" si="31"/>
        <v>9.3699999999999992</v>
      </c>
      <c r="DB36">
        <f t="shared" si="22"/>
        <v>7.25</v>
      </c>
      <c r="DC36">
        <f t="shared" si="23"/>
        <v>0</v>
      </c>
      <c r="DD36" t="s">
        <v>4</v>
      </c>
      <c r="DE36" t="s">
        <v>4</v>
      </c>
      <c r="DF36">
        <f t="shared" si="32"/>
        <v>135.96</v>
      </c>
      <c r="DG36">
        <f t="shared" si="33"/>
        <v>0</v>
      </c>
      <c r="DH36">
        <f t="shared" si="34"/>
        <v>0</v>
      </c>
      <c r="DI36">
        <f t="shared" si="3"/>
        <v>0</v>
      </c>
      <c r="DJ36">
        <f t="shared" si="35"/>
        <v>135.96</v>
      </c>
      <c r="DK36">
        <v>0</v>
      </c>
      <c r="DL36" t="s">
        <v>4</v>
      </c>
      <c r="DM36">
        <v>0</v>
      </c>
      <c r="DN36" t="s">
        <v>4</v>
      </c>
      <c r="DO36">
        <v>0</v>
      </c>
    </row>
    <row r="37" spans="1:119">
      <c r="A37">
        <f>ROW(Source!A66)</f>
        <v>66</v>
      </c>
      <c r="B37">
        <v>70322991</v>
      </c>
      <c r="C37">
        <v>70323171</v>
      </c>
      <c r="D37">
        <v>69334814</v>
      </c>
      <c r="E37">
        <v>1</v>
      </c>
      <c r="F37">
        <v>1</v>
      </c>
      <c r="G37">
        <v>1075</v>
      </c>
      <c r="H37">
        <v>3</v>
      </c>
      <c r="I37" t="s">
        <v>135</v>
      </c>
      <c r="J37" t="s">
        <v>136</v>
      </c>
      <c r="K37" t="s">
        <v>137</v>
      </c>
      <c r="L37">
        <v>1346</v>
      </c>
      <c r="N37">
        <v>1009</v>
      </c>
      <c r="O37" t="s">
        <v>130</v>
      </c>
      <c r="P37" t="s">
        <v>130</v>
      </c>
      <c r="Q37">
        <v>1</v>
      </c>
      <c r="W37">
        <v>0</v>
      </c>
      <c r="X37">
        <v>-2000333744</v>
      </c>
      <c r="Y37">
        <f t="shared" si="21"/>
        <v>0.2</v>
      </c>
      <c r="AA37">
        <v>87.91</v>
      </c>
      <c r="AB37">
        <v>0</v>
      </c>
      <c r="AC37">
        <v>0</v>
      </c>
      <c r="AD37">
        <v>0</v>
      </c>
      <c r="AE37">
        <v>29.9</v>
      </c>
      <c r="AF37">
        <v>0</v>
      </c>
      <c r="AG37">
        <v>0</v>
      </c>
      <c r="AH37">
        <v>0</v>
      </c>
      <c r="AI37">
        <v>2.94</v>
      </c>
      <c r="AJ37">
        <v>1</v>
      </c>
      <c r="AK37">
        <v>1</v>
      </c>
      <c r="AL37">
        <v>1</v>
      </c>
      <c r="AM37">
        <v>2</v>
      </c>
      <c r="AN37">
        <v>0</v>
      </c>
      <c r="AO37">
        <v>1</v>
      </c>
      <c r="AP37">
        <v>0</v>
      </c>
      <c r="AQ37">
        <v>0</v>
      </c>
      <c r="AR37">
        <v>0</v>
      </c>
      <c r="AS37" t="s">
        <v>4</v>
      </c>
      <c r="AT37">
        <v>0.2</v>
      </c>
      <c r="AU37" t="s">
        <v>4</v>
      </c>
      <c r="AV37">
        <v>0</v>
      </c>
      <c r="AW37">
        <v>2</v>
      </c>
      <c r="AX37">
        <v>70323188</v>
      </c>
      <c r="AY37">
        <v>1</v>
      </c>
      <c r="AZ37">
        <v>0</v>
      </c>
      <c r="BA37">
        <v>43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V37">
        <v>0</v>
      </c>
      <c r="CW37">
        <v>0</v>
      </c>
      <c r="CX37">
        <f>ROUND(Y37*Source!I66,9)</f>
        <v>0.4</v>
      </c>
      <c r="CY37">
        <f t="shared" si="29"/>
        <v>87.91</v>
      </c>
      <c r="CZ37">
        <f t="shared" si="30"/>
        <v>29.9</v>
      </c>
      <c r="DA37">
        <f t="shared" si="31"/>
        <v>2.94</v>
      </c>
      <c r="DB37">
        <f t="shared" si="22"/>
        <v>5.98</v>
      </c>
      <c r="DC37">
        <f t="shared" si="23"/>
        <v>0</v>
      </c>
      <c r="DD37" t="s">
        <v>4</v>
      </c>
      <c r="DE37" t="s">
        <v>4</v>
      </c>
      <c r="DF37">
        <f t="shared" si="32"/>
        <v>35.159999999999997</v>
      </c>
      <c r="DG37">
        <f t="shared" si="33"/>
        <v>0</v>
      </c>
      <c r="DH37">
        <f t="shared" si="34"/>
        <v>0</v>
      </c>
      <c r="DI37">
        <f t="shared" si="3"/>
        <v>0</v>
      </c>
      <c r="DJ37">
        <f t="shared" si="35"/>
        <v>35.159999999999997</v>
      </c>
      <c r="DK37">
        <v>0</v>
      </c>
      <c r="DL37" t="s">
        <v>4</v>
      </c>
      <c r="DM37">
        <v>0</v>
      </c>
      <c r="DN37" t="s">
        <v>4</v>
      </c>
      <c r="DO37">
        <v>0</v>
      </c>
    </row>
    <row r="38" spans="1:119">
      <c r="A38">
        <f>ROW(Source!A66)</f>
        <v>66</v>
      </c>
      <c r="B38">
        <v>70322991</v>
      </c>
      <c r="C38">
        <v>70323171</v>
      </c>
      <c r="D38">
        <v>69335526</v>
      </c>
      <c r="E38">
        <v>1</v>
      </c>
      <c r="F38">
        <v>1</v>
      </c>
      <c r="G38">
        <v>1075</v>
      </c>
      <c r="H38">
        <v>3</v>
      </c>
      <c r="I38" t="s">
        <v>138</v>
      </c>
      <c r="J38" t="s">
        <v>139</v>
      </c>
      <c r="K38" t="s">
        <v>140</v>
      </c>
      <c r="L38">
        <v>1346</v>
      </c>
      <c r="N38">
        <v>1009</v>
      </c>
      <c r="O38" t="s">
        <v>130</v>
      </c>
      <c r="P38" t="s">
        <v>130</v>
      </c>
      <c r="Q38">
        <v>1</v>
      </c>
      <c r="W38">
        <v>0</v>
      </c>
      <c r="X38">
        <v>-1164981962</v>
      </c>
      <c r="Y38">
        <f t="shared" si="21"/>
        <v>0.3</v>
      </c>
      <c r="AA38">
        <v>177.16</v>
      </c>
      <c r="AB38">
        <v>0</v>
      </c>
      <c r="AC38">
        <v>0</v>
      </c>
      <c r="AD38">
        <v>0</v>
      </c>
      <c r="AE38">
        <v>21.04</v>
      </c>
      <c r="AF38">
        <v>0</v>
      </c>
      <c r="AG38">
        <v>0</v>
      </c>
      <c r="AH38">
        <v>0</v>
      </c>
      <c r="AI38">
        <v>8.42</v>
      </c>
      <c r="AJ38">
        <v>1</v>
      </c>
      <c r="AK38">
        <v>1</v>
      </c>
      <c r="AL38">
        <v>1</v>
      </c>
      <c r="AM38">
        <v>2</v>
      </c>
      <c r="AN38">
        <v>0</v>
      </c>
      <c r="AO38">
        <v>1</v>
      </c>
      <c r="AP38">
        <v>0</v>
      </c>
      <c r="AQ38">
        <v>0</v>
      </c>
      <c r="AR38">
        <v>0</v>
      </c>
      <c r="AS38" t="s">
        <v>4</v>
      </c>
      <c r="AT38">
        <v>0.3</v>
      </c>
      <c r="AU38" t="s">
        <v>4</v>
      </c>
      <c r="AV38">
        <v>0</v>
      </c>
      <c r="AW38">
        <v>2</v>
      </c>
      <c r="AX38">
        <v>70323189</v>
      </c>
      <c r="AY38">
        <v>1</v>
      </c>
      <c r="AZ38">
        <v>0</v>
      </c>
      <c r="BA38">
        <v>44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V38">
        <v>0</v>
      </c>
      <c r="CW38">
        <v>0</v>
      </c>
      <c r="CX38">
        <f>ROUND(Y38*Source!I66,9)</f>
        <v>0.6</v>
      </c>
      <c r="CY38">
        <f t="shared" si="29"/>
        <v>177.16</v>
      </c>
      <c r="CZ38">
        <f t="shared" si="30"/>
        <v>21.04</v>
      </c>
      <c r="DA38">
        <f t="shared" si="31"/>
        <v>8.42</v>
      </c>
      <c r="DB38">
        <f t="shared" si="22"/>
        <v>6.31</v>
      </c>
      <c r="DC38">
        <f t="shared" si="23"/>
        <v>0</v>
      </c>
      <c r="DD38" t="s">
        <v>4</v>
      </c>
      <c r="DE38" t="s">
        <v>4</v>
      </c>
      <c r="DF38">
        <f t="shared" si="32"/>
        <v>106.3</v>
      </c>
      <c r="DG38">
        <f t="shared" si="33"/>
        <v>0</v>
      </c>
      <c r="DH38">
        <f t="shared" si="34"/>
        <v>0</v>
      </c>
      <c r="DI38">
        <f t="shared" si="3"/>
        <v>0</v>
      </c>
      <c r="DJ38">
        <f t="shared" si="35"/>
        <v>106.3</v>
      </c>
      <c r="DK38">
        <v>0</v>
      </c>
      <c r="DL38" t="s">
        <v>4</v>
      </c>
      <c r="DM38">
        <v>0</v>
      </c>
      <c r="DN38" t="s">
        <v>4</v>
      </c>
      <c r="DO38">
        <v>0</v>
      </c>
    </row>
    <row r="39" spans="1:119">
      <c r="A39">
        <f>ROW(Source!A66)</f>
        <v>66</v>
      </c>
      <c r="B39">
        <v>70322991</v>
      </c>
      <c r="C39">
        <v>70323171</v>
      </c>
      <c r="D39">
        <v>69340457</v>
      </c>
      <c r="E39">
        <v>1</v>
      </c>
      <c r="F39">
        <v>1</v>
      </c>
      <c r="G39">
        <v>1075</v>
      </c>
      <c r="H39">
        <v>3</v>
      </c>
      <c r="I39" t="s">
        <v>141</v>
      </c>
      <c r="J39" t="s">
        <v>142</v>
      </c>
      <c r="K39" t="s">
        <v>143</v>
      </c>
      <c r="L39">
        <v>1302</v>
      </c>
      <c r="N39">
        <v>1003</v>
      </c>
      <c r="O39" t="s">
        <v>144</v>
      </c>
      <c r="P39" t="s">
        <v>144</v>
      </c>
      <c r="Q39">
        <v>10</v>
      </c>
      <c r="W39">
        <v>0</v>
      </c>
      <c r="X39">
        <v>-471450150</v>
      </c>
      <c r="Y39">
        <f t="shared" si="21"/>
        <v>0.03</v>
      </c>
      <c r="AA39">
        <v>326.81</v>
      </c>
      <c r="AB39">
        <v>0</v>
      </c>
      <c r="AC39">
        <v>0</v>
      </c>
      <c r="AD39">
        <v>0</v>
      </c>
      <c r="AE39">
        <v>46.16</v>
      </c>
      <c r="AF39">
        <v>0</v>
      </c>
      <c r="AG39">
        <v>0</v>
      </c>
      <c r="AH39">
        <v>0</v>
      </c>
      <c r="AI39">
        <v>7.08</v>
      </c>
      <c r="AJ39">
        <v>1</v>
      </c>
      <c r="AK39">
        <v>1</v>
      </c>
      <c r="AL39">
        <v>1</v>
      </c>
      <c r="AM39">
        <v>2</v>
      </c>
      <c r="AN39">
        <v>0</v>
      </c>
      <c r="AO39">
        <v>1</v>
      </c>
      <c r="AP39">
        <v>0</v>
      </c>
      <c r="AQ39">
        <v>0</v>
      </c>
      <c r="AR39">
        <v>0</v>
      </c>
      <c r="AS39" t="s">
        <v>4</v>
      </c>
      <c r="AT39">
        <v>0.03</v>
      </c>
      <c r="AU39" t="s">
        <v>4</v>
      </c>
      <c r="AV39">
        <v>0</v>
      </c>
      <c r="AW39">
        <v>2</v>
      </c>
      <c r="AX39">
        <v>70323190</v>
      </c>
      <c r="AY39">
        <v>1</v>
      </c>
      <c r="AZ39">
        <v>0</v>
      </c>
      <c r="BA39">
        <v>45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V39">
        <v>0</v>
      </c>
      <c r="CW39">
        <v>0</v>
      </c>
      <c r="CX39">
        <f>ROUND(Y39*Source!I66,9)</f>
        <v>0.06</v>
      </c>
      <c r="CY39">
        <f t="shared" si="29"/>
        <v>326.81</v>
      </c>
      <c r="CZ39">
        <f t="shared" si="30"/>
        <v>46.16</v>
      </c>
      <c r="DA39">
        <f t="shared" si="31"/>
        <v>7.08</v>
      </c>
      <c r="DB39">
        <f t="shared" si="22"/>
        <v>1.38</v>
      </c>
      <c r="DC39">
        <f t="shared" si="23"/>
        <v>0</v>
      </c>
      <c r="DD39" t="s">
        <v>4</v>
      </c>
      <c r="DE39" t="s">
        <v>4</v>
      </c>
      <c r="DF39">
        <f t="shared" si="32"/>
        <v>19.61</v>
      </c>
      <c r="DG39">
        <f t="shared" si="33"/>
        <v>0</v>
      </c>
      <c r="DH39">
        <f t="shared" si="34"/>
        <v>0</v>
      </c>
      <c r="DI39">
        <f t="shared" si="3"/>
        <v>0</v>
      </c>
      <c r="DJ39">
        <f t="shared" si="35"/>
        <v>19.61</v>
      </c>
      <c r="DK39">
        <v>0</v>
      </c>
      <c r="DL39" t="s">
        <v>4</v>
      </c>
      <c r="DM39">
        <v>0</v>
      </c>
      <c r="DN39" t="s">
        <v>4</v>
      </c>
      <c r="DO39">
        <v>0</v>
      </c>
    </row>
    <row r="40" spans="1:119">
      <c r="A40">
        <f>ROW(Source!A66)</f>
        <v>66</v>
      </c>
      <c r="B40">
        <v>70322991</v>
      </c>
      <c r="C40">
        <v>70323171</v>
      </c>
      <c r="D40">
        <v>69351117</v>
      </c>
      <c r="E40">
        <v>1</v>
      </c>
      <c r="F40">
        <v>1</v>
      </c>
      <c r="G40">
        <v>1075</v>
      </c>
      <c r="H40">
        <v>3</v>
      </c>
      <c r="I40" t="s">
        <v>145</v>
      </c>
      <c r="J40" t="s">
        <v>146</v>
      </c>
      <c r="K40" t="s">
        <v>147</v>
      </c>
      <c r="L40">
        <v>1301</v>
      </c>
      <c r="N40">
        <v>1003</v>
      </c>
      <c r="O40" t="s">
        <v>148</v>
      </c>
      <c r="P40" t="s">
        <v>148</v>
      </c>
      <c r="Q40">
        <v>1</v>
      </c>
      <c r="W40">
        <v>0</v>
      </c>
      <c r="X40">
        <v>1183683129</v>
      </c>
      <c r="Y40">
        <f t="shared" si="21"/>
        <v>2.5</v>
      </c>
      <c r="AA40">
        <v>4.72</v>
      </c>
      <c r="AB40">
        <v>0</v>
      </c>
      <c r="AC40">
        <v>0</v>
      </c>
      <c r="AD40">
        <v>0</v>
      </c>
      <c r="AE40">
        <v>0.7</v>
      </c>
      <c r="AF40">
        <v>0</v>
      </c>
      <c r="AG40">
        <v>0</v>
      </c>
      <c r="AH40">
        <v>0</v>
      </c>
      <c r="AI40">
        <v>6.74</v>
      </c>
      <c r="AJ40">
        <v>1</v>
      </c>
      <c r="AK40">
        <v>1</v>
      </c>
      <c r="AL40">
        <v>1</v>
      </c>
      <c r="AM40">
        <v>2</v>
      </c>
      <c r="AN40">
        <v>0</v>
      </c>
      <c r="AO40">
        <v>1</v>
      </c>
      <c r="AP40">
        <v>0</v>
      </c>
      <c r="AQ40">
        <v>0</v>
      </c>
      <c r="AR40">
        <v>0</v>
      </c>
      <c r="AS40" t="s">
        <v>4</v>
      </c>
      <c r="AT40">
        <v>2.5</v>
      </c>
      <c r="AU40" t="s">
        <v>4</v>
      </c>
      <c r="AV40">
        <v>0</v>
      </c>
      <c r="AW40">
        <v>2</v>
      </c>
      <c r="AX40">
        <v>70323191</v>
      </c>
      <c r="AY40">
        <v>1</v>
      </c>
      <c r="AZ40">
        <v>0</v>
      </c>
      <c r="BA40">
        <v>46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V40">
        <v>0</v>
      </c>
      <c r="CW40">
        <v>0</v>
      </c>
      <c r="CX40">
        <f>ROUND(Y40*Source!I66,9)</f>
        <v>5</v>
      </c>
      <c r="CY40">
        <f t="shared" si="29"/>
        <v>4.72</v>
      </c>
      <c r="CZ40">
        <f t="shared" si="30"/>
        <v>0.7</v>
      </c>
      <c r="DA40">
        <f t="shared" si="31"/>
        <v>6.74</v>
      </c>
      <c r="DB40">
        <f t="shared" si="22"/>
        <v>1.75</v>
      </c>
      <c r="DC40">
        <f t="shared" si="23"/>
        <v>0</v>
      </c>
      <c r="DD40" t="s">
        <v>4</v>
      </c>
      <c r="DE40" t="s">
        <v>4</v>
      </c>
      <c r="DF40">
        <f t="shared" si="32"/>
        <v>23.6</v>
      </c>
      <c r="DG40">
        <f t="shared" si="33"/>
        <v>0</v>
      </c>
      <c r="DH40">
        <f t="shared" si="34"/>
        <v>0</v>
      </c>
      <c r="DI40">
        <f t="shared" si="3"/>
        <v>0</v>
      </c>
      <c r="DJ40">
        <f t="shared" si="35"/>
        <v>23.6</v>
      </c>
      <c r="DK40">
        <v>0</v>
      </c>
      <c r="DL40" t="s">
        <v>4</v>
      </c>
      <c r="DM40">
        <v>0</v>
      </c>
      <c r="DN40" t="s">
        <v>4</v>
      </c>
      <c r="DO40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AR48"/>
  <sheetViews>
    <sheetView workbookViewId="0"/>
  </sheetViews>
  <sheetFormatPr defaultColWidth="9.109375" defaultRowHeight="12.7"/>
  <cols>
    <col min="1" max="256" width="9.109375" customWidth="1"/>
  </cols>
  <sheetData>
    <row r="1" spans="1:44">
      <c r="A1">
        <f>ROW(Source!A28)</f>
        <v>28</v>
      </c>
      <c r="B1">
        <v>70324503</v>
      </c>
      <c r="C1">
        <v>70324492</v>
      </c>
      <c r="D1">
        <v>69275358</v>
      </c>
      <c r="E1">
        <v>1075</v>
      </c>
      <c r="F1">
        <v>1</v>
      </c>
      <c r="G1">
        <v>1075</v>
      </c>
      <c r="H1">
        <v>1</v>
      </c>
      <c r="I1" t="s">
        <v>114</v>
      </c>
      <c r="J1" t="s">
        <v>4</v>
      </c>
      <c r="K1" t="s">
        <v>115</v>
      </c>
      <c r="L1">
        <v>1191</v>
      </c>
      <c r="N1">
        <v>1013</v>
      </c>
      <c r="O1" t="s">
        <v>116</v>
      </c>
      <c r="P1" t="s">
        <v>116</v>
      </c>
      <c r="Q1">
        <v>1</v>
      </c>
      <c r="X1">
        <v>28.8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27</v>
      </c>
      <c r="AG1">
        <v>11.520000000000001</v>
      </c>
      <c r="AH1">
        <v>2</v>
      </c>
      <c r="AI1">
        <v>70324493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>
      <c r="A2">
        <f>ROW(Source!A28)</f>
        <v>28</v>
      </c>
      <c r="B2">
        <v>70324504</v>
      </c>
      <c r="C2">
        <v>70324492</v>
      </c>
      <c r="D2">
        <v>69364211</v>
      </c>
      <c r="E2">
        <v>1</v>
      </c>
      <c r="F2">
        <v>1</v>
      </c>
      <c r="G2">
        <v>1075</v>
      </c>
      <c r="H2">
        <v>2</v>
      </c>
      <c r="I2" t="s">
        <v>117</v>
      </c>
      <c r="J2" t="s">
        <v>118</v>
      </c>
      <c r="K2" t="s">
        <v>119</v>
      </c>
      <c r="L2">
        <v>1368</v>
      </c>
      <c r="N2">
        <v>1011</v>
      </c>
      <c r="O2" t="s">
        <v>120</v>
      </c>
      <c r="P2" t="s">
        <v>120</v>
      </c>
      <c r="Q2">
        <v>1</v>
      </c>
      <c r="X2">
        <v>0.17</v>
      </c>
      <c r="Y2">
        <v>0</v>
      </c>
      <c r="Z2">
        <v>7.11</v>
      </c>
      <c r="AA2">
        <v>0</v>
      </c>
      <c r="AB2">
        <v>0</v>
      </c>
      <c r="AC2">
        <v>0</v>
      </c>
      <c r="AD2">
        <v>1</v>
      </c>
      <c r="AE2">
        <v>0</v>
      </c>
      <c r="AF2" t="s">
        <v>27</v>
      </c>
      <c r="AG2">
        <v>6.8000000000000005E-2</v>
      </c>
      <c r="AH2">
        <v>2</v>
      </c>
      <c r="AI2">
        <v>70324494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>
      <c r="A3">
        <f>ROW(Source!A28)</f>
        <v>28</v>
      </c>
      <c r="B3">
        <v>70324505</v>
      </c>
      <c r="C3">
        <v>70324492</v>
      </c>
      <c r="D3">
        <v>69364509</v>
      </c>
      <c r="E3">
        <v>1</v>
      </c>
      <c r="F3">
        <v>1</v>
      </c>
      <c r="G3">
        <v>1075</v>
      </c>
      <c r="H3">
        <v>2</v>
      </c>
      <c r="I3" t="s">
        <v>121</v>
      </c>
      <c r="J3" t="s">
        <v>122</v>
      </c>
      <c r="K3" t="s">
        <v>123</v>
      </c>
      <c r="L3">
        <v>1368</v>
      </c>
      <c r="N3">
        <v>1011</v>
      </c>
      <c r="O3" t="s">
        <v>120</v>
      </c>
      <c r="P3" t="s">
        <v>120</v>
      </c>
      <c r="Q3">
        <v>1</v>
      </c>
      <c r="X3">
        <v>2.93</v>
      </c>
      <c r="Y3">
        <v>0</v>
      </c>
      <c r="Z3">
        <v>83.1</v>
      </c>
      <c r="AA3">
        <v>12.62</v>
      </c>
      <c r="AB3">
        <v>0</v>
      </c>
      <c r="AC3">
        <v>0</v>
      </c>
      <c r="AD3">
        <v>1</v>
      </c>
      <c r="AE3">
        <v>0</v>
      </c>
      <c r="AF3" t="s">
        <v>27</v>
      </c>
      <c r="AG3">
        <v>1.1720000000000002</v>
      </c>
      <c r="AH3">
        <v>2</v>
      </c>
      <c r="AI3">
        <v>70324495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>
      <c r="A4">
        <f>ROW(Source!A28)</f>
        <v>28</v>
      </c>
      <c r="B4">
        <v>70324506</v>
      </c>
      <c r="C4">
        <v>70324492</v>
      </c>
      <c r="D4">
        <v>69363847</v>
      </c>
      <c r="E4">
        <v>1</v>
      </c>
      <c r="F4">
        <v>1</v>
      </c>
      <c r="G4">
        <v>1075</v>
      </c>
      <c r="H4">
        <v>2</v>
      </c>
      <c r="I4" t="s">
        <v>124</v>
      </c>
      <c r="J4" t="s">
        <v>125</v>
      </c>
      <c r="K4" t="s">
        <v>126</v>
      </c>
      <c r="L4">
        <v>1368</v>
      </c>
      <c r="N4">
        <v>1011</v>
      </c>
      <c r="O4" t="s">
        <v>120</v>
      </c>
      <c r="P4" t="s">
        <v>120</v>
      </c>
      <c r="Q4">
        <v>1</v>
      </c>
      <c r="X4">
        <v>15.5</v>
      </c>
      <c r="Y4">
        <v>0</v>
      </c>
      <c r="Z4">
        <v>31.15</v>
      </c>
      <c r="AA4">
        <v>10.220000000000001</v>
      </c>
      <c r="AB4">
        <v>0</v>
      </c>
      <c r="AC4">
        <v>0</v>
      </c>
      <c r="AD4">
        <v>1</v>
      </c>
      <c r="AE4">
        <v>0</v>
      </c>
      <c r="AF4" t="s">
        <v>27</v>
      </c>
      <c r="AG4">
        <v>6.2</v>
      </c>
      <c r="AH4">
        <v>2</v>
      </c>
      <c r="AI4">
        <v>70324496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>
      <c r="A5">
        <f>ROW(Source!A28)</f>
        <v>28</v>
      </c>
      <c r="B5">
        <v>70324507</v>
      </c>
      <c r="C5">
        <v>70324492</v>
      </c>
      <c r="D5">
        <v>69334386</v>
      </c>
      <c r="E5">
        <v>1</v>
      </c>
      <c r="F5">
        <v>1</v>
      </c>
      <c r="G5">
        <v>1075</v>
      </c>
      <c r="H5">
        <v>3</v>
      </c>
      <c r="I5" t="s">
        <v>127</v>
      </c>
      <c r="J5" t="s">
        <v>128</v>
      </c>
      <c r="K5" t="s">
        <v>129</v>
      </c>
      <c r="L5">
        <v>1346</v>
      </c>
      <c r="N5">
        <v>1009</v>
      </c>
      <c r="O5" t="s">
        <v>130</v>
      </c>
      <c r="P5" t="s">
        <v>130</v>
      </c>
      <c r="Q5">
        <v>1</v>
      </c>
      <c r="X5">
        <v>2.4</v>
      </c>
      <c r="Y5">
        <v>26.89</v>
      </c>
      <c r="Z5">
        <v>0</v>
      </c>
      <c r="AA5">
        <v>0</v>
      </c>
      <c r="AB5">
        <v>0</v>
      </c>
      <c r="AC5">
        <v>0</v>
      </c>
      <c r="AD5">
        <v>1</v>
      </c>
      <c r="AE5">
        <v>0</v>
      </c>
      <c r="AF5" t="s">
        <v>26</v>
      </c>
      <c r="AG5">
        <v>0</v>
      </c>
      <c r="AH5">
        <v>2</v>
      </c>
      <c r="AI5">
        <v>70324497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>
      <c r="A6">
        <f>ROW(Source!A28)</f>
        <v>28</v>
      </c>
      <c r="B6">
        <v>70324508</v>
      </c>
      <c r="C6">
        <v>70324492</v>
      </c>
      <c r="D6">
        <v>69334411</v>
      </c>
      <c r="E6">
        <v>1</v>
      </c>
      <c r="F6">
        <v>1</v>
      </c>
      <c r="G6">
        <v>1075</v>
      </c>
      <c r="H6">
        <v>3</v>
      </c>
      <c r="I6" t="s">
        <v>131</v>
      </c>
      <c r="J6" t="s">
        <v>132</v>
      </c>
      <c r="K6" t="s">
        <v>133</v>
      </c>
      <c r="L6">
        <v>1348</v>
      </c>
      <c r="N6">
        <v>1009</v>
      </c>
      <c r="O6" t="s">
        <v>134</v>
      </c>
      <c r="P6" t="s">
        <v>134</v>
      </c>
      <c r="Q6">
        <v>1000</v>
      </c>
      <c r="X6">
        <v>1E-3</v>
      </c>
      <c r="Y6">
        <v>7254.88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26</v>
      </c>
      <c r="AG6">
        <v>0</v>
      </c>
      <c r="AH6">
        <v>2</v>
      </c>
      <c r="AI6">
        <v>70324498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>
      <c r="A7">
        <f>ROW(Source!A28)</f>
        <v>28</v>
      </c>
      <c r="B7">
        <v>70324509</v>
      </c>
      <c r="C7">
        <v>70324492</v>
      </c>
      <c r="D7">
        <v>69334814</v>
      </c>
      <c r="E7">
        <v>1</v>
      </c>
      <c r="F7">
        <v>1</v>
      </c>
      <c r="G7">
        <v>1075</v>
      </c>
      <c r="H7">
        <v>3</v>
      </c>
      <c r="I7" t="s">
        <v>135</v>
      </c>
      <c r="J7" t="s">
        <v>136</v>
      </c>
      <c r="K7" t="s">
        <v>137</v>
      </c>
      <c r="L7">
        <v>1346</v>
      </c>
      <c r="N7">
        <v>1009</v>
      </c>
      <c r="O7" t="s">
        <v>130</v>
      </c>
      <c r="P7" t="s">
        <v>130</v>
      </c>
      <c r="Q7">
        <v>1</v>
      </c>
      <c r="X7">
        <v>0.2</v>
      </c>
      <c r="Y7">
        <v>29.9</v>
      </c>
      <c r="Z7">
        <v>0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26</v>
      </c>
      <c r="AG7">
        <v>0</v>
      </c>
      <c r="AH7">
        <v>2</v>
      </c>
      <c r="AI7">
        <v>70324499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>
      <c r="A8">
        <f>ROW(Source!A28)</f>
        <v>28</v>
      </c>
      <c r="B8">
        <v>70324510</v>
      </c>
      <c r="C8">
        <v>70324492</v>
      </c>
      <c r="D8">
        <v>69335526</v>
      </c>
      <c r="E8">
        <v>1</v>
      </c>
      <c r="F8">
        <v>1</v>
      </c>
      <c r="G8">
        <v>1075</v>
      </c>
      <c r="H8">
        <v>3</v>
      </c>
      <c r="I8" t="s">
        <v>138</v>
      </c>
      <c r="J8" t="s">
        <v>139</v>
      </c>
      <c r="K8" t="s">
        <v>140</v>
      </c>
      <c r="L8">
        <v>1346</v>
      </c>
      <c r="N8">
        <v>1009</v>
      </c>
      <c r="O8" t="s">
        <v>130</v>
      </c>
      <c r="P8" t="s">
        <v>130</v>
      </c>
      <c r="Q8">
        <v>1</v>
      </c>
      <c r="X8">
        <v>0.3</v>
      </c>
      <c r="Y8">
        <v>21.04</v>
      </c>
      <c r="Z8">
        <v>0</v>
      </c>
      <c r="AA8">
        <v>0</v>
      </c>
      <c r="AB8">
        <v>0</v>
      </c>
      <c r="AC8">
        <v>0</v>
      </c>
      <c r="AD8">
        <v>1</v>
      </c>
      <c r="AE8">
        <v>0</v>
      </c>
      <c r="AF8" t="s">
        <v>26</v>
      </c>
      <c r="AG8">
        <v>0</v>
      </c>
      <c r="AH8">
        <v>2</v>
      </c>
      <c r="AI8">
        <v>70324500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>
      <c r="A9">
        <f>ROW(Source!A28)</f>
        <v>28</v>
      </c>
      <c r="B9">
        <v>70324511</v>
      </c>
      <c r="C9">
        <v>70324492</v>
      </c>
      <c r="D9">
        <v>69340457</v>
      </c>
      <c r="E9">
        <v>1</v>
      </c>
      <c r="F9">
        <v>1</v>
      </c>
      <c r="G9">
        <v>1075</v>
      </c>
      <c r="H9">
        <v>3</v>
      </c>
      <c r="I9" t="s">
        <v>141</v>
      </c>
      <c r="J9" t="s">
        <v>142</v>
      </c>
      <c r="K9" t="s">
        <v>143</v>
      </c>
      <c r="L9">
        <v>1302</v>
      </c>
      <c r="N9">
        <v>1003</v>
      </c>
      <c r="O9" t="s">
        <v>144</v>
      </c>
      <c r="P9" t="s">
        <v>144</v>
      </c>
      <c r="Q9">
        <v>10</v>
      </c>
      <c r="X9">
        <v>0.03</v>
      </c>
      <c r="Y9">
        <v>46.16</v>
      </c>
      <c r="Z9">
        <v>0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26</v>
      </c>
      <c r="AG9">
        <v>0</v>
      </c>
      <c r="AH9">
        <v>2</v>
      </c>
      <c r="AI9">
        <v>70324501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>
      <c r="A10">
        <f>ROW(Source!A28)</f>
        <v>28</v>
      </c>
      <c r="B10">
        <v>70324512</v>
      </c>
      <c r="C10">
        <v>70324492</v>
      </c>
      <c r="D10">
        <v>69351117</v>
      </c>
      <c r="E10">
        <v>1</v>
      </c>
      <c r="F10">
        <v>1</v>
      </c>
      <c r="G10">
        <v>1075</v>
      </c>
      <c r="H10">
        <v>3</v>
      </c>
      <c r="I10" t="s">
        <v>145</v>
      </c>
      <c r="J10" t="s">
        <v>146</v>
      </c>
      <c r="K10" t="s">
        <v>147</v>
      </c>
      <c r="L10">
        <v>1301</v>
      </c>
      <c r="N10">
        <v>1003</v>
      </c>
      <c r="O10" t="s">
        <v>148</v>
      </c>
      <c r="P10" t="s">
        <v>148</v>
      </c>
      <c r="Q10">
        <v>1</v>
      </c>
      <c r="X10">
        <v>2.5</v>
      </c>
      <c r="Y10">
        <v>0.7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26</v>
      </c>
      <c r="AG10">
        <v>0</v>
      </c>
      <c r="AH10">
        <v>2</v>
      </c>
      <c r="AI10">
        <v>70324502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>
      <c r="A11">
        <f>ROW(Source!A28)</f>
        <v>28</v>
      </c>
      <c r="B11">
        <v>70324513</v>
      </c>
      <c r="C11">
        <v>70324492</v>
      </c>
      <c r="D11">
        <v>69279349</v>
      </c>
      <c r="E11">
        <v>1075</v>
      </c>
      <c r="F11">
        <v>1</v>
      </c>
      <c r="G11">
        <v>1075</v>
      </c>
      <c r="H11">
        <v>3</v>
      </c>
      <c r="I11" t="s">
        <v>149</v>
      </c>
      <c r="J11" t="s">
        <v>4</v>
      </c>
      <c r="K11" t="s">
        <v>150</v>
      </c>
      <c r="L11">
        <v>1346</v>
      </c>
      <c r="N11">
        <v>1009</v>
      </c>
      <c r="O11" t="s">
        <v>130</v>
      </c>
      <c r="P11" t="s">
        <v>130</v>
      </c>
      <c r="Q11">
        <v>1</v>
      </c>
      <c r="X11">
        <v>1.23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 t="s">
        <v>26</v>
      </c>
      <c r="AG11">
        <v>0</v>
      </c>
      <c r="AH11">
        <v>3</v>
      </c>
      <c r="AI11">
        <v>-1</v>
      </c>
      <c r="AJ11" t="s">
        <v>4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>
      <c r="A12">
        <f>ROW(Source!A28)</f>
        <v>28</v>
      </c>
      <c r="B12">
        <v>70324514</v>
      </c>
      <c r="C12">
        <v>70324492</v>
      </c>
      <c r="D12">
        <v>69293266</v>
      </c>
      <c r="E12">
        <v>1075</v>
      </c>
      <c r="F12">
        <v>1</v>
      </c>
      <c r="G12">
        <v>1075</v>
      </c>
      <c r="H12">
        <v>3</v>
      </c>
      <c r="I12" t="s">
        <v>151</v>
      </c>
      <c r="J12" t="s">
        <v>4</v>
      </c>
      <c r="K12" t="s">
        <v>152</v>
      </c>
      <c r="L12">
        <v>1354</v>
      </c>
      <c r="N12">
        <v>1010</v>
      </c>
      <c r="O12" t="s">
        <v>92</v>
      </c>
      <c r="P12" t="s">
        <v>92</v>
      </c>
      <c r="Q12">
        <v>1</v>
      </c>
      <c r="X12">
        <v>1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 t="s">
        <v>26</v>
      </c>
      <c r="AG12">
        <v>0</v>
      </c>
      <c r="AH12">
        <v>3</v>
      </c>
      <c r="AI12">
        <v>-1</v>
      </c>
      <c r="AJ12" t="s">
        <v>4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>
      <c r="A13">
        <f>ROW(Source!A29)</f>
        <v>29</v>
      </c>
      <c r="B13">
        <v>70324503</v>
      </c>
      <c r="C13">
        <v>70324492</v>
      </c>
      <c r="D13">
        <v>69275358</v>
      </c>
      <c r="E13">
        <v>1075</v>
      </c>
      <c r="F13">
        <v>1</v>
      </c>
      <c r="G13">
        <v>1075</v>
      </c>
      <c r="H13">
        <v>1</v>
      </c>
      <c r="I13" t="s">
        <v>114</v>
      </c>
      <c r="J13" t="s">
        <v>4</v>
      </c>
      <c r="K13" t="s">
        <v>115</v>
      </c>
      <c r="L13">
        <v>1191</v>
      </c>
      <c r="N13">
        <v>1013</v>
      </c>
      <c r="O13" t="s">
        <v>116</v>
      </c>
      <c r="P13" t="s">
        <v>116</v>
      </c>
      <c r="Q13">
        <v>1</v>
      </c>
      <c r="X13">
        <v>28.8</v>
      </c>
      <c r="Y13">
        <v>0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1</v>
      </c>
      <c r="AF13" t="s">
        <v>27</v>
      </c>
      <c r="AG13">
        <v>11.520000000000001</v>
      </c>
      <c r="AH13">
        <v>2</v>
      </c>
      <c r="AI13">
        <v>70324493</v>
      </c>
      <c r="AJ13">
        <v>11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>
      <c r="A14">
        <f>ROW(Source!A29)</f>
        <v>29</v>
      </c>
      <c r="B14">
        <v>70324504</v>
      </c>
      <c r="C14">
        <v>70324492</v>
      </c>
      <c r="D14">
        <v>69364211</v>
      </c>
      <c r="E14">
        <v>1</v>
      </c>
      <c r="F14">
        <v>1</v>
      </c>
      <c r="G14">
        <v>1075</v>
      </c>
      <c r="H14">
        <v>2</v>
      </c>
      <c r="I14" t="s">
        <v>117</v>
      </c>
      <c r="J14" t="s">
        <v>118</v>
      </c>
      <c r="K14" t="s">
        <v>119</v>
      </c>
      <c r="L14">
        <v>1368</v>
      </c>
      <c r="N14">
        <v>1011</v>
      </c>
      <c r="O14" t="s">
        <v>120</v>
      </c>
      <c r="P14" t="s">
        <v>120</v>
      </c>
      <c r="Q14">
        <v>1</v>
      </c>
      <c r="X14">
        <v>0.17</v>
      </c>
      <c r="Y14">
        <v>0</v>
      </c>
      <c r="Z14">
        <v>7.11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27</v>
      </c>
      <c r="AG14">
        <v>6.8000000000000005E-2</v>
      </c>
      <c r="AH14">
        <v>2</v>
      </c>
      <c r="AI14">
        <v>70324494</v>
      </c>
      <c r="AJ14">
        <v>12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>
      <c r="A15">
        <f>ROW(Source!A29)</f>
        <v>29</v>
      </c>
      <c r="B15">
        <v>70324505</v>
      </c>
      <c r="C15">
        <v>70324492</v>
      </c>
      <c r="D15">
        <v>69364509</v>
      </c>
      <c r="E15">
        <v>1</v>
      </c>
      <c r="F15">
        <v>1</v>
      </c>
      <c r="G15">
        <v>1075</v>
      </c>
      <c r="H15">
        <v>2</v>
      </c>
      <c r="I15" t="s">
        <v>121</v>
      </c>
      <c r="J15" t="s">
        <v>122</v>
      </c>
      <c r="K15" t="s">
        <v>123</v>
      </c>
      <c r="L15">
        <v>1368</v>
      </c>
      <c r="N15">
        <v>1011</v>
      </c>
      <c r="O15" t="s">
        <v>120</v>
      </c>
      <c r="P15" t="s">
        <v>120</v>
      </c>
      <c r="Q15">
        <v>1</v>
      </c>
      <c r="X15">
        <v>2.93</v>
      </c>
      <c r="Y15">
        <v>0</v>
      </c>
      <c r="Z15">
        <v>83.1</v>
      </c>
      <c r="AA15">
        <v>12.62</v>
      </c>
      <c r="AB15">
        <v>0</v>
      </c>
      <c r="AC15">
        <v>0</v>
      </c>
      <c r="AD15">
        <v>1</v>
      </c>
      <c r="AE15">
        <v>0</v>
      </c>
      <c r="AF15" t="s">
        <v>27</v>
      </c>
      <c r="AG15">
        <v>1.1720000000000002</v>
      </c>
      <c r="AH15">
        <v>2</v>
      </c>
      <c r="AI15">
        <v>70324495</v>
      </c>
      <c r="AJ15">
        <v>13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>
      <c r="A16">
        <f>ROW(Source!A29)</f>
        <v>29</v>
      </c>
      <c r="B16">
        <v>70324506</v>
      </c>
      <c r="C16">
        <v>70324492</v>
      </c>
      <c r="D16">
        <v>69363847</v>
      </c>
      <c r="E16">
        <v>1</v>
      </c>
      <c r="F16">
        <v>1</v>
      </c>
      <c r="G16">
        <v>1075</v>
      </c>
      <c r="H16">
        <v>2</v>
      </c>
      <c r="I16" t="s">
        <v>124</v>
      </c>
      <c r="J16" t="s">
        <v>125</v>
      </c>
      <c r="K16" t="s">
        <v>126</v>
      </c>
      <c r="L16">
        <v>1368</v>
      </c>
      <c r="N16">
        <v>1011</v>
      </c>
      <c r="O16" t="s">
        <v>120</v>
      </c>
      <c r="P16" t="s">
        <v>120</v>
      </c>
      <c r="Q16">
        <v>1</v>
      </c>
      <c r="X16">
        <v>15.5</v>
      </c>
      <c r="Y16">
        <v>0</v>
      </c>
      <c r="Z16">
        <v>31.15</v>
      </c>
      <c r="AA16">
        <v>10.220000000000001</v>
      </c>
      <c r="AB16">
        <v>0</v>
      </c>
      <c r="AC16">
        <v>0</v>
      </c>
      <c r="AD16">
        <v>1</v>
      </c>
      <c r="AE16">
        <v>0</v>
      </c>
      <c r="AF16" t="s">
        <v>27</v>
      </c>
      <c r="AG16">
        <v>6.2</v>
      </c>
      <c r="AH16">
        <v>2</v>
      </c>
      <c r="AI16">
        <v>70324496</v>
      </c>
      <c r="AJ16">
        <v>14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>
      <c r="A17">
        <f>ROW(Source!A29)</f>
        <v>29</v>
      </c>
      <c r="B17">
        <v>70324507</v>
      </c>
      <c r="C17">
        <v>70324492</v>
      </c>
      <c r="D17">
        <v>69334386</v>
      </c>
      <c r="E17">
        <v>1</v>
      </c>
      <c r="F17">
        <v>1</v>
      </c>
      <c r="G17">
        <v>1075</v>
      </c>
      <c r="H17">
        <v>3</v>
      </c>
      <c r="I17" t="s">
        <v>127</v>
      </c>
      <c r="J17" t="s">
        <v>128</v>
      </c>
      <c r="K17" t="s">
        <v>129</v>
      </c>
      <c r="L17">
        <v>1346</v>
      </c>
      <c r="N17">
        <v>1009</v>
      </c>
      <c r="O17" t="s">
        <v>130</v>
      </c>
      <c r="P17" t="s">
        <v>130</v>
      </c>
      <c r="Q17">
        <v>1</v>
      </c>
      <c r="X17">
        <v>2.4</v>
      </c>
      <c r="Y17">
        <v>26.89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26</v>
      </c>
      <c r="AG17">
        <v>0</v>
      </c>
      <c r="AH17">
        <v>2</v>
      </c>
      <c r="AI17">
        <v>70324497</v>
      </c>
      <c r="AJ17">
        <v>15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>
      <c r="A18">
        <f>ROW(Source!A29)</f>
        <v>29</v>
      </c>
      <c r="B18">
        <v>70324508</v>
      </c>
      <c r="C18">
        <v>70324492</v>
      </c>
      <c r="D18">
        <v>69334411</v>
      </c>
      <c r="E18">
        <v>1</v>
      </c>
      <c r="F18">
        <v>1</v>
      </c>
      <c r="G18">
        <v>1075</v>
      </c>
      <c r="H18">
        <v>3</v>
      </c>
      <c r="I18" t="s">
        <v>131</v>
      </c>
      <c r="J18" t="s">
        <v>132</v>
      </c>
      <c r="K18" t="s">
        <v>133</v>
      </c>
      <c r="L18">
        <v>1348</v>
      </c>
      <c r="N18">
        <v>1009</v>
      </c>
      <c r="O18" t="s">
        <v>134</v>
      </c>
      <c r="P18" t="s">
        <v>134</v>
      </c>
      <c r="Q18">
        <v>1000</v>
      </c>
      <c r="X18">
        <v>1E-3</v>
      </c>
      <c r="Y18">
        <v>7254.88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26</v>
      </c>
      <c r="AG18">
        <v>0</v>
      </c>
      <c r="AH18">
        <v>2</v>
      </c>
      <c r="AI18">
        <v>70324498</v>
      </c>
      <c r="AJ18">
        <v>16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>
      <c r="A19">
        <f>ROW(Source!A29)</f>
        <v>29</v>
      </c>
      <c r="B19">
        <v>70324509</v>
      </c>
      <c r="C19">
        <v>70324492</v>
      </c>
      <c r="D19">
        <v>69334814</v>
      </c>
      <c r="E19">
        <v>1</v>
      </c>
      <c r="F19">
        <v>1</v>
      </c>
      <c r="G19">
        <v>1075</v>
      </c>
      <c r="H19">
        <v>3</v>
      </c>
      <c r="I19" t="s">
        <v>135</v>
      </c>
      <c r="J19" t="s">
        <v>136</v>
      </c>
      <c r="K19" t="s">
        <v>137</v>
      </c>
      <c r="L19">
        <v>1346</v>
      </c>
      <c r="N19">
        <v>1009</v>
      </c>
      <c r="O19" t="s">
        <v>130</v>
      </c>
      <c r="P19" t="s">
        <v>130</v>
      </c>
      <c r="Q19">
        <v>1</v>
      </c>
      <c r="X19">
        <v>0.2</v>
      </c>
      <c r="Y19">
        <v>29.9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26</v>
      </c>
      <c r="AG19">
        <v>0</v>
      </c>
      <c r="AH19">
        <v>2</v>
      </c>
      <c r="AI19">
        <v>70324499</v>
      </c>
      <c r="AJ19">
        <v>17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>
      <c r="A20">
        <f>ROW(Source!A29)</f>
        <v>29</v>
      </c>
      <c r="B20">
        <v>70324510</v>
      </c>
      <c r="C20">
        <v>70324492</v>
      </c>
      <c r="D20">
        <v>69335526</v>
      </c>
      <c r="E20">
        <v>1</v>
      </c>
      <c r="F20">
        <v>1</v>
      </c>
      <c r="G20">
        <v>1075</v>
      </c>
      <c r="H20">
        <v>3</v>
      </c>
      <c r="I20" t="s">
        <v>138</v>
      </c>
      <c r="J20" t="s">
        <v>139</v>
      </c>
      <c r="K20" t="s">
        <v>140</v>
      </c>
      <c r="L20">
        <v>1346</v>
      </c>
      <c r="N20">
        <v>1009</v>
      </c>
      <c r="O20" t="s">
        <v>130</v>
      </c>
      <c r="P20" t="s">
        <v>130</v>
      </c>
      <c r="Q20">
        <v>1</v>
      </c>
      <c r="X20">
        <v>0.3</v>
      </c>
      <c r="Y20">
        <v>21.04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26</v>
      </c>
      <c r="AG20">
        <v>0</v>
      </c>
      <c r="AH20">
        <v>2</v>
      </c>
      <c r="AI20">
        <v>70324500</v>
      </c>
      <c r="AJ20">
        <v>18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>
      <c r="A21">
        <f>ROW(Source!A29)</f>
        <v>29</v>
      </c>
      <c r="B21">
        <v>70324511</v>
      </c>
      <c r="C21">
        <v>70324492</v>
      </c>
      <c r="D21">
        <v>69340457</v>
      </c>
      <c r="E21">
        <v>1</v>
      </c>
      <c r="F21">
        <v>1</v>
      </c>
      <c r="G21">
        <v>1075</v>
      </c>
      <c r="H21">
        <v>3</v>
      </c>
      <c r="I21" t="s">
        <v>141</v>
      </c>
      <c r="J21" t="s">
        <v>142</v>
      </c>
      <c r="K21" t="s">
        <v>143</v>
      </c>
      <c r="L21">
        <v>1302</v>
      </c>
      <c r="N21">
        <v>1003</v>
      </c>
      <c r="O21" t="s">
        <v>144</v>
      </c>
      <c r="P21" t="s">
        <v>144</v>
      </c>
      <c r="Q21">
        <v>10</v>
      </c>
      <c r="X21">
        <v>0.03</v>
      </c>
      <c r="Y21">
        <v>46.16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26</v>
      </c>
      <c r="AG21">
        <v>0</v>
      </c>
      <c r="AH21">
        <v>2</v>
      </c>
      <c r="AI21">
        <v>70324501</v>
      </c>
      <c r="AJ21">
        <v>19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>
      <c r="A22">
        <f>ROW(Source!A29)</f>
        <v>29</v>
      </c>
      <c r="B22">
        <v>70324512</v>
      </c>
      <c r="C22">
        <v>70324492</v>
      </c>
      <c r="D22">
        <v>69351117</v>
      </c>
      <c r="E22">
        <v>1</v>
      </c>
      <c r="F22">
        <v>1</v>
      </c>
      <c r="G22">
        <v>1075</v>
      </c>
      <c r="H22">
        <v>3</v>
      </c>
      <c r="I22" t="s">
        <v>145</v>
      </c>
      <c r="J22" t="s">
        <v>146</v>
      </c>
      <c r="K22" t="s">
        <v>147</v>
      </c>
      <c r="L22">
        <v>1301</v>
      </c>
      <c r="N22">
        <v>1003</v>
      </c>
      <c r="O22" t="s">
        <v>148</v>
      </c>
      <c r="P22" t="s">
        <v>148</v>
      </c>
      <c r="Q22">
        <v>1</v>
      </c>
      <c r="X22">
        <v>2.5</v>
      </c>
      <c r="Y22">
        <v>0.7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26</v>
      </c>
      <c r="AG22">
        <v>0</v>
      </c>
      <c r="AH22">
        <v>2</v>
      </c>
      <c r="AI22">
        <v>70324502</v>
      </c>
      <c r="AJ22">
        <v>20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>
      <c r="A23">
        <f>ROW(Source!A29)</f>
        <v>29</v>
      </c>
      <c r="B23">
        <v>70324513</v>
      </c>
      <c r="C23">
        <v>70324492</v>
      </c>
      <c r="D23">
        <v>69279349</v>
      </c>
      <c r="E23">
        <v>1075</v>
      </c>
      <c r="F23">
        <v>1</v>
      </c>
      <c r="G23">
        <v>1075</v>
      </c>
      <c r="H23">
        <v>3</v>
      </c>
      <c r="I23" t="s">
        <v>149</v>
      </c>
      <c r="J23" t="s">
        <v>4</v>
      </c>
      <c r="K23" t="s">
        <v>150</v>
      </c>
      <c r="L23">
        <v>1346</v>
      </c>
      <c r="N23">
        <v>1009</v>
      </c>
      <c r="O23" t="s">
        <v>130</v>
      </c>
      <c r="P23" t="s">
        <v>130</v>
      </c>
      <c r="Q23">
        <v>1</v>
      </c>
      <c r="X23">
        <v>1.23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 t="s">
        <v>26</v>
      </c>
      <c r="AG23">
        <v>0</v>
      </c>
      <c r="AH23">
        <v>3</v>
      </c>
      <c r="AI23">
        <v>-1</v>
      </c>
      <c r="AJ23" t="s">
        <v>4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>
      <c r="A24">
        <f>ROW(Source!A29)</f>
        <v>29</v>
      </c>
      <c r="B24">
        <v>70324514</v>
      </c>
      <c r="C24">
        <v>70324492</v>
      </c>
      <c r="D24">
        <v>69293266</v>
      </c>
      <c r="E24">
        <v>1075</v>
      </c>
      <c r="F24">
        <v>1</v>
      </c>
      <c r="G24">
        <v>1075</v>
      </c>
      <c r="H24">
        <v>3</v>
      </c>
      <c r="I24" t="s">
        <v>151</v>
      </c>
      <c r="J24" t="s">
        <v>4</v>
      </c>
      <c r="K24" t="s">
        <v>152</v>
      </c>
      <c r="L24">
        <v>1354</v>
      </c>
      <c r="N24">
        <v>1010</v>
      </c>
      <c r="O24" t="s">
        <v>92</v>
      </c>
      <c r="P24" t="s">
        <v>92</v>
      </c>
      <c r="Q24">
        <v>1</v>
      </c>
      <c r="X24">
        <v>1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 t="s">
        <v>26</v>
      </c>
      <c r="AG24">
        <v>0</v>
      </c>
      <c r="AH24">
        <v>3</v>
      </c>
      <c r="AI24">
        <v>-1</v>
      </c>
      <c r="AJ24" t="s">
        <v>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>
      <c r="A25">
        <f>ROW(Source!A65)</f>
        <v>65</v>
      </c>
      <c r="B25">
        <v>70323182</v>
      </c>
      <c r="C25">
        <v>70323171</v>
      </c>
      <c r="D25">
        <v>69275358</v>
      </c>
      <c r="E25">
        <v>1075</v>
      </c>
      <c r="F25">
        <v>1</v>
      </c>
      <c r="G25">
        <v>1075</v>
      </c>
      <c r="H25">
        <v>1</v>
      </c>
      <c r="I25" t="s">
        <v>114</v>
      </c>
      <c r="J25" t="s">
        <v>4</v>
      </c>
      <c r="K25" t="s">
        <v>115</v>
      </c>
      <c r="L25">
        <v>1191</v>
      </c>
      <c r="N25">
        <v>1013</v>
      </c>
      <c r="O25" t="s">
        <v>116</v>
      </c>
      <c r="P25" t="s">
        <v>116</v>
      </c>
      <c r="Q25">
        <v>1</v>
      </c>
      <c r="X25">
        <v>28.8</v>
      </c>
      <c r="Y25">
        <v>0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1</v>
      </c>
      <c r="AF25" t="s">
        <v>4</v>
      </c>
      <c r="AG25">
        <v>28.8</v>
      </c>
      <c r="AH25">
        <v>2</v>
      </c>
      <c r="AI25">
        <v>70323172</v>
      </c>
      <c r="AJ25">
        <v>21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>
      <c r="A26">
        <f>ROW(Source!A65)</f>
        <v>65</v>
      </c>
      <c r="B26">
        <v>70323183</v>
      </c>
      <c r="C26">
        <v>70323171</v>
      </c>
      <c r="D26">
        <v>69364211</v>
      </c>
      <c r="E26">
        <v>1</v>
      </c>
      <c r="F26">
        <v>1</v>
      </c>
      <c r="G26">
        <v>1075</v>
      </c>
      <c r="H26">
        <v>2</v>
      </c>
      <c r="I26" t="s">
        <v>117</v>
      </c>
      <c r="J26" t="s">
        <v>118</v>
      </c>
      <c r="K26" t="s">
        <v>119</v>
      </c>
      <c r="L26">
        <v>1368</v>
      </c>
      <c r="N26">
        <v>1011</v>
      </c>
      <c r="O26" t="s">
        <v>120</v>
      </c>
      <c r="P26" t="s">
        <v>120</v>
      </c>
      <c r="Q26">
        <v>1</v>
      </c>
      <c r="X26">
        <v>0.17</v>
      </c>
      <c r="Y26">
        <v>0</v>
      </c>
      <c r="Z26">
        <v>7.11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4</v>
      </c>
      <c r="AG26">
        <v>0.17</v>
      </c>
      <c r="AH26">
        <v>2</v>
      </c>
      <c r="AI26">
        <v>70323173</v>
      </c>
      <c r="AJ26">
        <v>22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>
      <c r="A27">
        <f>ROW(Source!A65)</f>
        <v>65</v>
      </c>
      <c r="B27">
        <v>70323184</v>
      </c>
      <c r="C27">
        <v>70323171</v>
      </c>
      <c r="D27">
        <v>69364509</v>
      </c>
      <c r="E27">
        <v>1</v>
      </c>
      <c r="F27">
        <v>1</v>
      </c>
      <c r="G27">
        <v>1075</v>
      </c>
      <c r="H27">
        <v>2</v>
      </c>
      <c r="I27" t="s">
        <v>121</v>
      </c>
      <c r="J27" t="s">
        <v>122</v>
      </c>
      <c r="K27" t="s">
        <v>123</v>
      </c>
      <c r="L27">
        <v>1368</v>
      </c>
      <c r="N27">
        <v>1011</v>
      </c>
      <c r="O27" t="s">
        <v>120</v>
      </c>
      <c r="P27" t="s">
        <v>120</v>
      </c>
      <c r="Q27">
        <v>1</v>
      </c>
      <c r="X27">
        <v>2.93</v>
      </c>
      <c r="Y27">
        <v>0</v>
      </c>
      <c r="Z27">
        <v>83.1</v>
      </c>
      <c r="AA27">
        <v>12.62</v>
      </c>
      <c r="AB27">
        <v>0</v>
      </c>
      <c r="AC27">
        <v>0</v>
      </c>
      <c r="AD27">
        <v>1</v>
      </c>
      <c r="AE27">
        <v>0</v>
      </c>
      <c r="AF27" t="s">
        <v>4</v>
      </c>
      <c r="AG27">
        <v>2.93</v>
      </c>
      <c r="AH27">
        <v>2</v>
      </c>
      <c r="AI27">
        <v>70323174</v>
      </c>
      <c r="AJ27">
        <v>23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>
      <c r="A28">
        <f>ROW(Source!A65)</f>
        <v>65</v>
      </c>
      <c r="B28">
        <v>70323185</v>
      </c>
      <c r="C28">
        <v>70323171</v>
      </c>
      <c r="D28">
        <v>69363847</v>
      </c>
      <c r="E28">
        <v>1</v>
      </c>
      <c r="F28">
        <v>1</v>
      </c>
      <c r="G28">
        <v>1075</v>
      </c>
      <c r="H28">
        <v>2</v>
      </c>
      <c r="I28" t="s">
        <v>124</v>
      </c>
      <c r="J28" t="s">
        <v>125</v>
      </c>
      <c r="K28" t="s">
        <v>126</v>
      </c>
      <c r="L28">
        <v>1368</v>
      </c>
      <c r="N28">
        <v>1011</v>
      </c>
      <c r="O28" t="s">
        <v>120</v>
      </c>
      <c r="P28" t="s">
        <v>120</v>
      </c>
      <c r="Q28">
        <v>1</v>
      </c>
      <c r="X28">
        <v>15.5</v>
      </c>
      <c r="Y28">
        <v>0</v>
      </c>
      <c r="Z28">
        <v>31.15</v>
      </c>
      <c r="AA28">
        <v>10.220000000000001</v>
      </c>
      <c r="AB28">
        <v>0</v>
      </c>
      <c r="AC28">
        <v>0</v>
      </c>
      <c r="AD28">
        <v>1</v>
      </c>
      <c r="AE28">
        <v>0</v>
      </c>
      <c r="AF28" t="s">
        <v>4</v>
      </c>
      <c r="AG28">
        <v>15.5</v>
      </c>
      <c r="AH28">
        <v>2</v>
      </c>
      <c r="AI28">
        <v>70323175</v>
      </c>
      <c r="AJ28">
        <v>24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>
      <c r="A29">
        <f>ROW(Source!A65)</f>
        <v>65</v>
      </c>
      <c r="B29">
        <v>70323186</v>
      </c>
      <c r="C29">
        <v>70323171</v>
      </c>
      <c r="D29">
        <v>69334386</v>
      </c>
      <c r="E29">
        <v>1</v>
      </c>
      <c r="F29">
        <v>1</v>
      </c>
      <c r="G29">
        <v>1075</v>
      </c>
      <c r="H29">
        <v>3</v>
      </c>
      <c r="I29" t="s">
        <v>127</v>
      </c>
      <c r="J29" t="s">
        <v>128</v>
      </c>
      <c r="K29" t="s">
        <v>129</v>
      </c>
      <c r="L29">
        <v>1346</v>
      </c>
      <c r="N29">
        <v>1009</v>
      </c>
      <c r="O29" t="s">
        <v>130</v>
      </c>
      <c r="P29" t="s">
        <v>130</v>
      </c>
      <c r="Q29">
        <v>1</v>
      </c>
      <c r="X29">
        <v>2.4</v>
      </c>
      <c r="Y29">
        <v>26.89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4</v>
      </c>
      <c r="AG29">
        <v>2.4</v>
      </c>
      <c r="AH29">
        <v>2</v>
      </c>
      <c r="AI29">
        <v>70323176</v>
      </c>
      <c r="AJ29">
        <v>25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>
      <c r="A30">
        <f>ROW(Source!A65)</f>
        <v>65</v>
      </c>
      <c r="B30">
        <v>70323187</v>
      </c>
      <c r="C30">
        <v>70323171</v>
      </c>
      <c r="D30">
        <v>69334411</v>
      </c>
      <c r="E30">
        <v>1</v>
      </c>
      <c r="F30">
        <v>1</v>
      </c>
      <c r="G30">
        <v>1075</v>
      </c>
      <c r="H30">
        <v>3</v>
      </c>
      <c r="I30" t="s">
        <v>131</v>
      </c>
      <c r="J30" t="s">
        <v>132</v>
      </c>
      <c r="K30" t="s">
        <v>133</v>
      </c>
      <c r="L30">
        <v>1348</v>
      </c>
      <c r="N30">
        <v>1009</v>
      </c>
      <c r="O30" t="s">
        <v>134</v>
      </c>
      <c r="P30" t="s">
        <v>134</v>
      </c>
      <c r="Q30">
        <v>1000</v>
      </c>
      <c r="X30">
        <v>1E-3</v>
      </c>
      <c r="Y30">
        <v>7254.88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4</v>
      </c>
      <c r="AG30">
        <v>1E-3</v>
      </c>
      <c r="AH30">
        <v>2</v>
      </c>
      <c r="AI30">
        <v>70323177</v>
      </c>
      <c r="AJ30">
        <v>26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>
      <c r="A31">
        <f>ROW(Source!A65)</f>
        <v>65</v>
      </c>
      <c r="B31">
        <v>70323188</v>
      </c>
      <c r="C31">
        <v>70323171</v>
      </c>
      <c r="D31">
        <v>69334814</v>
      </c>
      <c r="E31">
        <v>1</v>
      </c>
      <c r="F31">
        <v>1</v>
      </c>
      <c r="G31">
        <v>1075</v>
      </c>
      <c r="H31">
        <v>3</v>
      </c>
      <c r="I31" t="s">
        <v>135</v>
      </c>
      <c r="J31" t="s">
        <v>136</v>
      </c>
      <c r="K31" t="s">
        <v>137</v>
      </c>
      <c r="L31">
        <v>1346</v>
      </c>
      <c r="N31">
        <v>1009</v>
      </c>
      <c r="O31" t="s">
        <v>130</v>
      </c>
      <c r="P31" t="s">
        <v>130</v>
      </c>
      <c r="Q31">
        <v>1</v>
      </c>
      <c r="X31">
        <v>0.2</v>
      </c>
      <c r="Y31">
        <v>29.9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4</v>
      </c>
      <c r="AG31">
        <v>0.2</v>
      </c>
      <c r="AH31">
        <v>2</v>
      </c>
      <c r="AI31">
        <v>70323178</v>
      </c>
      <c r="AJ31">
        <v>27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>
      <c r="A32">
        <f>ROW(Source!A65)</f>
        <v>65</v>
      </c>
      <c r="B32">
        <v>70323189</v>
      </c>
      <c r="C32">
        <v>70323171</v>
      </c>
      <c r="D32">
        <v>69335526</v>
      </c>
      <c r="E32">
        <v>1</v>
      </c>
      <c r="F32">
        <v>1</v>
      </c>
      <c r="G32">
        <v>1075</v>
      </c>
      <c r="H32">
        <v>3</v>
      </c>
      <c r="I32" t="s">
        <v>138</v>
      </c>
      <c r="J32" t="s">
        <v>139</v>
      </c>
      <c r="K32" t="s">
        <v>140</v>
      </c>
      <c r="L32">
        <v>1346</v>
      </c>
      <c r="N32">
        <v>1009</v>
      </c>
      <c r="O32" t="s">
        <v>130</v>
      </c>
      <c r="P32" t="s">
        <v>130</v>
      </c>
      <c r="Q32">
        <v>1</v>
      </c>
      <c r="X32">
        <v>0.3</v>
      </c>
      <c r="Y32">
        <v>21.04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4</v>
      </c>
      <c r="AG32">
        <v>0.3</v>
      </c>
      <c r="AH32">
        <v>2</v>
      </c>
      <c r="AI32">
        <v>70323179</v>
      </c>
      <c r="AJ32">
        <v>28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>
      <c r="A33">
        <f>ROW(Source!A65)</f>
        <v>65</v>
      </c>
      <c r="B33">
        <v>70323190</v>
      </c>
      <c r="C33">
        <v>70323171</v>
      </c>
      <c r="D33">
        <v>69340457</v>
      </c>
      <c r="E33">
        <v>1</v>
      </c>
      <c r="F33">
        <v>1</v>
      </c>
      <c r="G33">
        <v>1075</v>
      </c>
      <c r="H33">
        <v>3</v>
      </c>
      <c r="I33" t="s">
        <v>141</v>
      </c>
      <c r="J33" t="s">
        <v>142</v>
      </c>
      <c r="K33" t="s">
        <v>143</v>
      </c>
      <c r="L33">
        <v>1302</v>
      </c>
      <c r="N33">
        <v>1003</v>
      </c>
      <c r="O33" t="s">
        <v>144</v>
      </c>
      <c r="P33" t="s">
        <v>144</v>
      </c>
      <c r="Q33">
        <v>10</v>
      </c>
      <c r="X33">
        <v>0.03</v>
      </c>
      <c r="Y33">
        <v>46.16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4</v>
      </c>
      <c r="AG33">
        <v>0.03</v>
      </c>
      <c r="AH33">
        <v>2</v>
      </c>
      <c r="AI33">
        <v>70323180</v>
      </c>
      <c r="AJ33">
        <v>29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>
      <c r="A34">
        <f>ROW(Source!A65)</f>
        <v>65</v>
      </c>
      <c r="B34">
        <v>70323191</v>
      </c>
      <c r="C34">
        <v>70323171</v>
      </c>
      <c r="D34">
        <v>69351117</v>
      </c>
      <c r="E34">
        <v>1</v>
      </c>
      <c r="F34">
        <v>1</v>
      </c>
      <c r="G34">
        <v>1075</v>
      </c>
      <c r="H34">
        <v>3</v>
      </c>
      <c r="I34" t="s">
        <v>145</v>
      </c>
      <c r="J34" t="s">
        <v>146</v>
      </c>
      <c r="K34" t="s">
        <v>147</v>
      </c>
      <c r="L34">
        <v>1301</v>
      </c>
      <c r="N34">
        <v>1003</v>
      </c>
      <c r="O34" t="s">
        <v>148</v>
      </c>
      <c r="P34" t="s">
        <v>148</v>
      </c>
      <c r="Q34">
        <v>1</v>
      </c>
      <c r="X34">
        <v>2.5</v>
      </c>
      <c r="Y34">
        <v>0.7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4</v>
      </c>
      <c r="AG34">
        <v>2.5</v>
      </c>
      <c r="AH34">
        <v>2</v>
      </c>
      <c r="AI34">
        <v>70323181</v>
      </c>
      <c r="AJ34">
        <v>30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>
      <c r="A35">
        <f>ROW(Source!A65)</f>
        <v>65</v>
      </c>
      <c r="B35">
        <v>70323192</v>
      </c>
      <c r="C35">
        <v>70323171</v>
      </c>
      <c r="D35">
        <v>69279349</v>
      </c>
      <c r="E35">
        <v>1075</v>
      </c>
      <c r="F35">
        <v>1</v>
      </c>
      <c r="G35">
        <v>1075</v>
      </c>
      <c r="H35">
        <v>3</v>
      </c>
      <c r="I35" t="s">
        <v>149</v>
      </c>
      <c r="J35" t="s">
        <v>4</v>
      </c>
      <c r="K35" t="s">
        <v>150</v>
      </c>
      <c r="L35">
        <v>1346</v>
      </c>
      <c r="N35">
        <v>1009</v>
      </c>
      <c r="O35" t="s">
        <v>130</v>
      </c>
      <c r="P35" t="s">
        <v>130</v>
      </c>
      <c r="Q35">
        <v>1</v>
      </c>
      <c r="X35">
        <v>1.23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 t="s">
        <v>4</v>
      </c>
      <c r="AG35">
        <v>1.23</v>
      </c>
      <c r="AH35">
        <v>3</v>
      </c>
      <c r="AI35">
        <v>-1</v>
      </c>
      <c r="AJ35" t="s">
        <v>4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>
      <c r="A36">
        <f>ROW(Source!A65)</f>
        <v>65</v>
      </c>
      <c r="B36">
        <v>70323193</v>
      </c>
      <c r="C36">
        <v>70323171</v>
      </c>
      <c r="D36">
        <v>69293266</v>
      </c>
      <c r="E36">
        <v>1075</v>
      </c>
      <c r="F36">
        <v>1</v>
      </c>
      <c r="G36">
        <v>1075</v>
      </c>
      <c r="H36">
        <v>3</v>
      </c>
      <c r="I36" t="s">
        <v>151</v>
      </c>
      <c r="J36" t="s">
        <v>4</v>
      </c>
      <c r="K36" t="s">
        <v>152</v>
      </c>
      <c r="L36">
        <v>1354</v>
      </c>
      <c r="N36">
        <v>1010</v>
      </c>
      <c r="O36" t="s">
        <v>92</v>
      </c>
      <c r="P36" t="s">
        <v>92</v>
      </c>
      <c r="Q36">
        <v>1</v>
      </c>
      <c r="X36">
        <v>1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 t="s">
        <v>4</v>
      </c>
      <c r="AG36">
        <v>1</v>
      </c>
      <c r="AH36">
        <v>3</v>
      </c>
      <c r="AI36">
        <v>-1</v>
      </c>
      <c r="AJ36" t="s">
        <v>4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>
      <c r="A37">
        <f>ROW(Source!A66)</f>
        <v>66</v>
      </c>
      <c r="B37">
        <v>70323182</v>
      </c>
      <c r="C37">
        <v>70323171</v>
      </c>
      <c r="D37">
        <v>69275358</v>
      </c>
      <c r="E37">
        <v>1075</v>
      </c>
      <c r="F37">
        <v>1</v>
      </c>
      <c r="G37">
        <v>1075</v>
      </c>
      <c r="H37">
        <v>1</v>
      </c>
      <c r="I37" t="s">
        <v>114</v>
      </c>
      <c r="J37" t="s">
        <v>4</v>
      </c>
      <c r="K37" t="s">
        <v>115</v>
      </c>
      <c r="L37">
        <v>1191</v>
      </c>
      <c r="N37">
        <v>1013</v>
      </c>
      <c r="O37" t="s">
        <v>116</v>
      </c>
      <c r="P37" t="s">
        <v>116</v>
      </c>
      <c r="Q37">
        <v>1</v>
      </c>
      <c r="X37">
        <v>28.8</v>
      </c>
      <c r="Y37">
        <v>0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1</v>
      </c>
      <c r="AF37" t="s">
        <v>4</v>
      </c>
      <c r="AG37">
        <v>28.8</v>
      </c>
      <c r="AH37">
        <v>2</v>
      </c>
      <c r="AI37">
        <v>70323172</v>
      </c>
      <c r="AJ37">
        <v>31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>
      <c r="A38">
        <f>ROW(Source!A66)</f>
        <v>66</v>
      </c>
      <c r="B38">
        <v>70323183</v>
      </c>
      <c r="C38">
        <v>70323171</v>
      </c>
      <c r="D38">
        <v>69364211</v>
      </c>
      <c r="E38">
        <v>1</v>
      </c>
      <c r="F38">
        <v>1</v>
      </c>
      <c r="G38">
        <v>1075</v>
      </c>
      <c r="H38">
        <v>2</v>
      </c>
      <c r="I38" t="s">
        <v>117</v>
      </c>
      <c r="J38" t="s">
        <v>118</v>
      </c>
      <c r="K38" t="s">
        <v>119</v>
      </c>
      <c r="L38">
        <v>1368</v>
      </c>
      <c r="N38">
        <v>1011</v>
      </c>
      <c r="O38" t="s">
        <v>120</v>
      </c>
      <c r="P38" t="s">
        <v>120</v>
      </c>
      <c r="Q38">
        <v>1</v>
      </c>
      <c r="X38">
        <v>0.17</v>
      </c>
      <c r="Y38">
        <v>0</v>
      </c>
      <c r="Z38">
        <v>7.11</v>
      </c>
      <c r="AA38">
        <v>0</v>
      </c>
      <c r="AB38">
        <v>0</v>
      </c>
      <c r="AC38">
        <v>0</v>
      </c>
      <c r="AD38">
        <v>1</v>
      </c>
      <c r="AE38">
        <v>0</v>
      </c>
      <c r="AF38" t="s">
        <v>4</v>
      </c>
      <c r="AG38">
        <v>0.17</v>
      </c>
      <c r="AH38">
        <v>2</v>
      </c>
      <c r="AI38">
        <v>70323173</v>
      </c>
      <c r="AJ38">
        <v>32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>
      <c r="A39">
        <f>ROW(Source!A66)</f>
        <v>66</v>
      </c>
      <c r="B39">
        <v>70323184</v>
      </c>
      <c r="C39">
        <v>70323171</v>
      </c>
      <c r="D39">
        <v>69364509</v>
      </c>
      <c r="E39">
        <v>1</v>
      </c>
      <c r="F39">
        <v>1</v>
      </c>
      <c r="G39">
        <v>1075</v>
      </c>
      <c r="H39">
        <v>2</v>
      </c>
      <c r="I39" t="s">
        <v>121</v>
      </c>
      <c r="J39" t="s">
        <v>122</v>
      </c>
      <c r="K39" t="s">
        <v>123</v>
      </c>
      <c r="L39">
        <v>1368</v>
      </c>
      <c r="N39">
        <v>1011</v>
      </c>
      <c r="O39" t="s">
        <v>120</v>
      </c>
      <c r="P39" t="s">
        <v>120</v>
      </c>
      <c r="Q39">
        <v>1</v>
      </c>
      <c r="X39">
        <v>2.93</v>
      </c>
      <c r="Y39">
        <v>0</v>
      </c>
      <c r="Z39">
        <v>83.1</v>
      </c>
      <c r="AA39">
        <v>12.62</v>
      </c>
      <c r="AB39">
        <v>0</v>
      </c>
      <c r="AC39">
        <v>0</v>
      </c>
      <c r="AD39">
        <v>1</v>
      </c>
      <c r="AE39">
        <v>0</v>
      </c>
      <c r="AF39" t="s">
        <v>4</v>
      </c>
      <c r="AG39">
        <v>2.93</v>
      </c>
      <c r="AH39">
        <v>2</v>
      </c>
      <c r="AI39">
        <v>70323174</v>
      </c>
      <c r="AJ39">
        <v>33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>
      <c r="A40">
        <f>ROW(Source!A66)</f>
        <v>66</v>
      </c>
      <c r="B40">
        <v>70323185</v>
      </c>
      <c r="C40">
        <v>70323171</v>
      </c>
      <c r="D40">
        <v>69363847</v>
      </c>
      <c r="E40">
        <v>1</v>
      </c>
      <c r="F40">
        <v>1</v>
      </c>
      <c r="G40">
        <v>1075</v>
      </c>
      <c r="H40">
        <v>2</v>
      </c>
      <c r="I40" t="s">
        <v>124</v>
      </c>
      <c r="J40" t="s">
        <v>125</v>
      </c>
      <c r="K40" t="s">
        <v>126</v>
      </c>
      <c r="L40">
        <v>1368</v>
      </c>
      <c r="N40">
        <v>1011</v>
      </c>
      <c r="O40" t="s">
        <v>120</v>
      </c>
      <c r="P40" t="s">
        <v>120</v>
      </c>
      <c r="Q40">
        <v>1</v>
      </c>
      <c r="X40">
        <v>15.5</v>
      </c>
      <c r="Y40">
        <v>0</v>
      </c>
      <c r="Z40">
        <v>31.15</v>
      </c>
      <c r="AA40">
        <v>10.220000000000001</v>
      </c>
      <c r="AB40">
        <v>0</v>
      </c>
      <c r="AC40">
        <v>0</v>
      </c>
      <c r="AD40">
        <v>1</v>
      </c>
      <c r="AE40">
        <v>0</v>
      </c>
      <c r="AF40" t="s">
        <v>4</v>
      </c>
      <c r="AG40">
        <v>15.5</v>
      </c>
      <c r="AH40">
        <v>2</v>
      </c>
      <c r="AI40">
        <v>70323175</v>
      </c>
      <c r="AJ40">
        <v>34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>
      <c r="A41">
        <f>ROW(Source!A66)</f>
        <v>66</v>
      </c>
      <c r="B41">
        <v>70323186</v>
      </c>
      <c r="C41">
        <v>70323171</v>
      </c>
      <c r="D41">
        <v>69334386</v>
      </c>
      <c r="E41">
        <v>1</v>
      </c>
      <c r="F41">
        <v>1</v>
      </c>
      <c r="G41">
        <v>1075</v>
      </c>
      <c r="H41">
        <v>3</v>
      </c>
      <c r="I41" t="s">
        <v>127</v>
      </c>
      <c r="J41" t="s">
        <v>128</v>
      </c>
      <c r="K41" t="s">
        <v>129</v>
      </c>
      <c r="L41">
        <v>1346</v>
      </c>
      <c r="N41">
        <v>1009</v>
      </c>
      <c r="O41" t="s">
        <v>130</v>
      </c>
      <c r="P41" t="s">
        <v>130</v>
      </c>
      <c r="Q41">
        <v>1</v>
      </c>
      <c r="X41">
        <v>2.4</v>
      </c>
      <c r="Y41">
        <v>26.89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0</v>
      </c>
      <c r="AF41" t="s">
        <v>4</v>
      </c>
      <c r="AG41">
        <v>2.4</v>
      </c>
      <c r="AH41">
        <v>2</v>
      </c>
      <c r="AI41">
        <v>70323176</v>
      </c>
      <c r="AJ41">
        <v>35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>
      <c r="A42">
        <f>ROW(Source!A66)</f>
        <v>66</v>
      </c>
      <c r="B42">
        <v>70323187</v>
      </c>
      <c r="C42">
        <v>70323171</v>
      </c>
      <c r="D42">
        <v>69334411</v>
      </c>
      <c r="E42">
        <v>1</v>
      </c>
      <c r="F42">
        <v>1</v>
      </c>
      <c r="G42">
        <v>1075</v>
      </c>
      <c r="H42">
        <v>3</v>
      </c>
      <c r="I42" t="s">
        <v>131</v>
      </c>
      <c r="J42" t="s">
        <v>132</v>
      </c>
      <c r="K42" t="s">
        <v>133</v>
      </c>
      <c r="L42">
        <v>1348</v>
      </c>
      <c r="N42">
        <v>1009</v>
      </c>
      <c r="O42" t="s">
        <v>134</v>
      </c>
      <c r="P42" t="s">
        <v>134</v>
      </c>
      <c r="Q42">
        <v>1000</v>
      </c>
      <c r="X42">
        <v>1E-3</v>
      </c>
      <c r="Y42">
        <v>7254.88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0</v>
      </c>
      <c r="AF42" t="s">
        <v>4</v>
      </c>
      <c r="AG42">
        <v>1E-3</v>
      </c>
      <c r="AH42">
        <v>2</v>
      </c>
      <c r="AI42">
        <v>70323177</v>
      </c>
      <c r="AJ42">
        <v>36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>
      <c r="A43">
        <f>ROW(Source!A66)</f>
        <v>66</v>
      </c>
      <c r="B43">
        <v>70323188</v>
      </c>
      <c r="C43">
        <v>70323171</v>
      </c>
      <c r="D43">
        <v>69334814</v>
      </c>
      <c r="E43">
        <v>1</v>
      </c>
      <c r="F43">
        <v>1</v>
      </c>
      <c r="G43">
        <v>1075</v>
      </c>
      <c r="H43">
        <v>3</v>
      </c>
      <c r="I43" t="s">
        <v>135</v>
      </c>
      <c r="J43" t="s">
        <v>136</v>
      </c>
      <c r="K43" t="s">
        <v>137</v>
      </c>
      <c r="L43">
        <v>1346</v>
      </c>
      <c r="N43">
        <v>1009</v>
      </c>
      <c r="O43" t="s">
        <v>130</v>
      </c>
      <c r="P43" t="s">
        <v>130</v>
      </c>
      <c r="Q43">
        <v>1</v>
      </c>
      <c r="X43">
        <v>0.2</v>
      </c>
      <c r="Y43">
        <v>29.9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4</v>
      </c>
      <c r="AG43">
        <v>0.2</v>
      </c>
      <c r="AH43">
        <v>2</v>
      </c>
      <c r="AI43">
        <v>70323178</v>
      </c>
      <c r="AJ43">
        <v>37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>
      <c r="A44">
        <f>ROW(Source!A66)</f>
        <v>66</v>
      </c>
      <c r="B44">
        <v>70323189</v>
      </c>
      <c r="C44">
        <v>70323171</v>
      </c>
      <c r="D44">
        <v>69335526</v>
      </c>
      <c r="E44">
        <v>1</v>
      </c>
      <c r="F44">
        <v>1</v>
      </c>
      <c r="G44">
        <v>1075</v>
      </c>
      <c r="H44">
        <v>3</v>
      </c>
      <c r="I44" t="s">
        <v>138</v>
      </c>
      <c r="J44" t="s">
        <v>139</v>
      </c>
      <c r="K44" t="s">
        <v>140</v>
      </c>
      <c r="L44">
        <v>1346</v>
      </c>
      <c r="N44">
        <v>1009</v>
      </c>
      <c r="O44" t="s">
        <v>130</v>
      </c>
      <c r="P44" t="s">
        <v>130</v>
      </c>
      <c r="Q44">
        <v>1</v>
      </c>
      <c r="X44">
        <v>0.3</v>
      </c>
      <c r="Y44">
        <v>21.04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4</v>
      </c>
      <c r="AG44">
        <v>0.3</v>
      </c>
      <c r="AH44">
        <v>2</v>
      </c>
      <c r="AI44">
        <v>70323179</v>
      </c>
      <c r="AJ44">
        <v>38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>
      <c r="A45">
        <f>ROW(Source!A66)</f>
        <v>66</v>
      </c>
      <c r="B45">
        <v>70323190</v>
      </c>
      <c r="C45">
        <v>70323171</v>
      </c>
      <c r="D45">
        <v>69340457</v>
      </c>
      <c r="E45">
        <v>1</v>
      </c>
      <c r="F45">
        <v>1</v>
      </c>
      <c r="G45">
        <v>1075</v>
      </c>
      <c r="H45">
        <v>3</v>
      </c>
      <c r="I45" t="s">
        <v>141</v>
      </c>
      <c r="J45" t="s">
        <v>142</v>
      </c>
      <c r="K45" t="s">
        <v>143</v>
      </c>
      <c r="L45">
        <v>1302</v>
      </c>
      <c r="N45">
        <v>1003</v>
      </c>
      <c r="O45" t="s">
        <v>144</v>
      </c>
      <c r="P45" t="s">
        <v>144</v>
      </c>
      <c r="Q45">
        <v>10</v>
      </c>
      <c r="X45">
        <v>0.03</v>
      </c>
      <c r="Y45">
        <v>46.16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0</v>
      </c>
      <c r="AF45" t="s">
        <v>4</v>
      </c>
      <c r="AG45">
        <v>0.03</v>
      </c>
      <c r="AH45">
        <v>2</v>
      </c>
      <c r="AI45">
        <v>70323180</v>
      </c>
      <c r="AJ45">
        <v>39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>
      <c r="A46">
        <f>ROW(Source!A66)</f>
        <v>66</v>
      </c>
      <c r="B46">
        <v>70323191</v>
      </c>
      <c r="C46">
        <v>70323171</v>
      </c>
      <c r="D46">
        <v>69351117</v>
      </c>
      <c r="E46">
        <v>1</v>
      </c>
      <c r="F46">
        <v>1</v>
      </c>
      <c r="G46">
        <v>1075</v>
      </c>
      <c r="H46">
        <v>3</v>
      </c>
      <c r="I46" t="s">
        <v>145</v>
      </c>
      <c r="J46" t="s">
        <v>146</v>
      </c>
      <c r="K46" t="s">
        <v>147</v>
      </c>
      <c r="L46">
        <v>1301</v>
      </c>
      <c r="N46">
        <v>1003</v>
      </c>
      <c r="O46" t="s">
        <v>148</v>
      </c>
      <c r="P46" t="s">
        <v>148</v>
      </c>
      <c r="Q46">
        <v>1</v>
      </c>
      <c r="X46">
        <v>2.5</v>
      </c>
      <c r="Y46">
        <v>0.7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4</v>
      </c>
      <c r="AG46">
        <v>2.5</v>
      </c>
      <c r="AH46">
        <v>2</v>
      </c>
      <c r="AI46">
        <v>70323181</v>
      </c>
      <c r="AJ46">
        <v>40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>
      <c r="A47">
        <f>ROW(Source!A66)</f>
        <v>66</v>
      </c>
      <c r="B47">
        <v>70323192</v>
      </c>
      <c r="C47">
        <v>70323171</v>
      </c>
      <c r="D47">
        <v>69279349</v>
      </c>
      <c r="E47">
        <v>1075</v>
      </c>
      <c r="F47">
        <v>1</v>
      </c>
      <c r="G47">
        <v>1075</v>
      </c>
      <c r="H47">
        <v>3</v>
      </c>
      <c r="I47" t="s">
        <v>149</v>
      </c>
      <c r="J47" t="s">
        <v>4</v>
      </c>
      <c r="K47" t="s">
        <v>150</v>
      </c>
      <c r="L47">
        <v>1346</v>
      </c>
      <c r="N47">
        <v>1009</v>
      </c>
      <c r="O47" t="s">
        <v>130</v>
      </c>
      <c r="P47" t="s">
        <v>130</v>
      </c>
      <c r="Q47">
        <v>1</v>
      </c>
      <c r="X47">
        <v>1.23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 t="s">
        <v>4</v>
      </c>
      <c r="AG47">
        <v>1.23</v>
      </c>
      <c r="AH47">
        <v>3</v>
      </c>
      <c r="AI47">
        <v>-1</v>
      </c>
      <c r="AJ47" t="s">
        <v>4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>
      <c r="A48">
        <f>ROW(Source!A66)</f>
        <v>66</v>
      </c>
      <c r="B48">
        <v>70323193</v>
      </c>
      <c r="C48">
        <v>70323171</v>
      </c>
      <c r="D48">
        <v>69293266</v>
      </c>
      <c r="E48">
        <v>1075</v>
      </c>
      <c r="F48">
        <v>1</v>
      </c>
      <c r="G48">
        <v>1075</v>
      </c>
      <c r="H48">
        <v>3</v>
      </c>
      <c r="I48" t="s">
        <v>151</v>
      </c>
      <c r="J48" t="s">
        <v>4</v>
      </c>
      <c r="K48" t="s">
        <v>152</v>
      </c>
      <c r="L48">
        <v>1354</v>
      </c>
      <c r="N48">
        <v>1010</v>
      </c>
      <c r="O48" t="s">
        <v>92</v>
      </c>
      <c r="P48" t="s">
        <v>92</v>
      </c>
      <c r="Q48">
        <v>1</v>
      </c>
      <c r="X48">
        <v>1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 t="s">
        <v>4</v>
      </c>
      <c r="AG48">
        <v>1</v>
      </c>
      <c r="AH48">
        <v>3</v>
      </c>
      <c r="AI48">
        <v>-1</v>
      </c>
      <c r="AJ48" t="s">
        <v>4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U2"/>
  <sheetViews>
    <sheetView workbookViewId="0"/>
  </sheetViews>
  <sheetFormatPr defaultColWidth="9.109375" defaultRowHeight="12.7"/>
  <cols>
    <col min="1" max="256" width="9.109375" customWidth="1"/>
  </cols>
  <sheetData>
    <row r="1" spans="1:21">
      <c r="A1">
        <v>28</v>
      </c>
      <c r="B1">
        <v>1</v>
      </c>
      <c r="C1" t="s">
        <v>4</v>
      </c>
      <c r="D1" t="s">
        <v>26</v>
      </c>
      <c r="E1" t="s">
        <v>27</v>
      </c>
      <c r="F1" t="s">
        <v>27</v>
      </c>
      <c r="G1" t="s">
        <v>27</v>
      </c>
      <c r="H1" t="s">
        <v>4</v>
      </c>
      <c r="I1" t="s">
        <v>27</v>
      </c>
      <c r="J1" t="s">
        <v>27</v>
      </c>
      <c r="K1" t="s">
        <v>4</v>
      </c>
      <c r="L1" t="s">
        <v>4</v>
      </c>
      <c r="M1" t="s">
        <v>4</v>
      </c>
      <c r="N1" t="s">
        <v>26</v>
      </c>
      <c r="O1" t="s">
        <v>27</v>
      </c>
      <c r="P1" t="s">
        <v>4</v>
      </c>
      <c r="Q1" t="s">
        <v>4</v>
      </c>
      <c r="R1" t="s">
        <v>4</v>
      </c>
      <c r="S1" t="s">
        <v>153</v>
      </c>
      <c r="T1" t="s">
        <v>154</v>
      </c>
      <c r="U1" t="s">
        <v>155</v>
      </c>
    </row>
    <row r="2" spans="1:21">
      <c r="A2">
        <v>29</v>
      </c>
      <c r="B2">
        <v>1</v>
      </c>
      <c r="C2" t="s">
        <v>4</v>
      </c>
      <c r="D2" t="s">
        <v>26</v>
      </c>
      <c r="E2" t="s">
        <v>27</v>
      </c>
      <c r="F2" t="s">
        <v>27</v>
      </c>
      <c r="G2" t="s">
        <v>27</v>
      </c>
      <c r="H2" t="s">
        <v>4</v>
      </c>
      <c r="I2" t="s">
        <v>27</v>
      </c>
      <c r="J2" t="s">
        <v>27</v>
      </c>
      <c r="K2" t="s">
        <v>4</v>
      </c>
      <c r="L2" t="s">
        <v>4</v>
      </c>
      <c r="M2" t="s">
        <v>4</v>
      </c>
      <c r="N2" t="s">
        <v>26</v>
      </c>
      <c r="O2" t="s">
        <v>27</v>
      </c>
      <c r="P2" t="s">
        <v>4</v>
      </c>
      <c r="Q2" t="s">
        <v>4</v>
      </c>
      <c r="R2" t="s">
        <v>4</v>
      </c>
      <c r="S2" t="s">
        <v>153</v>
      </c>
      <c r="T2" t="s">
        <v>154</v>
      </c>
      <c r="U2" t="s">
        <v>155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CY12"/>
  <sheetViews>
    <sheetView workbookViewId="0"/>
  </sheetViews>
  <sheetFormatPr defaultColWidth="9.109375" defaultRowHeight="12.7"/>
  <cols>
    <col min="1" max="256" width="9.109375" customWidth="1"/>
  </cols>
  <sheetData>
    <row r="1" spans="1:103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21997</v>
      </c>
      <c r="M1">
        <v>10</v>
      </c>
      <c r="N1">
        <v>11</v>
      </c>
      <c r="O1">
        <v>12</v>
      </c>
      <c r="P1">
        <v>0</v>
      </c>
      <c r="Q1">
        <v>0</v>
      </c>
    </row>
    <row r="12" spans="1:103">
      <c r="F12" t="str">
        <f>Source!F12</f>
        <v/>
      </c>
      <c r="G12" t="str">
        <f>Source!G12</f>
        <v>02-01-03  Реконструкция ТП 27616 _24.04.25._</v>
      </c>
      <c r="AB12" t="s">
        <v>4</v>
      </c>
      <c r="AC12" t="s">
        <v>4</v>
      </c>
      <c r="AD12" t="s">
        <v>4</v>
      </c>
      <c r="AE12" t="s">
        <v>4</v>
      </c>
      <c r="AH12" t="s">
        <v>4</v>
      </c>
      <c r="AI12" t="s">
        <v>4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Смета по ТСН-2001(с доп.67</vt:lpstr>
      <vt:lpstr>Source</vt:lpstr>
      <vt:lpstr>SourceObSm</vt:lpstr>
      <vt:lpstr>SmtRes</vt:lpstr>
      <vt:lpstr>EtalonRes</vt:lpstr>
      <vt:lpstr>SrcPoprs</vt:lpstr>
      <vt:lpstr>SrcKA</vt:lpstr>
      <vt:lpstr>'Смета по ТСН-2001(с доп.67'!Заголовки_для_печати</vt:lpstr>
      <vt:lpstr>'Смета по ТСН-2001(с доп.67'!Область_печати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Trikova</cp:lastModifiedBy>
  <dcterms:created xsi:type="dcterms:W3CDTF">2025-04-25T08:46:30Z</dcterms:created>
  <dcterms:modified xsi:type="dcterms:W3CDTF">2025-04-25T08:47:46Z</dcterms:modified>
</cp:coreProperties>
</file>