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135"/>
  </bookViews>
  <sheets>
    <sheet name="Смета по ТСН-2001" sheetId="5" r:id="rId1"/>
    <sheet name="Source" sheetId="1" r:id="rId2"/>
    <sheet name="SourceObSm" sheetId="2" r:id="rId3"/>
    <sheet name="SmtRes" sheetId="3" r:id="rId4"/>
    <sheet name="EtalonRes" sheetId="4" r:id="rId5"/>
  </sheets>
  <definedNames>
    <definedName name="_xlnm.Print_Titles" localSheetId="0">'Смета по ТСН-2001'!$27:$27</definedName>
    <definedName name="_xlnm.Print_Area" localSheetId="0">'Смета по ТСН-2001'!$A$1:$K$367</definedName>
  </definedNames>
  <calcPr calcId="152511"/>
</workbook>
</file>

<file path=xl/calcChain.xml><?xml version="1.0" encoding="utf-8"?>
<calcChain xmlns="http://schemas.openxmlformats.org/spreadsheetml/2006/main">
  <c r="J358" i="5" l="1"/>
  <c r="J357" i="5"/>
  <c r="H365" i="5"/>
  <c r="H362" i="5"/>
  <c r="C365" i="5"/>
  <c r="C362" i="5"/>
  <c r="J356" i="5"/>
  <c r="C356" i="5"/>
  <c r="J355" i="5"/>
  <c r="C355" i="5"/>
  <c r="J354" i="5"/>
  <c r="C354" i="5"/>
  <c r="J353" i="5"/>
  <c r="C353" i="5"/>
  <c r="J24" i="5"/>
  <c r="J22" i="5"/>
  <c r="J21" i="5"/>
  <c r="J20" i="5"/>
  <c r="J19" i="5"/>
  <c r="J18" i="5"/>
  <c r="J17" i="5"/>
  <c r="I24" i="5"/>
  <c r="I352" i="5"/>
  <c r="J352" i="5"/>
  <c r="I351" i="5"/>
  <c r="J351" i="5"/>
  <c r="A350" i="5"/>
  <c r="J348" i="5"/>
  <c r="C348" i="5"/>
  <c r="I347" i="5"/>
  <c r="J347" i="5"/>
  <c r="I346" i="5"/>
  <c r="J346" i="5"/>
  <c r="A345" i="5"/>
  <c r="Z343" i="5"/>
  <c r="Y343" i="5"/>
  <c r="X343" i="5"/>
  <c r="K342" i="5"/>
  <c r="P343" i="5" s="1"/>
  <c r="J342" i="5"/>
  <c r="I342" i="5"/>
  <c r="O343" i="5" s="1"/>
  <c r="H342" i="5"/>
  <c r="G342" i="5"/>
  <c r="F342" i="5"/>
  <c r="V341" i="5"/>
  <c r="T341" i="5"/>
  <c r="R341" i="5"/>
  <c r="U341" i="5"/>
  <c r="S341" i="5"/>
  <c r="Q341" i="5"/>
  <c r="E341" i="5"/>
  <c r="D341" i="5"/>
  <c r="B341" i="5"/>
  <c r="A341" i="5"/>
  <c r="Z340" i="5"/>
  <c r="Y340" i="5"/>
  <c r="X340" i="5"/>
  <c r="P340" i="5"/>
  <c r="K339" i="5"/>
  <c r="J340" i="5" s="1"/>
  <c r="J339" i="5"/>
  <c r="I339" i="5"/>
  <c r="O340" i="5" s="1"/>
  <c r="H339" i="5"/>
  <c r="G339" i="5"/>
  <c r="F339" i="5"/>
  <c r="V338" i="5"/>
  <c r="T338" i="5"/>
  <c r="R338" i="5"/>
  <c r="U338" i="5"/>
  <c r="S338" i="5"/>
  <c r="Q338" i="5"/>
  <c r="E338" i="5"/>
  <c r="D338" i="5"/>
  <c r="B338" i="5"/>
  <c r="A338" i="5"/>
  <c r="A337" i="5"/>
  <c r="J335" i="5"/>
  <c r="C335" i="5"/>
  <c r="I334" i="5"/>
  <c r="J334" i="5"/>
  <c r="I333" i="5"/>
  <c r="J333" i="5"/>
  <c r="A332" i="5"/>
  <c r="AA330" i="5"/>
  <c r="Z330" i="5"/>
  <c r="Y330" i="5"/>
  <c r="I329" i="5"/>
  <c r="H329" i="5"/>
  <c r="G329" i="5"/>
  <c r="E329" i="5"/>
  <c r="J328" i="5"/>
  <c r="E328" i="5"/>
  <c r="J327" i="5"/>
  <c r="E327" i="5"/>
  <c r="K326" i="5"/>
  <c r="J326" i="5"/>
  <c r="H326" i="5"/>
  <c r="AA326" i="5"/>
  <c r="Z326" i="5"/>
  <c r="Y326" i="5"/>
  <c r="I326" i="5"/>
  <c r="X326" i="5" s="1"/>
  <c r="F326" i="5"/>
  <c r="V326" i="5"/>
  <c r="T326" i="5"/>
  <c r="R326" i="5"/>
  <c r="U326" i="5"/>
  <c r="S326" i="5"/>
  <c r="Q326" i="5"/>
  <c r="E326" i="5"/>
  <c r="D326" i="5"/>
  <c r="B326" i="5"/>
  <c r="A326" i="5"/>
  <c r="K325" i="5"/>
  <c r="J325" i="5"/>
  <c r="I325" i="5"/>
  <c r="H325" i="5"/>
  <c r="G325" i="5"/>
  <c r="F325" i="5"/>
  <c r="K324" i="5"/>
  <c r="J324" i="5"/>
  <c r="I324" i="5"/>
  <c r="H324" i="5"/>
  <c r="G324" i="5"/>
  <c r="F324" i="5"/>
  <c r="V323" i="5"/>
  <c r="T323" i="5"/>
  <c r="K328" i="5" s="1"/>
  <c r="R323" i="5"/>
  <c r="U323" i="5"/>
  <c r="S323" i="5"/>
  <c r="I328" i="5" s="1"/>
  <c r="Q323" i="5"/>
  <c r="I327" i="5" s="1"/>
  <c r="E323" i="5"/>
  <c r="D323" i="5"/>
  <c r="B323" i="5"/>
  <c r="A323" i="5"/>
  <c r="AA322" i="5"/>
  <c r="Z322" i="5"/>
  <c r="Y322" i="5"/>
  <c r="I321" i="5"/>
  <c r="H321" i="5"/>
  <c r="G321" i="5"/>
  <c r="E321" i="5"/>
  <c r="J320" i="5"/>
  <c r="E320" i="5"/>
  <c r="J319" i="5"/>
  <c r="E319" i="5"/>
  <c r="K318" i="5"/>
  <c r="J318" i="5"/>
  <c r="H318" i="5"/>
  <c r="AA318" i="5"/>
  <c r="Z318" i="5"/>
  <c r="Y318" i="5"/>
  <c r="I318" i="5"/>
  <c r="X318" i="5" s="1"/>
  <c r="F318" i="5"/>
  <c r="V318" i="5"/>
  <c r="T318" i="5"/>
  <c r="R318" i="5"/>
  <c r="U318" i="5"/>
  <c r="S318" i="5"/>
  <c r="Q318" i="5"/>
  <c r="E318" i="5"/>
  <c r="D318" i="5"/>
  <c r="B318" i="5"/>
  <c r="A318" i="5"/>
  <c r="K317" i="5"/>
  <c r="J317" i="5"/>
  <c r="I317" i="5"/>
  <c r="H317" i="5"/>
  <c r="G317" i="5"/>
  <c r="F317" i="5"/>
  <c r="V316" i="5"/>
  <c r="T316" i="5"/>
  <c r="K320" i="5" s="1"/>
  <c r="R316" i="5"/>
  <c r="K319" i="5" s="1"/>
  <c r="U316" i="5"/>
  <c r="S316" i="5"/>
  <c r="I320" i="5" s="1"/>
  <c r="Q316" i="5"/>
  <c r="I319" i="5" s="1"/>
  <c r="E316" i="5"/>
  <c r="D316" i="5"/>
  <c r="B316" i="5"/>
  <c r="A316" i="5"/>
  <c r="AA315" i="5"/>
  <c r="Z315" i="5"/>
  <c r="Y315" i="5"/>
  <c r="I314" i="5"/>
  <c r="H314" i="5"/>
  <c r="G314" i="5"/>
  <c r="E314" i="5"/>
  <c r="J313" i="5"/>
  <c r="E313" i="5"/>
  <c r="J312" i="5"/>
  <c r="E312" i="5"/>
  <c r="K311" i="5"/>
  <c r="J311" i="5"/>
  <c r="H311" i="5"/>
  <c r="AA311" i="5"/>
  <c r="Z311" i="5"/>
  <c r="Y311" i="5"/>
  <c r="I311" i="5"/>
  <c r="X311" i="5" s="1"/>
  <c r="F311" i="5"/>
  <c r="V311" i="5"/>
  <c r="T311" i="5"/>
  <c r="R311" i="5"/>
  <c r="U311" i="5"/>
  <c r="S311" i="5"/>
  <c r="Q311" i="5"/>
  <c r="E311" i="5"/>
  <c r="D311" i="5"/>
  <c r="B311" i="5"/>
  <c r="A311" i="5"/>
  <c r="K310" i="5"/>
  <c r="J310" i="5"/>
  <c r="I310" i="5"/>
  <c r="H310" i="5"/>
  <c r="G310" i="5"/>
  <c r="F310" i="5"/>
  <c r="V309" i="5"/>
  <c r="T309" i="5"/>
  <c r="K313" i="5" s="1"/>
  <c r="R309" i="5"/>
  <c r="K312" i="5" s="1"/>
  <c r="U309" i="5"/>
  <c r="S309" i="5"/>
  <c r="I313" i="5" s="1"/>
  <c r="Q309" i="5"/>
  <c r="I312" i="5" s="1"/>
  <c r="E309" i="5"/>
  <c r="D309" i="5"/>
  <c r="B309" i="5"/>
  <c r="A309" i="5"/>
  <c r="C308" i="5"/>
  <c r="AA307" i="5"/>
  <c r="Z307" i="5"/>
  <c r="Y307" i="5"/>
  <c r="I306" i="5"/>
  <c r="H306" i="5"/>
  <c r="G306" i="5"/>
  <c r="E306" i="5"/>
  <c r="J305" i="5"/>
  <c r="E305" i="5"/>
  <c r="J304" i="5"/>
  <c r="E304" i="5"/>
  <c r="J303" i="5"/>
  <c r="E303" i="5"/>
  <c r="K302" i="5"/>
  <c r="J302" i="5"/>
  <c r="H302" i="5"/>
  <c r="AA302" i="5"/>
  <c r="Z302" i="5"/>
  <c r="Y302" i="5"/>
  <c r="I302" i="5"/>
  <c r="X302" i="5" s="1"/>
  <c r="F302" i="5"/>
  <c r="V302" i="5"/>
  <c r="T302" i="5"/>
  <c r="R302" i="5"/>
  <c r="U302" i="5"/>
  <c r="S302" i="5"/>
  <c r="Q302" i="5"/>
  <c r="E302" i="5"/>
  <c r="D302" i="5"/>
  <c r="B302" i="5"/>
  <c r="A302" i="5"/>
  <c r="K301" i="5"/>
  <c r="J301" i="5"/>
  <c r="I301" i="5"/>
  <c r="H301" i="5"/>
  <c r="G301" i="5"/>
  <c r="F301" i="5"/>
  <c r="K300" i="5"/>
  <c r="J300" i="5"/>
  <c r="I300" i="5"/>
  <c r="W300" i="5" s="1"/>
  <c r="H300" i="5"/>
  <c r="G300" i="5"/>
  <c r="F300" i="5"/>
  <c r="K299" i="5"/>
  <c r="J299" i="5"/>
  <c r="I299" i="5"/>
  <c r="H299" i="5"/>
  <c r="G299" i="5"/>
  <c r="F299" i="5"/>
  <c r="K298" i="5"/>
  <c r="J298" i="5"/>
  <c r="I298" i="5"/>
  <c r="H298" i="5"/>
  <c r="G298" i="5"/>
  <c r="F298" i="5"/>
  <c r="V297" i="5"/>
  <c r="K305" i="5" s="1"/>
  <c r="T297" i="5"/>
  <c r="R297" i="5"/>
  <c r="K303" i="5" s="1"/>
  <c r="U297" i="5"/>
  <c r="I305" i="5" s="1"/>
  <c r="S297" i="5"/>
  <c r="I304" i="5" s="1"/>
  <c r="Q297" i="5"/>
  <c r="I303" i="5" s="1"/>
  <c r="E297" i="5"/>
  <c r="D297" i="5"/>
  <c r="B297" i="5"/>
  <c r="A297" i="5"/>
  <c r="AA296" i="5"/>
  <c r="Z296" i="5"/>
  <c r="Y296" i="5"/>
  <c r="I295" i="5"/>
  <c r="H295" i="5"/>
  <c r="G295" i="5"/>
  <c r="E295" i="5"/>
  <c r="J294" i="5"/>
  <c r="E294" i="5"/>
  <c r="J293" i="5"/>
  <c r="I293" i="5"/>
  <c r="E293" i="5"/>
  <c r="J292" i="5"/>
  <c r="E292" i="5"/>
  <c r="K291" i="5"/>
  <c r="J291" i="5"/>
  <c r="H291" i="5"/>
  <c r="AA291" i="5"/>
  <c r="Z291" i="5"/>
  <c r="Y291" i="5"/>
  <c r="I291" i="5"/>
  <c r="X291" i="5" s="1"/>
  <c r="F291" i="5"/>
  <c r="V291" i="5"/>
  <c r="T291" i="5"/>
  <c r="R291" i="5"/>
  <c r="U291" i="5"/>
  <c r="S291" i="5"/>
  <c r="Q291" i="5"/>
  <c r="E291" i="5"/>
  <c r="D291" i="5"/>
  <c r="B291" i="5"/>
  <c r="A291" i="5"/>
  <c r="K290" i="5"/>
  <c r="J290" i="5"/>
  <c r="I290" i="5"/>
  <c r="H290" i="5"/>
  <c r="G290" i="5"/>
  <c r="F290" i="5"/>
  <c r="K289" i="5"/>
  <c r="J289" i="5"/>
  <c r="I289" i="5"/>
  <c r="W289" i="5" s="1"/>
  <c r="H289" i="5"/>
  <c r="G289" i="5"/>
  <c r="F289" i="5"/>
  <c r="K288" i="5"/>
  <c r="J288" i="5"/>
  <c r="I288" i="5"/>
  <c r="H288" i="5"/>
  <c r="G288" i="5"/>
  <c r="F288" i="5"/>
  <c r="K287" i="5"/>
  <c r="J287" i="5"/>
  <c r="I287" i="5"/>
  <c r="H287" i="5"/>
  <c r="G287" i="5"/>
  <c r="F287" i="5"/>
  <c r="V286" i="5"/>
  <c r="K294" i="5" s="1"/>
  <c r="T286" i="5"/>
  <c r="K293" i="5" s="1"/>
  <c r="R286" i="5"/>
  <c r="K292" i="5" s="1"/>
  <c r="U286" i="5"/>
  <c r="I294" i="5" s="1"/>
  <c r="S286" i="5"/>
  <c r="Q286" i="5"/>
  <c r="I292" i="5" s="1"/>
  <c r="E286" i="5"/>
  <c r="D286" i="5"/>
  <c r="B286" i="5"/>
  <c r="A286" i="5"/>
  <c r="AA285" i="5"/>
  <c r="Z285" i="5"/>
  <c r="Y285" i="5"/>
  <c r="J284" i="5"/>
  <c r="E284" i="5"/>
  <c r="K283" i="5"/>
  <c r="J283" i="5"/>
  <c r="I283" i="5"/>
  <c r="W283" i="5" s="1"/>
  <c r="H283" i="5"/>
  <c r="G283" i="5"/>
  <c r="F283" i="5"/>
  <c r="K282" i="5"/>
  <c r="J282" i="5"/>
  <c r="I282" i="5"/>
  <c r="H282" i="5"/>
  <c r="G282" i="5"/>
  <c r="F282" i="5"/>
  <c r="V281" i="5"/>
  <c r="K284" i="5" s="1"/>
  <c r="T281" i="5"/>
  <c r="R281" i="5"/>
  <c r="U281" i="5"/>
  <c r="I284" i="5" s="1"/>
  <c r="S281" i="5"/>
  <c r="Q281" i="5"/>
  <c r="E281" i="5"/>
  <c r="D281" i="5"/>
  <c r="B281" i="5"/>
  <c r="A281" i="5"/>
  <c r="AA280" i="5"/>
  <c r="Z280" i="5"/>
  <c r="Y280" i="5"/>
  <c r="I279" i="5"/>
  <c r="H279" i="5"/>
  <c r="G279" i="5"/>
  <c r="E279" i="5"/>
  <c r="J278" i="5"/>
  <c r="E278" i="5"/>
  <c r="J277" i="5"/>
  <c r="E277" i="5"/>
  <c r="K276" i="5"/>
  <c r="J276" i="5"/>
  <c r="E276" i="5"/>
  <c r="K275" i="5"/>
  <c r="J275" i="5"/>
  <c r="I275" i="5"/>
  <c r="W275" i="5" s="1"/>
  <c r="H275" i="5"/>
  <c r="G275" i="5"/>
  <c r="F275" i="5"/>
  <c r="K274" i="5"/>
  <c r="J274" i="5"/>
  <c r="I274" i="5"/>
  <c r="H274" i="5"/>
  <c r="G274" i="5"/>
  <c r="F274" i="5"/>
  <c r="K273" i="5"/>
  <c r="J273" i="5"/>
  <c r="I273" i="5"/>
  <c r="H273" i="5"/>
  <c r="G273" i="5"/>
  <c r="F273" i="5"/>
  <c r="V272" i="5"/>
  <c r="K278" i="5" s="1"/>
  <c r="T272" i="5"/>
  <c r="K277" i="5" s="1"/>
  <c r="R272" i="5"/>
  <c r="U272" i="5"/>
  <c r="I278" i="5" s="1"/>
  <c r="S272" i="5"/>
  <c r="I277" i="5" s="1"/>
  <c r="Q272" i="5"/>
  <c r="I276" i="5" s="1"/>
  <c r="E272" i="5"/>
  <c r="D272" i="5"/>
  <c r="B272" i="5"/>
  <c r="A272" i="5"/>
  <c r="AA271" i="5"/>
  <c r="Z271" i="5"/>
  <c r="Y271" i="5"/>
  <c r="P271" i="5"/>
  <c r="K270" i="5"/>
  <c r="J271" i="5" s="1"/>
  <c r="J270" i="5"/>
  <c r="I270" i="5"/>
  <c r="O271" i="5" s="1"/>
  <c r="H270" i="5"/>
  <c r="G270" i="5"/>
  <c r="F270" i="5"/>
  <c r="V270" i="5"/>
  <c r="T270" i="5"/>
  <c r="R270" i="5"/>
  <c r="U270" i="5"/>
  <c r="S270" i="5"/>
  <c r="Q270" i="5"/>
  <c r="E270" i="5"/>
  <c r="D270" i="5"/>
  <c r="B270" i="5"/>
  <c r="A270" i="5"/>
  <c r="AA269" i="5"/>
  <c r="Z269" i="5"/>
  <c r="Y269" i="5"/>
  <c r="I268" i="5"/>
  <c r="H268" i="5"/>
  <c r="G268" i="5"/>
  <c r="E268" i="5"/>
  <c r="J267" i="5"/>
  <c r="E267" i="5"/>
  <c r="J266" i="5"/>
  <c r="E266" i="5"/>
  <c r="K265" i="5"/>
  <c r="J265" i="5"/>
  <c r="H265" i="5"/>
  <c r="AA265" i="5"/>
  <c r="Z265" i="5"/>
  <c r="Y265" i="5"/>
  <c r="I265" i="5"/>
  <c r="X265" i="5" s="1"/>
  <c r="F265" i="5"/>
  <c r="V265" i="5"/>
  <c r="T265" i="5"/>
  <c r="R265" i="5"/>
  <c r="U265" i="5"/>
  <c r="S265" i="5"/>
  <c r="Q265" i="5"/>
  <c r="E265" i="5"/>
  <c r="D265" i="5"/>
  <c r="B265" i="5"/>
  <c r="A265" i="5"/>
  <c r="K264" i="5"/>
  <c r="J264" i="5"/>
  <c r="I264" i="5"/>
  <c r="H264" i="5"/>
  <c r="G264" i="5"/>
  <c r="F264" i="5"/>
  <c r="K263" i="5"/>
  <c r="J263" i="5"/>
  <c r="I263" i="5"/>
  <c r="H263" i="5"/>
  <c r="G263" i="5"/>
  <c r="F263" i="5"/>
  <c r="V262" i="5"/>
  <c r="T262" i="5"/>
  <c r="K267" i="5" s="1"/>
  <c r="R262" i="5"/>
  <c r="U262" i="5"/>
  <c r="S262" i="5"/>
  <c r="I267" i="5" s="1"/>
  <c r="Q262" i="5"/>
  <c r="E262" i="5"/>
  <c r="D262" i="5"/>
  <c r="B262" i="5"/>
  <c r="A262" i="5"/>
  <c r="C261" i="5"/>
  <c r="AA260" i="5"/>
  <c r="Z260" i="5"/>
  <c r="Y260" i="5"/>
  <c r="I259" i="5"/>
  <c r="H259" i="5"/>
  <c r="G259" i="5"/>
  <c r="E259" i="5"/>
  <c r="J258" i="5"/>
  <c r="E258" i="5"/>
  <c r="J257" i="5"/>
  <c r="E257" i="5"/>
  <c r="K256" i="5"/>
  <c r="J256" i="5"/>
  <c r="E256" i="5"/>
  <c r="K255" i="5"/>
  <c r="J255" i="5"/>
  <c r="H255" i="5"/>
  <c r="AA255" i="5"/>
  <c r="Z255" i="5"/>
  <c r="Y255" i="5"/>
  <c r="I255" i="5"/>
  <c r="X255" i="5" s="1"/>
  <c r="F255" i="5"/>
  <c r="V255" i="5"/>
  <c r="T255" i="5"/>
  <c r="R255" i="5"/>
  <c r="U255" i="5"/>
  <c r="S255" i="5"/>
  <c r="Q255" i="5"/>
  <c r="E255" i="5"/>
  <c r="D255" i="5"/>
  <c r="B255" i="5"/>
  <c r="A255" i="5"/>
  <c r="K254" i="5"/>
  <c r="J254" i="5"/>
  <c r="I254" i="5"/>
  <c r="H254" i="5"/>
  <c r="G254" i="5"/>
  <c r="F254" i="5"/>
  <c r="K253" i="5"/>
  <c r="J253" i="5"/>
  <c r="I253" i="5"/>
  <c r="W253" i="5" s="1"/>
  <c r="H253" i="5"/>
  <c r="G253" i="5"/>
  <c r="F253" i="5"/>
  <c r="K252" i="5"/>
  <c r="J252" i="5"/>
  <c r="I252" i="5"/>
  <c r="H252" i="5"/>
  <c r="G252" i="5"/>
  <c r="F252" i="5"/>
  <c r="K251" i="5"/>
  <c r="J251" i="5"/>
  <c r="I251" i="5"/>
  <c r="H251" i="5"/>
  <c r="G251" i="5"/>
  <c r="F251" i="5"/>
  <c r="V250" i="5"/>
  <c r="K258" i="5" s="1"/>
  <c r="T250" i="5"/>
  <c r="R250" i="5"/>
  <c r="U250" i="5"/>
  <c r="S250" i="5"/>
  <c r="I257" i="5" s="1"/>
  <c r="Q250" i="5"/>
  <c r="E250" i="5"/>
  <c r="D250" i="5"/>
  <c r="B250" i="5"/>
  <c r="A250" i="5"/>
  <c r="AA249" i="5"/>
  <c r="Z249" i="5"/>
  <c r="Y249" i="5"/>
  <c r="I248" i="5"/>
  <c r="H248" i="5"/>
  <c r="G248" i="5"/>
  <c r="E248" i="5"/>
  <c r="J247" i="5"/>
  <c r="E247" i="5"/>
  <c r="K246" i="5"/>
  <c r="J246" i="5"/>
  <c r="E246" i="5"/>
  <c r="J245" i="5"/>
  <c r="E245" i="5"/>
  <c r="K244" i="5"/>
  <c r="J244" i="5"/>
  <c r="H244" i="5"/>
  <c r="AA244" i="5"/>
  <c r="Z244" i="5"/>
  <c r="Y244" i="5"/>
  <c r="I244" i="5"/>
  <c r="X244" i="5" s="1"/>
  <c r="F244" i="5"/>
  <c r="V244" i="5"/>
  <c r="T244" i="5"/>
  <c r="R244" i="5"/>
  <c r="U244" i="5"/>
  <c r="S244" i="5"/>
  <c r="Q244" i="5"/>
  <c r="E244" i="5"/>
  <c r="D244" i="5"/>
  <c r="B244" i="5"/>
  <c r="A244" i="5"/>
  <c r="K243" i="5"/>
  <c r="J243" i="5"/>
  <c r="I243" i="5"/>
  <c r="H243" i="5"/>
  <c r="G243" i="5"/>
  <c r="F243" i="5"/>
  <c r="K242" i="5"/>
  <c r="J242" i="5"/>
  <c r="I242" i="5"/>
  <c r="W242" i="5" s="1"/>
  <c r="H242" i="5"/>
  <c r="G242" i="5"/>
  <c r="F242" i="5"/>
  <c r="K241" i="5"/>
  <c r="J241" i="5"/>
  <c r="I241" i="5"/>
  <c r="H241" i="5"/>
  <c r="G241" i="5"/>
  <c r="F241" i="5"/>
  <c r="K240" i="5"/>
  <c r="J240" i="5"/>
  <c r="W240" i="5"/>
  <c r="I240" i="5"/>
  <c r="H240" i="5"/>
  <c r="G240" i="5"/>
  <c r="F240" i="5"/>
  <c r="V239" i="5"/>
  <c r="K247" i="5" s="1"/>
  <c r="T239" i="5"/>
  <c r="R239" i="5"/>
  <c r="K245" i="5" s="1"/>
  <c r="U239" i="5"/>
  <c r="S239" i="5"/>
  <c r="I246" i="5" s="1"/>
  <c r="Q239" i="5"/>
  <c r="I245" i="5" s="1"/>
  <c r="E239" i="5"/>
  <c r="D239" i="5"/>
  <c r="B239" i="5"/>
  <c r="A239" i="5"/>
  <c r="AA238" i="5"/>
  <c r="Z238" i="5"/>
  <c r="Y238" i="5"/>
  <c r="J237" i="5"/>
  <c r="E237" i="5"/>
  <c r="K236" i="5"/>
  <c r="J236" i="5"/>
  <c r="I236" i="5"/>
  <c r="W236" i="5" s="1"/>
  <c r="H236" i="5"/>
  <c r="G236" i="5"/>
  <c r="F236" i="5"/>
  <c r="K235" i="5"/>
  <c r="J235" i="5"/>
  <c r="I235" i="5"/>
  <c r="H235" i="5"/>
  <c r="G235" i="5"/>
  <c r="F235" i="5"/>
  <c r="V234" i="5"/>
  <c r="K237" i="5" s="1"/>
  <c r="P238" i="5" s="1"/>
  <c r="T234" i="5"/>
  <c r="R234" i="5"/>
  <c r="U234" i="5"/>
  <c r="I237" i="5" s="1"/>
  <c r="S234" i="5"/>
  <c r="Q234" i="5"/>
  <c r="E234" i="5"/>
  <c r="D234" i="5"/>
  <c r="B234" i="5"/>
  <c r="A234" i="5"/>
  <c r="AA233" i="5"/>
  <c r="Z233" i="5"/>
  <c r="Y233" i="5"/>
  <c r="I232" i="5"/>
  <c r="H232" i="5"/>
  <c r="G232" i="5"/>
  <c r="E232" i="5"/>
  <c r="J231" i="5"/>
  <c r="E231" i="5"/>
  <c r="J230" i="5"/>
  <c r="E230" i="5"/>
  <c r="J229" i="5"/>
  <c r="E229" i="5"/>
  <c r="K228" i="5"/>
  <c r="J228" i="5"/>
  <c r="I228" i="5"/>
  <c r="W228" i="5" s="1"/>
  <c r="H228" i="5"/>
  <c r="G228" i="5"/>
  <c r="F228" i="5"/>
  <c r="K227" i="5"/>
  <c r="J227" i="5"/>
  <c r="I227" i="5"/>
  <c r="H227" i="5"/>
  <c r="G227" i="5"/>
  <c r="F227" i="5"/>
  <c r="K226" i="5"/>
  <c r="J226" i="5"/>
  <c r="I226" i="5"/>
  <c r="H226" i="5"/>
  <c r="G226" i="5"/>
  <c r="F226" i="5"/>
  <c r="V225" i="5"/>
  <c r="K231" i="5" s="1"/>
  <c r="T225" i="5"/>
  <c r="K230" i="5" s="1"/>
  <c r="R225" i="5"/>
  <c r="K229" i="5" s="1"/>
  <c r="U225" i="5"/>
  <c r="I231" i="5" s="1"/>
  <c r="S225" i="5"/>
  <c r="I230" i="5" s="1"/>
  <c r="Q225" i="5"/>
  <c r="I229" i="5" s="1"/>
  <c r="E225" i="5"/>
  <c r="D225" i="5"/>
  <c r="B225" i="5"/>
  <c r="A225" i="5"/>
  <c r="C224" i="5"/>
  <c r="C223" i="5"/>
  <c r="AA222" i="5"/>
  <c r="Z222" i="5"/>
  <c r="Y222" i="5"/>
  <c r="I221" i="5"/>
  <c r="H221" i="5"/>
  <c r="G221" i="5"/>
  <c r="E221" i="5"/>
  <c r="J220" i="5"/>
  <c r="E220" i="5"/>
  <c r="J219" i="5"/>
  <c r="E219" i="5"/>
  <c r="J218" i="5"/>
  <c r="E218" i="5"/>
  <c r="K217" i="5"/>
  <c r="J217" i="5"/>
  <c r="H217" i="5"/>
  <c r="AA217" i="5"/>
  <c r="Z217" i="5"/>
  <c r="Y217" i="5"/>
  <c r="I217" i="5"/>
  <c r="X217" i="5" s="1"/>
  <c r="F217" i="5"/>
  <c r="V217" i="5"/>
  <c r="T217" i="5"/>
  <c r="R217" i="5"/>
  <c r="U217" i="5"/>
  <c r="S217" i="5"/>
  <c r="Q217" i="5"/>
  <c r="E217" i="5"/>
  <c r="D217" i="5"/>
  <c r="B217" i="5"/>
  <c r="A217" i="5"/>
  <c r="K216" i="5"/>
  <c r="J216" i="5"/>
  <c r="I216" i="5"/>
  <c r="H216" i="5"/>
  <c r="G216" i="5"/>
  <c r="F216" i="5"/>
  <c r="K215" i="5"/>
  <c r="J215" i="5"/>
  <c r="I215" i="5"/>
  <c r="W215" i="5" s="1"/>
  <c r="H215" i="5"/>
  <c r="G215" i="5"/>
  <c r="F215" i="5"/>
  <c r="K214" i="5"/>
  <c r="J214" i="5"/>
  <c r="I214" i="5"/>
  <c r="H214" i="5"/>
  <c r="G214" i="5"/>
  <c r="F214" i="5"/>
  <c r="K213" i="5"/>
  <c r="J213" i="5"/>
  <c r="I213" i="5"/>
  <c r="H213" i="5"/>
  <c r="G213" i="5"/>
  <c r="F213" i="5"/>
  <c r="V212" i="5"/>
  <c r="T212" i="5"/>
  <c r="K219" i="5" s="1"/>
  <c r="R212" i="5"/>
  <c r="K218" i="5" s="1"/>
  <c r="U212" i="5"/>
  <c r="S212" i="5"/>
  <c r="I219" i="5" s="1"/>
  <c r="Q212" i="5"/>
  <c r="I218" i="5" s="1"/>
  <c r="E212" i="5"/>
  <c r="D212" i="5"/>
  <c r="B212" i="5"/>
  <c r="A212" i="5"/>
  <c r="AA211" i="5"/>
  <c r="Z211" i="5"/>
  <c r="Y211" i="5"/>
  <c r="I210" i="5"/>
  <c r="H210" i="5"/>
  <c r="G210" i="5"/>
  <c r="E210" i="5"/>
  <c r="J209" i="5"/>
  <c r="E209" i="5"/>
  <c r="J208" i="5"/>
  <c r="I208" i="5"/>
  <c r="E208" i="5"/>
  <c r="J207" i="5"/>
  <c r="E207" i="5"/>
  <c r="K206" i="5"/>
  <c r="J206" i="5"/>
  <c r="H206" i="5"/>
  <c r="AA206" i="5"/>
  <c r="Z206" i="5"/>
  <c r="Y206" i="5"/>
  <c r="I206" i="5"/>
  <c r="X206" i="5" s="1"/>
  <c r="F206" i="5"/>
  <c r="V206" i="5"/>
  <c r="T206" i="5"/>
  <c r="R206" i="5"/>
  <c r="U206" i="5"/>
  <c r="S206" i="5"/>
  <c r="Q206" i="5"/>
  <c r="E206" i="5"/>
  <c r="D206" i="5"/>
  <c r="B206" i="5"/>
  <c r="A206" i="5"/>
  <c r="K205" i="5"/>
  <c r="J205" i="5"/>
  <c r="I205" i="5"/>
  <c r="H205" i="5"/>
  <c r="G205" i="5"/>
  <c r="F205" i="5"/>
  <c r="K204" i="5"/>
  <c r="J204" i="5"/>
  <c r="I204" i="5"/>
  <c r="W204" i="5" s="1"/>
  <c r="H204" i="5"/>
  <c r="G204" i="5"/>
  <c r="F204" i="5"/>
  <c r="K203" i="5"/>
  <c r="J203" i="5"/>
  <c r="I203" i="5"/>
  <c r="H203" i="5"/>
  <c r="G203" i="5"/>
  <c r="F203" i="5"/>
  <c r="K202" i="5"/>
  <c r="J202" i="5"/>
  <c r="I202" i="5"/>
  <c r="H202" i="5"/>
  <c r="G202" i="5"/>
  <c r="F202" i="5"/>
  <c r="V201" i="5"/>
  <c r="K209" i="5" s="1"/>
  <c r="T201" i="5"/>
  <c r="K208" i="5" s="1"/>
  <c r="R201" i="5"/>
  <c r="K207" i="5" s="1"/>
  <c r="U201" i="5"/>
  <c r="S201" i="5"/>
  <c r="Q201" i="5"/>
  <c r="I207" i="5" s="1"/>
  <c r="E201" i="5"/>
  <c r="D201" i="5"/>
  <c r="B201" i="5"/>
  <c r="A201" i="5"/>
  <c r="AA200" i="5"/>
  <c r="Z200" i="5"/>
  <c r="Y200" i="5"/>
  <c r="I199" i="5"/>
  <c r="H199" i="5"/>
  <c r="G199" i="5"/>
  <c r="E199" i="5"/>
  <c r="J198" i="5"/>
  <c r="E198" i="5"/>
  <c r="J197" i="5"/>
  <c r="E197" i="5"/>
  <c r="J196" i="5"/>
  <c r="E196" i="5"/>
  <c r="K195" i="5"/>
  <c r="J195" i="5"/>
  <c r="H195" i="5"/>
  <c r="AA195" i="5"/>
  <c r="Z195" i="5"/>
  <c r="Y195" i="5"/>
  <c r="I195" i="5"/>
  <c r="X195" i="5" s="1"/>
  <c r="F195" i="5"/>
  <c r="V195" i="5"/>
  <c r="T195" i="5"/>
  <c r="K197" i="5" s="1"/>
  <c r="R195" i="5"/>
  <c r="K196" i="5" s="1"/>
  <c r="U195" i="5"/>
  <c r="S195" i="5"/>
  <c r="Q195" i="5"/>
  <c r="E195" i="5"/>
  <c r="D195" i="5"/>
  <c r="B195" i="5"/>
  <c r="A195" i="5"/>
  <c r="K194" i="5"/>
  <c r="J194" i="5"/>
  <c r="I194" i="5"/>
  <c r="H194" i="5"/>
  <c r="G194" i="5"/>
  <c r="F194" i="5"/>
  <c r="K193" i="5"/>
  <c r="J193" i="5"/>
  <c r="I193" i="5"/>
  <c r="W193" i="5" s="1"/>
  <c r="H193" i="5"/>
  <c r="G193" i="5"/>
  <c r="F193" i="5"/>
  <c r="K192" i="5"/>
  <c r="J192" i="5"/>
  <c r="I192" i="5"/>
  <c r="H192" i="5"/>
  <c r="G192" i="5"/>
  <c r="F192" i="5"/>
  <c r="K191" i="5"/>
  <c r="J191" i="5"/>
  <c r="I191" i="5"/>
  <c r="W191" i="5" s="1"/>
  <c r="H191" i="5"/>
  <c r="G191" i="5"/>
  <c r="F191" i="5"/>
  <c r="V190" i="5"/>
  <c r="K198" i="5" s="1"/>
  <c r="T190" i="5"/>
  <c r="R190" i="5"/>
  <c r="U190" i="5"/>
  <c r="I198" i="5" s="1"/>
  <c r="S190" i="5"/>
  <c r="I197" i="5" s="1"/>
  <c r="Q190" i="5"/>
  <c r="E190" i="5"/>
  <c r="D190" i="5"/>
  <c r="B190" i="5"/>
  <c r="A190" i="5"/>
  <c r="AA189" i="5"/>
  <c r="Z189" i="5"/>
  <c r="Y189" i="5"/>
  <c r="I188" i="5"/>
  <c r="H188" i="5"/>
  <c r="G188" i="5"/>
  <c r="E188" i="5"/>
  <c r="J187" i="5"/>
  <c r="E187" i="5"/>
  <c r="J186" i="5"/>
  <c r="E186" i="5"/>
  <c r="J185" i="5"/>
  <c r="E185" i="5"/>
  <c r="K184" i="5"/>
  <c r="J184" i="5"/>
  <c r="H184" i="5"/>
  <c r="AA184" i="5"/>
  <c r="Z184" i="5"/>
  <c r="Y184" i="5"/>
  <c r="I184" i="5"/>
  <c r="X184" i="5" s="1"/>
  <c r="F184" i="5"/>
  <c r="V184" i="5"/>
  <c r="T184" i="5"/>
  <c r="R184" i="5"/>
  <c r="U184" i="5"/>
  <c r="S184" i="5"/>
  <c r="Q184" i="5"/>
  <c r="I185" i="5" s="1"/>
  <c r="E184" i="5"/>
  <c r="D184" i="5"/>
  <c r="B184" i="5"/>
  <c r="A184" i="5"/>
  <c r="K183" i="5"/>
  <c r="J183" i="5"/>
  <c r="I183" i="5"/>
  <c r="H183" i="5"/>
  <c r="G183" i="5"/>
  <c r="F183" i="5"/>
  <c r="K182" i="5"/>
  <c r="J182" i="5"/>
  <c r="I182" i="5"/>
  <c r="W182" i="5" s="1"/>
  <c r="H182" i="5"/>
  <c r="G182" i="5"/>
  <c r="F182" i="5"/>
  <c r="K181" i="5"/>
  <c r="J181" i="5"/>
  <c r="I181" i="5"/>
  <c r="H181" i="5"/>
  <c r="G181" i="5"/>
  <c r="F181" i="5"/>
  <c r="K180" i="5"/>
  <c r="J180" i="5"/>
  <c r="I180" i="5"/>
  <c r="W180" i="5" s="1"/>
  <c r="H180" i="5"/>
  <c r="G180" i="5"/>
  <c r="F180" i="5"/>
  <c r="V179" i="5"/>
  <c r="K187" i="5" s="1"/>
  <c r="T179" i="5"/>
  <c r="R179" i="5"/>
  <c r="K185" i="5" s="1"/>
  <c r="U179" i="5"/>
  <c r="I187" i="5" s="1"/>
  <c r="S179" i="5"/>
  <c r="I186" i="5" s="1"/>
  <c r="Q179" i="5"/>
  <c r="E179" i="5"/>
  <c r="D179" i="5"/>
  <c r="B179" i="5"/>
  <c r="A179" i="5"/>
  <c r="AA178" i="5"/>
  <c r="Z178" i="5"/>
  <c r="Y178" i="5"/>
  <c r="J177" i="5"/>
  <c r="E177" i="5"/>
  <c r="K176" i="5"/>
  <c r="J176" i="5"/>
  <c r="I176" i="5"/>
  <c r="W176" i="5" s="1"/>
  <c r="H176" i="5"/>
  <c r="G176" i="5"/>
  <c r="F176" i="5"/>
  <c r="K175" i="5"/>
  <c r="J175" i="5"/>
  <c r="I175" i="5"/>
  <c r="H175" i="5"/>
  <c r="G175" i="5"/>
  <c r="F175" i="5"/>
  <c r="V174" i="5"/>
  <c r="K177" i="5" s="1"/>
  <c r="T174" i="5"/>
  <c r="R174" i="5"/>
  <c r="U174" i="5"/>
  <c r="I177" i="5" s="1"/>
  <c r="S174" i="5"/>
  <c r="Q174" i="5"/>
  <c r="E174" i="5"/>
  <c r="D174" i="5"/>
  <c r="B174" i="5"/>
  <c r="A174" i="5"/>
  <c r="AA173" i="5"/>
  <c r="Z173" i="5"/>
  <c r="Y173" i="5"/>
  <c r="I172" i="5"/>
  <c r="H172" i="5"/>
  <c r="G172" i="5"/>
  <c r="E172" i="5"/>
  <c r="J171" i="5"/>
  <c r="E171" i="5"/>
  <c r="J170" i="5"/>
  <c r="E170" i="5"/>
  <c r="J169" i="5"/>
  <c r="E169" i="5"/>
  <c r="K168" i="5"/>
  <c r="J168" i="5"/>
  <c r="I168" i="5"/>
  <c r="W168" i="5" s="1"/>
  <c r="H168" i="5"/>
  <c r="G168" i="5"/>
  <c r="F168" i="5"/>
  <c r="K167" i="5"/>
  <c r="J167" i="5"/>
  <c r="I167" i="5"/>
  <c r="H167" i="5"/>
  <c r="G167" i="5"/>
  <c r="F167" i="5"/>
  <c r="K166" i="5"/>
  <c r="J166" i="5"/>
  <c r="I166" i="5"/>
  <c r="H166" i="5"/>
  <c r="G166" i="5"/>
  <c r="F166" i="5"/>
  <c r="V165" i="5"/>
  <c r="K171" i="5" s="1"/>
  <c r="T165" i="5"/>
  <c r="K170" i="5" s="1"/>
  <c r="R165" i="5"/>
  <c r="K169" i="5" s="1"/>
  <c r="U165" i="5"/>
  <c r="I171" i="5" s="1"/>
  <c r="S165" i="5"/>
  <c r="I170" i="5" s="1"/>
  <c r="Q165" i="5"/>
  <c r="I169" i="5" s="1"/>
  <c r="E165" i="5"/>
  <c r="D165" i="5"/>
  <c r="B165" i="5"/>
  <c r="A165" i="5"/>
  <c r="AA164" i="5"/>
  <c r="Z164" i="5"/>
  <c r="Y164" i="5"/>
  <c r="I163" i="5"/>
  <c r="H163" i="5"/>
  <c r="G163" i="5"/>
  <c r="E163" i="5"/>
  <c r="J162" i="5"/>
  <c r="E162" i="5"/>
  <c r="J161" i="5"/>
  <c r="I161" i="5"/>
  <c r="E161" i="5"/>
  <c r="J160" i="5"/>
  <c r="I160" i="5"/>
  <c r="E160" i="5"/>
  <c r="K159" i="5"/>
  <c r="J159" i="5"/>
  <c r="I159" i="5"/>
  <c r="W159" i="5" s="1"/>
  <c r="H159" i="5"/>
  <c r="G159" i="5"/>
  <c r="F159" i="5"/>
  <c r="K158" i="5"/>
  <c r="J158" i="5"/>
  <c r="I158" i="5"/>
  <c r="H158" i="5"/>
  <c r="G158" i="5"/>
  <c r="F158" i="5"/>
  <c r="K157" i="5"/>
  <c r="J157" i="5"/>
  <c r="I157" i="5"/>
  <c r="W157" i="5" s="1"/>
  <c r="H157" i="5"/>
  <c r="G157" i="5"/>
  <c r="F157" i="5"/>
  <c r="V156" i="5"/>
  <c r="K162" i="5" s="1"/>
  <c r="T156" i="5"/>
  <c r="K161" i="5" s="1"/>
  <c r="R156" i="5"/>
  <c r="K160" i="5" s="1"/>
  <c r="U156" i="5"/>
  <c r="I162" i="5" s="1"/>
  <c r="S156" i="5"/>
  <c r="Q156" i="5"/>
  <c r="E156" i="5"/>
  <c r="D156" i="5"/>
  <c r="B156" i="5"/>
  <c r="A156" i="5"/>
  <c r="AA155" i="5"/>
  <c r="Z155" i="5"/>
  <c r="Y155" i="5"/>
  <c r="I154" i="5"/>
  <c r="H154" i="5"/>
  <c r="G154" i="5"/>
  <c r="E154" i="5"/>
  <c r="J153" i="5"/>
  <c r="E153" i="5"/>
  <c r="J152" i="5"/>
  <c r="E152" i="5"/>
  <c r="J151" i="5"/>
  <c r="E151" i="5"/>
  <c r="K150" i="5"/>
  <c r="J150" i="5"/>
  <c r="I150" i="5"/>
  <c r="W150" i="5" s="1"/>
  <c r="H150" i="5"/>
  <c r="G150" i="5"/>
  <c r="F150" i="5"/>
  <c r="K149" i="5"/>
  <c r="J149" i="5"/>
  <c r="I149" i="5"/>
  <c r="H149" i="5"/>
  <c r="G149" i="5"/>
  <c r="F149" i="5"/>
  <c r="K148" i="5"/>
  <c r="J148" i="5"/>
  <c r="I148" i="5"/>
  <c r="H148" i="5"/>
  <c r="G148" i="5"/>
  <c r="F148" i="5"/>
  <c r="V147" i="5"/>
  <c r="K153" i="5" s="1"/>
  <c r="T147" i="5"/>
  <c r="K152" i="5" s="1"/>
  <c r="R147" i="5"/>
  <c r="K151" i="5" s="1"/>
  <c r="U147" i="5"/>
  <c r="I153" i="5" s="1"/>
  <c r="S147" i="5"/>
  <c r="I152" i="5" s="1"/>
  <c r="Q147" i="5"/>
  <c r="I151" i="5" s="1"/>
  <c r="E147" i="5"/>
  <c r="D147" i="5"/>
  <c r="B147" i="5"/>
  <c r="A147" i="5"/>
  <c r="C146" i="5"/>
  <c r="AA145" i="5"/>
  <c r="Z145" i="5"/>
  <c r="Y145" i="5"/>
  <c r="I144" i="5"/>
  <c r="H144" i="5"/>
  <c r="G144" i="5"/>
  <c r="E144" i="5"/>
  <c r="J143" i="5"/>
  <c r="E143" i="5"/>
  <c r="J142" i="5"/>
  <c r="E142" i="5"/>
  <c r="J141" i="5"/>
  <c r="E141" i="5"/>
  <c r="K140" i="5"/>
  <c r="J140" i="5"/>
  <c r="H140" i="5"/>
  <c r="AA140" i="5"/>
  <c r="Z140" i="5"/>
  <c r="Y140" i="5"/>
  <c r="I140" i="5"/>
  <c r="X140" i="5" s="1"/>
  <c r="F140" i="5"/>
  <c r="V140" i="5"/>
  <c r="T140" i="5"/>
  <c r="R140" i="5"/>
  <c r="U140" i="5"/>
  <c r="S140" i="5"/>
  <c r="Q140" i="5"/>
  <c r="I141" i="5" s="1"/>
  <c r="E140" i="5"/>
  <c r="D140" i="5"/>
  <c r="B140" i="5"/>
  <c r="A140" i="5"/>
  <c r="K139" i="5"/>
  <c r="J139" i="5"/>
  <c r="I139" i="5"/>
  <c r="H139" i="5"/>
  <c r="G139" i="5"/>
  <c r="F139" i="5"/>
  <c r="K138" i="5"/>
  <c r="J138" i="5"/>
  <c r="I138" i="5"/>
  <c r="W138" i="5" s="1"/>
  <c r="H138" i="5"/>
  <c r="G138" i="5"/>
  <c r="F138" i="5"/>
  <c r="K137" i="5"/>
  <c r="J137" i="5"/>
  <c r="I137" i="5"/>
  <c r="H137" i="5"/>
  <c r="G137" i="5"/>
  <c r="F137" i="5"/>
  <c r="K136" i="5"/>
  <c r="J136" i="5"/>
  <c r="I136" i="5"/>
  <c r="H136" i="5"/>
  <c r="G136" i="5"/>
  <c r="F136" i="5"/>
  <c r="V135" i="5"/>
  <c r="K143" i="5" s="1"/>
  <c r="T135" i="5"/>
  <c r="R135" i="5"/>
  <c r="U135" i="5"/>
  <c r="I143" i="5" s="1"/>
  <c r="S135" i="5"/>
  <c r="I142" i="5" s="1"/>
  <c r="Q135" i="5"/>
  <c r="E135" i="5"/>
  <c r="D135" i="5"/>
  <c r="B135" i="5"/>
  <c r="A135" i="5"/>
  <c r="AA134" i="5"/>
  <c r="Z134" i="5"/>
  <c r="Y134" i="5"/>
  <c r="I133" i="5"/>
  <c r="H133" i="5"/>
  <c r="G133" i="5"/>
  <c r="E133" i="5"/>
  <c r="J132" i="5"/>
  <c r="E132" i="5"/>
  <c r="J131" i="5"/>
  <c r="I131" i="5"/>
  <c r="E131" i="5"/>
  <c r="J130" i="5"/>
  <c r="E130" i="5"/>
  <c r="K129" i="5"/>
  <c r="J129" i="5"/>
  <c r="H129" i="5"/>
  <c r="AA129" i="5"/>
  <c r="Z129" i="5"/>
  <c r="Y129" i="5"/>
  <c r="I129" i="5"/>
  <c r="X129" i="5" s="1"/>
  <c r="F129" i="5"/>
  <c r="V129" i="5"/>
  <c r="T129" i="5"/>
  <c r="R129" i="5"/>
  <c r="U129" i="5"/>
  <c r="S129" i="5"/>
  <c r="Q129" i="5"/>
  <c r="E129" i="5"/>
  <c r="D129" i="5"/>
  <c r="B129" i="5"/>
  <c r="A129" i="5"/>
  <c r="K128" i="5"/>
  <c r="J128" i="5"/>
  <c r="I128" i="5"/>
  <c r="W128" i="5" s="1"/>
  <c r="H128" i="5"/>
  <c r="G128" i="5"/>
  <c r="F128" i="5"/>
  <c r="K127" i="5"/>
  <c r="J127" i="5"/>
  <c r="I127" i="5"/>
  <c r="H127" i="5"/>
  <c r="G127" i="5"/>
  <c r="F127" i="5"/>
  <c r="K126" i="5"/>
  <c r="J126" i="5"/>
  <c r="I126" i="5"/>
  <c r="W126" i="5" s="1"/>
  <c r="H126" i="5"/>
  <c r="G126" i="5"/>
  <c r="F126" i="5"/>
  <c r="V125" i="5"/>
  <c r="K132" i="5" s="1"/>
  <c r="T125" i="5"/>
  <c r="K131" i="5" s="1"/>
  <c r="R125" i="5"/>
  <c r="U125" i="5"/>
  <c r="S125" i="5"/>
  <c r="Q125" i="5"/>
  <c r="E125" i="5"/>
  <c r="D125" i="5"/>
  <c r="B125" i="5"/>
  <c r="A125" i="5"/>
  <c r="AA124" i="5"/>
  <c r="Z124" i="5"/>
  <c r="Y124" i="5"/>
  <c r="I123" i="5"/>
  <c r="H123" i="5"/>
  <c r="G123" i="5"/>
  <c r="E123" i="5"/>
  <c r="J122" i="5"/>
  <c r="E122" i="5"/>
  <c r="J121" i="5"/>
  <c r="E121" i="5"/>
  <c r="J120" i="5"/>
  <c r="E120" i="5"/>
  <c r="K119" i="5"/>
  <c r="J119" i="5"/>
  <c r="H119" i="5"/>
  <c r="AA119" i="5"/>
  <c r="Z119" i="5"/>
  <c r="Y119" i="5"/>
  <c r="I119" i="5"/>
  <c r="X119" i="5" s="1"/>
  <c r="F119" i="5"/>
  <c r="V119" i="5"/>
  <c r="T119" i="5"/>
  <c r="R119" i="5"/>
  <c r="U119" i="5"/>
  <c r="S119" i="5"/>
  <c r="Q119" i="5"/>
  <c r="E119" i="5"/>
  <c r="D119" i="5"/>
  <c r="B119" i="5"/>
  <c r="A119" i="5"/>
  <c r="K118" i="5"/>
  <c r="J118" i="5"/>
  <c r="I118" i="5"/>
  <c r="H118" i="5"/>
  <c r="G118" i="5"/>
  <c r="F118" i="5"/>
  <c r="K117" i="5"/>
  <c r="J117" i="5"/>
  <c r="I117" i="5"/>
  <c r="W117" i="5" s="1"/>
  <c r="H117" i="5"/>
  <c r="G117" i="5"/>
  <c r="F117" i="5"/>
  <c r="K116" i="5"/>
  <c r="J116" i="5"/>
  <c r="I116" i="5"/>
  <c r="H116" i="5"/>
  <c r="G116" i="5"/>
  <c r="F116" i="5"/>
  <c r="K115" i="5"/>
  <c r="J115" i="5"/>
  <c r="I115" i="5"/>
  <c r="H115" i="5"/>
  <c r="G115" i="5"/>
  <c r="F115" i="5"/>
  <c r="V114" i="5"/>
  <c r="K122" i="5" s="1"/>
  <c r="T114" i="5"/>
  <c r="K121" i="5" s="1"/>
  <c r="R114" i="5"/>
  <c r="U114" i="5"/>
  <c r="S114" i="5"/>
  <c r="I121" i="5" s="1"/>
  <c r="Q114" i="5"/>
  <c r="I120" i="5" s="1"/>
  <c r="E114" i="5"/>
  <c r="D114" i="5"/>
  <c r="B114" i="5"/>
  <c r="A114" i="5"/>
  <c r="AA113" i="5"/>
  <c r="Z113" i="5"/>
  <c r="Y113" i="5"/>
  <c r="I112" i="5"/>
  <c r="H112" i="5"/>
  <c r="G112" i="5"/>
  <c r="E112" i="5"/>
  <c r="J111" i="5"/>
  <c r="E111" i="5"/>
  <c r="J110" i="5"/>
  <c r="E110" i="5"/>
  <c r="J109" i="5"/>
  <c r="E109" i="5"/>
  <c r="K108" i="5"/>
  <c r="J108" i="5"/>
  <c r="H108" i="5"/>
  <c r="AA108" i="5"/>
  <c r="Z108" i="5"/>
  <c r="Y108" i="5"/>
  <c r="I108" i="5"/>
  <c r="X108" i="5" s="1"/>
  <c r="F108" i="5"/>
  <c r="V108" i="5"/>
  <c r="T108" i="5"/>
  <c r="R108" i="5"/>
  <c r="U108" i="5"/>
  <c r="S108" i="5"/>
  <c r="I110" i="5" s="1"/>
  <c r="Q108" i="5"/>
  <c r="E108" i="5"/>
  <c r="D108" i="5"/>
  <c r="B108" i="5"/>
  <c r="A108" i="5"/>
  <c r="K107" i="5"/>
  <c r="J107" i="5"/>
  <c r="I107" i="5"/>
  <c r="W107" i="5" s="1"/>
  <c r="H107" i="5"/>
  <c r="G107" i="5"/>
  <c r="F107" i="5"/>
  <c r="K106" i="5"/>
  <c r="J106" i="5"/>
  <c r="I106" i="5"/>
  <c r="H106" i="5"/>
  <c r="G106" i="5"/>
  <c r="F106" i="5"/>
  <c r="K105" i="5"/>
  <c r="J105" i="5"/>
  <c r="W105" i="5"/>
  <c r="I105" i="5"/>
  <c r="H105" i="5"/>
  <c r="G105" i="5"/>
  <c r="F105" i="5"/>
  <c r="V104" i="5"/>
  <c r="T104" i="5"/>
  <c r="K110" i="5" s="1"/>
  <c r="R104" i="5"/>
  <c r="K109" i="5" s="1"/>
  <c r="U104" i="5"/>
  <c r="S104" i="5"/>
  <c r="Q104" i="5"/>
  <c r="E104" i="5"/>
  <c r="D104" i="5"/>
  <c r="B104" i="5"/>
  <c r="A104" i="5"/>
  <c r="AA103" i="5"/>
  <c r="Z103" i="5"/>
  <c r="Y103" i="5"/>
  <c r="I102" i="5"/>
  <c r="H102" i="5"/>
  <c r="G102" i="5"/>
  <c r="E102" i="5"/>
  <c r="J101" i="5"/>
  <c r="E101" i="5"/>
  <c r="J100" i="5"/>
  <c r="E100" i="5"/>
  <c r="J99" i="5"/>
  <c r="E99" i="5"/>
  <c r="K98" i="5"/>
  <c r="J98" i="5"/>
  <c r="H98" i="5"/>
  <c r="AA98" i="5"/>
  <c r="Z98" i="5"/>
  <c r="Y98" i="5"/>
  <c r="I98" i="5"/>
  <c r="X98" i="5" s="1"/>
  <c r="F98" i="5"/>
  <c r="V98" i="5"/>
  <c r="T98" i="5"/>
  <c r="R98" i="5"/>
  <c r="U98" i="5"/>
  <c r="S98" i="5"/>
  <c r="Q98" i="5"/>
  <c r="E98" i="5"/>
  <c r="D98" i="5"/>
  <c r="B98" i="5"/>
  <c r="A98" i="5"/>
  <c r="K97" i="5"/>
  <c r="J97" i="5"/>
  <c r="I97" i="5"/>
  <c r="H97" i="5"/>
  <c r="G97" i="5"/>
  <c r="F97" i="5"/>
  <c r="K96" i="5"/>
  <c r="J96" i="5"/>
  <c r="I96" i="5"/>
  <c r="W96" i="5" s="1"/>
  <c r="H96" i="5"/>
  <c r="G96" i="5"/>
  <c r="F96" i="5"/>
  <c r="K95" i="5"/>
  <c r="J95" i="5"/>
  <c r="I95" i="5"/>
  <c r="H95" i="5"/>
  <c r="G95" i="5"/>
  <c r="F95" i="5"/>
  <c r="K94" i="5"/>
  <c r="J94" i="5"/>
  <c r="I94" i="5"/>
  <c r="H94" i="5"/>
  <c r="G94" i="5"/>
  <c r="F94" i="5"/>
  <c r="V93" i="5"/>
  <c r="T93" i="5"/>
  <c r="K100" i="5" s="1"/>
  <c r="R93" i="5"/>
  <c r="K99" i="5" s="1"/>
  <c r="U93" i="5"/>
  <c r="S93" i="5"/>
  <c r="I100" i="5" s="1"/>
  <c r="Q93" i="5"/>
  <c r="I99" i="5" s="1"/>
  <c r="E93" i="5"/>
  <c r="D93" i="5"/>
  <c r="B93" i="5"/>
  <c r="A93" i="5"/>
  <c r="AA92" i="5"/>
  <c r="Z92" i="5"/>
  <c r="Y92" i="5"/>
  <c r="I91" i="5"/>
  <c r="H91" i="5"/>
  <c r="G91" i="5"/>
  <c r="E91" i="5"/>
  <c r="J90" i="5"/>
  <c r="E90" i="5"/>
  <c r="J89" i="5"/>
  <c r="E89" i="5"/>
  <c r="K88" i="5"/>
  <c r="J88" i="5"/>
  <c r="H88" i="5"/>
  <c r="AA88" i="5"/>
  <c r="Z88" i="5"/>
  <c r="Y88" i="5"/>
  <c r="I88" i="5"/>
  <c r="X88" i="5" s="1"/>
  <c r="F88" i="5"/>
  <c r="V88" i="5"/>
  <c r="T88" i="5"/>
  <c r="R88" i="5"/>
  <c r="U88" i="5"/>
  <c r="S88" i="5"/>
  <c r="Q88" i="5"/>
  <c r="E88" i="5"/>
  <c r="D88" i="5"/>
  <c r="B88" i="5"/>
  <c r="A88" i="5"/>
  <c r="K87" i="5"/>
  <c r="J87" i="5"/>
  <c r="I87" i="5"/>
  <c r="H87" i="5"/>
  <c r="G87" i="5"/>
  <c r="F87" i="5"/>
  <c r="K86" i="5"/>
  <c r="J86" i="5"/>
  <c r="I86" i="5"/>
  <c r="H86" i="5"/>
  <c r="G86" i="5"/>
  <c r="F86" i="5"/>
  <c r="V85" i="5"/>
  <c r="T85" i="5"/>
  <c r="K90" i="5" s="1"/>
  <c r="R85" i="5"/>
  <c r="K89" i="5" s="1"/>
  <c r="P92" i="5" s="1"/>
  <c r="U85" i="5"/>
  <c r="S85" i="5"/>
  <c r="I90" i="5" s="1"/>
  <c r="Q85" i="5"/>
  <c r="E85" i="5"/>
  <c r="D85" i="5"/>
  <c r="B85" i="5"/>
  <c r="A85" i="5"/>
  <c r="AA84" i="5"/>
  <c r="Z84" i="5"/>
  <c r="Y84" i="5"/>
  <c r="I83" i="5"/>
  <c r="H83" i="5"/>
  <c r="G83" i="5"/>
  <c r="E83" i="5"/>
  <c r="J82" i="5"/>
  <c r="E82" i="5"/>
  <c r="J81" i="5"/>
  <c r="E81" i="5"/>
  <c r="J80" i="5"/>
  <c r="E80" i="5"/>
  <c r="K79" i="5"/>
  <c r="J79" i="5"/>
  <c r="H79" i="5"/>
  <c r="AA79" i="5"/>
  <c r="Z79" i="5"/>
  <c r="Y79" i="5"/>
  <c r="I79" i="5"/>
  <c r="X79" i="5" s="1"/>
  <c r="F79" i="5"/>
  <c r="V79" i="5"/>
  <c r="T79" i="5"/>
  <c r="R79" i="5"/>
  <c r="U79" i="5"/>
  <c r="S79" i="5"/>
  <c r="Q79" i="5"/>
  <c r="E79" i="5"/>
  <c r="D79" i="5"/>
  <c r="B79" i="5"/>
  <c r="A79" i="5"/>
  <c r="K78" i="5"/>
  <c r="J78" i="5"/>
  <c r="I78" i="5"/>
  <c r="H78" i="5"/>
  <c r="G78" i="5"/>
  <c r="F78" i="5"/>
  <c r="K77" i="5"/>
  <c r="J77" i="5"/>
  <c r="I77" i="5"/>
  <c r="W77" i="5" s="1"/>
  <c r="H77" i="5"/>
  <c r="G77" i="5"/>
  <c r="F77" i="5"/>
  <c r="K76" i="5"/>
  <c r="J76" i="5"/>
  <c r="I76" i="5"/>
  <c r="H76" i="5"/>
  <c r="G76" i="5"/>
  <c r="F76" i="5"/>
  <c r="K75" i="5"/>
  <c r="J75" i="5"/>
  <c r="I75" i="5"/>
  <c r="W75" i="5" s="1"/>
  <c r="H75" i="5"/>
  <c r="G75" i="5"/>
  <c r="F75" i="5"/>
  <c r="V74" i="5"/>
  <c r="K82" i="5" s="1"/>
  <c r="T74" i="5"/>
  <c r="K81" i="5" s="1"/>
  <c r="R74" i="5"/>
  <c r="K80" i="5" s="1"/>
  <c r="U74" i="5"/>
  <c r="S74" i="5"/>
  <c r="I81" i="5" s="1"/>
  <c r="Q74" i="5"/>
  <c r="I80" i="5" s="1"/>
  <c r="E74" i="5"/>
  <c r="D74" i="5"/>
  <c r="B74" i="5"/>
  <c r="A74" i="5"/>
  <c r="AA73" i="5"/>
  <c r="Z73" i="5"/>
  <c r="Y73" i="5"/>
  <c r="I72" i="5"/>
  <c r="H72" i="5"/>
  <c r="G72" i="5"/>
  <c r="E72" i="5"/>
  <c r="J71" i="5"/>
  <c r="E71" i="5"/>
  <c r="J70" i="5"/>
  <c r="E70" i="5"/>
  <c r="J69" i="5"/>
  <c r="E69" i="5"/>
  <c r="K68" i="5"/>
  <c r="J68" i="5"/>
  <c r="H68" i="5"/>
  <c r="AA68" i="5"/>
  <c r="Z68" i="5"/>
  <c r="Y68" i="5"/>
  <c r="X68" i="5"/>
  <c r="I68" i="5"/>
  <c r="F68" i="5"/>
  <c r="V68" i="5"/>
  <c r="T68" i="5"/>
  <c r="R68" i="5"/>
  <c r="U68" i="5"/>
  <c r="S68" i="5"/>
  <c r="Q68" i="5"/>
  <c r="E68" i="5"/>
  <c r="D68" i="5"/>
  <c r="B68" i="5"/>
  <c r="A68" i="5"/>
  <c r="K67" i="5"/>
  <c r="J67" i="5"/>
  <c r="I67" i="5"/>
  <c r="H67" i="5"/>
  <c r="G67" i="5"/>
  <c r="F67" i="5"/>
  <c r="K66" i="5"/>
  <c r="J66" i="5"/>
  <c r="I66" i="5"/>
  <c r="W66" i="5" s="1"/>
  <c r="H66" i="5"/>
  <c r="G66" i="5"/>
  <c r="F66" i="5"/>
  <c r="K65" i="5"/>
  <c r="J65" i="5"/>
  <c r="I65" i="5"/>
  <c r="H65" i="5"/>
  <c r="G65" i="5"/>
  <c r="F65" i="5"/>
  <c r="K64" i="5"/>
  <c r="J64" i="5"/>
  <c r="I64" i="5"/>
  <c r="W64" i="5" s="1"/>
  <c r="H64" i="5"/>
  <c r="G64" i="5"/>
  <c r="F64" i="5"/>
  <c r="V63" i="5"/>
  <c r="T63" i="5"/>
  <c r="K70" i="5" s="1"/>
  <c r="R63" i="5"/>
  <c r="K69" i="5" s="1"/>
  <c r="U63" i="5"/>
  <c r="S63" i="5"/>
  <c r="Q63" i="5"/>
  <c r="E63" i="5"/>
  <c r="D63" i="5"/>
  <c r="B63" i="5"/>
  <c r="A63" i="5"/>
  <c r="AA62" i="5"/>
  <c r="Z62" i="5"/>
  <c r="Y62" i="5"/>
  <c r="J61" i="5"/>
  <c r="E61" i="5"/>
  <c r="K60" i="5"/>
  <c r="J60" i="5"/>
  <c r="W60" i="5"/>
  <c r="I60" i="5"/>
  <c r="H60" i="5"/>
  <c r="G60" i="5"/>
  <c r="F60" i="5"/>
  <c r="K59" i="5"/>
  <c r="J59" i="5"/>
  <c r="I59" i="5"/>
  <c r="H59" i="5"/>
  <c r="G59" i="5"/>
  <c r="F59" i="5"/>
  <c r="V58" i="5"/>
  <c r="K61" i="5" s="1"/>
  <c r="P62" i="5" s="1"/>
  <c r="T58" i="5"/>
  <c r="R58" i="5"/>
  <c r="U58" i="5"/>
  <c r="I61" i="5" s="1"/>
  <c r="X62" i="5" s="1"/>
  <c r="S58" i="5"/>
  <c r="Q58" i="5"/>
  <c r="E58" i="5"/>
  <c r="D58" i="5"/>
  <c r="B58" i="5"/>
  <c r="A58" i="5"/>
  <c r="AA57" i="5"/>
  <c r="Z57" i="5"/>
  <c r="Y57" i="5"/>
  <c r="I56" i="5"/>
  <c r="H56" i="5"/>
  <c r="G56" i="5"/>
  <c r="E56" i="5"/>
  <c r="J55" i="5"/>
  <c r="E55" i="5"/>
  <c r="J54" i="5"/>
  <c r="E54" i="5"/>
  <c r="J53" i="5"/>
  <c r="E53" i="5"/>
  <c r="K52" i="5"/>
  <c r="J52" i="5"/>
  <c r="I52" i="5"/>
  <c r="W52" i="5" s="1"/>
  <c r="H52" i="5"/>
  <c r="G52" i="5"/>
  <c r="F52" i="5"/>
  <c r="K51" i="5"/>
  <c r="J51" i="5"/>
  <c r="I51" i="5"/>
  <c r="H51" i="5"/>
  <c r="G51" i="5"/>
  <c r="F51" i="5"/>
  <c r="K50" i="5"/>
  <c r="J50" i="5"/>
  <c r="I50" i="5"/>
  <c r="W50" i="5" s="1"/>
  <c r="H50" i="5"/>
  <c r="G50" i="5"/>
  <c r="F50" i="5"/>
  <c r="V49" i="5"/>
  <c r="K55" i="5" s="1"/>
  <c r="T49" i="5"/>
  <c r="K54" i="5" s="1"/>
  <c r="R49" i="5"/>
  <c r="K53" i="5" s="1"/>
  <c r="U49" i="5"/>
  <c r="I55" i="5" s="1"/>
  <c r="S49" i="5"/>
  <c r="I54" i="5" s="1"/>
  <c r="Q49" i="5"/>
  <c r="I53" i="5" s="1"/>
  <c r="E49" i="5"/>
  <c r="D49" i="5"/>
  <c r="B49" i="5"/>
  <c r="A49" i="5"/>
  <c r="AA48" i="5"/>
  <c r="Z48" i="5"/>
  <c r="Y48" i="5"/>
  <c r="I47" i="5"/>
  <c r="H47" i="5"/>
  <c r="G47" i="5"/>
  <c r="E47" i="5"/>
  <c r="J46" i="5"/>
  <c r="I46" i="5"/>
  <c r="E46" i="5"/>
  <c r="J45" i="5"/>
  <c r="I45" i="5"/>
  <c r="E45" i="5"/>
  <c r="J44" i="5"/>
  <c r="E44" i="5"/>
  <c r="K43" i="5"/>
  <c r="J43" i="5"/>
  <c r="I43" i="5"/>
  <c r="W43" i="5" s="1"/>
  <c r="H43" i="5"/>
  <c r="G43" i="5"/>
  <c r="F43" i="5"/>
  <c r="K42" i="5"/>
  <c r="J42" i="5"/>
  <c r="I42" i="5"/>
  <c r="H42" i="5"/>
  <c r="G42" i="5"/>
  <c r="F42" i="5"/>
  <c r="K41" i="5"/>
  <c r="J41" i="5"/>
  <c r="I41" i="5"/>
  <c r="W41" i="5" s="1"/>
  <c r="H41" i="5"/>
  <c r="G41" i="5"/>
  <c r="F41" i="5"/>
  <c r="V40" i="5"/>
  <c r="K46" i="5" s="1"/>
  <c r="T40" i="5"/>
  <c r="K45" i="5" s="1"/>
  <c r="R40" i="5"/>
  <c r="K44" i="5" s="1"/>
  <c r="U40" i="5"/>
  <c r="S40" i="5"/>
  <c r="Q40" i="5"/>
  <c r="I44" i="5" s="1"/>
  <c r="E40" i="5"/>
  <c r="D40" i="5"/>
  <c r="B40" i="5"/>
  <c r="A40" i="5"/>
  <c r="AA39" i="5"/>
  <c r="Z39" i="5"/>
  <c r="Y39" i="5"/>
  <c r="I38" i="5"/>
  <c r="H38" i="5"/>
  <c r="G38" i="5"/>
  <c r="E38" i="5"/>
  <c r="J37" i="5"/>
  <c r="E37" i="5"/>
  <c r="J36" i="5"/>
  <c r="E36" i="5"/>
  <c r="J35" i="5"/>
  <c r="E35" i="5"/>
  <c r="K34" i="5"/>
  <c r="J34" i="5"/>
  <c r="I34" i="5"/>
  <c r="W34" i="5" s="1"/>
  <c r="H34" i="5"/>
  <c r="G34" i="5"/>
  <c r="F34" i="5"/>
  <c r="K33" i="5"/>
  <c r="J33" i="5"/>
  <c r="I33" i="5"/>
  <c r="H33" i="5"/>
  <c r="G33" i="5"/>
  <c r="F33" i="5"/>
  <c r="K32" i="5"/>
  <c r="J32" i="5"/>
  <c r="I32" i="5"/>
  <c r="W32" i="5" s="1"/>
  <c r="H32" i="5"/>
  <c r="G32" i="5"/>
  <c r="F32" i="5"/>
  <c r="V31" i="5"/>
  <c r="K37" i="5" s="1"/>
  <c r="T31" i="5"/>
  <c r="K36" i="5" s="1"/>
  <c r="R31" i="5"/>
  <c r="K35" i="5" s="1"/>
  <c r="U31" i="5"/>
  <c r="I37" i="5" s="1"/>
  <c r="S31" i="5"/>
  <c r="I36" i="5" s="1"/>
  <c r="Q31" i="5"/>
  <c r="I35" i="5" s="1"/>
  <c r="E31" i="5"/>
  <c r="D31" i="5"/>
  <c r="B31" i="5"/>
  <c r="A31" i="5"/>
  <c r="C30" i="5"/>
  <c r="A29" i="5"/>
  <c r="A15" i="5"/>
  <c r="AK12" i="5"/>
  <c r="A12" i="5"/>
  <c r="A4" i="5" s="1"/>
  <c r="A10" i="5"/>
  <c r="A7" i="5"/>
  <c r="A1" i="5"/>
  <c r="X48" i="5" l="1"/>
  <c r="H62" i="5"/>
  <c r="X307" i="5"/>
  <c r="J343" i="5"/>
  <c r="H48" i="5"/>
  <c r="K71" i="5"/>
  <c r="I82" i="5"/>
  <c r="O84" i="5" s="1"/>
  <c r="I122" i="5"/>
  <c r="H124" i="5" s="1"/>
  <c r="K141" i="5"/>
  <c r="I220" i="5"/>
  <c r="I266" i="5"/>
  <c r="I19" i="5"/>
  <c r="I89" i="5"/>
  <c r="X92" i="5" s="1"/>
  <c r="I101" i="5"/>
  <c r="H103" i="5" s="1"/>
  <c r="K120" i="5"/>
  <c r="P124" i="5" s="1"/>
  <c r="I132" i="5"/>
  <c r="K142" i="5"/>
  <c r="X164" i="5"/>
  <c r="K186" i="5"/>
  <c r="I196" i="5"/>
  <c r="O200" i="5" s="1"/>
  <c r="K257" i="5"/>
  <c r="I258" i="5"/>
  <c r="O260" i="5" s="1"/>
  <c r="X296" i="5"/>
  <c r="I20" i="5"/>
  <c r="P84" i="5"/>
  <c r="I111" i="5"/>
  <c r="K130" i="5"/>
  <c r="J200" i="5"/>
  <c r="X233" i="5"/>
  <c r="X271" i="5"/>
  <c r="O296" i="5"/>
  <c r="K304" i="5"/>
  <c r="I69" i="5"/>
  <c r="O164" i="5"/>
  <c r="K220" i="5"/>
  <c r="O233" i="5"/>
  <c r="I247" i="5"/>
  <c r="J345" i="5"/>
  <c r="I70" i="5"/>
  <c r="X73" i="5" s="1"/>
  <c r="J92" i="5"/>
  <c r="K101" i="5"/>
  <c r="I130" i="5"/>
  <c r="H134" i="5" s="1"/>
  <c r="P200" i="5"/>
  <c r="H200" i="5"/>
  <c r="I209" i="5"/>
  <c r="J330" i="5"/>
  <c r="K327" i="5"/>
  <c r="P330" i="5" s="1"/>
  <c r="P73" i="5"/>
  <c r="I71" i="5"/>
  <c r="K111" i="5"/>
  <c r="I109" i="5"/>
  <c r="I256" i="5"/>
  <c r="H260" i="5" s="1"/>
  <c r="K266" i="5"/>
  <c r="O57" i="5"/>
  <c r="P296" i="5"/>
  <c r="P315" i="5"/>
  <c r="X330" i="5"/>
  <c r="X39" i="5"/>
  <c r="H39" i="5"/>
  <c r="P57" i="5"/>
  <c r="P164" i="5"/>
  <c r="J164" i="5"/>
  <c r="P211" i="5"/>
  <c r="P233" i="5"/>
  <c r="J233" i="5"/>
  <c r="P249" i="5"/>
  <c r="H249" i="5"/>
  <c r="P269" i="5"/>
  <c r="P280" i="5"/>
  <c r="X145" i="5"/>
  <c r="J145" i="5"/>
  <c r="O173" i="5"/>
  <c r="X173" i="5"/>
  <c r="X222" i="5"/>
  <c r="X238" i="5"/>
  <c r="H285" i="5"/>
  <c r="X322" i="5"/>
  <c r="P173" i="5"/>
  <c r="O222" i="5"/>
  <c r="X285" i="5"/>
  <c r="O285" i="5"/>
  <c r="O322" i="5"/>
  <c r="H345" i="5"/>
  <c r="H173" i="5"/>
  <c r="J178" i="5"/>
  <c r="P178" i="5"/>
  <c r="X134" i="5"/>
  <c r="P145" i="5"/>
  <c r="X155" i="5"/>
  <c r="J155" i="5"/>
  <c r="J189" i="5"/>
  <c r="H189" i="5"/>
  <c r="J238" i="5"/>
  <c r="P260" i="5"/>
  <c r="X269" i="5"/>
  <c r="P285" i="5"/>
  <c r="P113" i="5"/>
  <c r="O39" i="5"/>
  <c r="J39" i="5"/>
  <c r="X124" i="5"/>
  <c r="P39" i="5"/>
  <c r="J62" i="5"/>
  <c r="X113" i="5"/>
  <c r="X211" i="5"/>
  <c r="P222" i="5"/>
  <c r="H269" i="5"/>
  <c r="P307" i="5"/>
  <c r="X315" i="5"/>
  <c r="P322" i="5"/>
  <c r="P103" i="5"/>
  <c r="P155" i="5"/>
  <c r="O211" i="5"/>
  <c r="O315" i="5"/>
  <c r="P48" i="5"/>
  <c r="X57" i="5"/>
  <c r="P134" i="5"/>
  <c r="X178" i="5"/>
  <c r="H211" i="5"/>
  <c r="J249" i="5"/>
  <c r="O269" i="5"/>
  <c r="X280" i="5"/>
  <c r="J280" i="5"/>
  <c r="O48" i="5"/>
  <c r="O73" i="5"/>
  <c r="W94" i="5"/>
  <c r="W115" i="5"/>
  <c r="W136" i="5"/>
  <c r="W148" i="5"/>
  <c r="H164" i="5"/>
  <c r="H238" i="5"/>
  <c r="O249" i="5"/>
  <c r="O62" i="5"/>
  <c r="J103" i="5"/>
  <c r="H178" i="5"/>
  <c r="O189" i="5"/>
  <c r="X200" i="5"/>
  <c r="O238" i="5"/>
  <c r="X249" i="5"/>
  <c r="W273" i="5"/>
  <c r="W298" i="5"/>
  <c r="W310" i="5"/>
  <c r="W317" i="5"/>
  <c r="W324" i="5"/>
  <c r="W86" i="5"/>
  <c r="J113" i="5"/>
  <c r="J134" i="5"/>
  <c r="H155" i="5"/>
  <c r="O178" i="5"/>
  <c r="X189" i="5"/>
  <c r="W213" i="5"/>
  <c r="W287" i="5"/>
  <c r="J307" i="5"/>
  <c r="AA340" i="5"/>
  <c r="I21" i="5" s="1"/>
  <c r="AA343" i="5"/>
  <c r="J57" i="5"/>
  <c r="H145" i="5"/>
  <c r="O155" i="5"/>
  <c r="W202" i="5"/>
  <c r="J222" i="5"/>
  <c r="W226" i="5"/>
  <c r="W251" i="5"/>
  <c r="W263" i="5"/>
  <c r="J269" i="5"/>
  <c r="H280" i="5"/>
  <c r="J296" i="5"/>
  <c r="J315" i="5"/>
  <c r="J322" i="5"/>
  <c r="H330" i="5"/>
  <c r="P189" i="5"/>
  <c r="J84" i="5"/>
  <c r="H92" i="5"/>
  <c r="H113" i="5"/>
  <c r="O124" i="5"/>
  <c r="O145" i="5"/>
  <c r="W166" i="5"/>
  <c r="J173" i="5"/>
  <c r="J211" i="5"/>
  <c r="J260" i="5"/>
  <c r="O280" i="5"/>
  <c r="J285" i="5"/>
  <c r="H307" i="5"/>
  <c r="O330" i="5"/>
  <c r="J48" i="5"/>
  <c r="H57" i="5"/>
  <c r="J73" i="5"/>
  <c r="O92" i="5"/>
  <c r="O113" i="5"/>
  <c r="O134" i="5"/>
  <c r="H222" i="5"/>
  <c r="H233" i="5"/>
  <c r="H271" i="5"/>
  <c r="H296" i="5"/>
  <c r="O307" i="5"/>
  <c r="H315" i="5"/>
  <c r="H322" i="5"/>
  <c r="H340" i="5"/>
  <c r="H343" i="5"/>
  <c r="A1" i="4"/>
  <c r="A2" i="4"/>
  <c r="A3" i="4"/>
  <c r="A4" i="4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  <c r="A64" i="4"/>
  <c r="A65" i="4"/>
  <c r="A66" i="4"/>
  <c r="A67" i="4"/>
  <c r="A68" i="4"/>
  <c r="A69" i="4"/>
  <c r="A70" i="4"/>
  <c r="A71" i="4"/>
  <c r="A72" i="4"/>
  <c r="A73" i="4"/>
  <c r="A74" i="4"/>
  <c r="A75" i="4"/>
  <c r="A76" i="4"/>
  <c r="A77" i="4"/>
  <c r="A78" i="4"/>
  <c r="A79" i="4"/>
  <c r="A80" i="4"/>
  <c r="A81" i="4"/>
  <c r="A82" i="4"/>
  <c r="A83" i="4"/>
  <c r="A84" i="4"/>
  <c r="A85" i="4"/>
  <c r="A86" i="4"/>
  <c r="A87" i="4"/>
  <c r="A88" i="4"/>
  <c r="A89" i="4"/>
  <c r="A90" i="4"/>
  <c r="A91" i="4"/>
  <c r="A92" i="4"/>
  <c r="A93" i="4"/>
  <c r="A94" i="4"/>
  <c r="A95" i="4"/>
  <c r="A96" i="4"/>
  <c r="A97" i="4"/>
  <c r="A98" i="4"/>
  <c r="A99" i="4"/>
  <c r="A100" i="4"/>
  <c r="A101" i="4"/>
  <c r="A102" i="4"/>
  <c r="A103" i="4"/>
  <c r="A104" i="4"/>
  <c r="A105" i="4"/>
  <c r="A106" i="4"/>
  <c r="A107" i="4"/>
  <c r="A108" i="4"/>
  <c r="A109" i="4"/>
  <c r="A110" i="4"/>
  <c r="A111" i="4"/>
  <c r="A112" i="4"/>
  <c r="A113" i="4"/>
  <c r="A114" i="4"/>
  <c r="A115" i="4"/>
  <c r="A116" i="4"/>
  <c r="A117" i="4"/>
  <c r="A118" i="4"/>
  <c r="A119" i="4"/>
  <c r="A120" i="4"/>
  <c r="A121" i="4"/>
  <c r="A122" i="4"/>
  <c r="A123" i="4"/>
  <c r="A124" i="4"/>
  <c r="A125" i="4"/>
  <c r="A126" i="4"/>
  <c r="A127" i="4"/>
  <c r="A128" i="4"/>
  <c r="A129" i="4"/>
  <c r="A130" i="4"/>
  <c r="A131" i="4"/>
  <c r="A132" i="4"/>
  <c r="A133" i="4"/>
  <c r="A134" i="4"/>
  <c r="A135" i="4"/>
  <c r="A136" i="4"/>
  <c r="A137" i="4"/>
  <c r="A138" i="4"/>
  <c r="A139" i="4"/>
  <c r="A140" i="4"/>
  <c r="A141" i="4"/>
  <c r="A142" i="4"/>
  <c r="A143" i="4"/>
  <c r="A144" i="4"/>
  <c r="A145" i="4"/>
  <c r="A146" i="4"/>
  <c r="A147" i="4"/>
  <c r="A148" i="4"/>
  <c r="A149" i="4"/>
  <c r="A150" i="4"/>
  <c r="A151" i="4"/>
  <c r="A152" i="4"/>
  <c r="A153" i="4"/>
  <c r="A154" i="4"/>
  <c r="A155" i="4"/>
  <c r="A156" i="4"/>
  <c r="A157" i="4"/>
  <c r="A158" i="4"/>
  <c r="A159" i="4"/>
  <c r="A160" i="4"/>
  <c r="A161" i="4"/>
  <c r="A162" i="4"/>
  <c r="A163" i="4"/>
  <c r="A164" i="4"/>
  <c r="A165" i="4"/>
  <c r="A166" i="4"/>
  <c r="A167" i="4"/>
  <c r="A168" i="4"/>
  <c r="A169" i="4"/>
  <c r="A170" i="4"/>
  <c r="A171" i="4"/>
  <c r="A172" i="4"/>
  <c r="A173" i="4"/>
  <c r="A174" i="4"/>
  <c r="A175" i="4"/>
  <c r="A176" i="4"/>
  <c r="A177" i="4"/>
  <c r="A178" i="4"/>
  <c r="A179" i="4"/>
  <c r="A180" i="4"/>
  <c r="A181" i="4"/>
  <c r="A182" i="4"/>
  <c r="A183" i="4"/>
  <c r="A184" i="4"/>
  <c r="A185" i="4"/>
  <c r="A186" i="4"/>
  <c r="A187" i="4"/>
  <c r="A188" i="4"/>
  <c r="A189" i="4"/>
  <c r="A190" i="4"/>
  <c r="A191" i="4"/>
  <c r="A192" i="4"/>
  <c r="A193" i="4"/>
  <c r="A194" i="4"/>
  <c r="A195" i="4"/>
  <c r="A196" i="4"/>
  <c r="A197" i="4"/>
  <c r="A198" i="4"/>
  <c r="A199" i="4"/>
  <c r="A200" i="4"/>
  <c r="A201" i="4"/>
  <c r="A202" i="4"/>
  <c r="A203" i="4"/>
  <c r="A204" i="4"/>
  <c r="A205" i="4"/>
  <c r="A206" i="4"/>
  <c r="A207" i="4"/>
  <c r="A208" i="4"/>
  <c r="A209" i="4"/>
  <c r="A210" i="4"/>
  <c r="A211" i="4"/>
  <c r="A1" i="3"/>
  <c r="CY1" i="3"/>
  <c r="CZ1" i="3"/>
  <c r="DA1" i="3"/>
  <c r="DB1" i="3"/>
  <c r="DC1" i="3"/>
  <c r="A2" i="3"/>
  <c r="CY2" i="3"/>
  <c r="CZ2" i="3"/>
  <c r="DA2" i="3"/>
  <c r="DB2" i="3"/>
  <c r="DC2" i="3"/>
  <c r="A3" i="3"/>
  <c r="CY3" i="3"/>
  <c r="CZ3" i="3"/>
  <c r="DB3" i="3" s="1"/>
  <c r="DA3" i="3"/>
  <c r="DC3" i="3"/>
  <c r="A4" i="3"/>
  <c r="CY4" i="3"/>
  <c r="CZ4" i="3"/>
  <c r="DB4" i="3" s="1"/>
  <c r="DA4" i="3"/>
  <c r="DC4" i="3"/>
  <c r="A5" i="3"/>
  <c r="CX5" i="3"/>
  <c r="CY5" i="3"/>
  <c r="CZ5" i="3"/>
  <c r="DA5" i="3"/>
  <c r="DB5" i="3"/>
  <c r="DC5" i="3"/>
  <c r="A6" i="3"/>
  <c r="CY6" i="3"/>
  <c r="CZ6" i="3"/>
  <c r="DB6" i="3" s="1"/>
  <c r="DA6" i="3"/>
  <c r="DC6" i="3"/>
  <c r="A7" i="3"/>
  <c r="CY7" i="3"/>
  <c r="CZ7" i="3"/>
  <c r="DB7" i="3" s="1"/>
  <c r="DA7" i="3"/>
  <c r="DC7" i="3"/>
  <c r="A8" i="3"/>
  <c r="CY8" i="3"/>
  <c r="CZ8" i="3"/>
  <c r="DB8" i="3" s="1"/>
  <c r="DA8" i="3"/>
  <c r="DC8" i="3"/>
  <c r="A9" i="3"/>
  <c r="CY9" i="3"/>
  <c r="CZ9" i="3"/>
  <c r="DA9" i="3"/>
  <c r="DB9" i="3"/>
  <c r="DC9" i="3"/>
  <c r="A10" i="3"/>
  <c r="CY10" i="3"/>
  <c r="CZ10" i="3"/>
  <c r="DA10" i="3"/>
  <c r="DB10" i="3"/>
  <c r="DC10" i="3"/>
  <c r="A11" i="3"/>
  <c r="CY11" i="3"/>
  <c r="CZ11" i="3"/>
  <c r="DA11" i="3"/>
  <c r="DB11" i="3"/>
  <c r="DC11" i="3"/>
  <c r="A12" i="3"/>
  <c r="CY12" i="3"/>
  <c r="CZ12" i="3"/>
  <c r="DB12" i="3" s="1"/>
  <c r="DA12" i="3"/>
  <c r="DC12" i="3"/>
  <c r="A13" i="3"/>
  <c r="CX13" i="3"/>
  <c r="CY13" i="3"/>
  <c r="CZ13" i="3"/>
  <c r="DA13" i="3"/>
  <c r="DB13" i="3"/>
  <c r="DC13" i="3"/>
  <c r="A14" i="3"/>
  <c r="CY14" i="3"/>
  <c r="CZ14" i="3"/>
  <c r="DB14" i="3" s="1"/>
  <c r="DA14" i="3"/>
  <c r="DC14" i="3"/>
  <c r="A15" i="3"/>
  <c r="CY15" i="3"/>
  <c r="CZ15" i="3"/>
  <c r="DB15" i="3" s="1"/>
  <c r="DA15" i="3"/>
  <c r="DC15" i="3"/>
  <c r="A16" i="3"/>
  <c r="CY16" i="3"/>
  <c r="CZ16" i="3"/>
  <c r="DB16" i="3" s="1"/>
  <c r="DA16" i="3"/>
  <c r="DC16" i="3"/>
  <c r="A17" i="3"/>
  <c r="CY17" i="3"/>
  <c r="CZ17" i="3"/>
  <c r="DA17" i="3"/>
  <c r="DB17" i="3"/>
  <c r="DC17" i="3"/>
  <c r="A18" i="3"/>
  <c r="CY18" i="3"/>
  <c r="CZ18" i="3"/>
  <c r="DA18" i="3"/>
  <c r="DB18" i="3"/>
  <c r="DC18" i="3"/>
  <c r="A19" i="3"/>
  <c r="CY19" i="3"/>
  <c r="CZ19" i="3"/>
  <c r="DA19" i="3"/>
  <c r="DB19" i="3"/>
  <c r="DC19" i="3"/>
  <c r="A20" i="3"/>
  <c r="CY20" i="3"/>
  <c r="CZ20" i="3"/>
  <c r="DA20" i="3"/>
  <c r="DB20" i="3"/>
  <c r="DC20" i="3"/>
  <c r="A21" i="3"/>
  <c r="CY21" i="3"/>
  <c r="CZ21" i="3"/>
  <c r="DA21" i="3"/>
  <c r="DB21" i="3"/>
  <c r="DC21" i="3"/>
  <c r="A22" i="3"/>
  <c r="CY22" i="3"/>
  <c r="CZ22" i="3"/>
  <c r="DB22" i="3" s="1"/>
  <c r="DA22" i="3"/>
  <c r="DC22" i="3"/>
  <c r="A23" i="3"/>
  <c r="CY23" i="3"/>
  <c r="CZ23" i="3"/>
  <c r="DB23" i="3" s="1"/>
  <c r="DA23" i="3"/>
  <c r="DC23" i="3"/>
  <c r="A24" i="3"/>
  <c r="CY24" i="3"/>
  <c r="CZ24" i="3"/>
  <c r="DB24" i="3" s="1"/>
  <c r="DA24" i="3"/>
  <c r="DC24" i="3"/>
  <c r="A25" i="3"/>
  <c r="CY25" i="3"/>
  <c r="CZ25" i="3"/>
  <c r="DA25" i="3"/>
  <c r="DB25" i="3"/>
  <c r="DC25" i="3"/>
  <c r="A26" i="3"/>
  <c r="CY26" i="3"/>
  <c r="CZ26" i="3"/>
  <c r="DB26" i="3" s="1"/>
  <c r="DA26" i="3"/>
  <c r="DC26" i="3"/>
  <c r="A27" i="3"/>
  <c r="CY27" i="3"/>
  <c r="CZ27" i="3"/>
  <c r="DA27" i="3"/>
  <c r="DB27" i="3"/>
  <c r="DC27" i="3"/>
  <c r="A28" i="3"/>
  <c r="CY28" i="3"/>
  <c r="CZ28" i="3"/>
  <c r="DA28" i="3"/>
  <c r="DB28" i="3"/>
  <c r="DC28" i="3"/>
  <c r="A29" i="3"/>
  <c r="CY29" i="3"/>
  <c r="CZ29" i="3"/>
  <c r="DA29" i="3"/>
  <c r="DB29" i="3"/>
  <c r="DC29" i="3"/>
  <c r="A30" i="3"/>
  <c r="CY30" i="3"/>
  <c r="CZ30" i="3"/>
  <c r="DB30" i="3" s="1"/>
  <c r="DA30" i="3"/>
  <c r="DC30" i="3"/>
  <c r="A31" i="3"/>
  <c r="CY31" i="3"/>
  <c r="CZ31" i="3"/>
  <c r="DB31" i="3" s="1"/>
  <c r="DA31" i="3"/>
  <c r="DC31" i="3"/>
  <c r="A32" i="3"/>
  <c r="CY32" i="3"/>
  <c r="CZ32" i="3"/>
  <c r="DB32" i="3" s="1"/>
  <c r="DA32" i="3"/>
  <c r="DC32" i="3"/>
  <c r="A33" i="3"/>
  <c r="CY33" i="3"/>
  <c r="CZ33" i="3"/>
  <c r="DA33" i="3"/>
  <c r="DB33" i="3"/>
  <c r="DC33" i="3"/>
  <c r="A34" i="3"/>
  <c r="CY34" i="3"/>
  <c r="CZ34" i="3"/>
  <c r="DB34" i="3" s="1"/>
  <c r="DA34" i="3"/>
  <c r="DC34" i="3"/>
  <c r="A35" i="3"/>
  <c r="CY35" i="3"/>
  <c r="CZ35" i="3"/>
  <c r="DA35" i="3"/>
  <c r="DB35" i="3"/>
  <c r="DC35" i="3"/>
  <c r="A36" i="3"/>
  <c r="CY36" i="3"/>
  <c r="CZ36" i="3"/>
  <c r="DA36" i="3"/>
  <c r="DB36" i="3"/>
  <c r="DC36" i="3"/>
  <c r="A37" i="3"/>
  <c r="CX37" i="3"/>
  <c r="CY37" i="3"/>
  <c r="CZ37" i="3"/>
  <c r="DA37" i="3"/>
  <c r="DB37" i="3"/>
  <c r="DC37" i="3"/>
  <c r="A38" i="3"/>
  <c r="CY38" i="3"/>
  <c r="CZ38" i="3"/>
  <c r="DB38" i="3" s="1"/>
  <c r="DA38" i="3"/>
  <c r="DC38" i="3"/>
  <c r="A39" i="3"/>
  <c r="CY39" i="3"/>
  <c r="CZ39" i="3"/>
  <c r="DB39" i="3" s="1"/>
  <c r="DA39" i="3"/>
  <c r="DC39" i="3"/>
  <c r="A40" i="3"/>
  <c r="CY40" i="3"/>
  <c r="CZ40" i="3"/>
  <c r="DB40" i="3" s="1"/>
  <c r="DA40" i="3"/>
  <c r="DC40" i="3"/>
  <c r="A41" i="3"/>
  <c r="CY41" i="3"/>
  <c r="CZ41" i="3"/>
  <c r="DA41" i="3"/>
  <c r="DB41" i="3"/>
  <c r="DC41" i="3"/>
  <c r="A42" i="3"/>
  <c r="CY42" i="3"/>
  <c r="CZ42" i="3"/>
  <c r="DB42" i="3" s="1"/>
  <c r="DA42" i="3"/>
  <c r="DC42" i="3"/>
  <c r="A43" i="3"/>
  <c r="CY43" i="3"/>
  <c r="CZ43" i="3"/>
  <c r="DA43" i="3"/>
  <c r="DB43" i="3"/>
  <c r="DC43" i="3"/>
  <c r="A44" i="3"/>
  <c r="CY44" i="3"/>
  <c r="CZ44" i="3"/>
  <c r="DA44" i="3"/>
  <c r="DB44" i="3"/>
  <c r="DC44" i="3"/>
  <c r="A45" i="3"/>
  <c r="CY45" i="3"/>
  <c r="CZ45" i="3"/>
  <c r="DA45" i="3"/>
  <c r="DB45" i="3"/>
  <c r="DC45" i="3"/>
  <c r="A46" i="3"/>
  <c r="CY46" i="3"/>
  <c r="CZ46" i="3"/>
  <c r="DB46" i="3" s="1"/>
  <c r="DA46" i="3"/>
  <c r="DC46" i="3"/>
  <c r="A47" i="3"/>
  <c r="CY47" i="3"/>
  <c r="CZ47" i="3"/>
  <c r="DB47" i="3" s="1"/>
  <c r="DA47" i="3"/>
  <c r="DC47" i="3"/>
  <c r="A48" i="3"/>
  <c r="CY48" i="3"/>
  <c r="CZ48" i="3"/>
  <c r="DB48" i="3" s="1"/>
  <c r="DA48" i="3"/>
  <c r="DC48" i="3"/>
  <c r="A49" i="3"/>
  <c r="CY49" i="3"/>
  <c r="CZ49" i="3"/>
  <c r="DA49" i="3"/>
  <c r="DB49" i="3"/>
  <c r="DC49" i="3"/>
  <c r="A50" i="3"/>
  <c r="CY50" i="3"/>
  <c r="CZ50" i="3"/>
  <c r="DB50" i="3" s="1"/>
  <c r="DA50" i="3"/>
  <c r="DC50" i="3"/>
  <c r="A51" i="3"/>
  <c r="CY51" i="3"/>
  <c r="CZ51" i="3"/>
  <c r="DA51" i="3"/>
  <c r="DB51" i="3"/>
  <c r="DC51" i="3"/>
  <c r="A52" i="3"/>
  <c r="CY52" i="3"/>
  <c r="CZ52" i="3"/>
  <c r="DA52" i="3"/>
  <c r="DB52" i="3"/>
  <c r="DC52" i="3"/>
  <c r="A53" i="3"/>
  <c r="CY53" i="3"/>
  <c r="CZ53" i="3"/>
  <c r="DA53" i="3"/>
  <c r="DB53" i="3"/>
  <c r="DC53" i="3"/>
  <c r="A54" i="3"/>
  <c r="CY54" i="3"/>
  <c r="CZ54" i="3"/>
  <c r="DB54" i="3" s="1"/>
  <c r="DA54" i="3"/>
  <c r="DC54" i="3"/>
  <c r="A55" i="3"/>
  <c r="CY55" i="3"/>
  <c r="CZ55" i="3"/>
  <c r="DB55" i="3" s="1"/>
  <c r="DA55" i="3"/>
  <c r="DC55" i="3"/>
  <c r="A56" i="3"/>
  <c r="CY56" i="3"/>
  <c r="CZ56" i="3"/>
  <c r="DB56" i="3" s="1"/>
  <c r="DA56" i="3"/>
  <c r="DC56" i="3"/>
  <c r="A57" i="3"/>
  <c r="CY57" i="3"/>
  <c r="CZ57" i="3"/>
  <c r="DA57" i="3"/>
  <c r="DB57" i="3"/>
  <c r="DC57" i="3"/>
  <c r="A58" i="3"/>
  <c r="CY58" i="3"/>
  <c r="CZ58" i="3"/>
  <c r="DB58" i="3" s="1"/>
  <c r="DA58" i="3"/>
  <c r="DC58" i="3"/>
  <c r="A59" i="3"/>
  <c r="CY59" i="3"/>
  <c r="CZ59" i="3"/>
  <c r="DA59" i="3"/>
  <c r="DB59" i="3"/>
  <c r="DC59" i="3"/>
  <c r="A60" i="3"/>
  <c r="CY60" i="3"/>
  <c r="CZ60" i="3"/>
  <c r="DA60" i="3"/>
  <c r="DB60" i="3"/>
  <c r="DC60" i="3"/>
  <c r="A61" i="3"/>
  <c r="CY61" i="3"/>
  <c r="CZ61" i="3"/>
  <c r="DA61" i="3"/>
  <c r="DB61" i="3"/>
  <c r="DC61" i="3"/>
  <c r="A62" i="3"/>
  <c r="CY62" i="3"/>
  <c r="CZ62" i="3"/>
  <c r="DB62" i="3" s="1"/>
  <c r="DA62" i="3"/>
  <c r="DC62" i="3"/>
  <c r="A63" i="3"/>
  <c r="CY63" i="3"/>
  <c r="CZ63" i="3"/>
  <c r="DB63" i="3" s="1"/>
  <c r="DA63" i="3"/>
  <c r="DC63" i="3"/>
  <c r="A64" i="3"/>
  <c r="CY64" i="3"/>
  <c r="CZ64" i="3"/>
  <c r="DB64" i="3" s="1"/>
  <c r="DA64" i="3"/>
  <c r="DC64" i="3"/>
  <c r="A65" i="3"/>
  <c r="CY65" i="3"/>
  <c r="CZ65" i="3"/>
  <c r="DA65" i="3"/>
  <c r="DB65" i="3"/>
  <c r="DC65" i="3"/>
  <c r="A66" i="3"/>
  <c r="CY66" i="3"/>
  <c r="CZ66" i="3"/>
  <c r="DB66" i="3" s="1"/>
  <c r="DA66" i="3"/>
  <c r="DC66" i="3"/>
  <c r="A67" i="3"/>
  <c r="CY67" i="3"/>
  <c r="CZ67" i="3"/>
  <c r="DA67" i="3"/>
  <c r="DB67" i="3"/>
  <c r="DC67" i="3"/>
  <c r="A68" i="3"/>
  <c r="CY68" i="3"/>
  <c r="CZ68" i="3"/>
  <c r="DA68" i="3"/>
  <c r="DB68" i="3"/>
  <c r="DC68" i="3"/>
  <c r="A69" i="3"/>
  <c r="CY69" i="3"/>
  <c r="CZ69" i="3"/>
  <c r="DA69" i="3"/>
  <c r="DB69" i="3"/>
  <c r="DC69" i="3"/>
  <c r="A70" i="3"/>
  <c r="CY70" i="3"/>
  <c r="CZ70" i="3"/>
  <c r="DB70" i="3" s="1"/>
  <c r="DA70" i="3"/>
  <c r="DC70" i="3"/>
  <c r="A71" i="3"/>
  <c r="CY71" i="3"/>
  <c r="CZ71" i="3"/>
  <c r="DB71" i="3" s="1"/>
  <c r="DA71" i="3"/>
  <c r="DC71" i="3"/>
  <c r="A72" i="3"/>
  <c r="CY72" i="3"/>
  <c r="CZ72" i="3"/>
  <c r="DB72" i="3" s="1"/>
  <c r="DA72" i="3"/>
  <c r="DC72" i="3"/>
  <c r="A73" i="3"/>
  <c r="CY73" i="3"/>
  <c r="CZ73" i="3"/>
  <c r="DA73" i="3"/>
  <c r="DB73" i="3"/>
  <c r="DC73" i="3"/>
  <c r="A74" i="3"/>
  <c r="CY74" i="3"/>
  <c r="CZ74" i="3"/>
  <c r="DB74" i="3" s="1"/>
  <c r="DA74" i="3"/>
  <c r="DC74" i="3"/>
  <c r="A75" i="3"/>
  <c r="CY75" i="3"/>
  <c r="CZ75" i="3"/>
  <c r="DA75" i="3"/>
  <c r="DB75" i="3"/>
  <c r="DC75" i="3"/>
  <c r="A76" i="3"/>
  <c r="CY76" i="3"/>
  <c r="CZ76" i="3"/>
  <c r="DA76" i="3"/>
  <c r="DB76" i="3"/>
  <c r="DC76" i="3"/>
  <c r="A77" i="3"/>
  <c r="CY77" i="3"/>
  <c r="CZ77" i="3"/>
  <c r="DA77" i="3"/>
  <c r="DB77" i="3"/>
  <c r="DC77" i="3"/>
  <c r="A78" i="3"/>
  <c r="CY78" i="3"/>
  <c r="CZ78" i="3"/>
  <c r="DB78" i="3" s="1"/>
  <c r="DA78" i="3"/>
  <c r="DC78" i="3"/>
  <c r="A79" i="3"/>
  <c r="CY79" i="3"/>
  <c r="CZ79" i="3"/>
  <c r="DB79" i="3" s="1"/>
  <c r="DA79" i="3"/>
  <c r="DC79" i="3"/>
  <c r="A80" i="3"/>
  <c r="CY80" i="3"/>
  <c r="CZ80" i="3"/>
  <c r="DB80" i="3" s="1"/>
  <c r="DA80" i="3"/>
  <c r="DC80" i="3"/>
  <c r="A81" i="3"/>
  <c r="CY81" i="3"/>
  <c r="CZ81" i="3"/>
  <c r="DA81" i="3"/>
  <c r="DB81" i="3"/>
  <c r="DC81" i="3"/>
  <c r="A82" i="3"/>
  <c r="CY82" i="3"/>
  <c r="CZ82" i="3"/>
  <c r="DB82" i="3" s="1"/>
  <c r="DA82" i="3"/>
  <c r="DC82" i="3"/>
  <c r="A83" i="3"/>
  <c r="CY83" i="3"/>
  <c r="CZ83" i="3"/>
  <c r="DB83" i="3" s="1"/>
  <c r="DA83" i="3"/>
  <c r="DC83" i="3"/>
  <c r="A84" i="3"/>
  <c r="CY84" i="3"/>
  <c r="CZ84" i="3"/>
  <c r="DA84" i="3"/>
  <c r="DB84" i="3"/>
  <c r="DC84" i="3"/>
  <c r="A85" i="3"/>
  <c r="CY85" i="3"/>
  <c r="CZ85" i="3"/>
  <c r="DA85" i="3"/>
  <c r="DB85" i="3"/>
  <c r="DC85" i="3"/>
  <c r="A86" i="3"/>
  <c r="CY86" i="3"/>
  <c r="CZ86" i="3"/>
  <c r="DB86" i="3" s="1"/>
  <c r="DA86" i="3"/>
  <c r="DC86" i="3"/>
  <c r="A87" i="3"/>
  <c r="CY87" i="3"/>
  <c r="CZ87" i="3"/>
  <c r="DB87" i="3" s="1"/>
  <c r="DA87" i="3"/>
  <c r="DC87" i="3"/>
  <c r="A88" i="3"/>
  <c r="CY88" i="3"/>
  <c r="CZ88" i="3"/>
  <c r="DB88" i="3" s="1"/>
  <c r="DA88" i="3"/>
  <c r="DC88" i="3"/>
  <c r="A89" i="3"/>
  <c r="CY89" i="3"/>
  <c r="CZ89" i="3"/>
  <c r="DA89" i="3"/>
  <c r="DB89" i="3"/>
  <c r="DC89" i="3"/>
  <c r="A90" i="3"/>
  <c r="CY90" i="3"/>
  <c r="CZ90" i="3"/>
  <c r="DB90" i="3" s="1"/>
  <c r="DA90" i="3"/>
  <c r="DC90" i="3"/>
  <c r="A91" i="3"/>
  <c r="CY91" i="3"/>
  <c r="CZ91" i="3"/>
  <c r="DB91" i="3" s="1"/>
  <c r="DA91" i="3"/>
  <c r="DC91" i="3"/>
  <c r="A92" i="3"/>
  <c r="CY92" i="3"/>
  <c r="CZ92" i="3"/>
  <c r="DA92" i="3"/>
  <c r="DB92" i="3"/>
  <c r="DC92" i="3"/>
  <c r="A93" i="3"/>
  <c r="CY93" i="3"/>
  <c r="CZ93" i="3"/>
  <c r="DA93" i="3"/>
  <c r="DB93" i="3"/>
  <c r="DC93" i="3"/>
  <c r="A94" i="3"/>
  <c r="CX94" i="3"/>
  <c r="CY94" i="3"/>
  <c r="CZ94" i="3"/>
  <c r="DA94" i="3"/>
  <c r="DB94" i="3"/>
  <c r="DC94" i="3"/>
  <c r="A95" i="3"/>
  <c r="CX95" i="3"/>
  <c r="CY95" i="3"/>
  <c r="CZ95" i="3"/>
  <c r="DB95" i="3" s="1"/>
  <c r="DA95" i="3"/>
  <c r="DC95" i="3"/>
  <c r="A96" i="3"/>
  <c r="CX96" i="3"/>
  <c r="CY96" i="3"/>
  <c r="CZ96" i="3"/>
  <c r="DB96" i="3" s="1"/>
  <c r="DA96" i="3"/>
  <c r="DC96" i="3"/>
  <c r="A97" i="3"/>
  <c r="CY97" i="3"/>
  <c r="CZ97" i="3"/>
  <c r="DA97" i="3"/>
  <c r="DB97" i="3"/>
  <c r="DC97" i="3"/>
  <c r="A98" i="3"/>
  <c r="CY98" i="3"/>
  <c r="CZ98" i="3"/>
  <c r="DB98" i="3" s="1"/>
  <c r="DA98" i="3"/>
  <c r="DC98" i="3"/>
  <c r="A99" i="3"/>
  <c r="CY99" i="3"/>
  <c r="CZ99" i="3"/>
  <c r="DB99" i="3" s="1"/>
  <c r="DA99" i="3"/>
  <c r="DC99" i="3"/>
  <c r="A100" i="3"/>
  <c r="CY100" i="3"/>
  <c r="CZ100" i="3"/>
  <c r="DA100" i="3"/>
  <c r="DB100" i="3"/>
  <c r="DC100" i="3"/>
  <c r="A101" i="3"/>
  <c r="CY101" i="3"/>
  <c r="CZ101" i="3"/>
  <c r="DA101" i="3"/>
  <c r="DB101" i="3"/>
  <c r="DC101" i="3"/>
  <c r="A102" i="3"/>
  <c r="CY102" i="3"/>
  <c r="CZ102" i="3"/>
  <c r="DA102" i="3"/>
  <c r="DB102" i="3"/>
  <c r="DC102" i="3"/>
  <c r="A103" i="3"/>
  <c r="CY103" i="3"/>
  <c r="CZ103" i="3"/>
  <c r="DB103" i="3" s="1"/>
  <c r="DA103" i="3"/>
  <c r="DC103" i="3"/>
  <c r="A104" i="3"/>
  <c r="CY104" i="3"/>
  <c r="CZ104" i="3"/>
  <c r="DB104" i="3" s="1"/>
  <c r="DA104" i="3"/>
  <c r="DC104" i="3"/>
  <c r="A105" i="3"/>
  <c r="CY105" i="3"/>
  <c r="CZ105" i="3"/>
  <c r="DA105" i="3"/>
  <c r="DB105" i="3"/>
  <c r="DC105" i="3"/>
  <c r="A106" i="3"/>
  <c r="CX106" i="3"/>
  <c r="CY106" i="3"/>
  <c r="CZ106" i="3"/>
  <c r="DB106" i="3" s="1"/>
  <c r="DA106" i="3"/>
  <c r="DC106" i="3"/>
  <c r="A107" i="3"/>
  <c r="CX107" i="3"/>
  <c r="CY107" i="3"/>
  <c r="CZ107" i="3"/>
  <c r="DB107" i="3" s="1"/>
  <c r="DA107" i="3"/>
  <c r="DC107" i="3"/>
  <c r="A108" i="3"/>
  <c r="CX108" i="3"/>
  <c r="CY108" i="3"/>
  <c r="CZ108" i="3"/>
  <c r="DA108" i="3"/>
  <c r="DB108" i="3"/>
  <c r="DC108" i="3"/>
  <c r="A109" i="3"/>
  <c r="CX109" i="3"/>
  <c r="CY109" i="3"/>
  <c r="CZ109" i="3"/>
  <c r="DA109" i="3"/>
  <c r="DB109" i="3"/>
  <c r="DC109" i="3"/>
  <c r="A110" i="3"/>
  <c r="CX110" i="3"/>
  <c r="CY110" i="3"/>
  <c r="CZ110" i="3"/>
  <c r="DA110" i="3"/>
  <c r="DB110" i="3"/>
  <c r="DC110" i="3"/>
  <c r="A111" i="3"/>
  <c r="CX111" i="3"/>
  <c r="CY111" i="3"/>
  <c r="CZ111" i="3"/>
  <c r="DB111" i="3" s="1"/>
  <c r="DA111" i="3"/>
  <c r="DC111" i="3"/>
  <c r="A112" i="3"/>
  <c r="CX112" i="3"/>
  <c r="CY112" i="3"/>
  <c r="CZ112" i="3"/>
  <c r="DB112" i="3" s="1"/>
  <c r="DA112" i="3"/>
  <c r="DC112" i="3"/>
  <c r="A113" i="3"/>
  <c r="CX113" i="3"/>
  <c r="CY113" i="3"/>
  <c r="CZ113" i="3"/>
  <c r="DA113" i="3"/>
  <c r="DB113" i="3"/>
  <c r="DC113" i="3"/>
  <c r="A114" i="3"/>
  <c r="CX114" i="3"/>
  <c r="CY114" i="3"/>
  <c r="CZ114" i="3"/>
  <c r="DB114" i="3" s="1"/>
  <c r="DA114" i="3"/>
  <c r="DC114" i="3"/>
  <c r="A115" i="3"/>
  <c r="CX115" i="3"/>
  <c r="CY115" i="3"/>
  <c r="CZ115" i="3"/>
  <c r="DB115" i="3" s="1"/>
  <c r="DA115" i="3"/>
  <c r="DC115" i="3"/>
  <c r="A116" i="3"/>
  <c r="CY116" i="3"/>
  <c r="CZ116" i="3"/>
  <c r="DA116" i="3"/>
  <c r="DB116" i="3"/>
  <c r="DC116" i="3"/>
  <c r="A117" i="3"/>
  <c r="CY117" i="3"/>
  <c r="CZ117" i="3"/>
  <c r="DA117" i="3"/>
  <c r="DB117" i="3"/>
  <c r="DC117" i="3"/>
  <c r="A118" i="3"/>
  <c r="CY118" i="3"/>
  <c r="CZ118" i="3"/>
  <c r="DA118" i="3"/>
  <c r="DB118" i="3"/>
  <c r="DC118" i="3"/>
  <c r="A119" i="3"/>
  <c r="CY119" i="3"/>
  <c r="CZ119" i="3"/>
  <c r="DB119" i="3" s="1"/>
  <c r="DA119" i="3"/>
  <c r="DC119" i="3"/>
  <c r="A120" i="3"/>
  <c r="CY120" i="3"/>
  <c r="CZ120" i="3"/>
  <c r="DB120" i="3" s="1"/>
  <c r="DA120" i="3"/>
  <c r="DC120" i="3"/>
  <c r="A121" i="3"/>
  <c r="CY121" i="3"/>
  <c r="CZ121" i="3"/>
  <c r="DA121" i="3"/>
  <c r="DB121" i="3"/>
  <c r="DC121" i="3"/>
  <c r="A122" i="3"/>
  <c r="CY122" i="3"/>
  <c r="CZ122" i="3"/>
  <c r="DB122" i="3" s="1"/>
  <c r="DA122" i="3"/>
  <c r="DC122" i="3"/>
  <c r="A123" i="3"/>
  <c r="CY123" i="3"/>
  <c r="CZ123" i="3"/>
  <c r="DB123" i="3" s="1"/>
  <c r="DA123" i="3"/>
  <c r="DC123" i="3"/>
  <c r="A124" i="3"/>
  <c r="CY124" i="3"/>
  <c r="CZ124" i="3"/>
  <c r="DA124" i="3"/>
  <c r="DB124" i="3"/>
  <c r="DC124" i="3"/>
  <c r="A125" i="3"/>
  <c r="CY125" i="3"/>
  <c r="CZ125" i="3"/>
  <c r="DA125" i="3"/>
  <c r="DB125" i="3"/>
  <c r="DC125" i="3"/>
  <c r="A126" i="3"/>
  <c r="CY126" i="3"/>
  <c r="CZ126" i="3"/>
  <c r="DA126" i="3"/>
  <c r="DB126" i="3"/>
  <c r="DC126" i="3"/>
  <c r="A127" i="3"/>
  <c r="CY127" i="3"/>
  <c r="CZ127" i="3"/>
  <c r="DB127" i="3" s="1"/>
  <c r="DA127" i="3"/>
  <c r="DC127" i="3"/>
  <c r="A128" i="3"/>
  <c r="CY128" i="3"/>
  <c r="CZ128" i="3"/>
  <c r="DB128" i="3" s="1"/>
  <c r="DA128" i="3"/>
  <c r="DC128" i="3"/>
  <c r="A129" i="3"/>
  <c r="CY129" i="3"/>
  <c r="CZ129" i="3"/>
  <c r="DA129" i="3"/>
  <c r="DB129" i="3"/>
  <c r="DC129" i="3"/>
  <c r="A130" i="3"/>
  <c r="CY130" i="3"/>
  <c r="CZ130" i="3"/>
  <c r="DB130" i="3" s="1"/>
  <c r="DA130" i="3"/>
  <c r="DC130" i="3"/>
  <c r="A131" i="3"/>
  <c r="CY131" i="3"/>
  <c r="CZ131" i="3"/>
  <c r="DB131" i="3" s="1"/>
  <c r="DA131" i="3"/>
  <c r="DC131" i="3"/>
  <c r="A132" i="3"/>
  <c r="CX132" i="3"/>
  <c r="CY132" i="3"/>
  <c r="CZ132" i="3"/>
  <c r="DA132" i="3"/>
  <c r="DB132" i="3"/>
  <c r="DC132" i="3"/>
  <c r="A133" i="3"/>
  <c r="CX133" i="3"/>
  <c r="CY133" i="3"/>
  <c r="CZ133" i="3"/>
  <c r="DA133" i="3"/>
  <c r="DB133" i="3"/>
  <c r="DC133" i="3"/>
  <c r="A134" i="3"/>
  <c r="CX134" i="3"/>
  <c r="CY134" i="3"/>
  <c r="CZ134" i="3"/>
  <c r="DA134" i="3"/>
  <c r="DB134" i="3"/>
  <c r="DC134" i="3"/>
  <c r="A135" i="3"/>
  <c r="CX135" i="3"/>
  <c r="CY135" i="3"/>
  <c r="CZ135" i="3"/>
  <c r="DB135" i="3" s="1"/>
  <c r="DA135" i="3"/>
  <c r="DC135" i="3"/>
  <c r="A136" i="3"/>
  <c r="CX136" i="3"/>
  <c r="CY136" i="3"/>
  <c r="CZ136" i="3"/>
  <c r="DB136" i="3" s="1"/>
  <c r="DA136" i="3"/>
  <c r="DC136" i="3"/>
  <c r="A137" i="3"/>
  <c r="CX137" i="3"/>
  <c r="CY137" i="3"/>
  <c r="CZ137" i="3"/>
  <c r="DA137" i="3"/>
  <c r="DB137" i="3"/>
  <c r="DC137" i="3"/>
  <c r="A138" i="3"/>
  <c r="CX138" i="3"/>
  <c r="CY138" i="3"/>
  <c r="CZ138" i="3"/>
  <c r="DB138" i="3" s="1"/>
  <c r="DA138" i="3"/>
  <c r="DC138" i="3"/>
  <c r="A139" i="3"/>
  <c r="CX139" i="3"/>
  <c r="CY139" i="3"/>
  <c r="CZ139" i="3"/>
  <c r="DB139" i="3" s="1"/>
  <c r="DA139" i="3"/>
  <c r="DC139" i="3"/>
  <c r="A140" i="3"/>
  <c r="CY140" i="3"/>
  <c r="CZ140" i="3"/>
  <c r="DA140" i="3"/>
  <c r="DB140" i="3"/>
  <c r="DC140" i="3"/>
  <c r="A141" i="3"/>
  <c r="CY141" i="3"/>
  <c r="CZ141" i="3"/>
  <c r="DA141" i="3"/>
  <c r="DB141" i="3"/>
  <c r="DC141" i="3"/>
  <c r="A142" i="3"/>
  <c r="CY142" i="3"/>
  <c r="CZ142" i="3"/>
  <c r="DA142" i="3"/>
  <c r="DB142" i="3"/>
  <c r="DC142" i="3"/>
  <c r="A143" i="3"/>
  <c r="CY143" i="3"/>
  <c r="CZ143" i="3"/>
  <c r="DB143" i="3" s="1"/>
  <c r="DA143" i="3"/>
  <c r="DC143" i="3"/>
  <c r="A144" i="3"/>
  <c r="CY144" i="3"/>
  <c r="CZ144" i="3"/>
  <c r="DB144" i="3" s="1"/>
  <c r="DA144" i="3"/>
  <c r="DC144" i="3"/>
  <c r="A145" i="3"/>
  <c r="CY145" i="3"/>
  <c r="CZ145" i="3"/>
  <c r="DA145" i="3"/>
  <c r="DB145" i="3"/>
  <c r="DC145" i="3"/>
  <c r="A146" i="3"/>
  <c r="CY146" i="3"/>
  <c r="CZ146" i="3"/>
  <c r="DB146" i="3" s="1"/>
  <c r="DA146" i="3"/>
  <c r="DC146" i="3"/>
  <c r="A147" i="3"/>
  <c r="CY147" i="3"/>
  <c r="CZ147" i="3"/>
  <c r="DB147" i="3" s="1"/>
  <c r="DA147" i="3"/>
  <c r="DC147" i="3"/>
  <c r="A148" i="3"/>
  <c r="CY148" i="3"/>
  <c r="CZ148" i="3"/>
  <c r="DA148" i="3"/>
  <c r="DB148" i="3"/>
  <c r="DC148" i="3"/>
  <c r="A149" i="3"/>
  <c r="CY149" i="3"/>
  <c r="CZ149" i="3"/>
  <c r="DA149" i="3"/>
  <c r="DB149" i="3"/>
  <c r="DC149" i="3"/>
  <c r="A150" i="3"/>
  <c r="CY150" i="3"/>
  <c r="CZ150" i="3"/>
  <c r="DA150" i="3"/>
  <c r="DB150" i="3"/>
  <c r="DC150" i="3"/>
  <c r="A151" i="3"/>
  <c r="CY151" i="3"/>
  <c r="CZ151" i="3"/>
  <c r="DB151" i="3" s="1"/>
  <c r="DA151" i="3"/>
  <c r="DC151" i="3"/>
  <c r="A152" i="3"/>
  <c r="CY152" i="3"/>
  <c r="CZ152" i="3"/>
  <c r="DB152" i="3" s="1"/>
  <c r="DA152" i="3"/>
  <c r="DC152" i="3"/>
  <c r="A153" i="3"/>
  <c r="CY153" i="3"/>
  <c r="CZ153" i="3"/>
  <c r="DA153" i="3"/>
  <c r="DB153" i="3"/>
  <c r="DC153" i="3"/>
  <c r="A154" i="3"/>
  <c r="CY154" i="3"/>
  <c r="CZ154" i="3"/>
  <c r="DB154" i="3" s="1"/>
  <c r="DA154" i="3"/>
  <c r="DC154" i="3"/>
  <c r="A155" i="3"/>
  <c r="CY155" i="3"/>
  <c r="CZ155" i="3"/>
  <c r="DB155" i="3" s="1"/>
  <c r="DA155" i="3"/>
  <c r="DC155" i="3"/>
  <c r="A156" i="3"/>
  <c r="CY156" i="3"/>
  <c r="CZ156" i="3"/>
  <c r="DA156" i="3"/>
  <c r="DB156" i="3"/>
  <c r="DC156" i="3"/>
  <c r="A157" i="3"/>
  <c r="CY157" i="3"/>
  <c r="CZ157" i="3"/>
  <c r="DA157" i="3"/>
  <c r="DB157" i="3"/>
  <c r="DC157" i="3"/>
  <c r="A158" i="3"/>
  <c r="CY158" i="3"/>
  <c r="CZ158" i="3"/>
  <c r="DA158" i="3"/>
  <c r="DB158" i="3"/>
  <c r="DC158" i="3"/>
  <c r="A159" i="3"/>
  <c r="CY159" i="3"/>
  <c r="CZ159" i="3"/>
  <c r="DB159" i="3" s="1"/>
  <c r="DA159" i="3"/>
  <c r="DC159" i="3"/>
  <c r="A160" i="3"/>
  <c r="CY160" i="3"/>
  <c r="CZ160" i="3"/>
  <c r="DB160" i="3" s="1"/>
  <c r="DA160" i="3"/>
  <c r="DC160" i="3"/>
  <c r="A161" i="3"/>
  <c r="CY161" i="3"/>
  <c r="CZ161" i="3"/>
  <c r="DA161" i="3"/>
  <c r="DB161" i="3"/>
  <c r="DC161" i="3"/>
  <c r="A162" i="3"/>
  <c r="CY162" i="3"/>
  <c r="CZ162" i="3"/>
  <c r="DB162" i="3" s="1"/>
  <c r="DA162" i="3"/>
  <c r="DC162" i="3"/>
  <c r="A163" i="3"/>
  <c r="CY163" i="3"/>
  <c r="CZ163" i="3"/>
  <c r="DB163" i="3" s="1"/>
  <c r="DA163" i="3"/>
  <c r="DC163" i="3"/>
  <c r="A164" i="3"/>
  <c r="CY164" i="3"/>
  <c r="CZ164" i="3"/>
  <c r="DA164" i="3"/>
  <c r="DB164" i="3"/>
  <c r="DC164" i="3"/>
  <c r="A165" i="3"/>
  <c r="CY165" i="3"/>
  <c r="CZ165" i="3"/>
  <c r="DA165" i="3"/>
  <c r="DB165" i="3"/>
  <c r="DC165" i="3"/>
  <c r="A166" i="3"/>
  <c r="CY166" i="3"/>
  <c r="CZ166" i="3"/>
  <c r="DA166" i="3"/>
  <c r="DB166" i="3"/>
  <c r="DC166" i="3"/>
  <c r="A167" i="3"/>
  <c r="CY167" i="3"/>
  <c r="CZ167" i="3"/>
  <c r="DB167" i="3" s="1"/>
  <c r="DA167" i="3"/>
  <c r="DC167" i="3"/>
  <c r="A168" i="3"/>
  <c r="CY168" i="3"/>
  <c r="CZ168" i="3"/>
  <c r="DB168" i="3" s="1"/>
  <c r="DA168" i="3"/>
  <c r="DC168" i="3"/>
  <c r="A169" i="3"/>
  <c r="CY169" i="3"/>
  <c r="CZ169" i="3"/>
  <c r="DA169" i="3"/>
  <c r="DB169" i="3"/>
  <c r="DC169" i="3"/>
  <c r="A170" i="3"/>
  <c r="CY170" i="3"/>
  <c r="CZ170" i="3"/>
  <c r="DB170" i="3" s="1"/>
  <c r="DA170" i="3"/>
  <c r="DC170" i="3"/>
  <c r="A171" i="3"/>
  <c r="CY171" i="3"/>
  <c r="CZ171" i="3"/>
  <c r="DB171" i="3" s="1"/>
  <c r="DA171" i="3"/>
  <c r="DC171" i="3"/>
  <c r="A172" i="3"/>
  <c r="CY172" i="3"/>
  <c r="CZ172" i="3"/>
  <c r="DA172" i="3"/>
  <c r="DB172" i="3"/>
  <c r="DC172" i="3"/>
  <c r="A173" i="3"/>
  <c r="CY173" i="3"/>
  <c r="CZ173" i="3"/>
  <c r="DA173" i="3"/>
  <c r="DB173" i="3"/>
  <c r="DC173" i="3"/>
  <c r="A174" i="3"/>
  <c r="CY174" i="3"/>
  <c r="CZ174" i="3"/>
  <c r="DA174" i="3"/>
  <c r="DB174" i="3"/>
  <c r="DC174" i="3"/>
  <c r="A175" i="3"/>
  <c r="CY175" i="3"/>
  <c r="CZ175" i="3"/>
  <c r="DB175" i="3" s="1"/>
  <c r="DA175" i="3"/>
  <c r="DC175" i="3"/>
  <c r="A176" i="3"/>
  <c r="CY176" i="3"/>
  <c r="CZ176" i="3"/>
  <c r="DB176" i="3" s="1"/>
  <c r="DA176" i="3"/>
  <c r="DC176" i="3"/>
  <c r="A177" i="3"/>
  <c r="CY177" i="3"/>
  <c r="CZ177" i="3"/>
  <c r="DA177" i="3"/>
  <c r="DB177" i="3"/>
  <c r="DC177" i="3"/>
  <c r="A178" i="3"/>
  <c r="CY178" i="3"/>
  <c r="CZ178" i="3"/>
  <c r="DB178" i="3" s="1"/>
  <c r="DA178" i="3"/>
  <c r="DC178" i="3"/>
  <c r="A179" i="3"/>
  <c r="CY179" i="3"/>
  <c r="CZ179" i="3"/>
  <c r="DB179" i="3" s="1"/>
  <c r="DA179" i="3"/>
  <c r="DC179" i="3"/>
  <c r="A180" i="3"/>
  <c r="CY180" i="3"/>
  <c r="CZ180" i="3"/>
  <c r="DA180" i="3"/>
  <c r="DB180" i="3"/>
  <c r="DC180" i="3"/>
  <c r="A181" i="3"/>
  <c r="CY181" i="3"/>
  <c r="CZ181" i="3"/>
  <c r="DA181" i="3"/>
  <c r="DB181" i="3"/>
  <c r="DC181" i="3"/>
  <c r="A182" i="3"/>
  <c r="CY182" i="3"/>
  <c r="CZ182" i="3"/>
  <c r="DA182" i="3"/>
  <c r="DB182" i="3"/>
  <c r="DC182" i="3"/>
  <c r="A183" i="3"/>
  <c r="CX183" i="3"/>
  <c r="CY183" i="3"/>
  <c r="CZ183" i="3"/>
  <c r="DB183" i="3" s="1"/>
  <c r="DA183" i="3"/>
  <c r="DC183" i="3"/>
  <c r="A184" i="3"/>
  <c r="CX184" i="3"/>
  <c r="CY184" i="3"/>
  <c r="CZ184" i="3"/>
  <c r="DB184" i="3" s="1"/>
  <c r="DA184" i="3"/>
  <c r="DC184" i="3"/>
  <c r="A185" i="3"/>
  <c r="CX185" i="3"/>
  <c r="CY185" i="3"/>
  <c r="CZ185" i="3"/>
  <c r="DA185" i="3"/>
  <c r="DB185" i="3"/>
  <c r="DC185" i="3"/>
  <c r="A186" i="3"/>
  <c r="CX186" i="3"/>
  <c r="CY186" i="3"/>
  <c r="CZ186" i="3"/>
  <c r="DB186" i="3" s="1"/>
  <c r="DA186" i="3"/>
  <c r="DC186" i="3"/>
  <c r="A187" i="3"/>
  <c r="CX187" i="3"/>
  <c r="CY187" i="3"/>
  <c r="CZ187" i="3"/>
  <c r="DB187" i="3" s="1"/>
  <c r="DA187" i="3"/>
  <c r="DC187" i="3"/>
  <c r="A188" i="3"/>
  <c r="CX188" i="3"/>
  <c r="CY188" i="3"/>
  <c r="CZ188" i="3"/>
  <c r="DA188" i="3"/>
  <c r="DB188" i="3"/>
  <c r="DC188" i="3"/>
  <c r="A189" i="3"/>
  <c r="CX189" i="3"/>
  <c r="CY189" i="3"/>
  <c r="CZ189" i="3"/>
  <c r="DA189" i="3"/>
  <c r="DB189" i="3"/>
  <c r="DC189" i="3"/>
  <c r="A190" i="3"/>
  <c r="CX190" i="3"/>
  <c r="CY190" i="3"/>
  <c r="CZ190" i="3"/>
  <c r="DA190" i="3"/>
  <c r="DB190" i="3"/>
  <c r="DC190" i="3"/>
  <c r="A191" i="3"/>
  <c r="CX191" i="3"/>
  <c r="CY191" i="3"/>
  <c r="CZ191" i="3"/>
  <c r="DB191" i="3" s="1"/>
  <c r="DA191" i="3"/>
  <c r="DC191" i="3"/>
  <c r="A192" i="3"/>
  <c r="CX192" i="3"/>
  <c r="CY192" i="3"/>
  <c r="CZ192" i="3"/>
  <c r="DB192" i="3" s="1"/>
  <c r="DA192" i="3"/>
  <c r="DC192" i="3"/>
  <c r="A193" i="3"/>
  <c r="CX193" i="3"/>
  <c r="CY193" i="3"/>
  <c r="CZ193" i="3"/>
  <c r="DA193" i="3"/>
  <c r="DB193" i="3"/>
  <c r="DC193" i="3"/>
  <c r="A194" i="3"/>
  <c r="CX194" i="3"/>
  <c r="CY194" i="3"/>
  <c r="CZ194" i="3"/>
  <c r="DB194" i="3" s="1"/>
  <c r="DA194" i="3"/>
  <c r="DC194" i="3"/>
  <c r="A195" i="3"/>
  <c r="CY195" i="3"/>
  <c r="CZ195" i="3"/>
  <c r="DB195" i="3" s="1"/>
  <c r="DA195" i="3"/>
  <c r="DC195" i="3"/>
  <c r="A196" i="3"/>
  <c r="CY196" i="3"/>
  <c r="CZ196" i="3"/>
  <c r="DA196" i="3"/>
  <c r="DB196" i="3"/>
  <c r="DC196" i="3"/>
  <c r="A197" i="3"/>
  <c r="CY197" i="3"/>
  <c r="CZ197" i="3"/>
  <c r="DA197" i="3"/>
  <c r="DB197" i="3"/>
  <c r="DC197" i="3"/>
  <c r="A198" i="3"/>
  <c r="CY198" i="3"/>
  <c r="CZ198" i="3"/>
  <c r="DA198" i="3"/>
  <c r="DB198" i="3"/>
  <c r="DC198" i="3"/>
  <c r="A199" i="3"/>
  <c r="CY199" i="3"/>
  <c r="CZ199" i="3"/>
  <c r="DB199" i="3" s="1"/>
  <c r="DA199" i="3"/>
  <c r="DC199" i="3"/>
  <c r="A200" i="3"/>
  <c r="CY200" i="3"/>
  <c r="CZ200" i="3"/>
  <c r="DB200" i="3" s="1"/>
  <c r="DA200" i="3"/>
  <c r="DC200" i="3"/>
  <c r="A201" i="3"/>
  <c r="CY201" i="3"/>
  <c r="CZ201" i="3"/>
  <c r="DA201" i="3"/>
  <c r="DB201" i="3"/>
  <c r="DC201" i="3"/>
  <c r="A202" i="3"/>
  <c r="CY202" i="3"/>
  <c r="CZ202" i="3"/>
  <c r="DB202" i="3" s="1"/>
  <c r="DA202" i="3"/>
  <c r="DC202" i="3"/>
  <c r="A203" i="3"/>
  <c r="CY203" i="3"/>
  <c r="CZ203" i="3"/>
  <c r="DB203" i="3" s="1"/>
  <c r="DA203" i="3"/>
  <c r="DC203" i="3"/>
  <c r="A204" i="3"/>
  <c r="CY204" i="3"/>
  <c r="CZ204" i="3"/>
  <c r="DA204" i="3"/>
  <c r="DB204" i="3"/>
  <c r="DC204" i="3"/>
  <c r="A205" i="3"/>
  <c r="CY205" i="3"/>
  <c r="CZ205" i="3"/>
  <c r="DA205" i="3"/>
  <c r="DB205" i="3"/>
  <c r="DC205" i="3"/>
  <c r="A206" i="3"/>
  <c r="CY206" i="3"/>
  <c r="CZ206" i="3"/>
  <c r="DA206" i="3"/>
  <c r="DB206" i="3"/>
  <c r="DC206" i="3"/>
  <c r="A207" i="3"/>
  <c r="CY207" i="3"/>
  <c r="CZ207" i="3"/>
  <c r="DB207" i="3" s="1"/>
  <c r="DA207" i="3"/>
  <c r="DC207" i="3"/>
  <c r="A208" i="3"/>
  <c r="CY208" i="3"/>
  <c r="CZ208" i="3"/>
  <c r="DB208" i="3" s="1"/>
  <c r="DA208" i="3"/>
  <c r="DC208" i="3"/>
  <c r="A209" i="3"/>
  <c r="CY209" i="3"/>
  <c r="CZ209" i="3"/>
  <c r="DA209" i="3"/>
  <c r="DB209" i="3"/>
  <c r="DC209" i="3"/>
  <c r="A210" i="3"/>
  <c r="CY210" i="3"/>
  <c r="CZ210" i="3"/>
  <c r="DB210" i="3" s="1"/>
  <c r="DA210" i="3"/>
  <c r="DC210" i="3"/>
  <c r="A211" i="3"/>
  <c r="CY211" i="3"/>
  <c r="CZ211" i="3"/>
  <c r="DB211" i="3" s="1"/>
  <c r="DA211" i="3"/>
  <c r="DC211" i="3"/>
  <c r="D12" i="1"/>
  <c r="E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BE18" i="1"/>
  <c r="BF18" i="1"/>
  <c r="BG18" i="1"/>
  <c r="BH18" i="1"/>
  <c r="BI18" i="1"/>
  <c r="BJ18" i="1"/>
  <c r="BK18" i="1"/>
  <c r="BL18" i="1"/>
  <c r="BM18" i="1"/>
  <c r="BN18" i="1"/>
  <c r="BO18" i="1"/>
  <c r="BP18" i="1"/>
  <c r="BQ18" i="1"/>
  <c r="BR18" i="1"/>
  <c r="BS18" i="1"/>
  <c r="BT18" i="1"/>
  <c r="BU18" i="1"/>
  <c r="BV18" i="1"/>
  <c r="BW18" i="1"/>
  <c r="BX18" i="1"/>
  <c r="BY18" i="1"/>
  <c r="BZ18" i="1"/>
  <c r="CA18" i="1"/>
  <c r="CB18" i="1"/>
  <c r="CC18" i="1"/>
  <c r="CD18" i="1"/>
  <c r="CE18" i="1"/>
  <c r="CF18" i="1"/>
  <c r="CG18" i="1"/>
  <c r="CH18" i="1"/>
  <c r="CI18" i="1"/>
  <c r="CJ18" i="1"/>
  <c r="CK18" i="1"/>
  <c r="CL18" i="1"/>
  <c r="CM18" i="1"/>
  <c r="CN18" i="1"/>
  <c r="CO18" i="1"/>
  <c r="CP18" i="1"/>
  <c r="CQ18" i="1"/>
  <c r="CR18" i="1"/>
  <c r="CS18" i="1"/>
  <c r="CT18" i="1"/>
  <c r="CU18" i="1"/>
  <c r="CV18" i="1"/>
  <c r="CW18" i="1"/>
  <c r="CX18" i="1"/>
  <c r="CY18" i="1"/>
  <c r="CZ18" i="1"/>
  <c r="DA18" i="1"/>
  <c r="DB18" i="1"/>
  <c r="DC18" i="1"/>
  <c r="DD18" i="1"/>
  <c r="DE18" i="1"/>
  <c r="DF18" i="1"/>
  <c r="DG18" i="1"/>
  <c r="DH18" i="1"/>
  <c r="DI18" i="1"/>
  <c r="DJ18" i="1"/>
  <c r="DK18" i="1"/>
  <c r="DL18" i="1"/>
  <c r="DM18" i="1"/>
  <c r="DN18" i="1"/>
  <c r="DO18" i="1"/>
  <c r="DP18" i="1"/>
  <c r="DQ18" i="1"/>
  <c r="DR18" i="1"/>
  <c r="DS18" i="1"/>
  <c r="DT18" i="1"/>
  <c r="DU18" i="1"/>
  <c r="DV18" i="1"/>
  <c r="DW18" i="1"/>
  <c r="DX18" i="1"/>
  <c r="DY18" i="1"/>
  <c r="DZ18" i="1"/>
  <c r="EA18" i="1"/>
  <c r="EB18" i="1"/>
  <c r="EC18" i="1"/>
  <c r="ED18" i="1"/>
  <c r="EE18" i="1"/>
  <c r="EF18" i="1"/>
  <c r="EG18" i="1"/>
  <c r="EH18" i="1"/>
  <c r="EI18" i="1"/>
  <c r="EJ18" i="1"/>
  <c r="EK18" i="1"/>
  <c r="EL18" i="1"/>
  <c r="EM18" i="1"/>
  <c r="EN18" i="1"/>
  <c r="EO18" i="1"/>
  <c r="EP18" i="1"/>
  <c r="EQ18" i="1"/>
  <c r="ER18" i="1"/>
  <c r="ES18" i="1"/>
  <c r="ET18" i="1"/>
  <c r="EU18" i="1"/>
  <c r="EV18" i="1"/>
  <c r="EW18" i="1"/>
  <c r="EX18" i="1"/>
  <c r="EY18" i="1"/>
  <c r="EZ18" i="1"/>
  <c r="FA18" i="1"/>
  <c r="FB18" i="1"/>
  <c r="FC18" i="1"/>
  <c r="FD18" i="1"/>
  <c r="FE18" i="1"/>
  <c r="FF18" i="1"/>
  <c r="FG18" i="1"/>
  <c r="FH18" i="1"/>
  <c r="FI18" i="1"/>
  <c r="FJ18" i="1"/>
  <c r="FK18" i="1"/>
  <c r="FL18" i="1"/>
  <c r="FM18" i="1"/>
  <c r="FN18" i="1"/>
  <c r="FO18" i="1"/>
  <c r="FP18" i="1"/>
  <c r="FQ18" i="1"/>
  <c r="FR18" i="1"/>
  <c r="FS18" i="1"/>
  <c r="FT18" i="1"/>
  <c r="FU18" i="1"/>
  <c r="FV18" i="1"/>
  <c r="FW18" i="1"/>
  <c r="FX18" i="1"/>
  <c r="FY18" i="1"/>
  <c r="FZ18" i="1"/>
  <c r="GA18" i="1"/>
  <c r="GB18" i="1"/>
  <c r="GC18" i="1"/>
  <c r="GD18" i="1"/>
  <c r="GE18" i="1"/>
  <c r="GF18" i="1"/>
  <c r="GG18" i="1"/>
  <c r="GH18" i="1"/>
  <c r="GI18" i="1"/>
  <c r="GJ18" i="1"/>
  <c r="GK18" i="1"/>
  <c r="GL18" i="1"/>
  <c r="GM18" i="1"/>
  <c r="GN18" i="1"/>
  <c r="GO18" i="1"/>
  <c r="GP18" i="1"/>
  <c r="GQ18" i="1"/>
  <c r="GR18" i="1"/>
  <c r="GS18" i="1"/>
  <c r="GT18" i="1"/>
  <c r="GU18" i="1"/>
  <c r="GV18" i="1"/>
  <c r="GW18" i="1"/>
  <c r="GX18" i="1"/>
  <c r="D20" i="1"/>
  <c r="E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BE22" i="1"/>
  <c r="BF22" i="1"/>
  <c r="BG22" i="1"/>
  <c r="BH22" i="1"/>
  <c r="BI22" i="1"/>
  <c r="BJ22" i="1"/>
  <c r="BK22" i="1"/>
  <c r="BL22" i="1"/>
  <c r="BM22" i="1"/>
  <c r="BN22" i="1"/>
  <c r="BO22" i="1"/>
  <c r="BP22" i="1"/>
  <c r="BQ22" i="1"/>
  <c r="BR22" i="1"/>
  <c r="BS22" i="1"/>
  <c r="BT22" i="1"/>
  <c r="BU22" i="1"/>
  <c r="BV22" i="1"/>
  <c r="BW22" i="1"/>
  <c r="BX22" i="1"/>
  <c r="BY22" i="1"/>
  <c r="BZ22" i="1"/>
  <c r="CA22" i="1"/>
  <c r="CB22" i="1"/>
  <c r="CC22" i="1"/>
  <c r="CD22" i="1"/>
  <c r="CE22" i="1"/>
  <c r="CF22" i="1"/>
  <c r="CG22" i="1"/>
  <c r="CH22" i="1"/>
  <c r="CI22" i="1"/>
  <c r="CJ22" i="1"/>
  <c r="CK22" i="1"/>
  <c r="CL22" i="1"/>
  <c r="CM22" i="1"/>
  <c r="CN22" i="1"/>
  <c r="CO22" i="1"/>
  <c r="CP22" i="1"/>
  <c r="CQ22" i="1"/>
  <c r="CR22" i="1"/>
  <c r="CS22" i="1"/>
  <c r="CT22" i="1"/>
  <c r="CU22" i="1"/>
  <c r="CV22" i="1"/>
  <c r="CW22" i="1"/>
  <c r="CX22" i="1"/>
  <c r="CY22" i="1"/>
  <c r="CZ22" i="1"/>
  <c r="DA22" i="1"/>
  <c r="DB22" i="1"/>
  <c r="DC22" i="1"/>
  <c r="DD22" i="1"/>
  <c r="DE22" i="1"/>
  <c r="DF22" i="1"/>
  <c r="DG22" i="1"/>
  <c r="DH22" i="1"/>
  <c r="DI22" i="1"/>
  <c r="DJ22" i="1"/>
  <c r="DK22" i="1"/>
  <c r="DL22" i="1"/>
  <c r="DM22" i="1"/>
  <c r="DN22" i="1"/>
  <c r="DO22" i="1"/>
  <c r="DP22" i="1"/>
  <c r="DQ22" i="1"/>
  <c r="DR22" i="1"/>
  <c r="DS22" i="1"/>
  <c r="DT22" i="1"/>
  <c r="DU22" i="1"/>
  <c r="DV22" i="1"/>
  <c r="DW22" i="1"/>
  <c r="DX22" i="1"/>
  <c r="DY22" i="1"/>
  <c r="DZ22" i="1"/>
  <c r="EA22" i="1"/>
  <c r="EB22" i="1"/>
  <c r="EC22" i="1"/>
  <c r="ED22" i="1"/>
  <c r="EE22" i="1"/>
  <c r="EF22" i="1"/>
  <c r="EG22" i="1"/>
  <c r="EH22" i="1"/>
  <c r="EI22" i="1"/>
  <c r="EJ22" i="1"/>
  <c r="EK22" i="1"/>
  <c r="EL22" i="1"/>
  <c r="EM22" i="1"/>
  <c r="EN22" i="1"/>
  <c r="EO22" i="1"/>
  <c r="EP22" i="1"/>
  <c r="EQ22" i="1"/>
  <c r="ER22" i="1"/>
  <c r="ES22" i="1"/>
  <c r="ET22" i="1"/>
  <c r="EU22" i="1"/>
  <c r="EV22" i="1"/>
  <c r="EW22" i="1"/>
  <c r="EX22" i="1"/>
  <c r="EY22" i="1"/>
  <c r="EZ22" i="1"/>
  <c r="FA22" i="1"/>
  <c r="FB22" i="1"/>
  <c r="FC22" i="1"/>
  <c r="FD22" i="1"/>
  <c r="FE22" i="1"/>
  <c r="FF22" i="1"/>
  <c r="FG22" i="1"/>
  <c r="FH22" i="1"/>
  <c r="FI22" i="1"/>
  <c r="FJ22" i="1"/>
  <c r="FK22" i="1"/>
  <c r="FL22" i="1"/>
  <c r="FM22" i="1"/>
  <c r="FN22" i="1"/>
  <c r="FO22" i="1"/>
  <c r="FP22" i="1"/>
  <c r="FQ22" i="1"/>
  <c r="FR22" i="1"/>
  <c r="FS22" i="1"/>
  <c r="FT22" i="1"/>
  <c r="FU22" i="1"/>
  <c r="FV22" i="1"/>
  <c r="FW22" i="1"/>
  <c r="FX22" i="1"/>
  <c r="FY22" i="1"/>
  <c r="FZ22" i="1"/>
  <c r="GA22" i="1"/>
  <c r="GB22" i="1"/>
  <c r="GC22" i="1"/>
  <c r="GD22" i="1"/>
  <c r="GE22" i="1"/>
  <c r="GF22" i="1"/>
  <c r="GG22" i="1"/>
  <c r="GH22" i="1"/>
  <c r="GI22" i="1"/>
  <c r="GJ22" i="1"/>
  <c r="GK22" i="1"/>
  <c r="GL22" i="1"/>
  <c r="GM22" i="1"/>
  <c r="GN22" i="1"/>
  <c r="GO22" i="1"/>
  <c r="GP22" i="1"/>
  <c r="GQ22" i="1"/>
  <c r="GR22" i="1"/>
  <c r="GS22" i="1"/>
  <c r="GT22" i="1"/>
  <c r="GU22" i="1"/>
  <c r="GV22" i="1"/>
  <c r="GW22" i="1"/>
  <c r="GX22" i="1"/>
  <c r="D24" i="1"/>
  <c r="E26" i="1"/>
  <c r="Z26" i="1"/>
  <c r="AA26" i="1"/>
  <c r="AM26" i="1"/>
  <c r="AN26" i="1"/>
  <c r="BE26" i="1"/>
  <c r="BF26" i="1"/>
  <c r="BG26" i="1"/>
  <c r="BH26" i="1"/>
  <c r="BI26" i="1"/>
  <c r="BJ26" i="1"/>
  <c r="BK26" i="1"/>
  <c r="BL26" i="1"/>
  <c r="BM26" i="1"/>
  <c r="BN26" i="1"/>
  <c r="BO26" i="1"/>
  <c r="BP26" i="1"/>
  <c r="BQ26" i="1"/>
  <c r="BR26" i="1"/>
  <c r="BS26" i="1"/>
  <c r="BT26" i="1"/>
  <c r="BU26" i="1"/>
  <c r="BV26" i="1"/>
  <c r="BW26" i="1"/>
  <c r="CN26" i="1"/>
  <c r="CO26" i="1"/>
  <c r="CP26" i="1"/>
  <c r="CQ26" i="1"/>
  <c r="CR26" i="1"/>
  <c r="CS26" i="1"/>
  <c r="CT26" i="1"/>
  <c r="CU26" i="1"/>
  <c r="CV26" i="1"/>
  <c r="CW26" i="1"/>
  <c r="CX26" i="1"/>
  <c r="CY26" i="1"/>
  <c r="CZ26" i="1"/>
  <c r="DA26" i="1"/>
  <c r="DB26" i="1"/>
  <c r="DC26" i="1"/>
  <c r="DD26" i="1"/>
  <c r="DE26" i="1"/>
  <c r="DF26" i="1"/>
  <c r="DG26" i="1"/>
  <c r="DH26" i="1"/>
  <c r="DI26" i="1"/>
  <c r="DJ26" i="1"/>
  <c r="DK26" i="1"/>
  <c r="DL26" i="1"/>
  <c r="DM26" i="1"/>
  <c r="DN26" i="1"/>
  <c r="DO26" i="1"/>
  <c r="DP26" i="1"/>
  <c r="DQ26" i="1"/>
  <c r="DR26" i="1"/>
  <c r="DS26" i="1"/>
  <c r="DT26" i="1"/>
  <c r="DU26" i="1"/>
  <c r="DV26" i="1"/>
  <c r="DW26" i="1"/>
  <c r="DX26" i="1"/>
  <c r="DY26" i="1"/>
  <c r="DZ26" i="1"/>
  <c r="EA26" i="1"/>
  <c r="EB26" i="1"/>
  <c r="EC26" i="1"/>
  <c r="ED26" i="1"/>
  <c r="EE26" i="1"/>
  <c r="EF26" i="1"/>
  <c r="EG26" i="1"/>
  <c r="EH26" i="1"/>
  <c r="EI26" i="1"/>
  <c r="EJ26" i="1"/>
  <c r="EK26" i="1"/>
  <c r="EL26" i="1"/>
  <c r="EM26" i="1"/>
  <c r="EN26" i="1"/>
  <c r="EO26" i="1"/>
  <c r="EP26" i="1"/>
  <c r="EQ26" i="1"/>
  <c r="ER26" i="1"/>
  <c r="ES26" i="1"/>
  <c r="ET26" i="1"/>
  <c r="EU26" i="1"/>
  <c r="EV26" i="1"/>
  <c r="EW26" i="1"/>
  <c r="EX26" i="1"/>
  <c r="EY26" i="1"/>
  <c r="EZ26" i="1"/>
  <c r="FA26" i="1"/>
  <c r="FB26" i="1"/>
  <c r="FC26" i="1"/>
  <c r="FD26" i="1"/>
  <c r="FE26" i="1"/>
  <c r="FF26" i="1"/>
  <c r="FG26" i="1"/>
  <c r="FH26" i="1"/>
  <c r="FI26" i="1"/>
  <c r="FJ26" i="1"/>
  <c r="FK26" i="1"/>
  <c r="FL26" i="1"/>
  <c r="FM26" i="1"/>
  <c r="FN26" i="1"/>
  <c r="FO26" i="1"/>
  <c r="FP26" i="1"/>
  <c r="FQ26" i="1"/>
  <c r="FR26" i="1"/>
  <c r="FS26" i="1"/>
  <c r="FT26" i="1"/>
  <c r="FU26" i="1"/>
  <c r="FV26" i="1"/>
  <c r="FW26" i="1"/>
  <c r="FX26" i="1"/>
  <c r="FY26" i="1"/>
  <c r="FZ26" i="1"/>
  <c r="GA26" i="1"/>
  <c r="GB26" i="1"/>
  <c r="GC26" i="1"/>
  <c r="GD26" i="1"/>
  <c r="GE26" i="1"/>
  <c r="GF26" i="1"/>
  <c r="GG26" i="1"/>
  <c r="GH26" i="1"/>
  <c r="GI26" i="1"/>
  <c r="GJ26" i="1"/>
  <c r="GK26" i="1"/>
  <c r="GL26" i="1"/>
  <c r="GM26" i="1"/>
  <c r="GN26" i="1"/>
  <c r="GO26" i="1"/>
  <c r="GP26" i="1"/>
  <c r="GQ26" i="1"/>
  <c r="GR26" i="1"/>
  <c r="GS26" i="1"/>
  <c r="GT26" i="1"/>
  <c r="GU26" i="1"/>
  <c r="GV26" i="1"/>
  <c r="GW26" i="1"/>
  <c r="GX26" i="1"/>
  <c r="C29" i="1"/>
  <c r="D29" i="1"/>
  <c r="I29" i="1"/>
  <c r="CX4" i="3" s="1"/>
  <c r="S29" i="1"/>
  <c r="W29" i="1"/>
  <c r="AC29" i="1"/>
  <c r="P29" i="1" s="1"/>
  <c r="AD29" i="1"/>
  <c r="AE29" i="1"/>
  <c r="R29" i="1" s="1"/>
  <c r="AF29" i="1"/>
  <c r="AG29" i="1"/>
  <c r="CU29" i="1" s="1"/>
  <c r="T29" i="1" s="1"/>
  <c r="AH29" i="1"/>
  <c r="AI29" i="1"/>
  <c r="AJ29" i="1"/>
  <c r="CQ29" i="1"/>
  <c r="CR29" i="1"/>
  <c r="CS29" i="1"/>
  <c r="CT29" i="1"/>
  <c r="CV29" i="1"/>
  <c r="U29" i="1" s="1"/>
  <c r="CW29" i="1"/>
  <c r="V29" i="1" s="1"/>
  <c r="CX29" i="1"/>
  <c r="CY29" i="1"/>
  <c r="X29" i="1" s="1"/>
  <c r="CZ29" i="1"/>
  <c r="Y29" i="1" s="1"/>
  <c r="FR29" i="1"/>
  <c r="GK29" i="1"/>
  <c r="GL29" i="1"/>
  <c r="GO29" i="1"/>
  <c r="GP29" i="1"/>
  <c r="GV29" i="1"/>
  <c r="HC29" i="1"/>
  <c r="GX29" i="1" s="1"/>
  <c r="C30" i="1"/>
  <c r="D30" i="1"/>
  <c r="I30" i="1"/>
  <c r="P30" i="1"/>
  <c r="R30" i="1"/>
  <c r="GK30" i="1" s="1"/>
  <c r="AC30" i="1"/>
  <c r="AD30" i="1"/>
  <c r="AB30" i="1" s="1"/>
  <c r="AE30" i="1"/>
  <c r="AF30" i="1"/>
  <c r="CT30" i="1" s="1"/>
  <c r="AG30" i="1"/>
  <c r="AH30" i="1"/>
  <c r="CV30" i="1" s="1"/>
  <c r="AI30" i="1"/>
  <c r="AJ30" i="1"/>
  <c r="CX30" i="1" s="1"/>
  <c r="W30" i="1" s="1"/>
  <c r="CQ30" i="1"/>
  <c r="CR30" i="1"/>
  <c r="CS30" i="1"/>
  <c r="CU30" i="1"/>
  <c r="T30" i="1" s="1"/>
  <c r="CW30" i="1"/>
  <c r="V30" i="1" s="1"/>
  <c r="FR30" i="1"/>
  <c r="GL30" i="1"/>
  <c r="GO30" i="1"/>
  <c r="GP30" i="1"/>
  <c r="GV30" i="1"/>
  <c r="GX30" i="1"/>
  <c r="HC30" i="1"/>
  <c r="C31" i="1"/>
  <c r="D31" i="1"/>
  <c r="I31" i="1"/>
  <c r="R31" i="1"/>
  <c r="S31" i="1"/>
  <c r="CZ31" i="1" s="1"/>
  <c r="Y31" i="1" s="1"/>
  <c r="V31" i="1"/>
  <c r="W31" i="1"/>
  <c r="AC31" i="1"/>
  <c r="AB31" i="1" s="1"/>
  <c r="AD31" i="1"/>
  <c r="AE31" i="1"/>
  <c r="AF31" i="1"/>
  <c r="AG31" i="1"/>
  <c r="AH31" i="1"/>
  <c r="CV31" i="1" s="1"/>
  <c r="U31" i="1" s="1"/>
  <c r="AI31" i="1"/>
  <c r="AJ31" i="1"/>
  <c r="CQ31" i="1"/>
  <c r="CR31" i="1"/>
  <c r="CS31" i="1"/>
  <c r="CT31" i="1"/>
  <c r="CU31" i="1"/>
  <c r="T31" i="1" s="1"/>
  <c r="CW31" i="1"/>
  <c r="CX31" i="1"/>
  <c r="FR31" i="1"/>
  <c r="GK31" i="1"/>
  <c r="GL31" i="1"/>
  <c r="GO31" i="1"/>
  <c r="GP31" i="1"/>
  <c r="GV31" i="1"/>
  <c r="HC31" i="1"/>
  <c r="GX31" i="1" s="1"/>
  <c r="C32" i="1"/>
  <c r="D32" i="1"/>
  <c r="I32" i="1"/>
  <c r="AB32" i="1"/>
  <c r="AC32" i="1"/>
  <c r="P32" i="1" s="1"/>
  <c r="AD32" i="1"/>
  <c r="AE32" i="1"/>
  <c r="AF32" i="1"/>
  <c r="S32" i="1" s="1"/>
  <c r="AG32" i="1"/>
  <c r="CU32" i="1" s="1"/>
  <c r="T32" i="1" s="1"/>
  <c r="AH32" i="1"/>
  <c r="CV32" i="1" s="1"/>
  <c r="AI32" i="1"/>
  <c r="AJ32" i="1"/>
  <c r="CR32" i="1"/>
  <c r="CS32" i="1"/>
  <c r="CT32" i="1"/>
  <c r="CW32" i="1"/>
  <c r="V32" i="1" s="1"/>
  <c r="CX32" i="1"/>
  <c r="W32" i="1" s="1"/>
  <c r="FR32" i="1"/>
  <c r="GL32" i="1"/>
  <c r="GO32" i="1"/>
  <c r="GP32" i="1"/>
  <c r="GV32" i="1"/>
  <c r="HC32" i="1"/>
  <c r="C33" i="1"/>
  <c r="D33" i="1"/>
  <c r="I33" i="1"/>
  <c r="R33" i="1"/>
  <c r="GK33" i="1" s="1"/>
  <c r="AC33" i="1"/>
  <c r="AD33" i="1"/>
  <c r="AE33" i="1"/>
  <c r="AF33" i="1"/>
  <c r="AG33" i="1"/>
  <c r="AH33" i="1"/>
  <c r="CV33" i="1" s="1"/>
  <c r="AI33" i="1"/>
  <c r="AJ33" i="1"/>
  <c r="CQ33" i="1"/>
  <c r="CR33" i="1"/>
  <c r="CS33" i="1"/>
  <c r="CT33" i="1"/>
  <c r="CU33" i="1"/>
  <c r="T33" i="1" s="1"/>
  <c r="CW33" i="1"/>
  <c r="V33" i="1" s="1"/>
  <c r="CX33" i="1"/>
  <c r="FR33" i="1"/>
  <c r="GL33" i="1"/>
  <c r="GO33" i="1"/>
  <c r="GP33" i="1"/>
  <c r="GV33" i="1"/>
  <c r="HC33" i="1"/>
  <c r="GX33" i="1" s="1"/>
  <c r="C34" i="1"/>
  <c r="D34" i="1"/>
  <c r="I34" i="1"/>
  <c r="CX21" i="3" s="1"/>
  <c r="R34" i="1"/>
  <c r="T34" i="1"/>
  <c r="AC34" i="1"/>
  <c r="AD34" i="1"/>
  <c r="AE34" i="1"/>
  <c r="AF34" i="1"/>
  <c r="AG34" i="1"/>
  <c r="AH34" i="1"/>
  <c r="CV34" i="1" s="1"/>
  <c r="AI34" i="1"/>
  <c r="AJ34" i="1"/>
  <c r="CR34" i="1"/>
  <c r="CS34" i="1"/>
  <c r="CU34" i="1"/>
  <c r="CW34" i="1"/>
  <c r="V34" i="1" s="1"/>
  <c r="CX34" i="1"/>
  <c r="W34" i="1" s="1"/>
  <c r="FR34" i="1"/>
  <c r="GK34" i="1"/>
  <c r="GL34" i="1"/>
  <c r="GO34" i="1"/>
  <c r="GP34" i="1"/>
  <c r="GV34" i="1"/>
  <c r="GX34" i="1"/>
  <c r="HC34" i="1"/>
  <c r="I35" i="1"/>
  <c r="Q35" i="1" s="1"/>
  <c r="P35" i="1"/>
  <c r="AC35" i="1"/>
  <c r="AE35" i="1"/>
  <c r="R35" i="1" s="1"/>
  <c r="GK35" i="1" s="1"/>
  <c r="AF35" i="1"/>
  <c r="AG35" i="1"/>
  <c r="AH35" i="1"/>
  <c r="AI35" i="1"/>
  <c r="CW35" i="1" s="1"/>
  <c r="V35" i="1" s="1"/>
  <c r="AJ35" i="1"/>
  <c r="CX35" i="1" s="1"/>
  <c r="W35" i="1" s="1"/>
  <c r="CQ35" i="1"/>
  <c r="CS35" i="1"/>
  <c r="CU35" i="1"/>
  <c r="T35" i="1" s="1"/>
  <c r="CV35" i="1"/>
  <c r="U35" i="1" s="1"/>
  <c r="FR35" i="1"/>
  <c r="GL35" i="1"/>
  <c r="GO35" i="1"/>
  <c r="GP35" i="1"/>
  <c r="GV35" i="1"/>
  <c r="HC35" i="1" s="1"/>
  <c r="GX35" i="1"/>
  <c r="C36" i="1"/>
  <c r="D36" i="1"/>
  <c r="I36" i="1"/>
  <c r="P36" i="1"/>
  <c r="T36" i="1"/>
  <c r="U36" i="1"/>
  <c r="AC36" i="1"/>
  <c r="AE36" i="1"/>
  <c r="AF36" i="1"/>
  <c r="S36" i="1" s="1"/>
  <c r="AG36" i="1"/>
  <c r="AH36" i="1"/>
  <c r="AI36" i="1"/>
  <c r="AJ36" i="1"/>
  <c r="CX36" i="1" s="1"/>
  <c r="W36" i="1" s="1"/>
  <c r="CQ36" i="1"/>
  <c r="CU36" i="1"/>
  <c r="CV36" i="1"/>
  <c r="CW36" i="1"/>
  <c r="V36" i="1" s="1"/>
  <c r="CY36" i="1"/>
  <c r="X36" i="1" s="1"/>
  <c r="CZ36" i="1"/>
  <c r="Y36" i="1" s="1"/>
  <c r="FR36" i="1"/>
  <c r="GL36" i="1"/>
  <c r="GO36" i="1"/>
  <c r="GP36" i="1"/>
  <c r="GV36" i="1"/>
  <c r="HC36" i="1" s="1"/>
  <c r="GX36" i="1" s="1"/>
  <c r="I37" i="1"/>
  <c r="Q37" i="1"/>
  <c r="R37" i="1"/>
  <c r="GK37" i="1" s="1"/>
  <c r="S37" i="1"/>
  <c r="AC37" i="1"/>
  <c r="AD37" i="1"/>
  <c r="AE37" i="1"/>
  <c r="AF37" i="1"/>
  <c r="AG37" i="1"/>
  <c r="AH37" i="1"/>
  <c r="CV37" i="1" s="1"/>
  <c r="U37" i="1" s="1"/>
  <c r="AI37" i="1"/>
  <c r="AJ37" i="1"/>
  <c r="CR37" i="1"/>
  <c r="CS37" i="1"/>
  <c r="CT37" i="1"/>
  <c r="CU37" i="1"/>
  <c r="T37" i="1" s="1"/>
  <c r="CW37" i="1"/>
  <c r="V37" i="1" s="1"/>
  <c r="CX37" i="1"/>
  <c r="W37" i="1" s="1"/>
  <c r="FR37" i="1"/>
  <c r="GL37" i="1"/>
  <c r="GO37" i="1"/>
  <c r="GP37" i="1"/>
  <c r="GV37" i="1"/>
  <c r="HC37" i="1"/>
  <c r="GX37" i="1" s="1"/>
  <c r="C38" i="1"/>
  <c r="D38" i="1"/>
  <c r="I38" i="1"/>
  <c r="V38" i="1"/>
  <c r="W38" i="1"/>
  <c r="AC38" i="1"/>
  <c r="P38" i="1" s="1"/>
  <c r="AD38" i="1"/>
  <c r="AE38" i="1"/>
  <c r="R38" i="1" s="1"/>
  <c r="AF38" i="1"/>
  <c r="S38" i="1" s="1"/>
  <c r="AG38" i="1"/>
  <c r="CU38" i="1" s="1"/>
  <c r="T38" i="1" s="1"/>
  <c r="AH38" i="1"/>
  <c r="CV38" i="1" s="1"/>
  <c r="U38" i="1" s="1"/>
  <c r="AI38" i="1"/>
  <c r="AJ38" i="1"/>
  <c r="CQ38" i="1"/>
  <c r="CR38" i="1"/>
  <c r="CS38" i="1"/>
  <c r="CT38" i="1"/>
  <c r="CW38" i="1"/>
  <c r="CX38" i="1"/>
  <c r="FR38" i="1"/>
  <c r="GK38" i="1"/>
  <c r="GL38" i="1"/>
  <c r="GO38" i="1"/>
  <c r="GP38" i="1"/>
  <c r="GV38" i="1"/>
  <c r="HC38" i="1"/>
  <c r="GX38" i="1" s="1"/>
  <c r="AC39" i="1"/>
  <c r="AE39" i="1"/>
  <c r="AF39" i="1"/>
  <c r="CT39" i="1" s="1"/>
  <c r="AG39" i="1"/>
  <c r="AH39" i="1"/>
  <c r="AI39" i="1"/>
  <c r="AJ39" i="1"/>
  <c r="CX39" i="1" s="1"/>
  <c r="CQ39" i="1"/>
  <c r="CU39" i="1"/>
  <c r="CV39" i="1"/>
  <c r="CW39" i="1"/>
  <c r="FR39" i="1"/>
  <c r="GL39" i="1"/>
  <c r="GO39" i="1"/>
  <c r="GP39" i="1"/>
  <c r="GV39" i="1"/>
  <c r="HC39" i="1" s="1"/>
  <c r="C40" i="1"/>
  <c r="D40" i="1"/>
  <c r="I40" i="1"/>
  <c r="P40" i="1"/>
  <c r="CP40" i="1" s="1"/>
  <c r="O40" i="1" s="1"/>
  <c r="Q40" i="1"/>
  <c r="AC40" i="1"/>
  <c r="AE40" i="1"/>
  <c r="R40" i="1" s="1"/>
  <c r="GK40" i="1" s="1"/>
  <c r="AF40" i="1"/>
  <c r="S40" i="1" s="1"/>
  <c r="AG40" i="1"/>
  <c r="AH40" i="1"/>
  <c r="AI40" i="1"/>
  <c r="CW40" i="1" s="1"/>
  <c r="V40" i="1" s="1"/>
  <c r="AJ40" i="1"/>
  <c r="CX40" i="1" s="1"/>
  <c r="W40" i="1" s="1"/>
  <c r="CQ40" i="1"/>
  <c r="CR40" i="1"/>
  <c r="CS40" i="1"/>
  <c r="CU40" i="1"/>
  <c r="T40" i="1" s="1"/>
  <c r="CV40" i="1"/>
  <c r="U40" i="1" s="1"/>
  <c r="FR40" i="1"/>
  <c r="GL40" i="1"/>
  <c r="GO40" i="1"/>
  <c r="GP40" i="1"/>
  <c r="GV40" i="1"/>
  <c r="HC40" i="1" s="1"/>
  <c r="GX40" i="1" s="1"/>
  <c r="I41" i="1"/>
  <c r="Q41" i="1" s="1"/>
  <c r="V41" i="1"/>
  <c r="W41" i="1"/>
  <c r="AC41" i="1"/>
  <c r="P41" i="1" s="1"/>
  <c r="AD41" i="1"/>
  <c r="AE41" i="1"/>
  <c r="AF41" i="1"/>
  <c r="S41" i="1" s="1"/>
  <c r="AG41" i="1"/>
  <c r="CU41" i="1" s="1"/>
  <c r="T41" i="1" s="1"/>
  <c r="AH41" i="1"/>
  <c r="CV41" i="1" s="1"/>
  <c r="U41" i="1" s="1"/>
  <c r="AI41" i="1"/>
  <c r="AJ41" i="1"/>
  <c r="CQ41" i="1"/>
  <c r="CR41" i="1"/>
  <c r="CS41" i="1"/>
  <c r="CT41" i="1"/>
  <c r="CW41" i="1"/>
  <c r="CX41" i="1"/>
  <c r="FR41" i="1"/>
  <c r="GL41" i="1"/>
  <c r="GO41" i="1"/>
  <c r="GP41" i="1"/>
  <c r="GV41" i="1"/>
  <c r="HC41" i="1"/>
  <c r="GX41" i="1" s="1"/>
  <c r="C42" i="1"/>
  <c r="D42" i="1"/>
  <c r="AC42" i="1"/>
  <c r="AD42" i="1"/>
  <c r="AE42" i="1"/>
  <c r="AF42" i="1"/>
  <c r="AG42" i="1"/>
  <c r="AH42" i="1"/>
  <c r="CV42" i="1" s="1"/>
  <c r="AI42" i="1"/>
  <c r="AJ42" i="1"/>
  <c r="CR42" i="1"/>
  <c r="CS42" i="1"/>
  <c r="CT42" i="1"/>
  <c r="CU42" i="1"/>
  <c r="CW42" i="1"/>
  <c r="CX42" i="1"/>
  <c r="FR42" i="1"/>
  <c r="GL42" i="1"/>
  <c r="GO42" i="1"/>
  <c r="GP42" i="1"/>
  <c r="GV42" i="1"/>
  <c r="HC42" i="1"/>
  <c r="AC43" i="1"/>
  <c r="AE43" i="1"/>
  <c r="AF43" i="1"/>
  <c r="AG43" i="1"/>
  <c r="AH43" i="1"/>
  <c r="AI43" i="1"/>
  <c r="CW43" i="1" s="1"/>
  <c r="AJ43" i="1"/>
  <c r="CQ43" i="1"/>
  <c r="CR43" i="1"/>
  <c r="CS43" i="1"/>
  <c r="CU43" i="1"/>
  <c r="CV43" i="1"/>
  <c r="CX43" i="1"/>
  <c r="FR43" i="1"/>
  <c r="GL43" i="1"/>
  <c r="GO43" i="1"/>
  <c r="GP43" i="1"/>
  <c r="GV43" i="1"/>
  <c r="HC43" i="1" s="1"/>
  <c r="C44" i="1"/>
  <c r="D44" i="1"/>
  <c r="AC44" i="1"/>
  <c r="AE44" i="1"/>
  <c r="AF44" i="1"/>
  <c r="CT44" i="1" s="1"/>
  <c r="AG44" i="1"/>
  <c r="AH44" i="1"/>
  <c r="AI44" i="1"/>
  <c r="AJ44" i="1"/>
  <c r="CX44" i="1" s="1"/>
  <c r="CQ44" i="1"/>
  <c r="CU44" i="1"/>
  <c r="CV44" i="1"/>
  <c r="CW44" i="1"/>
  <c r="FR44" i="1"/>
  <c r="GL44" i="1"/>
  <c r="GO44" i="1"/>
  <c r="GP44" i="1"/>
  <c r="GV44" i="1"/>
  <c r="HC44" i="1" s="1"/>
  <c r="AC45" i="1"/>
  <c r="AD45" i="1"/>
  <c r="AE45" i="1"/>
  <c r="AF45" i="1"/>
  <c r="CT45" i="1" s="1"/>
  <c r="AG45" i="1"/>
  <c r="AH45" i="1"/>
  <c r="CV45" i="1" s="1"/>
  <c r="AI45" i="1"/>
  <c r="AJ45" i="1"/>
  <c r="CR45" i="1"/>
  <c r="CS45" i="1"/>
  <c r="CU45" i="1"/>
  <c r="CW45" i="1"/>
  <c r="CX45" i="1"/>
  <c r="FR45" i="1"/>
  <c r="GL45" i="1"/>
  <c r="GO45" i="1"/>
  <c r="GP45" i="1"/>
  <c r="GV45" i="1"/>
  <c r="HC45" i="1"/>
  <c r="C46" i="1"/>
  <c r="D46" i="1"/>
  <c r="AC46" i="1"/>
  <c r="AD46" i="1"/>
  <c r="AB46" i="1" s="1"/>
  <c r="AE46" i="1"/>
  <c r="AF46" i="1"/>
  <c r="AG46" i="1"/>
  <c r="CU46" i="1" s="1"/>
  <c r="AH46" i="1"/>
  <c r="CV46" i="1" s="1"/>
  <c r="AI46" i="1"/>
  <c r="AJ46" i="1"/>
  <c r="CX46" i="1" s="1"/>
  <c r="CQ46" i="1"/>
  <c r="CR46" i="1"/>
  <c r="CS46" i="1"/>
  <c r="CT46" i="1"/>
  <c r="CW46" i="1"/>
  <c r="FR46" i="1"/>
  <c r="GL46" i="1"/>
  <c r="GO46" i="1"/>
  <c r="GP46" i="1"/>
  <c r="GV46" i="1"/>
  <c r="HC46" i="1"/>
  <c r="AC47" i="1"/>
  <c r="AD47" i="1"/>
  <c r="AB47" i="1" s="1"/>
  <c r="AE47" i="1"/>
  <c r="AF47" i="1"/>
  <c r="CT47" i="1" s="1"/>
  <c r="AG47" i="1"/>
  <c r="AH47" i="1"/>
  <c r="CV47" i="1" s="1"/>
  <c r="AI47" i="1"/>
  <c r="AJ47" i="1"/>
  <c r="CX47" i="1" s="1"/>
  <c r="CQ47" i="1"/>
  <c r="CR47" i="1"/>
  <c r="CU47" i="1"/>
  <c r="CW47" i="1"/>
  <c r="FR47" i="1"/>
  <c r="GL47" i="1"/>
  <c r="GO47" i="1"/>
  <c r="GP47" i="1"/>
  <c r="GV47" i="1"/>
  <c r="HC47" i="1" s="1"/>
  <c r="C48" i="1"/>
  <c r="D48" i="1"/>
  <c r="I48" i="1"/>
  <c r="P48" i="1"/>
  <c r="Q48" i="1"/>
  <c r="AC48" i="1"/>
  <c r="AD48" i="1"/>
  <c r="AB48" i="1" s="1"/>
  <c r="AE48" i="1"/>
  <c r="R48" i="1" s="1"/>
  <c r="GK48" i="1" s="1"/>
  <c r="AF48" i="1"/>
  <c r="S48" i="1" s="1"/>
  <c r="AG48" i="1"/>
  <c r="AH48" i="1"/>
  <c r="CV48" i="1" s="1"/>
  <c r="U48" i="1" s="1"/>
  <c r="AI48" i="1"/>
  <c r="CW48" i="1" s="1"/>
  <c r="V48" i="1" s="1"/>
  <c r="AJ48" i="1"/>
  <c r="CX48" i="1" s="1"/>
  <c r="W48" i="1" s="1"/>
  <c r="CQ48" i="1"/>
  <c r="CR48" i="1"/>
  <c r="CS48" i="1"/>
  <c r="CU48" i="1"/>
  <c r="T48" i="1" s="1"/>
  <c r="FR48" i="1"/>
  <c r="GL48" i="1"/>
  <c r="GO48" i="1"/>
  <c r="GP48" i="1"/>
  <c r="GV48" i="1"/>
  <c r="HC48" i="1" s="1"/>
  <c r="GX48" i="1"/>
  <c r="I49" i="1"/>
  <c r="V49" i="1"/>
  <c r="AC49" i="1"/>
  <c r="P49" i="1" s="1"/>
  <c r="AD49" i="1"/>
  <c r="AE49" i="1"/>
  <c r="AF49" i="1"/>
  <c r="S49" i="1" s="1"/>
  <c r="CZ49" i="1" s="1"/>
  <c r="Y49" i="1" s="1"/>
  <c r="AG49" i="1"/>
  <c r="CU49" i="1" s="1"/>
  <c r="T49" i="1" s="1"/>
  <c r="AH49" i="1"/>
  <c r="CV49" i="1" s="1"/>
  <c r="AI49" i="1"/>
  <c r="AJ49" i="1"/>
  <c r="CX49" i="1" s="1"/>
  <c r="W49" i="1" s="1"/>
  <c r="CQ49" i="1"/>
  <c r="CR49" i="1"/>
  <c r="CS49" i="1"/>
  <c r="CT49" i="1"/>
  <c r="CW49" i="1"/>
  <c r="FR49" i="1"/>
  <c r="GL49" i="1"/>
  <c r="GO49" i="1"/>
  <c r="GP49" i="1"/>
  <c r="GV49" i="1"/>
  <c r="GX49" i="1"/>
  <c r="HC49" i="1"/>
  <c r="C51" i="1"/>
  <c r="D51" i="1"/>
  <c r="I51" i="1"/>
  <c r="Q51" i="1" s="1"/>
  <c r="R51" i="1"/>
  <c r="GK51" i="1" s="1"/>
  <c r="S51" i="1"/>
  <c r="AC51" i="1"/>
  <c r="AD51" i="1"/>
  <c r="AE51" i="1"/>
  <c r="AF51" i="1"/>
  <c r="CT51" i="1" s="1"/>
  <c r="AG51" i="1"/>
  <c r="AH51" i="1"/>
  <c r="CV51" i="1" s="1"/>
  <c r="U51" i="1" s="1"/>
  <c r="AI51" i="1"/>
  <c r="AJ51" i="1"/>
  <c r="CR51" i="1"/>
  <c r="CS51" i="1"/>
  <c r="CU51" i="1"/>
  <c r="T51" i="1" s="1"/>
  <c r="CW51" i="1"/>
  <c r="V51" i="1" s="1"/>
  <c r="CX51" i="1"/>
  <c r="W51" i="1" s="1"/>
  <c r="FR51" i="1"/>
  <c r="GL51" i="1"/>
  <c r="GO51" i="1"/>
  <c r="GP51" i="1"/>
  <c r="GV51" i="1"/>
  <c r="GX51" i="1"/>
  <c r="HC51" i="1"/>
  <c r="C52" i="1"/>
  <c r="D52" i="1"/>
  <c r="I52" i="1"/>
  <c r="AC52" i="1"/>
  <c r="AD52" i="1"/>
  <c r="AB52" i="1" s="1"/>
  <c r="AE52" i="1"/>
  <c r="AF52" i="1"/>
  <c r="AG52" i="1"/>
  <c r="CU52" i="1" s="1"/>
  <c r="AH52" i="1"/>
  <c r="AI52" i="1"/>
  <c r="AJ52" i="1"/>
  <c r="CX52" i="1" s="1"/>
  <c r="W52" i="1" s="1"/>
  <c r="CQ52" i="1"/>
  <c r="CR52" i="1"/>
  <c r="CS52" i="1"/>
  <c r="CT52" i="1"/>
  <c r="CV52" i="1"/>
  <c r="CW52" i="1"/>
  <c r="V52" i="1" s="1"/>
  <c r="FR52" i="1"/>
  <c r="GL52" i="1"/>
  <c r="GO52" i="1"/>
  <c r="GP52" i="1"/>
  <c r="GV52" i="1"/>
  <c r="HC52" i="1"/>
  <c r="GX52" i="1" s="1"/>
  <c r="C53" i="1"/>
  <c r="D53" i="1"/>
  <c r="I53" i="1"/>
  <c r="V53" i="1"/>
  <c r="AC53" i="1"/>
  <c r="AE53" i="1"/>
  <c r="AD53" i="1" s="1"/>
  <c r="AF53" i="1"/>
  <c r="CT53" i="1" s="1"/>
  <c r="AG53" i="1"/>
  <c r="AH53" i="1"/>
  <c r="CV53" i="1" s="1"/>
  <c r="U53" i="1" s="1"/>
  <c r="AI53" i="1"/>
  <c r="AJ53" i="1"/>
  <c r="CX53" i="1" s="1"/>
  <c r="W53" i="1" s="1"/>
  <c r="CR53" i="1"/>
  <c r="CS53" i="1"/>
  <c r="CU53" i="1"/>
  <c r="T53" i="1" s="1"/>
  <c r="CW53" i="1"/>
  <c r="FR53" i="1"/>
  <c r="GL53" i="1"/>
  <c r="GO53" i="1"/>
  <c r="GP53" i="1"/>
  <c r="GV53" i="1"/>
  <c r="HC53" i="1" s="1"/>
  <c r="GX53" i="1" s="1"/>
  <c r="C54" i="1"/>
  <c r="D54" i="1"/>
  <c r="S54" i="1"/>
  <c r="AC54" i="1"/>
  <c r="P54" i="1" s="1"/>
  <c r="AE54" i="1"/>
  <c r="AF54" i="1"/>
  <c r="AG54" i="1"/>
  <c r="AH54" i="1"/>
  <c r="CV54" i="1" s="1"/>
  <c r="U54" i="1" s="1"/>
  <c r="AI54" i="1"/>
  <c r="AJ54" i="1"/>
  <c r="CT54" i="1"/>
  <c r="CU54" i="1"/>
  <c r="T54" i="1" s="1"/>
  <c r="CW54" i="1"/>
  <c r="V54" i="1" s="1"/>
  <c r="CX54" i="1"/>
  <c r="W54" i="1" s="1"/>
  <c r="FR54" i="1"/>
  <c r="GL54" i="1"/>
  <c r="GO54" i="1"/>
  <c r="GP54" i="1"/>
  <c r="GV54" i="1"/>
  <c r="HC54" i="1"/>
  <c r="GX54" i="1" s="1"/>
  <c r="C55" i="1"/>
  <c r="D55" i="1"/>
  <c r="S55" i="1"/>
  <c r="X55" i="1"/>
  <c r="AC55" i="1"/>
  <c r="P55" i="1" s="1"/>
  <c r="AE55" i="1"/>
  <c r="AF55" i="1"/>
  <c r="AG55" i="1"/>
  <c r="AH55" i="1"/>
  <c r="CV55" i="1" s="1"/>
  <c r="U55" i="1" s="1"/>
  <c r="AI55" i="1"/>
  <c r="AJ55" i="1"/>
  <c r="CR55" i="1"/>
  <c r="CT55" i="1"/>
  <c r="CU55" i="1"/>
  <c r="T55" i="1" s="1"/>
  <c r="CW55" i="1"/>
  <c r="V55" i="1" s="1"/>
  <c r="CX55" i="1"/>
  <c r="W55" i="1" s="1"/>
  <c r="CY55" i="1"/>
  <c r="CZ55" i="1"/>
  <c r="Y55" i="1" s="1"/>
  <c r="FR55" i="1"/>
  <c r="GL55" i="1"/>
  <c r="GO55" i="1"/>
  <c r="GP55" i="1"/>
  <c r="GV55" i="1"/>
  <c r="HC55" i="1"/>
  <c r="GX55" i="1" s="1"/>
  <c r="C56" i="1"/>
  <c r="D56" i="1"/>
  <c r="AB56" i="1"/>
  <c r="AC56" i="1"/>
  <c r="AD56" i="1"/>
  <c r="AE56" i="1"/>
  <c r="AF56" i="1"/>
  <c r="AG56" i="1"/>
  <c r="AH56" i="1"/>
  <c r="CV56" i="1" s="1"/>
  <c r="AI56" i="1"/>
  <c r="AJ56" i="1"/>
  <c r="CX56" i="1" s="1"/>
  <c r="CQ56" i="1"/>
  <c r="CR56" i="1"/>
  <c r="CS56" i="1"/>
  <c r="CT56" i="1"/>
  <c r="CU56" i="1"/>
  <c r="CW56" i="1"/>
  <c r="FR56" i="1"/>
  <c r="GL56" i="1"/>
  <c r="GO56" i="1"/>
  <c r="GP56" i="1"/>
  <c r="GV56" i="1"/>
  <c r="HC56" i="1"/>
  <c r="C57" i="1"/>
  <c r="D57" i="1"/>
  <c r="I57" i="1"/>
  <c r="AC57" i="1"/>
  <c r="AB57" i="1" s="1"/>
  <c r="AD57" i="1"/>
  <c r="AE57" i="1"/>
  <c r="AF57" i="1"/>
  <c r="AG57" i="1"/>
  <c r="AH57" i="1"/>
  <c r="CV57" i="1" s="1"/>
  <c r="U57" i="1" s="1"/>
  <c r="AI57" i="1"/>
  <c r="AJ57" i="1"/>
  <c r="CQ57" i="1"/>
  <c r="CR57" i="1"/>
  <c r="CS57" i="1"/>
  <c r="CU57" i="1"/>
  <c r="CW57" i="1"/>
  <c r="CX57" i="1"/>
  <c r="W57" i="1" s="1"/>
  <c r="FR57" i="1"/>
  <c r="GL57" i="1"/>
  <c r="GO57" i="1"/>
  <c r="GP57" i="1"/>
  <c r="GV57" i="1"/>
  <c r="HC57" i="1"/>
  <c r="AC58" i="1"/>
  <c r="AD58" i="1"/>
  <c r="AE58" i="1"/>
  <c r="AF58" i="1"/>
  <c r="CT58" i="1" s="1"/>
  <c r="AG58" i="1"/>
  <c r="AH58" i="1"/>
  <c r="AI58" i="1"/>
  <c r="AJ58" i="1"/>
  <c r="CQ58" i="1"/>
  <c r="CR58" i="1"/>
  <c r="CS58" i="1"/>
  <c r="CU58" i="1"/>
  <c r="CV58" i="1"/>
  <c r="CW58" i="1"/>
  <c r="CX58" i="1"/>
  <c r="FR58" i="1"/>
  <c r="GL58" i="1"/>
  <c r="GO58" i="1"/>
  <c r="GP58" i="1"/>
  <c r="GV58" i="1"/>
  <c r="HC58" i="1" s="1"/>
  <c r="C59" i="1"/>
  <c r="D59" i="1"/>
  <c r="P59" i="1"/>
  <c r="CP59" i="1" s="1"/>
  <c r="O59" i="1" s="1"/>
  <c r="Q59" i="1"/>
  <c r="S59" i="1"/>
  <c r="CY59" i="1" s="1"/>
  <c r="X59" i="1" s="1"/>
  <c r="AC59" i="1"/>
  <c r="CQ59" i="1" s="1"/>
  <c r="AE59" i="1"/>
  <c r="AD59" i="1" s="1"/>
  <c r="AF59" i="1"/>
  <c r="AG59" i="1"/>
  <c r="AH59" i="1"/>
  <c r="AI59" i="1"/>
  <c r="CW59" i="1" s="1"/>
  <c r="V59" i="1" s="1"/>
  <c r="AJ59" i="1"/>
  <c r="CR59" i="1"/>
  <c r="CS59" i="1"/>
  <c r="CT59" i="1"/>
  <c r="CU59" i="1"/>
  <c r="T59" i="1" s="1"/>
  <c r="CV59" i="1"/>
  <c r="U59" i="1" s="1"/>
  <c r="CX59" i="1"/>
  <c r="W59" i="1" s="1"/>
  <c r="FR59" i="1"/>
  <c r="GL59" i="1"/>
  <c r="GO59" i="1"/>
  <c r="GP59" i="1"/>
  <c r="GV59" i="1"/>
  <c r="HC59" i="1"/>
  <c r="GX59" i="1" s="1"/>
  <c r="I60" i="1"/>
  <c r="Q60" i="1" s="1"/>
  <c r="W60" i="1"/>
  <c r="AC60" i="1"/>
  <c r="AE60" i="1"/>
  <c r="R60" i="1" s="1"/>
  <c r="GK60" i="1" s="1"/>
  <c r="AF60" i="1"/>
  <c r="S60" i="1" s="1"/>
  <c r="AG60" i="1"/>
  <c r="CU60" i="1" s="1"/>
  <c r="T60" i="1" s="1"/>
  <c r="AH60" i="1"/>
  <c r="AI60" i="1"/>
  <c r="CW60" i="1" s="1"/>
  <c r="V60" i="1" s="1"/>
  <c r="AJ60" i="1"/>
  <c r="CQ60" i="1"/>
  <c r="CR60" i="1"/>
  <c r="CS60" i="1"/>
  <c r="CT60" i="1"/>
  <c r="CV60" i="1"/>
  <c r="U60" i="1" s="1"/>
  <c r="CX60" i="1"/>
  <c r="FR60" i="1"/>
  <c r="GL60" i="1"/>
  <c r="GO60" i="1"/>
  <c r="GP60" i="1"/>
  <c r="GV60" i="1"/>
  <c r="GX60" i="1"/>
  <c r="HC60" i="1"/>
  <c r="C61" i="1"/>
  <c r="D61" i="1"/>
  <c r="I61" i="1"/>
  <c r="R61" i="1"/>
  <c r="GK61" i="1" s="1"/>
  <c r="S61" i="1"/>
  <c r="AC61" i="1"/>
  <c r="AE61" i="1"/>
  <c r="CS61" i="1" s="1"/>
  <c r="AF61" i="1"/>
  <c r="AG61" i="1"/>
  <c r="AH61" i="1"/>
  <c r="AI61" i="1"/>
  <c r="AJ61" i="1"/>
  <c r="CX61" i="1" s="1"/>
  <c r="W61" i="1" s="1"/>
  <c r="CR61" i="1"/>
  <c r="CT61" i="1"/>
  <c r="CU61" i="1"/>
  <c r="T61" i="1" s="1"/>
  <c r="CV61" i="1"/>
  <c r="U61" i="1" s="1"/>
  <c r="CW61" i="1"/>
  <c r="V61" i="1" s="1"/>
  <c r="FR61" i="1"/>
  <c r="GL61" i="1"/>
  <c r="GO61" i="1"/>
  <c r="GP61" i="1"/>
  <c r="GV61" i="1"/>
  <c r="HC61" i="1" s="1"/>
  <c r="GX61" i="1" s="1"/>
  <c r="I62" i="1"/>
  <c r="P62" i="1"/>
  <c r="Q62" i="1"/>
  <c r="CP62" i="1" s="1"/>
  <c r="O62" i="1" s="1"/>
  <c r="S62" i="1"/>
  <c r="CY62" i="1" s="1"/>
  <c r="X62" i="1" s="1"/>
  <c r="AC62" i="1"/>
  <c r="CQ62" i="1" s="1"/>
  <c r="AE62" i="1"/>
  <c r="AD62" i="1" s="1"/>
  <c r="AF62" i="1"/>
  <c r="AG62" i="1"/>
  <c r="AH62" i="1"/>
  <c r="CV62" i="1" s="1"/>
  <c r="U62" i="1" s="1"/>
  <c r="AI62" i="1"/>
  <c r="CW62" i="1" s="1"/>
  <c r="V62" i="1" s="1"/>
  <c r="AJ62" i="1"/>
  <c r="CR62" i="1"/>
  <c r="CS62" i="1"/>
  <c r="CT62" i="1"/>
  <c r="CU62" i="1"/>
  <c r="T62" i="1" s="1"/>
  <c r="CX62" i="1"/>
  <c r="W62" i="1" s="1"/>
  <c r="FR62" i="1"/>
  <c r="GL62" i="1"/>
  <c r="GO62" i="1"/>
  <c r="GP62" i="1"/>
  <c r="GV62" i="1"/>
  <c r="HC62" i="1"/>
  <c r="GX62" i="1" s="1"/>
  <c r="C63" i="1"/>
  <c r="D63" i="1"/>
  <c r="I63" i="1"/>
  <c r="S63" i="1"/>
  <c r="T63" i="1"/>
  <c r="U63" i="1"/>
  <c r="W63" i="1"/>
  <c r="AC63" i="1"/>
  <c r="P63" i="1" s="1"/>
  <c r="AD63" i="1"/>
  <c r="AE63" i="1"/>
  <c r="AF63" i="1"/>
  <c r="AG63" i="1"/>
  <c r="CU63" i="1" s="1"/>
  <c r="AH63" i="1"/>
  <c r="AI63" i="1"/>
  <c r="AJ63" i="1"/>
  <c r="CQ63" i="1"/>
  <c r="CR63" i="1"/>
  <c r="CT63" i="1"/>
  <c r="CV63" i="1"/>
  <c r="CW63" i="1"/>
  <c r="V63" i="1" s="1"/>
  <c r="CX63" i="1"/>
  <c r="CY63" i="1"/>
  <c r="X63" i="1" s="1"/>
  <c r="CZ63" i="1"/>
  <c r="Y63" i="1" s="1"/>
  <c r="FR63" i="1"/>
  <c r="GL63" i="1"/>
  <c r="GO63" i="1"/>
  <c r="GP63" i="1"/>
  <c r="GV63" i="1"/>
  <c r="HC63" i="1"/>
  <c r="GX63" i="1" s="1"/>
  <c r="AC64" i="1"/>
  <c r="AE64" i="1"/>
  <c r="AF64" i="1"/>
  <c r="AG64" i="1"/>
  <c r="AH64" i="1"/>
  <c r="AI64" i="1"/>
  <c r="AJ64" i="1"/>
  <c r="CT64" i="1"/>
  <c r="CU64" i="1"/>
  <c r="CV64" i="1"/>
  <c r="CW64" i="1"/>
  <c r="CX64" i="1"/>
  <c r="FR64" i="1"/>
  <c r="GL64" i="1"/>
  <c r="GO64" i="1"/>
  <c r="GP64" i="1"/>
  <c r="GV64" i="1"/>
  <c r="HC64" i="1" s="1"/>
  <c r="C65" i="1"/>
  <c r="D65" i="1"/>
  <c r="I65" i="1"/>
  <c r="Q65" i="1"/>
  <c r="T65" i="1"/>
  <c r="V65" i="1"/>
  <c r="AC65" i="1"/>
  <c r="AD65" i="1"/>
  <c r="AE65" i="1"/>
  <c r="R65" i="1" s="1"/>
  <c r="GK65" i="1" s="1"/>
  <c r="AF65" i="1"/>
  <c r="S65" i="1" s="1"/>
  <c r="CY65" i="1" s="1"/>
  <c r="X65" i="1" s="1"/>
  <c r="AG65" i="1"/>
  <c r="CU65" i="1" s="1"/>
  <c r="AH65" i="1"/>
  <c r="AI65" i="1"/>
  <c r="CW65" i="1" s="1"/>
  <c r="AJ65" i="1"/>
  <c r="CQ65" i="1"/>
  <c r="CR65" i="1"/>
  <c r="CS65" i="1"/>
  <c r="CT65" i="1"/>
  <c r="CV65" i="1"/>
  <c r="U65" i="1" s="1"/>
  <c r="CX65" i="1"/>
  <c r="FR65" i="1"/>
  <c r="GL65" i="1"/>
  <c r="GO65" i="1"/>
  <c r="GP65" i="1"/>
  <c r="GV65" i="1"/>
  <c r="GX65" i="1"/>
  <c r="HC65" i="1"/>
  <c r="AC66" i="1"/>
  <c r="AD66" i="1"/>
  <c r="AE66" i="1"/>
  <c r="AF66" i="1"/>
  <c r="CT66" i="1" s="1"/>
  <c r="AG66" i="1"/>
  <c r="CU66" i="1" s="1"/>
  <c r="AH66" i="1"/>
  <c r="AI66" i="1"/>
  <c r="AJ66" i="1"/>
  <c r="CR66" i="1"/>
  <c r="CS66" i="1"/>
  <c r="CV66" i="1"/>
  <c r="CW66" i="1"/>
  <c r="CX66" i="1"/>
  <c r="FR66" i="1"/>
  <c r="GL66" i="1"/>
  <c r="GO66" i="1"/>
  <c r="GP66" i="1"/>
  <c r="GV66" i="1"/>
  <c r="HC66" i="1" s="1"/>
  <c r="C67" i="1"/>
  <c r="D67" i="1"/>
  <c r="I67" i="1"/>
  <c r="P67" i="1"/>
  <c r="CP67" i="1" s="1"/>
  <c r="O67" i="1" s="1"/>
  <c r="Q67" i="1"/>
  <c r="S67" i="1"/>
  <c r="CY67" i="1" s="1"/>
  <c r="X67" i="1"/>
  <c r="Y67" i="1"/>
  <c r="AB67" i="1"/>
  <c r="AC67" i="1"/>
  <c r="CQ67" i="1" s="1"/>
  <c r="AE67" i="1"/>
  <c r="AD67" i="1" s="1"/>
  <c r="AF67" i="1"/>
  <c r="AG67" i="1"/>
  <c r="AH67" i="1"/>
  <c r="AI67" i="1"/>
  <c r="AJ67" i="1"/>
  <c r="CX67" i="1" s="1"/>
  <c r="W67" i="1" s="1"/>
  <c r="CR67" i="1"/>
  <c r="CS67" i="1"/>
  <c r="CT67" i="1"/>
  <c r="CU67" i="1"/>
  <c r="T67" i="1" s="1"/>
  <c r="CV67" i="1"/>
  <c r="U67" i="1" s="1"/>
  <c r="CW67" i="1"/>
  <c r="V67" i="1" s="1"/>
  <c r="CZ67" i="1"/>
  <c r="FR67" i="1"/>
  <c r="GL67" i="1"/>
  <c r="GO67" i="1"/>
  <c r="GP67" i="1"/>
  <c r="GV67" i="1"/>
  <c r="HC67" i="1" s="1"/>
  <c r="GX67" i="1" s="1"/>
  <c r="AC68" i="1"/>
  <c r="CQ68" i="1" s="1"/>
  <c r="AD68" i="1"/>
  <c r="AE68" i="1"/>
  <c r="AF68" i="1"/>
  <c r="CT68" i="1" s="1"/>
  <c r="AG68" i="1"/>
  <c r="CU68" i="1" s="1"/>
  <c r="AH68" i="1"/>
  <c r="AI68" i="1"/>
  <c r="CW68" i="1" s="1"/>
  <c r="AJ68" i="1"/>
  <c r="CR68" i="1"/>
  <c r="CV68" i="1"/>
  <c r="CX68" i="1"/>
  <c r="FR68" i="1"/>
  <c r="GL68" i="1"/>
  <c r="GO68" i="1"/>
  <c r="GP68" i="1"/>
  <c r="GV68" i="1"/>
  <c r="HC68" i="1" s="1"/>
  <c r="C69" i="1"/>
  <c r="D69" i="1"/>
  <c r="S69" i="1"/>
  <c r="CY69" i="1" s="1"/>
  <c r="X69" i="1" s="1"/>
  <c r="T69" i="1"/>
  <c r="U69" i="1"/>
  <c r="V69" i="1"/>
  <c r="AC69" i="1"/>
  <c r="P69" i="1" s="1"/>
  <c r="AD69" i="1"/>
  <c r="AB69" i="1" s="1"/>
  <c r="AE69" i="1"/>
  <c r="AF69" i="1"/>
  <c r="CT69" i="1" s="1"/>
  <c r="AG69" i="1"/>
  <c r="AH69" i="1"/>
  <c r="AI69" i="1"/>
  <c r="AJ69" i="1"/>
  <c r="CQ69" i="1"/>
  <c r="CR69" i="1"/>
  <c r="CU69" i="1"/>
  <c r="CV69" i="1"/>
  <c r="CW69" i="1"/>
  <c r="CX69" i="1"/>
  <c r="W69" i="1" s="1"/>
  <c r="CZ69" i="1"/>
  <c r="Y69" i="1" s="1"/>
  <c r="FR69" i="1"/>
  <c r="GL69" i="1"/>
  <c r="GO69" i="1"/>
  <c r="GP69" i="1"/>
  <c r="GV69" i="1"/>
  <c r="HC69" i="1" s="1"/>
  <c r="GX69" i="1"/>
  <c r="I70" i="1"/>
  <c r="V70" i="1" s="1"/>
  <c r="AC70" i="1"/>
  <c r="AD70" i="1"/>
  <c r="AB70" i="1" s="1"/>
  <c r="AE70" i="1"/>
  <c r="AF70" i="1"/>
  <c r="AG70" i="1"/>
  <c r="CU70" i="1" s="1"/>
  <c r="AH70" i="1"/>
  <c r="CV70" i="1" s="1"/>
  <c r="AI70" i="1"/>
  <c r="AJ70" i="1"/>
  <c r="CX70" i="1" s="1"/>
  <c r="CQ70" i="1"/>
  <c r="CR70" i="1"/>
  <c r="CS70" i="1"/>
  <c r="CT70" i="1"/>
  <c r="CW70" i="1"/>
  <c r="FR70" i="1"/>
  <c r="GL70" i="1"/>
  <c r="GO70" i="1"/>
  <c r="GP70" i="1"/>
  <c r="GV70" i="1"/>
  <c r="HC70" i="1"/>
  <c r="C72" i="1"/>
  <c r="D72" i="1"/>
  <c r="P72" i="1"/>
  <c r="V72" i="1"/>
  <c r="W72" i="1"/>
  <c r="AC72" i="1"/>
  <c r="AD72" i="1"/>
  <c r="AE72" i="1"/>
  <c r="R72" i="1" s="1"/>
  <c r="AF72" i="1"/>
  <c r="S72" i="1" s="1"/>
  <c r="AG72" i="1"/>
  <c r="CU72" i="1" s="1"/>
  <c r="T72" i="1" s="1"/>
  <c r="AH72" i="1"/>
  <c r="CV72" i="1" s="1"/>
  <c r="U72" i="1" s="1"/>
  <c r="AI72" i="1"/>
  <c r="CW72" i="1" s="1"/>
  <c r="AJ72" i="1"/>
  <c r="CQ72" i="1"/>
  <c r="CR72" i="1"/>
  <c r="CS72" i="1"/>
  <c r="CT72" i="1"/>
  <c r="CX72" i="1"/>
  <c r="FR72" i="1"/>
  <c r="GK72" i="1"/>
  <c r="GL72" i="1"/>
  <c r="GO72" i="1"/>
  <c r="GP72" i="1"/>
  <c r="GV72" i="1"/>
  <c r="GX72" i="1"/>
  <c r="HC72" i="1"/>
  <c r="C73" i="1"/>
  <c r="D73" i="1"/>
  <c r="P73" i="1"/>
  <c r="V73" i="1"/>
  <c r="AC73" i="1"/>
  <c r="AE73" i="1"/>
  <c r="Q73" i="1" s="1"/>
  <c r="AF73" i="1"/>
  <c r="CT73" i="1" s="1"/>
  <c r="AG73" i="1"/>
  <c r="AH73" i="1"/>
  <c r="AI73" i="1"/>
  <c r="AJ73" i="1"/>
  <c r="CR73" i="1"/>
  <c r="CU73" i="1"/>
  <c r="T73" i="1" s="1"/>
  <c r="CV73" i="1"/>
  <c r="U73" i="1" s="1"/>
  <c r="CW73" i="1"/>
  <c r="CX73" i="1"/>
  <c r="W73" i="1" s="1"/>
  <c r="FR73" i="1"/>
  <c r="GL73" i="1"/>
  <c r="GO73" i="1"/>
  <c r="GP73" i="1"/>
  <c r="GV73" i="1"/>
  <c r="HC73" i="1"/>
  <c r="GX73" i="1" s="1"/>
  <c r="C74" i="1"/>
  <c r="D74" i="1"/>
  <c r="I74" i="1"/>
  <c r="U74" i="1"/>
  <c r="V74" i="1"/>
  <c r="AC74" i="1"/>
  <c r="P74" i="1" s="1"/>
  <c r="AE74" i="1"/>
  <c r="AF74" i="1"/>
  <c r="AG74" i="1"/>
  <c r="CU74" i="1" s="1"/>
  <c r="T74" i="1" s="1"/>
  <c r="AH74" i="1"/>
  <c r="AI74" i="1"/>
  <c r="CW74" i="1" s="1"/>
  <c r="AJ74" i="1"/>
  <c r="CS74" i="1"/>
  <c r="CV74" i="1"/>
  <c r="CX74" i="1"/>
  <c r="FR74" i="1"/>
  <c r="GL74" i="1"/>
  <c r="GO74" i="1"/>
  <c r="GP74" i="1"/>
  <c r="GV74" i="1"/>
  <c r="HC74" i="1" s="1"/>
  <c r="GX74" i="1"/>
  <c r="AC75" i="1"/>
  <c r="CQ75" i="1" s="1"/>
  <c r="AD75" i="1"/>
  <c r="AE75" i="1"/>
  <c r="CS75" i="1" s="1"/>
  <c r="AF75" i="1"/>
  <c r="CT75" i="1" s="1"/>
  <c r="AG75" i="1"/>
  <c r="CU75" i="1" s="1"/>
  <c r="AH75" i="1"/>
  <c r="AI75" i="1"/>
  <c r="CW75" i="1" s="1"/>
  <c r="AJ75" i="1"/>
  <c r="CR75" i="1"/>
  <c r="CV75" i="1"/>
  <c r="CX75" i="1"/>
  <c r="FR75" i="1"/>
  <c r="GL75" i="1"/>
  <c r="GO75" i="1"/>
  <c r="GP75" i="1"/>
  <c r="GV75" i="1"/>
  <c r="HC75" i="1" s="1"/>
  <c r="C77" i="1"/>
  <c r="D77" i="1"/>
  <c r="I77" i="1"/>
  <c r="P77" i="1"/>
  <c r="Q77" i="1"/>
  <c r="AC77" i="1"/>
  <c r="CQ77" i="1" s="1"/>
  <c r="AE77" i="1"/>
  <c r="R77" i="1" s="1"/>
  <c r="GK77" i="1" s="1"/>
  <c r="AF77" i="1"/>
  <c r="S77" i="1" s="1"/>
  <c r="AG77" i="1"/>
  <c r="AH77" i="1"/>
  <c r="CV77" i="1" s="1"/>
  <c r="U77" i="1" s="1"/>
  <c r="AI77" i="1"/>
  <c r="CW77" i="1" s="1"/>
  <c r="V77" i="1" s="1"/>
  <c r="AJ77" i="1"/>
  <c r="CX77" i="1" s="1"/>
  <c r="W77" i="1" s="1"/>
  <c r="CR77" i="1"/>
  <c r="CT77" i="1"/>
  <c r="CU77" i="1"/>
  <c r="T77" i="1" s="1"/>
  <c r="FR77" i="1"/>
  <c r="GL77" i="1"/>
  <c r="GO77" i="1"/>
  <c r="GP77" i="1"/>
  <c r="GV77" i="1"/>
  <c r="HC77" i="1"/>
  <c r="GX77" i="1" s="1"/>
  <c r="C78" i="1"/>
  <c r="D78" i="1"/>
  <c r="I78" i="1"/>
  <c r="CX153" i="3" s="1"/>
  <c r="S78" i="1"/>
  <c r="CZ78" i="1" s="1"/>
  <c r="Y78" i="1" s="1"/>
  <c r="T78" i="1"/>
  <c r="U78" i="1"/>
  <c r="AC78" i="1"/>
  <c r="AD78" i="1"/>
  <c r="AE78" i="1"/>
  <c r="CS78" i="1" s="1"/>
  <c r="AF78" i="1"/>
  <c r="CT78" i="1" s="1"/>
  <c r="AG78" i="1"/>
  <c r="CU78" i="1" s="1"/>
  <c r="AH78" i="1"/>
  <c r="AI78" i="1"/>
  <c r="CW78" i="1" s="1"/>
  <c r="V78" i="1" s="1"/>
  <c r="AJ78" i="1"/>
  <c r="CQ78" i="1"/>
  <c r="CR78" i="1"/>
  <c r="CV78" i="1"/>
  <c r="CX78" i="1"/>
  <c r="W78" i="1" s="1"/>
  <c r="CY78" i="1"/>
  <c r="X78" i="1" s="1"/>
  <c r="FR78" i="1"/>
  <c r="GL78" i="1"/>
  <c r="GO78" i="1"/>
  <c r="GP78" i="1"/>
  <c r="GV78" i="1"/>
  <c r="HC78" i="1" s="1"/>
  <c r="GX78" i="1" s="1"/>
  <c r="C79" i="1"/>
  <c r="D79" i="1"/>
  <c r="I79" i="1"/>
  <c r="P79" i="1"/>
  <c r="Q79" i="1"/>
  <c r="AC79" i="1"/>
  <c r="CQ79" i="1" s="1"/>
  <c r="AE79" i="1"/>
  <c r="R79" i="1" s="1"/>
  <c r="AF79" i="1"/>
  <c r="S79" i="1" s="1"/>
  <c r="AG79" i="1"/>
  <c r="CU79" i="1" s="1"/>
  <c r="T79" i="1" s="1"/>
  <c r="AH79" i="1"/>
  <c r="CV79" i="1" s="1"/>
  <c r="U79" i="1" s="1"/>
  <c r="AI79" i="1"/>
  <c r="CW79" i="1" s="1"/>
  <c r="V79" i="1" s="1"/>
  <c r="AJ79" i="1"/>
  <c r="CX79" i="1" s="1"/>
  <c r="W79" i="1" s="1"/>
  <c r="CR79" i="1"/>
  <c r="CT79" i="1"/>
  <c r="FR79" i="1"/>
  <c r="GK79" i="1"/>
  <c r="GL79" i="1"/>
  <c r="GO79" i="1"/>
  <c r="GP79" i="1"/>
  <c r="GV79" i="1"/>
  <c r="HC79" i="1"/>
  <c r="GX79" i="1" s="1"/>
  <c r="I80" i="1"/>
  <c r="V80" i="1"/>
  <c r="AC80" i="1"/>
  <c r="P80" i="1" s="1"/>
  <c r="AE80" i="1"/>
  <c r="AF80" i="1"/>
  <c r="AG80" i="1"/>
  <c r="CU80" i="1" s="1"/>
  <c r="T80" i="1" s="1"/>
  <c r="AH80" i="1"/>
  <c r="CV80" i="1" s="1"/>
  <c r="U80" i="1" s="1"/>
  <c r="AI80" i="1"/>
  <c r="CW80" i="1" s="1"/>
  <c r="AJ80" i="1"/>
  <c r="CR80" i="1"/>
  <c r="CX80" i="1"/>
  <c r="FR80" i="1"/>
  <c r="BY107" i="1" s="1"/>
  <c r="GL80" i="1"/>
  <c r="GO80" i="1"/>
  <c r="GP80" i="1"/>
  <c r="GV80" i="1"/>
  <c r="HC80" i="1" s="1"/>
  <c r="GX80" i="1" s="1"/>
  <c r="C81" i="1"/>
  <c r="D81" i="1"/>
  <c r="I81" i="1"/>
  <c r="Q81" i="1"/>
  <c r="R81" i="1"/>
  <c r="GK81" i="1" s="1"/>
  <c r="S81" i="1"/>
  <c r="CY81" i="1" s="1"/>
  <c r="X81" i="1" s="1"/>
  <c r="AB81" i="1"/>
  <c r="AC81" i="1"/>
  <c r="CQ81" i="1" s="1"/>
  <c r="AD81" i="1"/>
  <c r="AE81" i="1"/>
  <c r="CS81" i="1" s="1"/>
  <c r="AF81" i="1"/>
  <c r="AG81" i="1"/>
  <c r="CU81" i="1" s="1"/>
  <c r="T81" i="1" s="1"/>
  <c r="AH81" i="1"/>
  <c r="AI81" i="1"/>
  <c r="AJ81" i="1"/>
  <c r="CX81" i="1" s="1"/>
  <c r="W81" i="1" s="1"/>
  <c r="CR81" i="1"/>
  <c r="CT81" i="1"/>
  <c r="CV81" i="1"/>
  <c r="U81" i="1" s="1"/>
  <c r="CW81" i="1"/>
  <c r="V81" i="1" s="1"/>
  <c r="FR81" i="1"/>
  <c r="GL81" i="1"/>
  <c r="GO81" i="1"/>
  <c r="GP81" i="1"/>
  <c r="GV81" i="1"/>
  <c r="HC81" i="1"/>
  <c r="GX81" i="1" s="1"/>
  <c r="I82" i="1"/>
  <c r="P82" i="1"/>
  <c r="CP82" i="1" s="1"/>
  <c r="O82" i="1" s="1"/>
  <c r="Q82" i="1"/>
  <c r="AC82" i="1"/>
  <c r="CQ82" i="1" s="1"/>
  <c r="AE82" i="1"/>
  <c r="R82" i="1" s="1"/>
  <c r="GK82" i="1" s="1"/>
  <c r="AF82" i="1"/>
  <c r="S82" i="1" s="1"/>
  <c r="AG82" i="1"/>
  <c r="AH82" i="1"/>
  <c r="CV82" i="1" s="1"/>
  <c r="U82" i="1" s="1"/>
  <c r="AI82" i="1"/>
  <c r="CW82" i="1" s="1"/>
  <c r="V82" i="1" s="1"/>
  <c r="AJ82" i="1"/>
  <c r="CX82" i="1" s="1"/>
  <c r="W82" i="1" s="1"/>
  <c r="CR82" i="1"/>
  <c r="CT82" i="1"/>
  <c r="CU82" i="1"/>
  <c r="T82" i="1" s="1"/>
  <c r="FR82" i="1"/>
  <c r="GL82" i="1"/>
  <c r="GO82" i="1"/>
  <c r="GP82" i="1"/>
  <c r="GV82" i="1"/>
  <c r="HC82" i="1"/>
  <c r="GX82" i="1" s="1"/>
  <c r="C84" i="1"/>
  <c r="D84" i="1"/>
  <c r="I84" i="1"/>
  <c r="I85" i="1" s="1"/>
  <c r="S85" i="1" s="1"/>
  <c r="S84" i="1"/>
  <c r="CZ84" i="1" s="1"/>
  <c r="Y84" i="1" s="1"/>
  <c r="U84" i="1"/>
  <c r="AC84" i="1"/>
  <c r="AD84" i="1"/>
  <c r="AE84" i="1"/>
  <c r="CS84" i="1" s="1"/>
  <c r="AF84" i="1"/>
  <c r="CT84" i="1" s="1"/>
  <c r="AG84" i="1"/>
  <c r="CU84" i="1" s="1"/>
  <c r="T84" i="1" s="1"/>
  <c r="AH84" i="1"/>
  <c r="AI84" i="1"/>
  <c r="CW84" i="1" s="1"/>
  <c r="V84" i="1" s="1"/>
  <c r="AJ84" i="1"/>
  <c r="CQ84" i="1"/>
  <c r="CR84" i="1"/>
  <c r="CV84" i="1"/>
  <c r="CX84" i="1"/>
  <c r="W84" i="1" s="1"/>
  <c r="CY84" i="1"/>
  <c r="X84" i="1" s="1"/>
  <c r="FR84" i="1"/>
  <c r="GL84" i="1"/>
  <c r="GO84" i="1"/>
  <c r="GP84" i="1"/>
  <c r="GV84" i="1"/>
  <c r="HC84" i="1" s="1"/>
  <c r="GX84" i="1" s="1"/>
  <c r="R85" i="1"/>
  <c r="GK85" i="1" s="1"/>
  <c r="AB85" i="1"/>
  <c r="AC85" i="1"/>
  <c r="CQ85" i="1" s="1"/>
  <c r="AD85" i="1"/>
  <c r="AE85" i="1"/>
  <c r="CS85" i="1" s="1"/>
  <c r="AF85" i="1"/>
  <c r="AG85" i="1"/>
  <c r="CU85" i="1" s="1"/>
  <c r="AH85" i="1"/>
  <c r="AI85" i="1"/>
  <c r="AJ85" i="1"/>
  <c r="CX85" i="1" s="1"/>
  <c r="CR85" i="1"/>
  <c r="CT85" i="1"/>
  <c r="CV85" i="1"/>
  <c r="U85" i="1" s="1"/>
  <c r="CW85" i="1"/>
  <c r="V85" i="1" s="1"/>
  <c r="FR85" i="1"/>
  <c r="GL85" i="1"/>
  <c r="GO85" i="1"/>
  <c r="GP85" i="1"/>
  <c r="GV85" i="1"/>
  <c r="HC85" i="1"/>
  <c r="GX85" i="1" s="1"/>
  <c r="I86" i="1"/>
  <c r="P86" i="1"/>
  <c r="CP86" i="1" s="1"/>
  <c r="O86" i="1" s="1"/>
  <c r="Q86" i="1"/>
  <c r="W86" i="1"/>
  <c r="AC86" i="1"/>
  <c r="AE86" i="1"/>
  <c r="R86" i="1" s="1"/>
  <c r="GK86" i="1" s="1"/>
  <c r="AF86" i="1"/>
  <c r="S86" i="1" s="1"/>
  <c r="AG86" i="1"/>
  <c r="AH86" i="1"/>
  <c r="CV86" i="1" s="1"/>
  <c r="U86" i="1" s="1"/>
  <c r="AI86" i="1"/>
  <c r="CW86" i="1" s="1"/>
  <c r="V86" i="1" s="1"/>
  <c r="AJ86" i="1"/>
  <c r="CR86" i="1"/>
  <c r="CT86" i="1"/>
  <c r="CU86" i="1"/>
  <c r="T86" i="1" s="1"/>
  <c r="CX86" i="1"/>
  <c r="FR86" i="1"/>
  <c r="GL86" i="1"/>
  <c r="GO86" i="1"/>
  <c r="GP86" i="1"/>
  <c r="GV86" i="1"/>
  <c r="HC86" i="1"/>
  <c r="GX86" i="1" s="1"/>
  <c r="C87" i="1"/>
  <c r="D87" i="1"/>
  <c r="I87" i="1"/>
  <c r="S87" i="1"/>
  <c r="U87" i="1"/>
  <c r="AC87" i="1"/>
  <c r="CQ87" i="1" s="1"/>
  <c r="AD87" i="1"/>
  <c r="AE87" i="1"/>
  <c r="CS87" i="1" s="1"/>
  <c r="AF87" i="1"/>
  <c r="AG87" i="1"/>
  <c r="CU87" i="1" s="1"/>
  <c r="T87" i="1" s="1"/>
  <c r="AH87" i="1"/>
  <c r="AI87" i="1"/>
  <c r="CW87" i="1" s="1"/>
  <c r="V87" i="1" s="1"/>
  <c r="AJ87" i="1"/>
  <c r="CR87" i="1"/>
  <c r="CT87" i="1"/>
  <c r="CV87" i="1"/>
  <c r="CX87" i="1"/>
  <c r="W87" i="1" s="1"/>
  <c r="CY87" i="1"/>
  <c r="X87" i="1" s="1"/>
  <c r="CZ87" i="1"/>
  <c r="Y87" i="1" s="1"/>
  <c r="FR87" i="1"/>
  <c r="GL87" i="1"/>
  <c r="GO87" i="1"/>
  <c r="GP87" i="1"/>
  <c r="GV87" i="1"/>
  <c r="HC87" i="1" s="1"/>
  <c r="GX87" i="1" s="1"/>
  <c r="C88" i="1"/>
  <c r="D88" i="1"/>
  <c r="I88" i="1"/>
  <c r="CX174" i="3" s="1"/>
  <c r="P88" i="1"/>
  <c r="CP88" i="1" s="1"/>
  <c r="O88" i="1" s="1"/>
  <c r="Q88" i="1"/>
  <c r="W88" i="1"/>
  <c r="AC88" i="1"/>
  <c r="AE88" i="1"/>
  <c r="R88" i="1" s="1"/>
  <c r="AF88" i="1"/>
  <c r="S88" i="1" s="1"/>
  <c r="AG88" i="1"/>
  <c r="CU88" i="1" s="1"/>
  <c r="T88" i="1" s="1"/>
  <c r="AH88" i="1"/>
  <c r="AI88" i="1"/>
  <c r="CW88" i="1" s="1"/>
  <c r="V88" i="1" s="1"/>
  <c r="AJ88" i="1"/>
  <c r="CR88" i="1"/>
  <c r="CT88" i="1"/>
  <c r="CV88" i="1"/>
  <c r="U88" i="1" s="1"/>
  <c r="CX88" i="1"/>
  <c r="FR88" i="1"/>
  <c r="GK88" i="1"/>
  <c r="GL88" i="1"/>
  <c r="GO88" i="1"/>
  <c r="GP88" i="1"/>
  <c r="GV88" i="1"/>
  <c r="HC88" i="1"/>
  <c r="GX88" i="1" s="1"/>
  <c r="C89" i="1"/>
  <c r="D89" i="1"/>
  <c r="I89" i="1"/>
  <c r="I90" i="1" s="1"/>
  <c r="S90" i="1" s="1"/>
  <c r="S89" i="1"/>
  <c r="T89" i="1"/>
  <c r="U89" i="1"/>
  <c r="AC89" i="1"/>
  <c r="AE89" i="1"/>
  <c r="AF89" i="1"/>
  <c r="AG89" i="1"/>
  <c r="CU89" i="1" s="1"/>
  <c r="AH89" i="1"/>
  <c r="AI89" i="1"/>
  <c r="CW89" i="1" s="1"/>
  <c r="V89" i="1" s="1"/>
  <c r="AJ89" i="1"/>
  <c r="CR89" i="1"/>
  <c r="CT89" i="1"/>
  <c r="CV89" i="1"/>
  <c r="CX89" i="1"/>
  <c r="W89" i="1" s="1"/>
  <c r="CY89" i="1"/>
  <c r="X89" i="1" s="1"/>
  <c r="CZ89" i="1"/>
  <c r="Y89" i="1" s="1"/>
  <c r="FR89" i="1"/>
  <c r="GL89" i="1"/>
  <c r="GO89" i="1"/>
  <c r="GP89" i="1"/>
  <c r="GV89" i="1"/>
  <c r="HC89" i="1" s="1"/>
  <c r="GX89" i="1" s="1"/>
  <c r="Q90" i="1"/>
  <c r="R90" i="1"/>
  <c r="GK90" i="1" s="1"/>
  <c r="AC90" i="1"/>
  <c r="AE90" i="1"/>
  <c r="AD90" i="1" s="1"/>
  <c r="AF90" i="1"/>
  <c r="AG90" i="1"/>
  <c r="CU90" i="1" s="1"/>
  <c r="T90" i="1" s="1"/>
  <c r="AH90" i="1"/>
  <c r="AI90" i="1"/>
  <c r="AJ90" i="1"/>
  <c r="CX90" i="1" s="1"/>
  <c r="W90" i="1" s="1"/>
  <c r="CR90" i="1"/>
  <c r="CT90" i="1"/>
  <c r="CV90" i="1"/>
  <c r="U90" i="1" s="1"/>
  <c r="CW90" i="1"/>
  <c r="V90" i="1" s="1"/>
  <c r="FR90" i="1"/>
  <c r="GL90" i="1"/>
  <c r="GO90" i="1"/>
  <c r="GP90" i="1"/>
  <c r="GV90" i="1"/>
  <c r="HC90" i="1"/>
  <c r="C91" i="1"/>
  <c r="D91" i="1"/>
  <c r="P91" i="1"/>
  <c r="V91" i="1"/>
  <c r="AC91" i="1"/>
  <c r="AD91" i="1"/>
  <c r="AE91" i="1"/>
  <c r="Q91" i="1" s="1"/>
  <c r="AF91" i="1"/>
  <c r="S91" i="1" s="1"/>
  <c r="CZ91" i="1" s="1"/>
  <c r="Y91" i="1" s="1"/>
  <c r="AG91" i="1"/>
  <c r="AH91" i="1"/>
  <c r="CV91" i="1" s="1"/>
  <c r="U91" i="1" s="1"/>
  <c r="AI91" i="1"/>
  <c r="AJ91" i="1"/>
  <c r="CX91" i="1" s="1"/>
  <c r="W91" i="1" s="1"/>
  <c r="CQ91" i="1"/>
  <c r="CR91" i="1"/>
  <c r="CS91" i="1"/>
  <c r="CT91" i="1"/>
  <c r="CU91" i="1"/>
  <c r="T91" i="1" s="1"/>
  <c r="CW91" i="1"/>
  <c r="FR91" i="1"/>
  <c r="GL91" i="1"/>
  <c r="GO91" i="1"/>
  <c r="GP91" i="1"/>
  <c r="GV91" i="1"/>
  <c r="GX91" i="1"/>
  <c r="HC91" i="1"/>
  <c r="I92" i="1"/>
  <c r="T92" i="1" s="1"/>
  <c r="R92" i="1"/>
  <c r="GK92" i="1" s="1"/>
  <c r="V92" i="1"/>
  <c r="AC92" i="1"/>
  <c r="P92" i="1" s="1"/>
  <c r="AE92" i="1"/>
  <c r="AD92" i="1" s="1"/>
  <c r="AB92" i="1" s="1"/>
  <c r="AF92" i="1"/>
  <c r="AG92" i="1"/>
  <c r="AH92" i="1"/>
  <c r="CV92" i="1" s="1"/>
  <c r="U92" i="1" s="1"/>
  <c r="AI92" i="1"/>
  <c r="AJ92" i="1"/>
  <c r="CX92" i="1" s="1"/>
  <c r="W92" i="1" s="1"/>
  <c r="CQ92" i="1"/>
  <c r="CS92" i="1"/>
  <c r="CU92" i="1"/>
  <c r="CW92" i="1"/>
  <c r="FR92" i="1"/>
  <c r="GL92" i="1"/>
  <c r="GO92" i="1"/>
  <c r="GP92" i="1"/>
  <c r="GV92" i="1"/>
  <c r="HC92" i="1" s="1"/>
  <c r="I93" i="1"/>
  <c r="P93" i="1"/>
  <c r="Q93" i="1"/>
  <c r="R93" i="1"/>
  <c r="GK93" i="1" s="1"/>
  <c r="S93" i="1"/>
  <c r="CZ93" i="1" s="1"/>
  <c r="Y93" i="1" s="1"/>
  <c r="AC93" i="1"/>
  <c r="AD93" i="1"/>
  <c r="AE93" i="1"/>
  <c r="AF93" i="1"/>
  <c r="CT93" i="1" s="1"/>
  <c r="AG93" i="1"/>
  <c r="AH93" i="1"/>
  <c r="AI93" i="1"/>
  <c r="AJ93" i="1"/>
  <c r="CQ93" i="1"/>
  <c r="CR93" i="1"/>
  <c r="CS93" i="1"/>
  <c r="CU93" i="1"/>
  <c r="T93" i="1" s="1"/>
  <c r="CV93" i="1"/>
  <c r="U93" i="1" s="1"/>
  <c r="CW93" i="1"/>
  <c r="V93" i="1" s="1"/>
  <c r="CX93" i="1"/>
  <c r="W93" i="1" s="1"/>
  <c r="CY93" i="1"/>
  <c r="X93" i="1" s="1"/>
  <c r="FR93" i="1"/>
  <c r="GL93" i="1"/>
  <c r="GO93" i="1"/>
  <c r="GP93" i="1"/>
  <c r="GV93" i="1"/>
  <c r="HC93" i="1" s="1"/>
  <c r="GX93" i="1" s="1"/>
  <c r="I94" i="1"/>
  <c r="AB94" i="1"/>
  <c r="AC94" i="1"/>
  <c r="AD94" i="1"/>
  <c r="AE94" i="1"/>
  <c r="AF94" i="1"/>
  <c r="AG94" i="1"/>
  <c r="AH94" i="1"/>
  <c r="AI94" i="1"/>
  <c r="AJ94" i="1"/>
  <c r="CX94" i="1" s="1"/>
  <c r="W94" i="1" s="1"/>
  <c r="CQ94" i="1"/>
  <c r="CR94" i="1"/>
  <c r="CS94" i="1"/>
  <c r="CT94" i="1"/>
  <c r="CU94" i="1"/>
  <c r="CV94" i="1"/>
  <c r="CW94" i="1"/>
  <c r="FR94" i="1"/>
  <c r="GL94" i="1"/>
  <c r="GO94" i="1"/>
  <c r="GP94" i="1"/>
  <c r="CD107" i="1" s="1"/>
  <c r="GV94" i="1"/>
  <c r="HC94" i="1"/>
  <c r="GX94" i="1" s="1"/>
  <c r="C95" i="1"/>
  <c r="D95" i="1"/>
  <c r="I95" i="1"/>
  <c r="S95" i="1"/>
  <c r="AC95" i="1"/>
  <c r="AE95" i="1"/>
  <c r="CS95" i="1" s="1"/>
  <c r="AF95" i="1"/>
  <c r="CT95" i="1" s="1"/>
  <c r="AG95" i="1"/>
  <c r="AH95" i="1"/>
  <c r="CV95" i="1" s="1"/>
  <c r="U95" i="1" s="1"/>
  <c r="AI95" i="1"/>
  <c r="AJ95" i="1"/>
  <c r="CX95" i="1" s="1"/>
  <c r="W95" i="1" s="1"/>
  <c r="CQ95" i="1"/>
  <c r="CU95" i="1"/>
  <c r="T95" i="1" s="1"/>
  <c r="CW95" i="1"/>
  <c r="V95" i="1" s="1"/>
  <c r="FR95" i="1"/>
  <c r="GL95" i="1"/>
  <c r="GO95" i="1"/>
  <c r="GP95" i="1"/>
  <c r="GV95" i="1"/>
  <c r="HC95" i="1" s="1"/>
  <c r="GX95" i="1"/>
  <c r="I96" i="1"/>
  <c r="R96" i="1" s="1"/>
  <c r="GK96" i="1" s="1"/>
  <c r="Q96" i="1"/>
  <c r="T96" i="1"/>
  <c r="AC96" i="1"/>
  <c r="CQ96" i="1" s="1"/>
  <c r="AD96" i="1"/>
  <c r="AE96" i="1"/>
  <c r="AF96" i="1"/>
  <c r="CT96" i="1" s="1"/>
  <c r="AG96" i="1"/>
  <c r="AH96" i="1"/>
  <c r="AI96" i="1"/>
  <c r="AJ96" i="1"/>
  <c r="CR96" i="1"/>
  <c r="CS96" i="1"/>
  <c r="CU96" i="1"/>
  <c r="CV96" i="1"/>
  <c r="CW96" i="1"/>
  <c r="V96" i="1" s="1"/>
  <c r="CX96" i="1"/>
  <c r="W96" i="1" s="1"/>
  <c r="FR96" i="1"/>
  <c r="GL96" i="1"/>
  <c r="GO96" i="1"/>
  <c r="GP96" i="1"/>
  <c r="GV96" i="1"/>
  <c r="HC96" i="1" s="1"/>
  <c r="GX96" i="1"/>
  <c r="C98" i="1"/>
  <c r="D98" i="1"/>
  <c r="I98" i="1"/>
  <c r="P98" i="1" s="1"/>
  <c r="T98" i="1"/>
  <c r="U98" i="1"/>
  <c r="AC98" i="1"/>
  <c r="AE98" i="1"/>
  <c r="AF98" i="1"/>
  <c r="S98" i="1" s="1"/>
  <c r="AG98" i="1"/>
  <c r="AH98" i="1"/>
  <c r="AI98" i="1"/>
  <c r="AJ98" i="1"/>
  <c r="CX98" i="1" s="1"/>
  <c r="CQ98" i="1"/>
  <c r="CS98" i="1"/>
  <c r="CU98" i="1"/>
  <c r="CV98" i="1"/>
  <c r="CW98" i="1"/>
  <c r="V98" i="1" s="1"/>
  <c r="FR98" i="1"/>
  <c r="GL98" i="1"/>
  <c r="GO98" i="1"/>
  <c r="GP98" i="1"/>
  <c r="GV98" i="1"/>
  <c r="HC98" i="1"/>
  <c r="GX98" i="1" s="1"/>
  <c r="I99" i="1"/>
  <c r="V99" i="1"/>
  <c r="W99" i="1"/>
  <c r="AC99" i="1"/>
  <c r="AE99" i="1"/>
  <c r="AD99" i="1" s="1"/>
  <c r="AF99" i="1"/>
  <c r="AG99" i="1"/>
  <c r="CU99" i="1" s="1"/>
  <c r="T99" i="1" s="1"/>
  <c r="AH99" i="1"/>
  <c r="CV99" i="1" s="1"/>
  <c r="U99" i="1" s="1"/>
  <c r="AI99" i="1"/>
  <c r="AJ99" i="1"/>
  <c r="CR99" i="1"/>
  <c r="CS99" i="1"/>
  <c r="CT99" i="1"/>
  <c r="CW99" i="1"/>
  <c r="CX99" i="1"/>
  <c r="FR99" i="1"/>
  <c r="GL99" i="1"/>
  <c r="GO99" i="1"/>
  <c r="GP99" i="1"/>
  <c r="GV99" i="1"/>
  <c r="HC99" i="1" s="1"/>
  <c r="C100" i="1"/>
  <c r="D100" i="1"/>
  <c r="I100" i="1"/>
  <c r="V100" i="1"/>
  <c r="AC100" i="1"/>
  <c r="AD100" i="1"/>
  <c r="AE100" i="1"/>
  <c r="AF100" i="1"/>
  <c r="AG100" i="1"/>
  <c r="CU100" i="1" s="1"/>
  <c r="T100" i="1" s="1"/>
  <c r="AH100" i="1"/>
  <c r="AI100" i="1"/>
  <c r="AJ100" i="1"/>
  <c r="CX100" i="1" s="1"/>
  <c r="W100" i="1" s="1"/>
  <c r="CQ100" i="1"/>
  <c r="CR100" i="1"/>
  <c r="CS100" i="1"/>
  <c r="CT100" i="1"/>
  <c r="CV100" i="1"/>
  <c r="CW100" i="1"/>
  <c r="FR100" i="1"/>
  <c r="GL100" i="1"/>
  <c r="GO100" i="1"/>
  <c r="GP100" i="1"/>
  <c r="GV100" i="1"/>
  <c r="GX100" i="1"/>
  <c r="HC100" i="1"/>
  <c r="AC101" i="1"/>
  <c r="AD101" i="1"/>
  <c r="AB101" i="1" s="1"/>
  <c r="AE101" i="1"/>
  <c r="AF101" i="1"/>
  <c r="AG101" i="1"/>
  <c r="AH101" i="1"/>
  <c r="CV101" i="1" s="1"/>
  <c r="AI101" i="1"/>
  <c r="AJ101" i="1"/>
  <c r="CX101" i="1" s="1"/>
  <c r="CQ101" i="1"/>
  <c r="CR101" i="1"/>
  <c r="CT101" i="1"/>
  <c r="CU101" i="1"/>
  <c r="CW101" i="1"/>
  <c r="FR101" i="1"/>
  <c r="GL101" i="1"/>
  <c r="GO101" i="1"/>
  <c r="GP101" i="1"/>
  <c r="GV101" i="1"/>
  <c r="HC101" i="1" s="1"/>
  <c r="C102" i="1"/>
  <c r="D102" i="1"/>
  <c r="AC102" i="1"/>
  <c r="AB102" i="1" s="1"/>
  <c r="AD102" i="1"/>
  <c r="AE102" i="1"/>
  <c r="AF102" i="1"/>
  <c r="AG102" i="1"/>
  <c r="AH102" i="1"/>
  <c r="CV102" i="1" s="1"/>
  <c r="AI102" i="1"/>
  <c r="CW102" i="1" s="1"/>
  <c r="AJ102" i="1"/>
  <c r="CQ102" i="1"/>
  <c r="CR102" i="1"/>
  <c r="CS102" i="1"/>
  <c r="CU102" i="1"/>
  <c r="CX102" i="1"/>
  <c r="FR102" i="1"/>
  <c r="GL102" i="1"/>
  <c r="GO102" i="1"/>
  <c r="GP102" i="1"/>
  <c r="GV102" i="1"/>
  <c r="HC102" i="1"/>
  <c r="AC103" i="1"/>
  <c r="AD103" i="1"/>
  <c r="AE103" i="1"/>
  <c r="AF103" i="1"/>
  <c r="AG103" i="1"/>
  <c r="CU103" i="1" s="1"/>
  <c r="AH103" i="1"/>
  <c r="AI103" i="1"/>
  <c r="AJ103" i="1"/>
  <c r="CX103" i="1" s="1"/>
  <c r="CQ103" i="1"/>
  <c r="CR103" i="1"/>
  <c r="CS103" i="1"/>
  <c r="CV103" i="1"/>
  <c r="CW103" i="1"/>
  <c r="FR103" i="1"/>
  <c r="GL103" i="1"/>
  <c r="GO103" i="1"/>
  <c r="GP103" i="1"/>
  <c r="GV103" i="1"/>
  <c r="HC103" i="1"/>
  <c r="C104" i="1"/>
  <c r="D104" i="1"/>
  <c r="AC104" i="1"/>
  <c r="AB104" i="1" s="1"/>
  <c r="AE104" i="1"/>
  <c r="AD104" i="1" s="1"/>
  <c r="AF104" i="1"/>
  <c r="CT104" i="1" s="1"/>
  <c r="AG104" i="1"/>
  <c r="AH104" i="1"/>
  <c r="CV104" i="1" s="1"/>
  <c r="AI104" i="1"/>
  <c r="AJ104" i="1"/>
  <c r="CX104" i="1" s="1"/>
  <c r="CR104" i="1"/>
  <c r="CS104" i="1"/>
  <c r="CU104" i="1"/>
  <c r="CW104" i="1"/>
  <c r="FR104" i="1"/>
  <c r="GL104" i="1"/>
  <c r="GO104" i="1"/>
  <c r="CC107" i="1" s="1"/>
  <c r="GP104" i="1"/>
  <c r="GV104" i="1"/>
  <c r="HC104" i="1" s="1"/>
  <c r="AC105" i="1"/>
  <c r="AB105" i="1" s="1"/>
  <c r="AD105" i="1"/>
  <c r="AE105" i="1"/>
  <c r="AF105" i="1"/>
  <c r="AG105" i="1"/>
  <c r="AH105" i="1"/>
  <c r="AI105" i="1"/>
  <c r="CW105" i="1" s="1"/>
  <c r="AJ105" i="1"/>
  <c r="CQ105" i="1"/>
  <c r="CR105" i="1"/>
  <c r="CS105" i="1"/>
  <c r="CU105" i="1"/>
  <c r="CV105" i="1"/>
  <c r="CX105" i="1"/>
  <c r="FR105" i="1"/>
  <c r="GL105" i="1"/>
  <c r="GO105" i="1"/>
  <c r="GP105" i="1"/>
  <c r="GV105" i="1"/>
  <c r="HC105" i="1"/>
  <c r="B107" i="1"/>
  <c r="B26" i="1" s="1"/>
  <c r="C107" i="1"/>
  <c r="C26" i="1" s="1"/>
  <c r="D107" i="1"/>
  <c r="D26" i="1" s="1"/>
  <c r="F107" i="1"/>
  <c r="F26" i="1" s="1"/>
  <c r="G107" i="1"/>
  <c r="G26" i="1" s="1"/>
  <c r="BB107" i="1"/>
  <c r="BX107" i="1"/>
  <c r="BX26" i="1" s="1"/>
  <c r="CK107" i="1"/>
  <c r="CK26" i="1" s="1"/>
  <c r="CL107" i="1"/>
  <c r="CL26" i="1" s="1"/>
  <c r="CM107" i="1"/>
  <c r="CM26" i="1" s="1"/>
  <c r="D140" i="1"/>
  <c r="B142" i="1"/>
  <c r="E142" i="1"/>
  <c r="Z142" i="1"/>
  <c r="AA142" i="1"/>
  <c r="AM142" i="1"/>
  <c r="AN142" i="1"/>
  <c r="BE142" i="1"/>
  <c r="BF142" i="1"/>
  <c r="BG142" i="1"/>
  <c r="BH142" i="1"/>
  <c r="BI142" i="1"/>
  <c r="BJ142" i="1"/>
  <c r="BK142" i="1"/>
  <c r="BL142" i="1"/>
  <c r="BM142" i="1"/>
  <c r="BN142" i="1"/>
  <c r="BO142" i="1"/>
  <c r="BP142" i="1"/>
  <c r="BQ142" i="1"/>
  <c r="BR142" i="1"/>
  <c r="BS142" i="1"/>
  <c r="BT142" i="1"/>
  <c r="BU142" i="1"/>
  <c r="BV142" i="1"/>
  <c r="BW142" i="1"/>
  <c r="CB142" i="1"/>
  <c r="CN142" i="1"/>
  <c r="CO142" i="1"/>
  <c r="CP142" i="1"/>
  <c r="CQ142" i="1"/>
  <c r="CR142" i="1"/>
  <c r="CS142" i="1"/>
  <c r="CT142" i="1"/>
  <c r="CU142" i="1"/>
  <c r="CV142" i="1"/>
  <c r="CW142" i="1"/>
  <c r="CX142" i="1"/>
  <c r="CY142" i="1"/>
  <c r="CZ142" i="1"/>
  <c r="DA142" i="1"/>
  <c r="DB142" i="1"/>
  <c r="DC142" i="1"/>
  <c r="DD142" i="1"/>
  <c r="DE142" i="1"/>
  <c r="DF142" i="1"/>
  <c r="DG142" i="1"/>
  <c r="DH142" i="1"/>
  <c r="DI142" i="1"/>
  <c r="DJ142" i="1"/>
  <c r="DK142" i="1"/>
  <c r="DL142" i="1"/>
  <c r="DM142" i="1"/>
  <c r="DN142" i="1"/>
  <c r="DO142" i="1"/>
  <c r="DP142" i="1"/>
  <c r="DQ142" i="1"/>
  <c r="DR142" i="1"/>
  <c r="DS142" i="1"/>
  <c r="DT142" i="1"/>
  <c r="DU142" i="1"/>
  <c r="DV142" i="1"/>
  <c r="DW142" i="1"/>
  <c r="DX142" i="1"/>
  <c r="DY142" i="1"/>
  <c r="DZ142" i="1"/>
  <c r="EA142" i="1"/>
  <c r="EB142" i="1"/>
  <c r="EC142" i="1"/>
  <c r="ED142" i="1"/>
  <c r="EE142" i="1"/>
  <c r="EF142" i="1"/>
  <c r="EG142" i="1"/>
  <c r="EH142" i="1"/>
  <c r="EI142" i="1"/>
  <c r="EJ142" i="1"/>
  <c r="EK142" i="1"/>
  <c r="EL142" i="1"/>
  <c r="EM142" i="1"/>
  <c r="EN142" i="1"/>
  <c r="EO142" i="1"/>
  <c r="EP142" i="1"/>
  <c r="EQ142" i="1"/>
  <c r="ER142" i="1"/>
  <c r="ES142" i="1"/>
  <c r="ET142" i="1"/>
  <c r="EU142" i="1"/>
  <c r="EV142" i="1"/>
  <c r="EW142" i="1"/>
  <c r="EX142" i="1"/>
  <c r="EY142" i="1"/>
  <c r="EZ142" i="1"/>
  <c r="FA142" i="1"/>
  <c r="FB142" i="1"/>
  <c r="FC142" i="1"/>
  <c r="FD142" i="1"/>
  <c r="FE142" i="1"/>
  <c r="FF142" i="1"/>
  <c r="FG142" i="1"/>
  <c r="FH142" i="1"/>
  <c r="FI142" i="1"/>
  <c r="FJ142" i="1"/>
  <c r="FK142" i="1"/>
  <c r="FL142" i="1"/>
  <c r="FM142" i="1"/>
  <c r="FN142" i="1"/>
  <c r="FO142" i="1"/>
  <c r="FP142" i="1"/>
  <c r="FQ142" i="1"/>
  <c r="FR142" i="1"/>
  <c r="FS142" i="1"/>
  <c r="FT142" i="1"/>
  <c r="FU142" i="1"/>
  <c r="FV142" i="1"/>
  <c r="FW142" i="1"/>
  <c r="FX142" i="1"/>
  <c r="FY142" i="1"/>
  <c r="FZ142" i="1"/>
  <c r="GA142" i="1"/>
  <c r="GB142" i="1"/>
  <c r="GC142" i="1"/>
  <c r="GD142" i="1"/>
  <c r="GE142" i="1"/>
  <c r="GF142" i="1"/>
  <c r="GG142" i="1"/>
  <c r="GH142" i="1"/>
  <c r="GI142" i="1"/>
  <c r="GJ142" i="1"/>
  <c r="GK142" i="1"/>
  <c r="GL142" i="1"/>
  <c r="GM142" i="1"/>
  <c r="GN142" i="1"/>
  <c r="GO142" i="1"/>
  <c r="GP142" i="1"/>
  <c r="GQ142" i="1"/>
  <c r="GR142" i="1"/>
  <c r="GS142" i="1"/>
  <c r="GT142" i="1"/>
  <c r="GU142" i="1"/>
  <c r="GV142" i="1"/>
  <c r="GW142" i="1"/>
  <c r="GX142" i="1"/>
  <c r="C144" i="1"/>
  <c r="D144" i="1"/>
  <c r="AC144" i="1"/>
  <c r="AE144" i="1"/>
  <c r="CR144" i="1" s="1"/>
  <c r="AF144" i="1"/>
  <c r="AG144" i="1"/>
  <c r="AH144" i="1"/>
  <c r="AI144" i="1"/>
  <c r="AJ144" i="1"/>
  <c r="CX144" i="1" s="1"/>
  <c r="CQ144" i="1"/>
  <c r="CU144" i="1"/>
  <c r="CV144" i="1"/>
  <c r="CW144" i="1"/>
  <c r="FR144" i="1"/>
  <c r="GL144" i="1"/>
  <c r="GN144" i="1"/>
  <c r="GO144" i="1"/>
  <c r="GV144" i="1"/>
  <c r="HC144" i="1"/>
  <c r="D145" i="1"/>
  <c r="AC145" i="1"/>
  <c r="AD145" i="1"/>
  <c r="AE145" i="1"/>
  <c r="CS145" i="1" s="1"/>
  <c r="AF145" i="1"/>
  <c r="AG145" i="1"/>
  <c r="CU145" i="1" s="1"/>
  <c r="AH145" i="1"/>
  <c r="CV145" i="1" s="1"/>
  <c r="AI145" i="1"/>
  <c r="AJ145" i="1"/>
  <c r="CQ145" i="1"/>
  <c r="CR145" i="1"/>
  <c r="CT145" i="1"/>
  <c r="CW145" i="1"/>
  <c r="CX145" i="1"/>
  <c r="FR145" i="1"/>
  <c r="GL145" i="1"/>
  <c r="GN145" i="1"/>
  <c r="GO145" i="1"/>
  <c r="GV145" i="1"/>
  <c r="HC145" i="1" s="1"/>
  <c r="B147" i="1"/>
  <c r="C147" i="1"/>
  <c r="C142" i="1" s="1"/>
  <c r="D147" i="1"/>
  <c r="D142" i="1" s="1"/>
  <c r="F147" i="1"/>
  <c r="F142" i="1" s="1"/>
  <c r="G147" i="1"/>
  <c r="G142" i="1" s="1"/>
  <c r="BX147" i="1"/>
  <c r="BX142" i="1" s="1"/>
  <c r="BY147" i="1"/>
  <c r="BY142" i="1" s="1"/>
  <c r="BZ147" i="1"/>
  <c r="CB147" i="1"/>
  <c r="AS147" i="1" s="1"/>
  <c r="CC147" i="1"/>
  <c r="CC142" i="1" s="1"/>
  <c r="CK147" i="1"/>
  <c r="BB147" i="1" s="1"/>
  <c r="CL147" i="1"/>
  <c r="CM147" i="1"/>
  <c r="CM142" i="1" s="1"/>
  <c r="B178" i="1"/>
  <c r="B22" i="1" s="1"/>
  <c r="C178" i="1"/>
  <c r="C22" i="1" s="1"/>
  <c r="D178" i="1"/>
  <c r="D22" i="1" s="1"/>
  <c r="F178" i="1"/>
  <c r="F22" i="1" s="1"/>
  <c r="G178" i="1"/>
  <c r="G22" i="1" s="1"/>
  <c r="BB178" i="1"/>
  <c r="B214" i="1"/>
  <c r="B18" i="1" s="1"/>
  <c r="C214" i="1"/>
  <c r="C18" i="1" s="1"/>
  <c r="D214" i="1"/>
  <c r="D18" i="1" s="1"/>
  <c r="F214" i="1"/>
  <c r="F18" i="1" s="1"/>
  <c r="G214" i="1"/>
  <c r="X103" i="5" l="1"/>
  <c r="I22" i="5"/>
  <c r="X260" i="5"/>
  <c r="O103" i="5"/>
  <c r="J124" i="5"/>
  <c r="H73" i="5"/>
  <c r="H84" i="5"/>
  <c r="X84" i="5"/>
  <c r="I18" i="5" s="1"/>
  <c r="G18" i="1"/>
  <c r="H350" i="5"/>
  <c r="I17" i="5"/>
  <c r="H332" i="5"/>
  <c r="J350" i="5"/>
  <c r="J332" i="5"/>
  <c r="CC26" i="1"/>
  <c r="AT107" i="1"/>
  <c r="CP93" i="1"/>
  <c r="O93" i="1" s="1"/>
  <c r="BZ142" i="1"/>
  <c r="CG147" i="1"/>
  <c r="AQ147" i="1"/>
  <c r="CT144" i="1"/>
  <c r="BB22" i="1"/>
  <c r="F191" i="1"/>
  <c r="BB214" i="1"/>
  <c r="CL142" i="1"/>
  <c r="BC147" i="1"/>
  <c r="BB26" i="1"/>
  <c r="F122" i="1"/>
  <c r="W102" i="1"/>
  <c r="GM88" i="1"/>
  <c r="CD26" i="1"/>
  <c r="AU107" i="1"/>
  <c r="BB142" i="1"/>
  <c r="F160" i="1"/>
  <c r="AB95" i="1"/>
  <c r="CY77" i="1"/>
  <c r="X77" i="1" s="1"/>
  <c r="CZ77" i="1"/>
  <c r="Y77" i="1" s="1"/>
  <c r="CS144" i="1"/>
  <c r="AB103" i="1"/>
  <c r="AS142" i="1"/>
  <c r="F164" i="1"/>
  <c r="AT147" i="1"/>
  <c r="BC107" i="1"/>
  <c r="GX104" i="1"/>
  <c r="T104" i="1"/>
  <c r="V102" i="1"/>
  <c r="P99" i="1"/>
  <c r="CR95" i="1"/>
  <c r="AD95" i="1"/>
  <c r="P94" i="1"/>
  <c r="Q94" i="1"/>
  <c r="R94" i="1"/>
  <c r="GK94" i="1" s="1"/>
  <c r="R74" i="1"/>
  <c r="GK74" i="1" s="1"/>
  <c r="AD74" i="1"/>
  <c r="AB74" i="1" s="1"/>
  <c r="CR74" i="1"/>
  <c r="BY26" i="1"/>
  <c r="AP107" i="1"/>
  <c r="CY60" i="1"/>
  <c r="X60" i="1" s="1"/>
  <c r="CZ60" i="1"/>
  <c r="Y60" i="1" s="1"/>
  <c r="AB145" i="1"/>
  <c r="CX204" i="3"/>
  <c r="CX205" i="3"/>
  <c r="I101" i="1"/>
  <c r="P100" i="1"/>
  <c r="Q100" i="1"/>
  <c r="I104" i="1"/>
  <c r="R100" i="1"/>
  <c r="GK100" i="1" s="1"/>
  <c r="I102" i="1"/>
  <c r="Q99" i="1"/>
  <c r="R99" i="1"/>
  <c r="GK99" i="1" s="1"/>
  <c r="AB96" i="1"/>
  <c r="R95" i="1"/>
  <c r="GK95" i="1" s="1"/>
  <c r="W70" i="1"/>
  <c r="CT103" i="1"/>
  <c r="CY95" i="1"/>
  <c r="X95" i="1" s="1"/>
  <c r="CZ95" i="1"/>
  <c r="Y95" i="1" s="1"/>
  <c r="R102" i="1"/>
  <c r="GK102" i="1" s="1"/>
  <c r="BZ107" i="1"/>
  <c r="CY90" i="1"/>
  <c r="X90" i="1" s="1"/>
  <c r="CZ90" i="1"/>
  <c r="Y90" i="1" s="1"/>
  <c r="P87" i="1"/>
  <c r="CP87" i="1" s="1"/>
  <c r="O87" i="1" s="1"/>
  <c r="AB87" i="1"/>
  <c r="P70" i="1"/>
  <c r="Q70" i="1"/>
  <c r="R70" i="1"/>
  <c r="GK70" i="1" s="1"/>
  <c r="CI147" i="1"/>
  <c r="AB100" i="1"/>
  <c r="S100" i="1"/>
  <c r="CY98" i="1"/>
  <c r="X98" i="1" s="1"/>
  <c r="CZ98" i="1"/>
  <c r="Y98" i="1" s="1"/>
  <c r="GN86" i="1"/>
  <c r="T75" i="1"/>
  <c r="U70" i="1"/>
  <c r="AP147" i="1"/>
  <c r="CK142" i="1"/>
  <c r="U104" i="1"/>
  <c r="CS101" i="1"/>
  <c r="GX99" i="1"/>
  <c r="S99" i="1"/>
  <c r="CT98" i="1"/>
  <c r="R98" i="1"/>
  <c r="GK98" i="1" s="1"/>
  <c r="AD98" i="1"/>
  <c r="AB98" i="1" s="1"/>
  <c r="CR98" i="1"/>
  <c r="P96" i="1"/>
  <c r="V94" i="1"/>
  <c r="AB93" i="1"/>
  <c r="CY88" i="1"/>
  <c r="X88" i="1" s="1"/>
  <c r="GN88" i="1" s="1"/>
  <c r="CZ88" i="1"/>
  <c r="Y88" i="1" s="1"/>
  <c r="CY72" i="1"/>
  <c r="X72" i="1" s="1"/>
  <c r="CZ72" i="1"/>
  <c r="Y72" i="1" s="1"/>
  <c r="AB68" i="1"/>
  <c r="AD144" i="1"/>
  <c r="AB144" i="1" s="1"/>
  <c r="CQ104" i="1"/>
  <c r="P104" i="1"/>
  <c r="V104" i="1"/>
  <c r="P89" i="1"/>
  <c r="CQ89" i="1"/>
  <c r="W75" i="1"/>
  <c r="AO147" i="1"/>
  <c r="CT105" i="1"/>
  <c r="CT102" i="1"/>
  <c r="P95" i="1"/>
  <c r="U94" i="1"/>
  <c r="CP91" i="1"/>
  <c r="O91" i="1" s="1"/>
  <c r="P84" i="1"/>
  <c r="AB84" i="1"/>
  <c r="S80" i="1"/>
  <c r="CP80" i="1" s="1"/>
  <c r="O80" i="1" s="1"/>
  <c r="CT80" i="1"/>
  <c r="T70" i="1"/>
  <c r="CZ61" i="1"/>
  <c r="Y61" i="1" s="1"/>
  <c r="CY61" i="1"/>
  <c r="X61" i="1" s="1"/>
  <c r="W58" i="1"/>
  <c r="BD147" i="1"/>
  <c r="U96" i="1"/>
  <c r="CX196" i="3"/>
  <c r="CX195" i="3"/>
  <c r="CX199" i="3"/>
  <c r="CX198" i="3"/>
  <c r="CX197" i="3"/>
  <c r="Q95" i="1"/>
  <c r="T94" i="1"/>
  <c r="GX92" i="1"/>
  <c r="CQ90" i="1"/>
  <c r="P90" i="1"/>
  <c r="CP90" i="1" s="1"/>
  <c r="O90" i="1" s="1"/>
  <c r="R80" i="1"/>
  <c r="GK80" i="1" s="1"/>
  <c r="AD80" i="1"/>
  <c r="P78" i="1"/>
  <c r="AB78" i="1"/>
  <c r="GX70" i="1"/>
  <c r="S70" i="1"/>
  <c r="CQ99" i="1"/>
  <c r="S94" i="1"/>
  <c r="AB91" i="1"/>
  <c r="AB90" i="1"/>
  <c r="W85" i="1"/>
  <c r="CS80" i="1"/>
  <c r="CP79" i="1"/>
  <c r="O79" i="1" s="1"/>
  <c r="CX140" i="3"/>
  <c r="CX148" i="3"/>
  <c r="CX147" i="3"/>
  <c r="CX146" i="3"/>
  <c r="CX145" i="3"/>
  <c r="CX144" i="3"/>
  <c r="CX143" i="3"/>
  <c r="CX142" i="3"/>
  <c r="CX141" i="3"/>
  <c r="I75" i="1"/>
  <c r="GX75" i="1" s="1"/>
  <c r="Q74" i="1"/>
  <c r="CP74" i="1" s="1"/>
  <c r="O74" i="1" s="1"/>
  <c r="W74" i="1"/>
  <c r="Q69" i="1"/>
  <c r="R69" i="1"/>
  <c r="GK69" i="1" s="1"/>
  <c r="CS69" i="1"/>
  <c r="GM62" i="1"/>
  <c r="CG107" i="1"/>
  <c r="CX203" i="3"/>
  <c r="CX202" i="3"/>
  <c r="CX201" i="3"/>
  <c r="CX200" i="3"/>
  <c r="Q98" i="1"/>
  <c r="CP98" i="1" s="1"/>
  <c r="O98" i="1" s="1"/>
  <c r="CT92" i="1"/>
  <c r="S92" i="1"/>
  <c r="P75" i="1"/>
  <c r="AB75" i="1"/>
  <c r="P66" i="1"/>
  <c r="CQ66" i="1"/>
  <c r="AO107" i="1"/>
  <c r="U100" i="1"/>
  <c r="AB99" i="1"/>
  <c r="W98" i="1"/>
  <c r="S96" i="1"/>
  <c r="Q92" i="1"/>
  <c r="CP92" i="1" s="1"/>
  <c r="O92" i="1" s="1"/>
  <c r="GX90" i="1"/>
  <c r="CS89" i="1"/>
  <c r="Q89" i="1"/>
  <c r="R89" i="1"/>
  <c r="GK89" i="1" s="1"/>
  <c r="CY85" i="1"/>
  <c r="X85" i="1" s="1"/>
  <c r="CZ85" i="1"/>
  <c r="Y85" i="1" s="1"/>
  <c r="CY79" i="1"/>
  <c r="X79" i="1" s="1"/>
  <c r="CZ79" i="1"/>
  <c r="Y79" i="1" s="1"/>
  <c r="CP77" i="1"/>
  <c r="O77" i="1" s="1"/>
  <c r="CP69" i="1"/>
  <c r="O69" i="1" s="1"/>
  <c r="U68" i="1"/>
  <c r="AB66" i="1"/>
  <c r="BD107" i="1"/>
  <c r="CR92" i="1"/>
  <c r="CY91" i="1"/>
  <c r="X91" i="1" s="1"/>
  <c r="AD89" i="1"/>
  <c r="AB89" i="1" s="1"/>
  <c r="CY86" i="1"/>
  <c r="X86" i="1" s="1"/>
  <c r="GM86" i="1" s="1"/>
  <c r="CZ86" i="1"/>
  <c r="Y86" i="1" s="1"/>
  <c r="T85" i="1"/>
  <c r="Q85" i="1"/>
  <c r="CY82" i="1"/>
  <c r="X82" i="1" s="1"/>
  <c r="GN82" i="1" s="1"/>
  <c r="CZ82" i="1"/>
  <c r="Y82" i="1" s="1"/>
  <c r="Q80" i="1"/>
  <c r="W80" i="1"/>
  <c r="V75" i="1"/>
  <c r="S74" i="1"/>
  <c r="CT74" i="1"/>
  <c r="CS64" i="1"/>
  <c r="AD64" i="1"/>
  <c r="AB64" i="1" s="1"/>
  <c r="CR64" i="1"/>
  <c r="V56" i="1"/>
  <c r="U56" i="1"/>
  <c r="R68" i="1"/>
  <c r="GK68" i="1" s="1"/>
  <c r="P61" i="1"/>
  <c r="CQ61" i="1"/>
  <c r="CX100" i="3"/>
  <c r="CX99" i="3"/>
  <c r="CX98" i="3"/>
  <c r="CX105" i="3"/>
  <c r="CX104" i="3"/>
  <c r="CX103" i="3"/>
  <c r="CX102" i="3"/>
  <c r="CX101" i="3"/>
  <c r="P57" i="1"/>
  <c r="CP57" i="1" s="1"/>
  <c r="O57" i="1" s="1"/>
  <c r="I58" i="1"/>
  <c r="Q57" i="1"/>
  <c r="R57" i="1"/>
  <c r="GK57" i="1" s="1"/>
  <c r="CX89" i="3"/>
  <c r="CX88" i="3"/>
  <c r="CX87" i="3"/>
  <c r="CX86" i="3"/>
  <c r="Q52" i="1"/>
  <c r="CX85" i="3"/>
  <c r="R52" i="1"/>
  <c r="GK52" i="1" s="1"/>
  <c r="I56" i="1"/>
  <c r="CQ51" i="1"/>
  <c r="P51" i="1"/>
  <c r="CP51" i="1" s="1"/>
  <c r="O51" i="1" s="1"/>
  <c r="AB51" i="1"/>
  <c r="CY41" i="1"/>
  <c r="X41" i="1" s="1"/>
  <c r="CZ41" i="1"/>
  <c r="Y41" i="1" s="1"/>
  <c r="CS88" i="1"/>
  <c r="R87" i="1"/>
  <c r="GK87" i="1" s="1"/>
  <c r="CS86" i="1"/>
  <c r="P85" i="1"/>
  <c r="CP85" i="1" s="1"/>
  <c r="O85" i="1" s="1"/>
  <c r="R84" i="1"/>
  <c r="GK84" i="1" s="1"/>
  <c r="CS82" i="1"/>
  <c r="P81" i="1"/>
  <c r="CP81" i="1" s="1"/>
  <c r="O81" i="1" s="1"/>
  <c r="CQ80" i="1"/>
  <c r="CS79" i="1"/>
  <c r="CX156" i="3"/>
  <c r="CX155" i="3"/>
  <c r="CX154" i="3"/>
  <c r="CX161" i="3"/>
  <c r="CX160" i="3"/>
  <c r="CX159" i="3"/>
  <c r="CX158" i="3"/>
  <c r="CX157" i="3"/>
  <c r="R78" i="1"/>
  <c r="GK78" i="1" s="1"/>
  <c r="CS77" i="1"/>
  <c r="CX152" i="3"/>
  <c r="CX151" i="3"/>
  <c r="CX150" i="3"/>
  <c r="CX149" i="3"/>
  <c r="R75" i="1"/>
  <c r="GK75" i="1" s="1"/>
  <c r="CQ74" i="1"/>
  <c r="CS73" i="1"/>
  <c r="CX131" i="3"/>
  <c r="CX130" i="3"/>
  <c r="CX129" i="3"/>
  <c r="CX128" i="3"/>
  <c r="AB65" i="1"/>
  <c r="CX124" i="3"/>
  <c r="CX127" i="3"/>
  <c r="CX126" i="3"/>
  <c r="CX125" i="3"/>
  <c r="I66" i="1"/>
  <c r="U66" i="1" s="1"/>
  <c r="CQ64" i="1"/>
  <c r="GX58" i="1"/>
  <c r="GX57" i="1"/>
  <c r="T57" i="1"/>
  <c r="S57" i="1"/>
  <c r="CT57" i="1"/>
  <c r="GX56" i="1"/>
  <c r="T56" i="1"/>
  <c r="T52" i="1"/>
  <c r="CS39" i="1"/>
  <c r="AD39" i="1"/>
  <c r="AB39" i="1" s="1"/>
  <c r="CR39" i="1"/>
  <c r="Q87" i="1"/>
  <c r="Q84" i="1"/>
  <c r="Q78" i="1"/>
  <c r="CZ65" i="1"/>
  <c r="Y65" i="1" s="1"/>
  <c r="CS44" i="1"/>
  <c r="AD44" i="1"/>
  <c r="AB44" i="1" s="1"/>
  <c r="CR44" i="1"/>
  <c r="CS90" i="1"/>
  <c r="CQ88" i="1"/>
  <c r="AD88" i="1"/>
  <c r="AB88" i="1" s="1"/>
  <c r="CQ86" i="1"/>
  <c r="AD86" i="1"/>
  <c r="AB86" i="1" s="1"/>
  <c r="AD82" i="1"/>
  <c r="AB82" i="1" s="1"/>
  <c r="CX164" i="3"/>
  <c r="CX163" i="3"/>
  <c r="CX162" i="3"/>
  <c r="CX166" i="3"/>
  <c r="CX165" i="3"/>
  <c r="AB80" i="1"/>
  <c r="AD79" i="1"/>
  <c r="AB79" i="1" s="1"/>
  <c r="AD77" i="1"/>
  <c r="AB77" i="1" s="1"/>
  <c r="CQ73" i="1"/>
  <c r="AD73" i="1"/>
  <c r="AB73" i="1" s="1"/>
  <c r="S73" i="1"/>
  <c r="AB72" i="1"/>
  <c r="Q72" i="1"/>
  <c r="CP72" i="1" s="1"/>
  <c r="O72" i="1" s="1"/>
  <c r="I68" i="1"/>
  <c r="W68" i="1" s="1"/>
  <c r="W65" i="1"/>
  <c r="CY54" i="1"/>
  <c r="X54" i="1" s="1"/>
  <c r="CZ54" i="1"/>
  <c r="Y54" i="1" s="1"/>
  <c r="R91" i="1"/>
  <c r="GK91" i="1" s="1"/>
  <c r="CZ81" i="1"/>
  <c r="Y81" i="1" s="1"/>
  <c r="R73" i="1"/>
  <c r="GK73" i="1" s="1"/>
  <c r="CX180" i="3"/>
  <c r="CX179" i="3"/>
  <c r="CX178" i="3"/>
  <c r="CX177" i="3"/>
  <c r="CX176" i="3"/>
  <c r="CX175" i="3"/>
  <c r="CX182" i="3"/>
  <c r="CX181" i="3"/>
  <c r="CX172" i="3"/>
  <c r="CX171" i="3"/>
  <c r="CX170" i="3"/>
  <c r="CX173" i="3"/>
  <c r="CX169" i="3"/>
  <c r="CX168" i="3"/>
  <c r="CX167" i="3"/>
  <c r="CS68" i="1"/>
  <c r="R67" i="1"/>
  <c r="GK67" i="1" s="1"/>
  <c r="GM67" i="1" s="1"/>
  <c r="Q63" i="1"/>
  <c r="CP63" i="1" s="1"/>
  <c r="O63" i="1" s="1"/>
  <c r="R63" i="1"/>
  <c r="GK63" i="1" s="1"/>
  <c r="CS63" i="1"/>
  <c r="V57" i="1"/>
  <c r="P56" i="1"/>
  <c r="CQ53" i="1"/>
  <c r="P53" i="1"/>
  <c r="AB53" i="1"/>
  <c r="CS36" i="1"/>
  <c r="Q36" i="1"/>
  <c r="R36" i="1"/>
  <c r="GK36" i="1" s="1"/>
  <c r="AD36" i="1"/>
  <c r="AB36" i="1" s="1"/>
  <c r="CR36" i="1"/>
  <c r="P65" i="1"/>
  <c r="CP65" i="1" s="1"/>
  <c r="O65" i="1" s="1"/>
  <c r="CX123" i="3"/>
  <c r="CX122" i="3"/>
  <c r="CX121" i="3"/>
  <c r="CX120" i="3"/>
  <c r="CX119" i="3"/>
  <c r="AB62" i="1"/>
  <c r="R62" i="1"/>
  <c r="GK62" i="1" s="1"/>
  <c r="AD61" i="1"/>
  <c r="AB61" i="1" s="1"/>
  <c r="P60" i="1"/>
  <c r="CP60" i="1" s="1"/>
  <c r="O60" i="1" s="1"/>
  <c r="AB59" i="1"/>
  <c r="R59" i="1"/>
  <c r="GK59" i="1" s="1"/>
  <c r="AB55" i="1"/>
  <c r="CX92" i="3"/>
  <c r="CX91" i="3"/>
  <c r="CX90" i="3"/>
  <c r="CX93" i="3"/>
  <c r="Q53" i="1"/>
  <c r="CS47" i="1"/>
  <c r="T42" i="1"/>
  <c r="CY40" i="1"/>
  <c r="X40" i="1" s="1"/>
  <c r="GM40" i="1" s="1"/>
  <c r="CZ40" i="1"/>
  <c r="Y40" i="1" s="1"/>
  <c r="GN40" i="1" s="1"/>
  <c r="CZ32" i="1"/>
  <c r="Y32" i="1" s="1"/>
  <c r="CY32" i="1"/>
  <c r="X32" i="1" s="1"/>
  <c r="S58" i="1"/>
  <c r="P52" i="1"/>
  <c r="CP52" i="1" s="1"/>
  <c r="O52" i="1" s="1"/>
  <c r="CY49" i="1"/>
  <c r="X49" i="1" s="1"/>
  <c r="U49" i="1"/>
  <c r="AB43" i="1"/>
  <c r="AB34" i="1"/>
  <c r="Q61" i="1"/>
  <c r="AB58" i="1"/>
  <c r="CQ37" i="1"/>
  <c r="P37" i="1"/>
  <c r="CP37" i="1" s="1"/>
  <c r="O37" i="1" s="1"/>
  <c r="AB37" i="1"/>
  <c r="AB63" i="1"/>
  <c r="AD60" i="1"/>
  <c r="AB60" i="1" s="1"/>
  <c r="Q54" i="1"/>
  <c r="CP54" i="1" s="1"/>
  <c r="O54" i="1" s="1"/>
  <c r="R54" i="1"/>
  <c r="GK54" i="1" s="1"/>
  <c r="AD54" i="1"/>
  <c r="AB54" i="1" s="1"/>
  <c r="CS54" i="1"/>
  <c r="CY51" i="1"/>
  <c r="X51" i="1" s="1"/>
  <c r="CZ51" i="1"/>
  <c r="Y51" i="1" s="1"/>
  <c r="Q49" i="1"/>
  <c r="CP49" i="1" s="1"/>
  <c r="O49" i="1" s="1"/>
  <c r="R49" i="1"/>
  <c r="GK49" i="1" s="1"/>
  <c r="CP48" i="1"/>
  <c r="O48" i="1" s="1"/>
  <c r="CQ45" i="1"/>
  <c r="CQ42" i="1"/>
  <c r="AB42" i="1"/>
  <c r="CP41" i="1"/>
  <c r="O41" i="1" s="1"/>
  <c r="W39" i="1"/>
  <c r="CY37" i="1"/>
  <c r="X37" i="1" s="1"/>
  <c r="CZ37" i="1"/>
  <c r="Y37" i="1" s="1"/>
  <c r="AB33" i="1"/>
  <c r="CZ62" i="1"/>
  <c r="Y62" i="1" s="1"/>
  <c r="GN62" i="1" s="1"/>
  <c r="CZ59" i="1"/>
  <c r="Y59" i="1" s="1"/>
  <c r="GM59" i="1" s="1"/>
  <c r="CS55" i="1"/>
  <c r="Q55" i="1"/>
  <c r="CP55" i="1" s="1"/>
  <c r="O55" i="1" s="1"/>
  <c r="R55" i="1"/>
  <c r="GK55" i="1" s="1"/>
  <c r="CR54" i="1"/>
  <c r="CQ54" i="1"/>
  <c r="S53" i="1"/>
  <c r="CY48" i="1"/>
  <c r="X48" i="1" s="1"/>
  <c r="CZ48" i="1"/>
  <c r="Y48" i="1" s="1"/>
  <c r="AB45" i="1"/>
  <c r="CY38" i="1"/>
  <c r="X38" i="1" s="1"/>
  <c r="CZ38" i="1"/>
  <c r="Y38" i="1" s="1"/>
  <c r="CP36" i="1"/>
  <c r="O36" i="1" s="1"/>
  <c r="I64" i="1"/>
  <c r="CX116" i="3"/>
  <c r="CX118" i="3"/>
  <c r="CX117" i="3"/>
  <c r="CQ55" i="1"/>
  <c r="AD55" i="1"/>
  <c r="R53" i="1"/>
  <c r="GK53" i="1" s="1"/>
  <c r="U52" i="1"/>
  <c r="AB49" i="1"/>
  <c r="W42" i="1"/>
  <c r="S52" i="1"/>
  <c r="GX42" i="1"/>
  <c r="CT34" i="1"/>
  <c r="S34" i="1"/>
  <c r="CX36" i="3"/>
  <c r="CX38" i="3"/>
  <c r="P33" i="1"/>
  <c r="CX16" i="3"/>
  <c r="CX15" i="3"/>
  <c r="Q32" i="1"/>
  <c r="CP32" i="1" s="1"/>
  <c r="O32" i="1" s="1"/>
  <c r="CT48" i="1"/>
  <c r="CT43" i="1"/>
  <c r="CT40" i="1"/>
  <c r="CQ34" i="1"/>
  <c r="U32" i="1"/>
  <c r="CX10" i="3"/>
  <c r="CX9" i="3"/>
  <c r="CX8" i="3"/>
  <c r="CX7" i="3"/>
  <c r="Q30" i="1"/>
  <c r="CP30" i="1" s="1"/>
  <c r="O30" i="1" s="1"/>
  <c r="CX6" i="3"/>
  <c r="CX76" i="3"/>
  <c r="CX75" i="3"/>
  <c r="CX74" i="3"/>
  <c r="CX73" i="3"/>
  <c r="CX72" i="3"/>
  <c r="CX71" i="3"/>
  <c r="CX79" i="3"/>
  <c r="CX70" i="3"/>
  <c r="CX78" i="3"/>
  <c r="CX44" i="3"/>
  <c r="CX43" i="3"/>
  <c r="CX42" i="3"/>
  <c r="CX41" i="3"/>
  <c r="CX49" i="3"/>
  <c r="CX40" i="3"/>
  <c r="CX48" i="3"/>
  <c r="CX39" i="3"/>
  <c r="CX47" i="3"/>
  <c r="CX46" i="3"/>
  <c r="P34" i="1"/>
  <c r="Q33" i="1"/>
  <c r="CX17" i="3"/>
  <c r="CX45" i="3"/>
  <c r="S35" i="1"/>
  <c r="CP35" i="1" s="1"/>
  <c r="O35" i="1" s="1"/>
  <c r="CT35" i="1"/>
  <c r="U33" i="1"/>
  <c r="W33" i="1"/>
  <c r="CX69" i="3"/>
  <c r="CX84" i="3"/>
  <c r="CX83" i="3"/>
  <c r="CX82" i="3"/>
  <c r="CX81" i="3"/>
  <c r="CX80" i="3"/>
  <c r="AD43" i="1"/>
  <c r="I42" i="1"/>
  <c r="U42" i="1" s="1"/>
  <c r="AB41" i="1"/>
  <c r="R41" i="1"/>
  <c r="GK41" i="1" s="1"/>
  <c r="AD40" i="1"/>
  <c r="AB40" i="1" s="1"/>
  <c r="AB38" i="1"/>
  <c r="CX28" i="3"/>
  <c r="CX27" i="3"/>
  <c r="CX35" i="3"/>
  <c r="CX26" i="3"/>
  <c r="CX34" i="3"/>
  <c r="CX33" i="3"/>
  <c r="CX32" i="3"/>
  <c r="CX31" i="3"/>
  <c r="CX30" i="3"/>
  <c r="CX20" i="3"/>
  <c r="CX19" i="3"/>
  <c r="CX18" i="3"/>
  <c r="CX25" i="3"/>
  <c r="CX24" i="3"/>
  <c r="CX23" i="3"/>
  <c r="Q34" i="1"/>
  <c r="CX22" i="3"/>
  <c r="CY31" i="1"/>
  <c r="X31" i="1" s="1"/>
  <c r="P31" i="1"/>
  <c r="U30" i="1"/>
  <c r="CX29" i="3"/>
  <c r="Q38" i="1"/>
  <c r="CP38" i="1" s="1"/>
  <c r="O38" i="1" s="1"/>
  <c r="CT36" i="1"/>
  <c r="CR35" i="1"/>
  <c r="AD35" i="1"/>
  <c r="AB35" i="1" s="1"/>
  <c r="U34" i="1"/>
  <c r="CQ32" i="1"/>
  <c r="R32" i="1"/>
  <c r="I39" i="1"/>
  <c r="V39" i="1" s="1"/>
  <c r="S33" i="1"/>
  <c r="GX32" i="1"/>
  <c r="CX12" i="3"/>
  <c r="CX11" i="3"/>
  <c r="Q31" i="1"/>
  <c r="CX14" i="3"/>
  <c r="S30" i="1"/>
  <c r="CX77" i="3"/>
  <c r="CX1" i="3"/>
  <c r="AB29" i="1"/>
  <c r="CX2" i="3"/>
  <c r="Q29" i="1"/>
  <c r="CP29" i="1" s="1"/>
  <c r="O29" i="1" s="1"/>
  <c r="CX3" i="3"/>
  <c r="GM29" i="1" l="1"/>
  <c r="GN29" i="1"/>
  <c r="GN72" i="1"/>
  <c r="GM72" i="1"/>
  <c r="GM55" i="1"/>
  <c r="GN55" i="1"/>
  <c r="GM98" i="1"/>
  <c r="GN98" i="1"/>
  <c r="GM38" i="1"/>
  <c r="GN38" i="1"/>
  <c r="GM49" i="1"/>
  <c r="GN49" i="1"/>
  <c r="GM54" i="1"/>
  <c r="GN54" i="1"/>
  <c r="P101" i="1"/>
  <c r="Q101" i="1"/>
  <c r="S101" i="1"/>
  <c r="T101" i="1"/>
  <c r="U101" i="1"/>
  <c r="AQ142" i="1"/>
  <c r="F157" i="1"/>
  <c r="CZ33" i="1"/>
  <c r="Y33" i="1" s="1"/>
  <c r="CY33" i="1"/>
  <c r="X33" i="1" s="1"/>
  <c r="CZ34" i="1"/>
  <c r="Y34" i="1" s="1"/>
  <c r="CY34" i="1"/>
  <c r="X34" i="1" s="1"/>
  <c r="S64" i="1"/>
  <c r="Q64" i="1"/>
  <c r="GM41" i="1"/>
  <c r="GN41" i="1"/>
  <c r="GN48" i="1"/>
  <c r="GM48" i="1"/>
  <c r="GM60" i="1"/>
  <c r="GN60" i="1"/>
  <c r="CP53" i="1"/>
  <c r="O53" i="1" s="1"/>
  <c r="V64" i="1"/>
  <c r="GX39" i="1"/>
  <c r="GM81" i="1"/>
  <c r="GN81" i="1"/>
  <c r="CY74" i="1"/>
  <c r="X74" i="1" s="1"/>
  <c r="GM74" i="1" s="1"/>
  <c r="CZ74" i="1"/>
  <c r="Y74" i="1" s="1"/>
  <c r="GN74" i="1" s="1"/>
  <c r="GM69" i="1"/>
  <c r="GN69" i="1"/>
  <c r="GN79" i="1"/>
  <c r="GM79" i="1"/>
  <c r="V68" i="1"/>
  <c r="AO142" i="1"/>
  <c r="F151" i="1"/>
  <c r="CP104" i="1"/>
  <c r="O104" i="1" s="1"/>
  <c r="CI142" i="1"/>
  <c r="AZ147" i="1"/>
  <c r="CG142" i="1"/>
  <c r="AX147" i="1"/>
  <c r="GM36" i="1"/>
  <c r="GN36" i="1"/>
  <c r="CZ58" i="1"/>
  <c r="Y58" i="1" s="1"/>
  <c r="CY58" i="1"/>
  <c r="X58" i="1" s="1"/>
  <c r="GN65" i="1"/>
  <c r="GM65" i="1"/>
  <c r="V58" i="1"/>
  <c r="Q58" i="1"/>
  <c r="R58" i="1"/>
  <c r="GK58" i="1" s="1"/>
  <c r="T58" i="1"/>
  <c r="GN77" i="1"/>
  <c r="GM77" i="1"/>
  <c r="CZ70" i="1"/>
  <c r="Y70" i="1" s="1"/>
  <c r="CY70" i="1"/>
  <c r="X70" i="1" s="1"/>
  <c r="GM90" i="1"/>
  <c r="GN90" i="1"/>
  <c r="CP84" i="1"/>
  <c r="O84" i="1" s="1"/>
  <c r="CY99" i="1"/>
  <c r="X99" i="1" s="1"/>
  <c r="CZ99" i="1"/>
  <c r="Y99" i="1" s="1"/>
  <c r="V66" i="1"/>
  <c r="W66" i="1"/>
  <c r="GN67" i="1"/>
  <c r="CY73" i="1"/>
  <c r="X73" i="1" s="1"/>
  <c r="CZ73" i="1"/>
  <c r="Y73" i="1" s="1"/>
  <c r="GK32" i="1"/>
  <c r="GM32" i="1" s="1"/>
  <c r="CY53" i="1"/>
  <c r="X53" i="1" s="1"/>
  <c r="CZ53" i="1"/>
  <c r="Y53" i="1" s="1"/>
  <c r="P42" i="1"/>
  <c r="P64" i="1"/>
  <c r="R64" i="1"/>
  <c r="GK64" i="1" s="1"/>
  <c r="T68" i="1"/>
  <c r="GM91" i="1"/>
  <c r="GN91" i="1"/>
  <c r="AP142" i="1"/>
  <c r="F156" i="1"/>
  <c r="CY100" i="1"/>
  <c r="X100" i="1" s="1"/>
  <c r="CZ100" i="1"/>
  <c r="Y100" i="1" s="1"/>
  <c r="BZ26" i="1"/>
  <c r="AQ107" i="1"/>
  <c r="CX207" i="3"/>
  <c r="CX206" i="3"/>
  <c r="GX102" i="1"/>
  <c r="P102" i="1"/>
  <c r="I103" i="1"/>
  <c r="Q102" i="1"/>
  <c r="S102" i="1"/>
  <c r="U102" i="1"/>
  <c r="GM93" i="1"/>
  <c r="GN93" i="1"/>
  <c r="GM63" i="1"/>
  <c r="GN63" i="1"/>
  <c r="AO26" i="1"/>
  <c r="F113" i="1"/>
  <c r="AO178" i="1"/>
  <c r="GM87" i="1"/>
  <c r="GN87" i="1"/>
  <c r="BB18" i="1"/>
  <c r="F227" i="1"/>
  <c r="Q39" i="1"/>
  <c r="S39" i="1"/>
  <c r="T39" i="1"/>
  <c r="U39" i="1"/>
  <c r="CZ30" i="1"/>
  <c r="Y30" i="1" s="1"/>
  <c r="CY30" i="1"/>
  <c r="X30" i="1" s="1"/>
  <c r="W64" i="1"/>
  <c r="CY57" i="1"/>
  <c r="X57" i="1" s="1"/>
  <c r="GM57" i="1" s="1"/>
  <c r="CZ57" i="1"/>
  <c r="Y57" i="1" s="1"/>
  <c r="Q66" i="1"/>
  <c r="CP66" i="1" s="1"/>
  <c r="O66" i="1" s="1"/>
  <c r="T66" i="1"/>
  <c r="S66" i="1"/>
  <c r="R66" i="1"/>
  <c r="GK66" i="1" s="1"/>
  <c r="GM85" i="1"/>
  <c r="GN85" i="1"/>
  <c r="P58" i="1"/>
  <c r="CP58" i="1" s="1"/>
  <c r="O58" i="1" s="1"/>
  <c r="CZ96" i="1"/>
  <c r="Y96" i="1" s="1"/>
  <c r="CY96" i="1"/>
  <c r="X96" i="1" s="1"/>
  <c r="GX66" i="1"/>
  <c r="R101" i="1"/>
  <c r="GK101" i="1" s="1"/>
  <c r="T64" i="1"/>
  <c r="V101" i="1"/>
  <c r="GM82" i="1"/>
  <c r="T102" i="1"/>
  <c r="CI107" i="1"/>
  <c r="CP94" i="1"/>
  <c r="O94" i="1" s="1"/>
  <c r="CY92" i="1"/>
  <c r="X92" i="1" s="1"/>
  <c r="GM92" i="1" s="1"/>
  <c r="CZ92" i="1"/>
  <c r="Y92" i="1" s="1"/>
  <c r="GN92" i="1" s="1"/>
  <c r="CY80" i="1"/>
  <c r="X80" i="1" s="1"/>
  <c r="GM80" i="1" s="1"/>
  <c r="CZ80" i="1"/>
  <c r="Y80" i="1" s="1"/>
  <c r="CP34" i="1"/>
  <c r="O34" i="1" s="1"/>
  <c r="CX52" i="3"/>
  <c r="CX51" i="3"/>
  <c r="CX50" i="3"/>
  <c r="I44" i="1"/>
  <c r="CX53" i="3"/>
  <c r="I43" i="1"/>
  <c r="Q42" i="1"/>
  <c r="R42" i="1"/>
  <c r="GK42" i="1" s="1"/>
  <c r="S42" i="1"/>
  <c r="CP31" i="1"/>
  <c r="O31" i="1" s="1"/>
  <c r="V42" i="1"/>
  <c r="CZ52" i="1"/>
  <c r="Y52" i="1" s="1"/>
  <c r="CY52" i="1"/>
  <c r="X52" i="1" s="1"/>
  <c r="GM52" i="1" s="1"/>
  <c r="P39" i="1"/>
  <c r="CP39" i="1" s="1"/>
  <c r="O39" i="1" s="1"/>
  <c r="GX64" i="1"/>
  <c r="GX68" i="1"/>
  <c r="Q68" i="1"/>
  <c r="S68" i="1"/>
  <c r="R39" i="1"/>
  <c r="GK39" i="1" s="1"/>
  <c r="GM51" i="1"/>
  <c r="GN51" i="1"/>
  <c r="GN59" i="1"/>
  <c r="CP73" i="1"/>
  <c r="O73" i="1" s="1"/>
  <c r="F172" i="1"/>
  <c r="BD142" i="1"/>
  <c r="CP95" i="1"/>
  <c r="O95" i="1" s="1"/>
  <c r="CP89" i="1"/>
  <c r="O89" i="1" s="1"/>
  <c r="P68" i="1"/>
  <c r="CP96" i="1"/>
  <c r="O96" i="1" s="1"/>
  <c r="GX101" i="1"/>
  <c r="CP70" i="1"/>
  <c r="O70" i="1" s="1"/>
  <c r="CX210" i="3"/>
  <c r="CX209" i="3"/>
  <c r="CX208" i="3"/>
  <c r="I105" i="1"/>
  <c r="Q104" i="1"/>
  <c r="R104" i="1"/>
  <c r="GK104" i="1" s="1"/>
  <c r="S104" i="1"/>
  <c r="AP26" i="1"/>
  <c r="F118" i="1"/>
  <c r="AP178" i="1"/>
  <c r="BC26" i="1"/>
  <c r="F125" i="1"/>
  <c r="BC178" i="1"/>
  <c r="AT26" i="1"/>
  <c r="F127" i="1"/>
  <c r="AT178" i="1"/>
  <c r="BD26" i="1"/>
  <c r="F134" i="1"/>
  <c r="BD178" i="1"/>
  <c r="CP78" i="1"/>
  <c r="O78" i="1" s="1"/>
  <c r="AT142" i="1"/>
  <c r="F165" i="1"/>
  <c r="AU26" i="1"/>
  <c r="F128" i="1"/>
  <c r="BC142" i="1"/>
  <c r="F163" i="1"/>
  <c r="CP33" i="1"/>
  <c r="O33" i="1" s="1"/>
  <c r="CY35" i="1"/>
  <c r="X35" i="1" s="1"/>
  <c r="GM35" i="1" s="1"/>
  <c r="CZ35" i="1"/>
  <c r="Y35" i="1" s="1"/>
  <c r="GM37" i="1"/>
  <c r="GN37" i="1"/>
  <c r="U58" i="1"/>
  <c r="CX97" i="3"/>
  <c r="S56" i="1"/>
  <c r="R56" i="1"/>
  <c r="GK56" i="1" s="1"/>
  <c r="Q56" i="1"/>
  <c r="CP56" i="1" s="1"/>
  <c r="O56" i="1" s="1"/>
  <c r="I144" i="1"/>
  <c r="W56" i="1"/>
  <c r="CP61" i="1"/>
  <c r="O61" i="1" s="1"/>
  <c r="U64" i="1"/>
  <c r="CG26" i="1"/>
  <c r="AX107" i="1"/>
  <c r="Q75" i="1"/>
  <c r="CP75" i="1" s="1"/>
  <c r="O75" i="1" s="1"/>
  <c r="U75" i="1"/>
  <c r="S75" i="1"/>
  <c r="CZ94" i="1"/>
  <c r="Y94" i="1" s="1"/>
  <c r="CY94" i="1"/>
  <c r="X94" i="1" s="1"/>
  <c r="CP100" i="1"/>
  <c r="O100" i="1" s="1"/>
  <c r="CP99" i="1"/>
  <c r="O99" i="1" s="1"/>
  <c r="W104" i="1"/>
  <c r="W101" i="1"/>
  <c r="CY64" i="1" l="1"/>
  <c r="X64" i="1" s="1"/>
  <c r="CZ64" i="1"/>
  <c r="Y64" i="1" s="1"/>
  <c r="GM61" i="1"/>
  <c r="GN61" i="1"/>
  <c r="AP22" i="1"/>
  <c r="F187" i="1"/>
  <c r="G16" i="2" s="1"/>
  <c r="G18" i="2" s="1"/>
  <c r="AP214" i="1"/>
  <c r="GM31" i="1"/>
  <c r="GN31" i="1"/>
  <c r="CI26" i="1"/>
  <c r="AZ107" i="1"/>
  <c r="AQ26" i="1"/>
  <c r="F119" i="1"/>
  <c r="AQ178" i="1"/>
  <c r="GN52" i="1"/>
  <c r="CZ101" i="1"/>
  <c r="Y101" i="1" s="1"/>
  <c r="CY101" i="1"/>
  <c r="X101" i="1" s="1"/>
  <c r="GN32" i="1"/>
  <c r="GM94" i="1"/>
  <c r="GN94" i="1"/>
  <c r="CY42" i="1"/>
  <c r="X42" i="1" s="1"/>
  <c r="CZ42" i="1"/>
  <c r="Y42" i="1" s="1"/>
  <c r="GM58" i="1"/>
  <c r="GN58" i="1"/>
  <c r="AO22" i="1"/>
  <c r="F182" i="1"/>
  <c r="AO214" i="1"/>
  <c r="CY102" i="1"/>
  <c r="X102" i="1" s="1"/>
  <c r="CZ102" i="1"/>
  <c r="Y102" i="1" s="1"/>
  <c r="GM84" i="1"/>
  <c r="GN84" i="1"/>
  <c r="CY68" i="1"/>
  <c r="X68" i="1" s="1"/>
  <c r="CZ68" i="1"/>
  <c r="Y68" i="1" s="1"/>
  <c r="CZ75" i="1"/>
  <c r="Y75" i="1" s="1"/>
  <c r="CY75" i="1"/>
  <c r="X75" i="1" s="1"/>
  <c r="GM75" i="1" s="1"/>
  <c r="CX211" i="3"/>
  <c r="P144" i="1"/>
  <c r="I145" i="1"/>
  <c r="Q144" i="1"/>
  <c r="V144" i="1"/>
  <c r="U144" i="1"/>
  <c r="S144" i="1"/>
  <c r="R144" i="1"/>
  <c r="GX144" i="1"/>
  <c r="T144" i="1"/>
  <c r="W144" i="1"/>
  <c r="AT22" i="1"/>
  <c r="F196" i="1"/>
  <c r="F16" i="2" s="1"/>
  <c r="F18" i="2" s="1"/>
  <c r="AT214" i="1"/>
  <c r="GN70" i="1"/>
  <c r="GM70" i="1"/>
  <c r="GM73" i="1"/>
  <c r="GN73" i="1"/>
  <c r="GM34" i="1"/>
  <c r="GN34" i="1"/>
  <c r="GN57" i="1"/>
  <c r="CP101" i="1"/>
  <c r="O101" i="1" s="1"/>
  <c r="GN35" i="1"/>
  <c r="CY104" i="1"/>
  <c r="X104" i="1" s="1"/>
  <c r="GM104" i="1" s="1"/>
  <c r="CZ104" i="1"/>
  <c r="Y104" i="1" s="1"/>
  <c r="GN39" i="1"/>
  <c r="CY39" i="1"/>
  <c r="X39" i="1" s="1"/>
  <c r="CZ39" i="1"/>
  <c r="Y39" i="1" s="1"/>
  <c r="GM39" i="1" s="1"/>
  <c r="Q103" i="1"/>
  <c r="R103" i="1"/>
  <c r="GK103" i="1" s="1"/>
  <c r="V103" i="1"/>
  <c r="GX103" i="1"/>
  <c r="T103" i="1"/>
  <c r="P103" i="1"/>
  <c r="CP103" i="1" s="1"/>
  <c r="O103" i="1" s="1"/>
  <c r="U103" i="1"/>
  <c r="S103" i="1"/>
  <c r="W103" i="1"/>
  <c r="AX142" i="1"/>
  <c r="F154" i="1"/>
  <c r="GN80" i="1"/>
  <c r="AX26" i="1"/>
  <c r="F116" i="1"/>
  <c r="AX178" i="1"/>
  <c r="GM33" i="1"/>
  <c r="GN33" i="1"/>
  <c r="GM96" i="1"/>
  <c r="GN96" i="1"/>
  <c r="P43" i="1"/>
  <c r="Q43" i="1"/>
  <c r="W43" i="1"/>
  <c r="U43" i="1"/>
  <c r="V43" i="1"/>
  <c r="GX43" i="1"/>
  <c r="R43" i="1"/>
  <c r="GK43" i="1" s="1"/>
  <c r="T43" i="1"/>
  <c r="S43" i="1"/>
  <c r="CP102" i="1"/>
  <c r="O102" i="1" s="1"/>
  <c r="CP64" i="1"/>
  <c r="O64" i="1" s="1"/>
  <c r="GN30" i="1"/>
  <c r="GM95" i="1"/>
  <c r="GN95" i="1"/>
  <c r="CY56" i="1"/>
  <c r="X56" i="1" s="1"/>
  <c r="GM56" i="1" s="1"/>
  <c r="CZ56" i="1"/>
  <c r="Y56" i="1" s="1"/>
  <c r="GM78" i="1"/>
  <c r="GN78" i="1"/>
  <c r="CZ66" i="1"/>
  <c r="Y66" i="1" s="1"/>
  <c r="CY66" i="1"/>
  <c r="X66" i="1" s="1"/>
  <c r="GM66" i="1" s="1"/>
  <c r="CP42" i="1"/>
  <c r="O42" i="1" s="1"/>
  <c r="GM53" i="1"/>
  <c r="GN53" i="1"/>
  <c r="GM30" i="1"/>
  <c r="GM99" i="1"/>
  <c r="GN99" i="1"/>
  <c r="BC22" i="1"/>
  <c r="F194" i="1"/>
  <c r="BC214" i="1"/>
  <c r="CP68" i="1"/>
  <c r="O68" i="1" s="1"/>
  <c r="AZ142" i="1"/>
  <c r="F158" i="1"/>
  <c r="GM100" i="1"/>
  <c r="GN100" i="1"/>
  <c r="BD22" i="1"/>
  <c r="BD214" i="1"/>
  <c r="F203" i="1"/>
  <c r="GX105" i="1"/>
  <c r="P105" i="1"/>
  <c r="Q105" i="1"/>
  <c r="V105" i="1"/>
  <c r="W105" i="1"/>
  <c r="U105" i="1"/>
  <c r="T105" i="1"/>
  <c r="R105" i="1"/>
  <c r="GK105" i="1" s="1"/>
  <c r="S105" i="1"/>
  <c r="GN89" i="1"/>
  <c r="GM89" i="1"/>
  <c r="CX60" i="3"/>
  <c r="CX59" i="3"/>
  <c r="CX58" i="3"/>
  <c r="CX57" i="3"/>
  <c r="CX56" i="3"/>
  <c r="CX64" i="3"/>
  <c r="CX55" i="3"/>
  <c r="CX63" i="3"/>
  <c r="CX54" i="3"/>
  <c r="CX62" i="3"/>
  <c r="P44" i="1"/>
  <c r="I45" i="1"/>
  <c r="Q44" i="1"/>
  <c r="CX61" i="3"/>
  <c r="T44" i="1"/>
  <c r="I46" i="1"/>
  <c r="U44" i="1"/>
  <c r="W44" i="1"/>
  <c r="V44" i="1"/>
  <c r="R44" i="1"/>
  <c r="GK44" i="1" s="1"/>
  <c r="GX44" i="1"/>
  <c r="S44" i="1"/>
  <c r="CJ147" i="1" l="1"/>
  <c r="GN66" i="1"/>
  <c r="BD18" i="1"/>
  <c r="F239" i="1"/>
  <c r="AQ22" i="1"/>
  <c r="F188" i="1"/>
  <c r="AQ214" i="1"/>
  <c r="AP18" i="1"/>
  <c r="F223" i="1"/>
  <c r="CY105" i="1"/>
  <c r="X105" i="1" s="1"/>
  <c r="CZ105" i="1"/>
  <c r="Y105" i="1" s="1"/>
  <c r="BC18" i="1"/>
  <c r="F230" i="1"/>
  <c r="GX45" i="1"/>
  <c r="Q45" i="1"/>
  <c r="R45" i="1"/>
  <c r="GK45" i="1" s="1"/>
  <c r="S45" i="1"/>
  <c r="T45" i="1"/>
  <c r="P45" i="1"/>
  <c r="CP45" i="1" s="1"/>
  <c r="O45" i="1" s="1"/>
  <c r="V45" i="1"/>
  <c r="W45" i="1"/>
  <c r="U45" i="1"/>
  <c r="GM42" i="1"/>
  <c r="GN42" i="1"/>
  <c r="CP44" i="1"/>
  <c r="O44" i="1" s="1"/>
  <c r="CY103" i="1"/>
  <c r="X103" i="1" s="1"/>
  <c r="GN103" i="1" s="1"/>
  <c r="CZ103" i="1"/>
  <c r="Y103" i="1" s="1"/>
  <c r="GM101" i="1"/>
  <c r="GN101" i="1"/>
  <c r="CY144" i="1"/>
  <c r="X144" i="1" s="1"/>
  <c r="CZ144" i="1"/>
  <c r="Y144" i="1" s="1"/>
  <c r="GN56" i="1"/>
  <c r="CY44" i="1"/>
  <c r="X44" i="1" s="1"/>
  <c r="CZ44" i="1"/>
  <c r="Y44" i="1" s="1"/>
  <c r="AX22" i="1"/>
  <c r="AX214" i="1"/>
  <c r="F185" i="1"/>
  <c r="AT18" i="1"/>
  <c r="F232" i="1"/>
  <c r="AH147" i="1"/>
  <c r="GN104" i="1"/>
  <c r="AO18" i="1"/>
  <c r="F218" i="1"/>
  <c r="GN68" i="1"/>
  <c r="GM68" i="1"/>
  <c r="CP144" i="1"/>
  <c r="O144" i="1" s="1"/>
  <c r="GN102" i="1"/>
  <c r="GM102" i="1"/>
  <c r="AZ26" i="1"/>
  <c r="F120" i="1"/>
  <c r="AZ178" i="1"/>
  <c r="GN75" i="1"/>
  <c r="GM64" i="1"/>
  <c r="GN64" i="1"/>
  <c r="CX68" i="3"/>
  <c r="CX67" i="3"/>
  <c r="CX66" i="3"/>
  <c r="CX65" i="3"/>
  <c r="I47" i="1"/>
  <c r="Q46" i="1"/>
  <c r="R46" i="1"/>
  <c r="GK46" i="1" s="1"/>
  <c r="V46" i="1"/>
  <c r="W46" i="1"/>
  <c r="P46" i="1"/>
  <c r="CP46" i="1" s="1"/>
  <c r="O46" i="1" s="1"/>
  <c r="GX46" i="1"/>
  <c r="T46" i="1"/>
  <c r="S46" i="1"/>
  <c r="U46" i="1"/>
  <c r="CP105" i="1"/>
  <c r="O105" i="1" s="1"/>
  <c r="CY43" i="1"/>
  <c r="X43" i="1" s="1"/>
  <c r="CZ43" i="1"/>
  <c r="Y43" i="1" s="1"/>
  <c r="CP43" i="1"/>
  <c r="O43" i="1" s="1"/>
  <c r="V145" i="1"/>
  <c r="AI147" i="1" s="1"/>
  <c r="Q145" i="1"/>
  <c r="AD147" i="1" s="1"/>
  <c r="S145" i="1"/>
  <c r="T145" i="1"/>
  <c r="AG147" i="1" s="1"/>
  <c r="P145" i="1"/>
  <c r="CP145" i="1" s="1"/>
  <c r="O145" i="1" s="1"/>
  <c r="GX145" i="1"/>
  <c r="U145" i="1"/>
  <c r="R145" i="1"/>
  <c r="AE147" i="1" s="1"/>
  <c r="W145" i="1"/>
  <c r="AJ147" i="1" s="1"/>
  <c r="R147" i="1" l="1"/>
  <c r="AE142" i="1"/>
  <c r="T147" i="1"/>
  <c r="AG142" i="1"/>
  <c r="AD107" i="1"/>
  <c r="Q147" i="1"/>
  <c r="AD142" i="1"/>
  <c r="AJ142" i="1"/>
  <c r="W147" i="1"/>
  <c r="AI142" i="1"/>
  <c r="V147" i="1"/>
  <c r="GM144" i="1"/>
  <c r="AB147" i="1"/>
  <c r="GP144" i="1"/>
  <c r="AX18" i="1"/>
  <c r="F221" i="1"/>
  <c r="AK147" i="1"/>
  <c r="AQ18" i="1"/>
  <c r="F224" i="1"/>
  <c r="AC147" i="1"/>
  <c r="AL147" i="1"/>
  <c r="CY46" i="1"/>
  <c r="X46" i="1" s="1"/>
  <c r="CZ46" i="1"/>
  <c r="Y46" i="1" s="1"/>
  <c r="GM46" i="1" s="1"/>
  <c r="P47" i="1"/>
  <c r="CP47" i="1" s="1"/>
  <c r="O47" i="1" s="1"/>
  <c r="Q47" i="1"/>
  <c r="S47" i="1"/>
  <c r="T47" i="1"/>
  <c r="AG107" i="1" s="1"/>
  <c r="U47" i="1"/>
  <c r="AH107" i="1" s="1"/>
  <c r="R47" i="1"/>
  <c r="GK47" i="1" s="1"/>
  <c r="V47" i="1"/>
  <c r="AI107" i="1" s="1"/>
  <c r="GX47" i="1"/>
  <c r="CJ107" i="1" s="1"/>
  <c r="W47" i="1"/>
  <c r="AJ107" i="1" s="1"/>
  <c r="BA147" i="1"/>
  <c r="CJ142" i="1"/>
  <c r="GM103" i="1"/>
  <c r="AZ22" i="1"/>
  <c r="AZ214" i="1"/>
  <c r="F189" i="1"/>
  <c r="GN43" i="1"/>
  <c r="GM43" i="1"/>
  <c r="AH142" i="1"/>
  <c r="U147" i="1"/>
  <c r="GM45" i="1"/>
  <c r="GN45" i="1"/>
  <c r="CZ145" i="1"/>
  <c r="Y145" i="1" s="1"/>
  <c r="CY145" i="1"/>
  <c r="X145" i="1" s="1"/>
  <c r="GM145" i="1" s="1"/>
  <c r="GN105" i="1"/>
  <c r="GM105" i="1"/>
  <c r="AF147" i="1"/>
  <c r="GM44" i="1"/>
  <c r="GN44" i="1"/>
  <c r="CY45" i="1"/>
  <c r="X45" i="1" s="1"/>
  <c r="CZ45" i="1"/>
  <c r="Y45" i="1" s="1"/>
  <c r="AH26" i="1" l="1"/>
  <c r="U107" i="1"/>
  <c r="AG26" i="1"/>
  <c r="T107" i="1"/>
  <c r="GM47" i="1"/>
  <c r="CA107" i="1" s="1"/>
  <c r="GN47" i="1"/>
  <c r="X147" i="1"/>
  <c r="AK142" i="1"/>
  <c r="V142" i="1"/>
  <c r="F170" i="1"/>
  <c r="AD26" i="1"/>
  <c r="Q107" i="1"/>
  <c r="AJ26" i="1"/>
  <c r="W107" i="1"/>
  <c r="AZ18" i="1"/>
  <c r="F225" i="1"/>
  <c r="AI26" i="1"/>
  <c r="V107" i="1"/>
  <c r="W142" i="1"/>
  <c r="F171" i="1"/>
  <c r="T142" i="1"/>
  <c r="F168" i="1"/>
  <c r="CJ26" i="1"/>
  <c r="BA107" i="1"/>
  <c r="GN46" i="1"/>
  <c r="CB107" i="1" s="1"/>
  <c r="Y147" i="1"/>
  <c r="AL142" i="1"/>
  <c r="P147" i="1"/>
  <c r="AC142" i="1"/>
  <c r="CE147" i="1"/>
  <c r="CF147" i="1"/>
  <c r="CH147" i="1"/>
  <c r="AE107" i="1"/>
  <c r="S147" i="1"/>
  <c r="AF142" i="1"/>
  <c r="AB142" i="1"/>
  <c r="O147" i="1"/>
  <c r="U142" i="1"/>
  <c r="F169" i="1"/>
  <c r="CY47" i="1"/>
  <c r="X47" i="1" s="1"/>
  <c r="AK107" i="1" s="1"/>
  <c r="CZ47" i="1"/>
  <c r="Y47" i="1" s="1"/>
  <c r="AL107" i="1" s="1"/>
  <c r="AF107" i="1"/>
  <c r="GP145" i="1"/>
  <c r="CD147" i="1" s="1"/>
  <c r="AC107" i="1"/>
  <c r="CA147" i="1"/>
  <c r="AB107" i="1"/>
  <c r="BA142" i="1"/>
  <c r="F167" i="1"/>
  <c r="Q142" i="1"/>
  <c r="F159" i="1"/>
  <c r="R142" i="1"/>
  <c r="F161" i="1"/>
  <c r="CA26" i="1" l="1"/>
  <c r="AR107" i="1"/>
  <c r="CD142" i="1"/>
  <c r="AU147" i="1"/>
  <c r="CB26" i="1"/>
  <c r="AS107" i="1"/>
  <c r="AC26" i="1"/>
  <c r="CE107" i="1"/>
  <c r="CF107" i="1"/>
  <c r="CH107" i="1"/>
  <c r="P107" i="1"/>
  <c r="P142" i="1"/>
  <c r="F150" i="1"/>
  <c r="CA142" i="1"/>
  <c r="AR147" i="1"/>
  <c r="W26" i="1"/>
  <c r="F133" i="1"/>
  <c r="W178" i="1"/>
  <c r="Q26" i="1"/>
  <c r="F121" i="1"/>
  <c r="Q178" i="1"/>
  <c r="T26" i="1"/>
  <c r="F130" i="1"/>
  <c r="T178" i="1"/>
  <c r="O142" i="1"/>
  <c r="F149" i="1"/>
  <c r="AF26" i="1"/>
  <c r="S107" i="1"/>
  <c r="S142" i="1"/>
  <c r="F162" i="1"/>
  <c r="AE26" i="1"/>
  <c r="R107" i="1"/>
  <c r="Y142" i="1"/>
  <c r="F174" i="1"/>
  <c r="V26" i="1"/>
  <c r="V178" i="1"/>
  <c r="F132" i="1"/>
  <c r="U26" i="1"/>
  <c r="F131" i="1"/>
  <c r="U178" i="1"/>
  <c r="AK26" i="1"/>
  <c r="X107" i="1"/>
  <c r="CH142" i="1"/>
  <c r="AY147" i="1"/>
  <c r="AL26" i="1"/>
  <c r="Y107" i="1"/>
  <c r="CF142" i="1"/>
  <c r="AW147" i="1"/>
  <c r="BA26" i="1"/>
  <c r="F129" i="1"/>
  <c r="BA178" i="1"/>
  <c r="AB26" i="1"/>
  <c r="O107" i="1"/>
  <c r="CE142" i="1"/>
  <c r="AV147" i="1"/>
  <c r="X142" i="1"/>
  <c r="F173" i="1"/>
  <c r="R26" i="1" l="1"/>
  <c r="F123" i="1"/>
  <c r="R178" i="1"/>
  <c r="AS26" i="1"/>
  <c r="F126" i="1"/>
  <c r="AS178" i="1"/>
  <c r="AW142" i="1"/>
  <c r="F153" i="1"/>
  <c r="AR142" i="1"/>
  <c r="F175" i="1"/>
  <c r="Q22" i="1"/>
  <c r="Q214" i="1"/>
  <c r="F190" i="1"/>
  <c r="T22" i="1"/>
  <c r="F199" i="1"/>
  <c r="T214" i="1"/>
  <c r="S26" i="1"/>
  <c r="F124" i="1"/>
  <c r="S178" i="1"/>
  <c r="AU142" i="1"/>
  <c r="F166" i="1"/>
  <c r="AU178" i="1"/>
  <c r="O26" i="1"/>
  <c r="F111" i="1"/>
  <c r="O178" i="1"/>
  <c r="V22" i="1"/>
  <c r="V214" i="1"/>
  <c r="F201" i="1"/>
  <c r="P26" i="1"/>
  <c r="F112" i="1"/>
  <c r="P178" i="1"/>
  <c r="CE26" i="1"/>
  <c r="AV107" i="1"/>
  <c r="Y26" i="1"/>
  <c r="F136" i="1"/>
  <c r="Y178" i="1"/>
  <c r="AY142" i="1"/>
  <c r="F155" i="1"/>
  <c r="BA22" i="1"/>
  <c r="F198" i="1"/>
  <c r="BA214" i="1"/>
  <c r="X26" i="1"/>
  <c r="F135" i="1"/>
  <c r="X178" i="1"/>
  <c r="W22" i="1"/>
  <c r="F202" i="1"/>
  <c r="W214" i="1"/>
  <c r="CH26" i="1"/>
  <c r="AY107" i="1"/>
  <c r="AR26" i="1"/>
  <c r="F137" i="1"/>
  <c r="F138" i="1" s="1"/>
  <c r="AR178" i="1"/>
  <c r="U22" i="1"/>
  <c r="U214" i="1"/>
  <c r="F200" i="1"/>
  <c r="F152" i="1"/>
  <c r="AV142" i="1"/>
  <c r="F176" i="1"/>
  <c r="F209" i="1" s="1"/>
  <c r="CF26" i="1"/>
  <c r="AW107" i="1"/>
  <c r="T18" i="1" l="1"/>
  <c r="F235" i="1"/>
  <c r="U18" i="1"/>
  <c r="F236" i="1"/>
  <c r="AS22" i="1"/>
  <c r="F195" i="1"/>
  <c r="E16" i="2" s="1"/>
  <c r="AS214" i="1"/>
  <c r="W18" i="1"/>
  <c r="F238" i="1"/>
  <c r="AR22" i="1"/>
  <c r="F206" i="1"/>
  <c r="AR214" i="1"/>
  <c r="Y22" i="1"/>
  <c r="Y214" i="1"/>
  <c r="F205" i="1"/>
  <c r="Q18" i="1"/>
  <c r="F226" i="1"/>
  <c r="P22" i="1"/>
  <c r="F181" i="1"/>
  <c r="P214" i="1"/>
  <c r="S22" i="1"/>
  <c r="S214" i="1"/>
  <c r="F193" i="1"/>
  <c r="J16" i="2" s="1"/>
  <c r="J18" i="2" s="1"/>
  <c r="R22" i="1"/>
  <c r="R214" i="1"/>
  <c r="F192" i="1"/>
  <c r="AU22" i="1"/>
  <c r="AU214" i="1"/>
  <c r="F197" i="1"/>
  <c r="H16" i="2" s="1"/>
  <c r="H18" i="2" s="1"/>
  <c r="X22" i="1"/>
  <c r="F204" i="1"/>
  <c r="X214" i="1"/>
  <c r="AW26" i="1"/>
  <c r="AW178" i="1"/>
  <c r="F115" i="1"/>
  <c r="F109" i="1"/>
  <c r="F207" i="1"/>
  <c r="F208" i="1" s="1"/>
  <c r="F210" i="1" s="1"/>
  <c r="F211" i="1" s="1"/>
  <c r="F212" i="1" s="1"/>
  <c r="V18" i="1"/>
  <c r="F237" i="1"/>
  <c r="AY26" i="1"/>
  <c r="F117" i="1"/>
  <c r="AY178" i="1"/>
  <c r="BA18" i="1"/>
  <c r="F234" i="1"/>
  <c r="AV26" i="1"/>
  <c r="F114" i="1"/>
  <c r="AV178" i="1"/>
  <c r="O22" i="1"/>
  <c r="F180" i="1"/>
  <c r="O214" i="1"/>
  <c r="I16" i="2" l="1"/>
  <c r="I18" i="2" s="1"/>
  <c r="E18" i="2"/>
  <c r="AV22" i="1"/>
  <c r="AV214" i="1"/>
  <c r="F183" i="1"/>
  <c r="Y18" i="1"/>
  <c r="F241" i="1"/>
  <c r="P18" i="1"/>
  <c r="F217" i="1"/>
  <c r="AR18" i="1"/>
  <c r="F242" i="1"/>
  <c r="AS18" i="1"/>
  <c r="F231" i="1"/>
  <c r="O18" i="1"/>
  <c r="F216" i="1"/>
  <c r="F243" i="1" s="1"/>
  <c r="S18" i="1"/>
  <c r="F229" i="1"/>
  <c r="AY22" i="1"/>
  <c r="F186" i="1"/>
  <c r="AY214" i="1"/>
  <c r="X18" i="1"/>
  <c r="F240" i="1"/>
  <c r="AU18" i="1"/>
  <c r="F233" i="1"/>
  <c r="AW22" i="1"/>
  <c r="AW214" i="1"/>
  <c r="F184" i="1"/>
  <c r="R18" i="1"/>
  <c r="F228" i="1"/>
  <c r="F244" i="1" l="1"/>
  <c r="F245" i="1" s="1"/>
  <c r="AV18" i="1"/>
  <c r="F219" i="1"/>
  <c r="AY18" i="1"/>
  <c r="F222" i="1"/>
  <c r="AW18" i="1"/>
  <c r="F220" i="1"/>
</calcChain>
</file>

<file path=xl/sharedStrings.xml><?xml version="1.0" encoding="utf-8"?>
<sst xmlns="http://schemas.openxmlformats.org/spreadsheetml/2006/main" count="6301" uniqueCount="536">
  <si>
    <t>Smeta.RU  (495) 974-1589</t>
  </si>
  <si>
    <t>_PS_</t>
  </si>
  <si>
    <t>Smeta.RU</t>
  </si>
  <si>
    <t>ООО "Инженерные коммуникации СТОУН"  Доп. раб. место  MCCS-0028578</t>
  </si>
  <si>
    <t>50-2016-БО_(Копия)</t>
  </si>
  <si>
    <t/>
  </si>
  <si>
    <t>50-2016-БО</t>
  </si>
  <si>
    <t>Гапченко И.В.</t>
  </si>
  <si>
    <t>Генеральный директор</t>
  </si>
  <si>
    <t>ООО "Энергии Технологии", 127254, город Москва, Огородный проезд, дом.16, строение 17, комната 306,307,310</t>
  </si>
  <si>
    <t>Захарченко Н.Н.</t>
  </si>
  <si>
    <t>ООО "Инженерные коммуникации СТОУН", 141101, область Московская, район Щёлковский, город Щёлково, улица Заводская, дом 2, корпус 305А, помещение 28</t>
  </si>
  <si>
    <t>Сметные нормы списания</t>
  </si>
  <si>
    <t>Коды ОКП для ТСН-2001 МГЭ</t>
  </si>
  <si>
    <t>ТСН-2001 (МГЭ) - Новое строительство</t>
  </si>
  <si>
    <t>Типовой расчет Smeta.ru вер. 10 для ТСН-2001 МГЭ (Строительство), Доп 53 (от 01.08.2018 г.)</t>
  </si>
  <si>
    <t>Территориальные сметные нормативы для Москвы ТСН-2001 (МГЭ)</t>
  </si>
  <si>
    <t>Поправки для ТСН-2001 от 06.05.2019 г.</t>
  </si>
  <si>
    <t>3</t>
  </si>
  <si>
    <t>Восстановление благоустройства</t>
  </si>
  <si>
    <t>Новый раздел</t>
  </si>
  <si>
    <t>Строительные работы.</t>
  </si>
  <si>
    <t>Проезжая часть асф/бет покрытие</t>
  </si>
  <si>
    <t>1</t>
  </si>
  <si>
    <t>6.68-51-4</t>
  </si>
  <si>
    <t>Разборка покрытий и оснований асфальтобетонных</t>
  </si>
  <si>
    <t>100 м3 конструкций</t>
  </si>
  <si>
    <t>ТСН-2001.6. Доп. 1-42. Сб. 68, т. 51, поз. 4</t>
  </si>
  <si>
    <t>Ремонтно-строительные работы</t>
  </si>
  <si>
    <t>ТСН-2001.6-68. 68-51...68-53</t>
  </si>
  <si>
    <t>ТСН-2001.6-68-21</t>
  </si>
  <si>
    <t>2</t>
  </si>
  <si>
    <t>6.68-51-5</t>
  </si>
  <si>
    <t>Разборка покрытий и оснований цементобетонных</t>
  </si>
  <si>
    <t>ТСН-2001.6. Доп. 1-42. Сб. 68, т. 51, поз. 5</t>
  </si>
  <si>
    <t>4</t>
  </si>
  <si>
    <t>6.66-86-1</t>
  </si>
  <si>
    <t>Погрузка вручную строительного мусора в самосвал</t>
  </si>
  <si>
    <t>1 Т</t>
  </si>
  <si>
    <t>ТСН-2001.6. Доп. 1-42. Сб. 66, т. 86, поз. 1</t>
  </si>
  <si>
    <t>ТСН-2001.6-66. 66-86, 66-87</t>
  </si>
  <si>
    <t>ТСН-2001.6-66-15</t>
  </si>
  <si>
    <t>5</t>
  </si>
  <si>
    <t>6.68-13-1</t>
  </si>
  <si>
    <t>Механизированная погрузка строительного мусора в автомобили-самосвалы</t>
  </si>
  <si>
    <t>ТСН-2001.6. Доп. 1-42. Сб. 68, т. 13, поз. 1</t>
  </si>
  <si>
    <t>ТСН-2001.6-68. 68-13</t>
  </si>
  <si>
    <t>ТСН-2001.6-68-5</t>
  </si>
  <si>
    <t>6</t>
  </si>
  <si>
    <t>3.27-12-1</t>
  </si>
  <si>
    <t>Устройство подстилающих и выравнивающих слоев оснований из песка</t>
  </si>
  <si>
    <t>100 м3 материала основания (в плотном теле)</t>
  </si>
  <si>
    <t>ТСН-2001.3. Доп. 1-42. Сб. 27, т. 12, поз. 1</t>
  </si>
  <si>
    <t>Строительные работы</t>
  </si>
  <si>
    <t>ТСН-2001.3-27. 27-1...27-21</t>
  </si>
  <si>
    <t>ТСН-2001.3-27-1</t>
  </si>
  <si>
    <t>6,1</t>
  </si>
  <si>
    <t>1.1-1-766</t>
  </si>
  <si>
    <t>Песок для строительных работ, рядовой</t>
  </si>
  <si>
    <t>м3</t>
  </si>
  <si>
    <t>ТСН-2001.1. Доп. 1-42. Р. 1, о. 1, поз. 766</t>
  </si>
  <si>
    <t>7</t>
  </si>
  <si>
    <t>3.27-30-1</t>
  </si>
  <si>
    <t>Устройство цементобетонных оснований городских проездов толщина слоя, см 16</t>
  </si>
  <si>
    <t>1000 м2 основания</t>
  </si>
  <si>
    <t>ТСН-2001.3. Доп. 1-42. Сб. 27, т. 30, поз. 1</t>
  </si>
  <si>
    <t>ТСН-2001.3-27. 27-29, 27-30</t>
  </si>
  <si>
    <t>ТСН-2001.3-27-7</t>
  </si>
  <si>
    <t>7,1</t>
  </si>
  <si>
    <t>1.3-1-36</t>
  </si>
  <si>
    <t>Смеси бетонные, БСГ, тяжелого бетона на гранитном щебне, класс прочности В7,5 (М100); П3, фракция 5-20</t>
  </si>
  <si>
    <t>ТСН-2001.1. Доп. 1-42. Р. 3, о. 1, поз. 36</t>
  </si>
  <si>
    <t>8</t>
  </si>
  <si>
    <t>3.27-30-2</t>
  </si>
  <si>
    <t>Устройство цементобетонных оснований городских проездов добавлять или исключать на каждый 1 см изменения толщины слоя</t>
  </si>
  <si>
    <t>ТСН-2001.3. Доп. 1-42. Сб. 27, т. 30, поз. 2</t>
  </si>
  <si>
    <t>8,1</t>
  </si>
  <si>
    <t>9</t>
  </si>
  <si>
    <t>3.27-42-1</t>
  </si>
  <si>
    <t>Устройство покрытий из горячих асфальтобетонных смесей толщиной 4 см комплектом машин</t>
  </si>
  <si>
    <t>100 м2 покрытия</t>
  </si>
  <si>
    <t>ТСН-2001.3. Доп. 1-42. Сб. 27, т. 42, поз. 1</t>
  </si>
  <si>
    <t>ТСН-2001.3-27. 27-42...27-46</t>
  </si>
  <si>
    <t>ТСН-2001.3-27-13</t>
  </si>
  <si>
    <t>9,1</t>
  </si>
  <si>
    <t>1.3-3-3</t>
  </si>
  <si>
    <t>Смеси асфальтобетонные дорожные горячие крупнозернистые, тип I</t>
  </si>
  <si>
    <t>т</t>
  </si>
  <si>
    <t>ТСН-2001.1. Доп. 1-42. Р. 3, о. 3, поз. 3</t>
  </si>
  <si>
    <t>10</t>
  </si>
  <si>
    <t>3.27-43-1</t>
  </si>
  <si>
    <t>Добавляется на каждый 1 см изменения толщины слоя сверх 4 см к позиции 3.27-42-1</t>
  </si>
  <si>
    <t>ТСН-2001.3. Доп. 1-42. Сб. 27, т. 43, поз. 1</t>
  </si>
  <si>
    <t>*3</t>
  </si>
  <si>
    <t>10,1</t>
  </si>
  <si>
    <t>11</t>
  </si>
  <si>
    <t>11,1</t>
  </si>
  <si>
    <t>12</t>
  </si>
  <si>
    <t>Поправка: 3.27-43/1  Наименование:  Производство работ на одной половине проезжей части при систематическом движении транспорта на другой половине проезжей части</t>
  </si>
  <si>
    <t>*2</t>
  </si>
  <si>
    <t>Поправка: 3.27-43/1</t>
  </si>
  <si>
    <t>12,1</t>
  </si>
  <si>
    <t>13</t>
  </si>
  <si>
    <t>13,1</t>
  </si>
  <si>
    <t>1.3-3-7</t>
  </si>
  <si>
    <t>Смеси асфальтобетонные дорожные горячие мелкозернистые, марка I, тип А</t>
  </si>
  <si>
    <t>ТСН-2001.1. Доп. 1-42. Р. 3, о. 3, поз. 7</t>
  </si>
  <si>
    <t>Тротуар асф./бет.покрытие</t>
  </si>
  <si>
    <t>14</t>
  </si>
  <si>
    <t>15</t>
  </si>
  <si>
    <t>16</t>
  </si>
  <si>
    <t>6.68-51-2</t>
  </si>
  <si>
    <t>Разборка покрытий и оснований щебеночных</t>
  </si>
  <si>
    <t>ТСН-2001.6. Доп. 1-42. Сб. 68, т. 51, поз. 2</t>
  </si>
  <si>
    <t>17</t>
  </si>
  <si>
    <t>6.68-53-1</t>
  </si>
  <si>
    <t>Разборка бортовых камней на бетонном основании</t>
  </si>
  <si>
    <t>100 м</t>
  </si>
  <si>
    <t>ТСН-2001.6. Доп. 1-42. Сб. 68, т. 53, поз. 1</t>
  </si>
  <si>
    <t>18</t>
  </si>
  <si>
    <t>19</t>
  </si>
  <si>
    <t>20</t>
  </si>
  <si>
    <t>20,1</t>
  </si>
  <si>
    <t>21</t>
  </si>
  <si>
    <t>21,1</t>
  </si>
  <si>
    <t>22</t>
  </si>
  <si>
    <t>*4</t>
  </si>
  <si>
    <t>22,1</t>
  </si>
  <si>
    <t>23</t>
  </si>
  <si>
    <t>3.27-48-1</t>
  </si>
  <si>
    <t>Устройство оснований под тротуары из щебня толщиной 12 см</t>
  </si>
  <si>
    <t>100 м2 дорожек и тротуаров</t>
  </si>
  <si>
    <t>ТСН-2001.3. Доп. 1-42. Сб. 27, т. 48, поз. 1</t>
  </si>
  <si>
    <t>ТСН-2001.3-27. 27-48</t>
  </si>
  <si>
    <t>ТСН-2001.3-27-15</t>
  </si>
  <si>
    <t>23,1</t>
  </si>
  <si>
    <t>1.1-1-1555</t>
  </si>
  <si>
    <t>Щебень из естественного камня для дорожных работ, марка 1200 - 800, фракция 20 - 40 мм</t>
  </si>
  <si>
    <t>ТСН-2001.1. Доп. 1-42. Р. 1, о. 1, поз. 1555</t>
  </si>
  <si>
    <t>24</t>
  </si>
  <si>
    <t>3.27-47-3</t>
  </si>
  <si>
    <t>Устройство асфальтобетонных покрытий дорожек и тротуаров двухслойных нижний слой из крупнозернистой асфальтобетонной смеси толщиной 4,5 см</t>
  </si>
  <si>
    <t>ТСН-2001.3. Доп. 1-42. Сб. 27, т. 47, поз. 3</t>
  </si>
  <si>
    <t>ТСН-2001.3-27. 27-47</t>
  </si>
  <si>
    <t>ТСН-2001.3-27-14</t>
  </si>
  <si>
    <t>24,1</t>
  </si>
  <si>
    <t>25</t>
  </si>
  <si>
    <t>3.27-47-4</t>
  </si>
  <si>
    <t>Устройство асфальтобетонных покрытий дорожек и тротуаров двухслойных верхний слой из песчаной асфальтобетонной смеси толщиной 3 см</t>
  </si>
  <si>
    <t>ТСН-2001.3. Доп. 1-42. Сб. 27, т. 47, поз. 4</t>
  </si>
  <si>
    <t>25,1</t>
  </si>
  <si>
    <t>26</t>
  </si>
  <si>
    <t>3.27-26-1</t>
  </si>
  <si>
    <t>Установка бортовых камней бетонных при цементобетонных покрытиях</t>
  </si>
  <si>
    <t>100 м бортового камня</t>
  </si>
  <si>
    <t>ТСН-2001.3. Доп. 1-42. Сб. 27, т. 26, поз. 1</t>
  </si>
  <si>
    <t>ТСН-2001.3-27. 27-26-1</t>
  </si>
  <si>
    <t>ТСН-2001.3-27-3</t>
  </si>
  <si>
    <t>26,1</t>
  </si>
  <si>
    <t>1.5-3-40</t>
  </si>
  <si>
    <t>КАМНИ БЕТОННЫЕ БОРТОВЫЕ, МАРКА БР 100.30.15</t>
  </si>
  <si>
    <t>ТСН-2001.1. База. Р.5, о.3, поз.40</t>
  </si>
  <si>
    <t>Восстановление садового бордюрного камня</t>
  </si>
  <si>
    <t>27</t>
  </si>
  <si>
    <t>28</t>
  </si>
  <si>
    <t>29</t>
  </si>
  <si>
    <t>3.27-26-5</t>
  </si>
  <si>
    <t>Установка бортовых камней бетонных газонных и садовых при цементобетонных покрытиях</t>
  </si>
  <si>
    <t>ТСН-2001.3 Доп. 47, Сб. 27, т. 26, поз. 5</t>
  </si>
  <si>
    <t>ТСН-2001.3-27. 27-26-5, 27-26-6 (доп. 29)</t>
  </si>
  <si>
    <t>ТСН-2001.3-27-40</t>
  </si>
  <si>
    <t>29,1</t>
  </si>
  <si>
    <t>1.5-3-402</t>
  </si>
  <si>
    <t>КАМНИ БЕТОННЫЕ БОРТОВЫЕ ГАЗОННЫЕ, МАРКА 2ГБ 60.8.20, ЦВЕТ СЕРЫЙ</t>
  </si>
  <si>
    <t>ТСН-2001.1. База. Р.5, о.3, поз.402</t>
  </si>
  <si>
    <t>Восстановление покрытий из щебня</t>
  </si>
  <si>
    <t>30</t>
  </si>
  <si>
    <t>31</t>
  </si>
  <si>
    <t>32</t>
  </si>
  <si>
    <t>32,1</t>
  </si>
  <si>
    <t>33</t>
  </si>
  <si>
    <t>33,1</t>
  </si>
  <si>
    <t>1.1-1-1528</t>
  </si>
  <si>
    <t>Щебень из естественного камня для строительных работ, марка 1200-800, фракция 5-10 мм</t>
  </si>
  <si>
    <t>ТСН-2001.1. Доп. 1-42. Р. 1, о. 1, поз. 1528</t>
  </si>
  <si>
    <t>Устройство покрытий из плитки</t>
  </si>
  <si>
    <t>34</t>
  </si>
  <si>
    <t>6.68-23-1</t>
  </si>
  <si>
    <t>Размостка плитных тротуаров и дорожек с разборкой</t>
  </si>
  <si>
    <t>ТСН-2001.6 Доп. 44, Сб. 68, т. 23, поз. 1</t>
  </si>
  <si>
    <t>ТСН-2001.6-68. 68-20...68-24</t>
  </si>
  <si>
    <t>ТСН-2001.6-68-8</t>
  </si>
  <si>
    <t>34,1</t>
  </si>
  <si>
    <t>1.3-2-21</t>
  </si>
  <si>
    <t>СМЕСИ СУХИЕ МОНТАЖНО-КЛАДОЧНЫЕ СПЕЦИАЛИЗИРОВАННЫЕ (ПЕСКОБЕТОНЫ): В15 (М200), F100, W2 -W4, КРУПНОСТЬ ЗАПОЛНИТЕЛЯ НЕ БОЛЕЕ 3 ММ  (БИРС-8 ИЗ РАСЧЕТА 20 – 22 кг сухой смеси на 1 м2 при толщине слоя 10 мм, т.е. 20мм - 40кг)</t>
  </si>
  <si>
    <t>ТСН-2001.1. Доп.22. Р.3, о.2, поз.21</t>
  </si>
  <si>
    <t>35</t>
  </si>
  <si>
    <t>1.5-3-419</t>
  </si>
  <si>
    <t>БРУСЧАТКА БЕТОННАЯ ПРЯМАЯ, МАРКА 1ПБ 20.10.7, ЦВЕТ СЕРЫЙ (30% новой)</t>
  </si>
  <si>
    <t>м2</t>
  </si>
  <si>
    <t>ТСН-2001.1. База. Р.5, о.3, поз.419</t>
  </si>
  <si>
    <t>Материалы строительные</t>
  </si>
  <si>
    <t>ТСН-2001.1 Материалы строительные</t>
  </si>
  <si>
    <t>ТСН-2001.1-1</t>
  </si>
  <si>
    <t>36</t>
  </si>
  <si>
    <t>37</t>
  </si>
  <si>
    <t>38</t>
  </si>
  <si>
    <t>38,1</t>
  </si>
  <si>
    <t>39</t>
  </si>
  <si>
    <t>3.27-22-1</t>
  </si>
  <si>
    <t>Устройство покрытий толщиной 15 см при укатке щебня с пределом прочности на сжатие свыше 98,1 мПа (свыше 1000 кг/см2) однослойных</t>
  </si>
  <si>
    <t>1000 м2 покрытия</t>
  </si>
  <si>
    <t>ТСН-2001.3. Доп. 1-42. Сб. 27, т. 22, поз. 1</t>
  </si>
  <si>
    <t>ТСН-2001.3-27. 27-22...27-25</t>
  </si>
  <si>
    <t>ТСН-2001.3-27-2</t>
  </si>
  <si>
    <t>39,1</t>
  </si>
  <si>
    <t>1.1-1-1531</t>
  </si>
  <si>
    <t>Щебень из естественного камня для строительных работ, марка 1200-800, фракция 40-70 мм</t>
  </si>
  <si>
    <t>ТСН-2001.1. Доп. 1-42. Р. 1, о. 1, поз. 1531</t>
  </si>
  <si>
    <t>39,2</t>
  </si>
  <si>
    <t>1.1-1-1529</t>
  </si>
  <si>
    <t>Щебень из естественного камня для строительных работ, марка 1200-800, фракция 10-20 мм</t>
  </si>
  <si>
    <t>ТСН-2001.1. Доп. 1-42. Р. 1, о. 1, поз. 1529</t>
  </si>
  <si>
    <t>39,3</t>
  </si>
  <si>
    <t>40</t>
  </si>
  <si>
    <t>40,1</t>
  </si>
  <si>
    <t>Газон</t>
  </si>
  <si>
    <t>41</t>
  </si>
  <si>
    <t>3.47-26-3</t>
  </si>
  <si>
    <t>Подготовка почвы для устройства партерного и обыкновенного газонов с внесением растительной земли слоем 15 см механизированным способом</t>
  </si>
  <si>
    <t>100 м2</t>
  </si>
  <si>
    <t>ТСН-2001.3. Доп. 1-42. Сб. 47, т. 26, поз. 3</t>
  </si>
  <si>
    <t>ТСН-2001.3-47. 47-23...47-33</t>
  </si>
  <si>
    <t>ТСН-2001.3-47-4</t>
  </si>
  <si>
    <t>41,1</t>
  </si>
  <si>
    <t>1.4-6-1</t>
  </si>
  <si>
    <t>Земля растительная</t>
  </si>
  <si>
    <t>ТСН-2001.1. Доп. 1-42. Р. 4, о. 6, поз. 1</t>
  </si>
  <si>
    <t>42</t>
  </si>
  <si>
    <t>3.47-26-4</t>
  </si>
  <si>
    <t>Подготовка почвы для устройства партерного и обыкновенного газонов с внесением растительной земли слоем 15 см вручную</t>
  </si>
  <si>
    <t>ТСН-2001.3. Доп. 1-42. Сб. 47, т. 26, поз. 4</t>
  </si>
  <si>
    <t>42,1</t>
  </si>
  <si>
    <t>43</t>
  </si>
  <si>
    <t>3.47-26-5</t>
  </si>
  <si>
    <t>Подготовка почвы для устройства партерного и обыкновенного газонов на каждые 5 см изменения толщины слоя добавлять или исключать</t>
  </si>
  <si>
    <t>ТСН-2001.3. Доп. 1-42. Сб. 47, т. 26, поз. 5</t>
  </si>
  <si>
    <t>43,1</t>
  </si>
  <si>
    <t>44</t>
  </si>
  <si>
    <t>3.47-26-6</t>
  </si>
  <si>
    <t>Посев газонов партерных, мавританских, и обыкновенных вручную</t>
  </si>
  <si>
    <t>ТСН-2001.3. Доп. 1-42. Сб. 47, т. 26, поз. 6</t>
  </si>
  <si>
    <t>44,1</t>
  </si>
  <si>
    <t>1.4-6-6</t>
  </si>
  <si>
    <t>Семена (смесь универсальная) газонных трав</t>
  </si>
  <si>
    <t>кг</t>
  </si>
  <si>
    <t>ТСН-2001.1. Доп. 1-42. Р. 4, о. 6, поз. 6</t>
  </si>
  <si>
    <t>ПЗ</t>
  </si>
  <si>
    <t>Прямые затраты</t>
  </si>
  <si>
    <t>СтМатОб</t>
  </si>
  <si>
    <t>Стоимость материальных ресурсов (всего)</t>
  </si>
  <si>
    <t>СтМатОбЗак</t>
  </si>
  <si>
    <t>Стоимость материалов и оборудования заказчика</t>
  </si>
  <si>
    <t>СтМатОбПод</t>
  </si>
  <si>
    <t>Стоимость материалов и оборудования подрядчика</t>
  </si>
  <si>
    <t>СтМат</t>
  </si>
  <si>
    <t>Стоимость материалов (всего)</t>
  </si>
  <si>
    <t>СтМатЗак</t>
  </si>
  <si>
    <t>Стоимость материалов заказчика</t>
  </si>
  <si>
    <t>СтМатПод</t>
  </si>
  <si>
    <t>Стоимость материалов подрядчика</t>
  </si>
  <si>
    <t>Оборуд</t>
  </si>
  <si>
    <t>Стоимость оборудования (всего)</t>
  </si>
  <si>
    <t>ОборудЗак</t>
  </si>
  <si>
    <t>Стоимость оборудования заказчика</t>
  </si>
  <si>
    <t>ОборудПод</t>
  </si>
  <si>
    <t>Стоимость оборудования подрядчика</t>
  </si>
  <si>
    <t>ЭММ</t>
  </si>
  <si>
    <t>Эксплуатация машин</t>
  </si>
  <si>
    <t>ЭММсНРиСП</t>
  </si>
  <si>
    <t>Эксплуатация машин по ТСН-2001.16</t>
  </si>
  <si>
    <t>ЗПМ</t>
  </si>
  <si>
    <t>ЗП машинистов</t>
  </si>
  <si>
    <t>ОЗП</t>
  </si>
  <si>
    <t>Основная ЗП рабочих</t>
  </si>
  <si>
    <t>ОЗПсНРиСП</t>
  </si>
  <si>
    <t>Основная ЗП рабочих по ТСН-2001.16</t>
  </si>
  <si>
    <t>Строит</t>
  </si>
  <si>
    <t>Строительные работы с НР и СП</t>
  </si>
  <si>
    <t>Монтаж</t>
  </si>
  <si>
    <t>Монтажные работы с НР и СП</t>
  </si>
  <si>
    <t>Прочие</t>
  </si>
  <si>
    <t>Прочие работы с НР и СП</t>
  </si>
  <si>
    <t>ПрочиеЗатр</t>
  </si>
  <si>
    <t>Прочие затраты по ТСН-2001.16</t>
  </si>
  <si>
    <t>ВозврМат</t>
  </si>
  <si>
    <t>Возврат материалов</t>
  </si>
  <si>
    <t>ТрудСтр</t>
  </si>
  <si>
    <t>Трудозатраты строителей</t>
  </si>
  <si>
    <t>ТрудМаш</t>
  </si>
  <si>
    <t>Трудозатраты машинистов</t>
  </si>
  <si>
    <t>ТранспМат</t>
  </si>
  <si>
    <t>Транспорт материалов</t>
  </si>
  <si>
    <t>Перевозка</t>
  </si>
  <si>
    <t>Перевозка грузов</t>
  </si>
  <si>
    <t>НР</t>
  </si>
  <si>
    <t>Накладные расходы</t>
  </si>
  <si>
    <t>СмПриб</t>
  </si>
  <si>
    <t>Сметная прибыль</t>
  </si>
  <si>
    <t>Всего</t>
  </si>
  <si>
    <t>Всего с НР и СП</t>
  </si>
  <si>
    <t>Ит</t>
  </si>
  <si>
    <t>Итого по разделу</t>
  </si>
  <si>
    <t>Прочие работы</t>
  </si>
  <si>
    <t>15.1-28-10</t>
  </si>
  <si>
    <t>Перевозка строительного мусора на расстояние 28 км автосамосвалами грузоподъемностью до 10 т</t>
  </si>
  <si>
    <t>ТСН-2001.15. Доп. 1-42. Сб. 1, т. 28, поз. 10</t>
  </si>
  <si>
    <t>Транспортные затраты</t>
  </si>
  <si>
    <t>ТСН-2001.15-1. Содержание свалки</t>
  </si>
  <si>
    <t>ТСН-2001.15-1-2</t>
  </si>
  <si>
    <t>15.1-0-1</t>
  </si>
  <si>
    <t>Размещение строительного мусора</t>
  </si>
  <si>
    <t>ТСН-2001.15 Доп. 44, Сб. 1, т. 0, поз. 1</t>
  </si>
  <si>
    <t>стр</t>
  </si>
  <si>
    <t>вп</t>
  </si>
  <si>
    <t>Временные здания и сооружения 1,5%</t>
  </si>
  <si>
    <t>пр</t>
  </si>
  <si>
    <t>ит</t>
  </si>
  <si>
    <t>Итого</t>
  </si>
  <si>
    <t>ндм</t>
  </si>
  <si>
    <t>НДС-18%</t>
  </si>
  <si>
    <t>вс</t>
  </si>
  <si>
    <t>Всего по акту с НДС</t>
  </si>
  <si>
    <t>Итог</t>
  </si>
  <si>
    <t>НДС</t>
  </si>
  <si>
    <t>НДС 18%</t>
  </si>
  <si>
    <t>Уровень цен</t>
  </si>
  <si>
    <t>Сборник индексов</t>
  </si>
  <si>
    <t>Коэффициенты к ТСН-2001 МГЭ</t>
  </si>
  <si>
    <t>149</t>
  </si>
  <si>
    <t>_OBSM_</t>
  </si>
  <si>
    <t>9999990008</t>
  </si>
  <si>
    <t>Трудозатраты рабочих</t>
  </si>
  <si>
    <t>чел.-ч.</t>
  </si>
  <si>
    <t>2.1-10-5</t>
  </si>
  <si>
    <t>ТСН-2001.2. Доп. 46. п.1-10-5 (101002)</t>
  </si>
  <si>
    <t>Компрессоры прицепные с двигателем внутреннего сгорания, производительность до 5 м3/мин, мощность двигателя до 29 кВт (39,4 л.с.)</t>
  </si>
  <si>
    <t>маш.-ч.</t>
  </si>
  <si>
    <t>2.1-30-54</t>
  </si>
  <si>
    <t>ТСН-2001.2. Доп. 1-42, п. 1-30-54 (308901)</t>
  </si>
  <si>
    <t>Молотки отбойные</t>
  </si>
  <si>
    <t>2.1-5-48</t>
  </si>
  <si>
    <t>ТСН-2001.2. Доп. 1-42, п. 1-5-48 (056003)</t>
  </si>
  <si>
    <t>Автогрейдеры, мощность 99-147 кВт (130-200 л.с.)</t>
  </si>
  <si>
    <t>9999990007</t>
  </si>
  <si>
    <t>Стоимость прочих машин (ЭСН)</t>
  </si>
  <si>
    <t>руб.</t>
  </si>
  <si>
    <t>2.1-1-43</t>
  </si>
  <si>
    <t>ТСН-2001.2. Доп. 1-42, п. 1-1-43 (012102)</t>
  </si>
  <si>
    <t>Бульдозеры гусеничные, мощность до 59 кВт (80 л.с.)</t>
  </si>
  <si>
    <t>2.1-1-5</t>
  </si>
  <si>
    <t>ТСН-2001.2. Доп. 1-42, п. 1-1-5 (010109)</t>
  </si>
  <si>
    <t>Экскаваторы на гусеничном ходу гидравлические, объем ковша до 0,65 м3</t>
  </si>
  <si>
    <t>2.1-17-76</t>
  </si>
  <si>
    <t>ТСН-2001.2. Доп. 1-42, п. 1-17-76 (177601)</t>
  </si>
  <si>
    <t>Спецфургон типа ДКТ</t>
  </si>
  <si>
    <t>2.1-2-1</t>
  </si>
  <si>
    <t>ТСН-2001.2. Доп. 1-42, п. 1-2-1 (020101)</t>
  </si>
  <si>
    <t>Тракторы на гусеничном ходу, мощность до 60 кВт (81 л.с.)</t>
  </si>
  <si>
    <t>2.1-5-15</t>
  </si>
  <si>
    <t>ТСН-2001.2. Доп. 1-42, п. 1-5-15 (050703)</t>
  </si>
  <si>
    <t>Катки прицепные пневмоколесные, масса до 50 т</t>
  </si>
  <si>
    <t>2.1-5-18</t>
  </si>
  <si>
    <t>ТСН-2001.2. Доп. 1-42, п. 1-5-18 (050902)</t>
  </si>
  <si>
    <t>Поливомоечные машины, емкость цистерны более 5000 л</t>
  </si>
  <si>
    <t>2.1-5-7</t>
  </si>
  <si>
    <t>ТСН-2001.2. Доп. 1-42, п. 1-5-7 (050301)</t>
  </si>
  <si>
    <t>Катки дорожные самоходные на пневмоколесном ходу, масса до 16 т</t>
  </si>
  <si>
    <t>1.1-1-118</t>
  </si>
  <si>
    <t>ТСН-2001.1. База. Р.1, о.1, поз.118</t>
  </si>
  <si>
    <t>ВОДА</t>
  </si>
  <si>
    <t>2.1-5-64</t>
  </si>
  <si>
    <t>ТСН-2001.2. Доп. 1-42, п. 1-5-64 (059002)</t>
  </si>
  <si>
    <t>Котлы битумоварочные передвижные, емкость до 1000 л</t>
  </si>
  <si>
    <t>1.0-0-0</t>
  </si>
  <si>
    <t>СТОИМОСТЬ ПРОЧИХ МАТЕРИАЛОВ (ЭСН)</t>
  </si>
  <si>
    <t>1.1-1-45</t>
  </si>
  <si>
    <t>ТСН-2001.1. База. Р.1, о.1, поз.45</t>
  </si>
  <si>
    <t>БИТУМЫ НЕФТЯНЫЕ, ДОРОЖНЫЕ ВЯЗКИЕ, МАРКА БНД</t>
  </si>
  <si>
    <t>ТСН-2001.1. База. Р.1, о.1, поз.766</t>
  </si>
  <si>
    <t>ПЕСОК ДЛЯ СТРОИТЕЛЬНЫХ РАБОТ, РЯДОВОЙ</t>
  </si>
  <si>
    <t>1.9-11-4</t>
  </si>
  <si>
    <t>ТСН-2001.1. База. Р.9, о.11, поз.4</t>
  </si>
  <si>
    <t>ЩИТЫ ДЕРЕВЯННЫЕ ДЛЯ ФУНДАМЕНТОВ, КОЛОНН, БАЛОК, ПЕРЕКРЫТИЙ, СТЕН, ПЕРЕГОРОДОК И ДРУГИХ КОНСТРУКЦИЙ ИЗ ДОСОК, ТОЛЩИНА 40ММ</t>
  </si>
  <si>
    <t>2.1-4-3</t>
  </si>
  <si>
    <t>ТСН-2001.2. Доп. 1-42, п. 1-4-3 (040103)</t>
  </si>
  <si>
    <t>Погрузчики универсальные на пневмоколесном ходу, грузоподъемность до 3 т</t>
  </si>
  <si>
    <t>2.1-5-17</t>
  </si>
  <si>
    <t>ТСН-2001.2. Доп. 1-42, п. 1-5-17 (050901)</t>
  </si>
  <si>
    <t>Поливомоечные машины, емкость цистерны до 5000 л</t>
  </si>
  <si>
    <t>2.1-5-19</t>
  </si>
  <si>
    <t>ТСН-2001.2. Доп. 1-42, п. 1-5-19 (051001)</t>
  </si>
  <si>
    <t>Асфальтоукладчики, производительность до 350 т/ч</t>
  </si>
  <si>
    <t>2.1-5-2</t>
  </si>
  <si>
    <t>ТСН-2001.2. Доп. 1-42, п. 1-5-2 (050102)</t>
  </si>
  <si>
    <t>Катки самоходные вибрационные, масса до 8 т</t>
  </si>
  <si>
    <t>2.1-5-35</t>
  </si>
  <si>
    <t>ТСН-2001.2. Доп. 1-42, п. 1-5-35 (053601)</t>
  </si>
  <si>
    <t>Автогудронаторы битумные, емкость до 3500 л</t>
  </si>
  <si>
    <t>2.1-5-6</t>
  </si>
  <si>
    <t>ТСН-2001.2. Доп. 1-42, п. 1-5-6 (050203)</t>
  </si>
  <si>
    <t>Катки дорожные самоходные статические, масса более 10 т</t>
  </si>
  <si>
    <t>1.3-3-19</t>
  </si>
  <si>
    <t>ТСН-2001.1. База. Р.3, о.3, поз.19</t>
  </si>
  <si>
    <t>ЭМУЛЬСИИ ДОРОЖНЫЕ, БИТУМНЫЕ</t>
  </si>
  <si>
    <t>1.1-1-46</t>
  </si>
  <si>
    <t>ТСН-2001.1. База. Р.1, о.1, поз.46</t>
  </si>
  <si>
    <t>БИТУМЫ НЕФТЯНЫЕ, ДОРОЖНЫЕ ЖИДКИЕ, МАРКА МГ, СГ</t>
  </si>
  <si>
    <t>*1,33</t>
  </si>
  <si>
    <t>2.1-3-35</t>
  </si>
  <si>
    <t>ТСН-2001.2. Доп. 1-42, п. 1-3-35 (032006)</t>
  </si>
  <si>
    <t>Краны на автомобильном ходу, грузоподъемность до 10 т</t>
  </si>
  <si>
    <t>1.3-1-38</t>
  </si>
  <si>
    <t>ТСН-2001.1. База. Р.3, о.1, поз.38</t>
  </si>
  <si>
    <t>СМЕСИ БЕТОННЫЕ, БСГ, ТЯЖЕЛОГО БЕТОНА НА ГРАНИТНОМ ЩЕБНЕ, КЛАСС ПРОЧНОСТИ: В15 (М200); П3, ФРАКЦИЯ 5-20, F50-100, W0-2</t>
  </si>
  <si>
    <t>1.3-2-5</t>
  </si>
  <si>
    <t>ТСН-2001.1. Доп.14. Р.3, о.2, поз.5</t>
  </si>
  <si>
    <t>РАСТВОРЫ ЦЕМЕНТНЫЕ, МАРКА 100</t>
  </si>
  <si>
    <t>9999990006</t>
  </si>
  <si>
    <t>Стоимость прочих материалов (ЭСН)</t>
  </si>
  <si>
    <t>2.1-18-7</t>
  </si>
  <si>
    <t>ТСН-2001.2. Доп. 47. п.1-18-7 (183001)</t>
  </si>
  <si>
    <t>Автомобили грузовые бортовые, грузоподъемность до 5 т</t>
  </si>
  <si>
    <t>2.1-4-12</t>
  </si>
  <si>
    <t>ТСН-2001.2. Доп. 1-42, п. 1-4-12 (040205)</t>
  </si>
  <si>
    <t>Погрузчики на автомобильном ходу, грузоподъемность до 5 т</t>
  </si>
  <si>
    <t>1.1-1-132</t>
  </si>
  <si>
    <t>ТСН-2001.1. База. Р.1, о.1, поз.132</t>
  </si>
  <si>
    <t>ГВОЗДИ СТРОИТЕЛЬНЫЕ</t>
  </si>
  <si>
    <t>1.1-1-230</t>
  </si>
  <si>
    <t>ТСН-2001.1. База. Р.1, о.1, поз.230</t>
  </si>
  <si>
    <t>ДОСКИ ХВОЙНЫХ ПОРОД, ОБРЕЗНЫЕ, ДЛИНА 2-6,5 М, СОРТ IV, ТОЛЩИНА 19-22 ММ</t>
  </si>
  <si>
    <t>1.1-1-767</t>
  </si>
  <si>
    <t>ТСН-2001.1. База. Р.1, о.1, поз.767</t>
  </si>
  <si>
    <t>ПЕСОК ДЛЯ ДОРОЖНЫХ РАБОТ, РЯДОВОЙ</t>
  </si>
  <si>
    <t>2.1-5-20</t>
  </si>
  <si>
    <t>ТСН-2001.2. Доп. 1-42, п. 1-5-20 (051301)</t>
  </si>
  <si>
    <t>Распределители щебня и гравия</t>
  </si>
  <si>
    <t>2.1-5-3</t>
  </si>
  <si>
    <t>ТСН-2001.2. Доп. 1-42, п. 1-5-3 (050103)</t>
  </si>
  <si>
    <t>Катки самоходные вибрационные, масса более 8 т</t>
  </si>
  <si>
    <t>ТСН-2001.1. Доп. 1-42. Р. 1, о. 1, поз. 118</t>
  </si>
  <si>
    <t>Вода</t>
  </si>
  <si>
    <t>2.1-2-7</t>
  </si>
  <si>
    <t>ТСН-2001.2. Доп. 1-42, п. 1-2-7 (021003)</t>
  </si>
  <si>
    <t>Тракторы на пневмоколесном ходу, мощность до 60 кВт (81 л.с.)</t>
  </si>
  <si>
    <t>5711400000</t>
  </si>
  <si>
    <t>Песок природный для строительных работ</t>
  </si>
  <si>
    <t>ТСН-2001.1. Доп. 1-42. Р. 1, о. 1, поз. 45</t>
  </si>
  <si>
    <t>Битумы нефтяные, дорожные вязкие, марка БНД</t>
  </si>
  <si>
    <t>ТСН-2001.1. Доп. 1-42. Р. 9, о. 11, поз. 4</t>
  </si>
  <si>
    <t>Щиты деревянные для фундаментов, колонн, балок, перекрытий, стен, перегородок и других конструкций из досок, толщина 40 мм</t>
  </si>
  <si>
    <t>5745080000</t>
  </si>
  <si>
    <t>Смеси бетонные, БСГ, тяжелого бетона для инженерных коммуникаций и дорог</t>
  </si>
  <si>
    <t>ТСН-2001.1. Доп. 1-42. Р. 3, о. 3, поз. 19</t>
  </si>
  <si>
    <t>Эмульсии дорожные, битумные</t>
  </si>
  <si>
    <t>5718400000</t>
  </si>
  <si>
    <t>Смеси асфальтобетонные</t>
  </si>
  <si>
    <t>5711910000</t>
  </si>
  <si>
    <t>Щебень из природного камня</t>
  </si>
  <si>
    <t>ТСН-2001.1. Доп. 1-42. Р. 1, о. 1, поз. 46</t>
  </si>
  <si>
    <t>Битумы нефтяные, дорожные жидкие, марка МГ, СГ</t>
  </si>
  <si>
    <t>ТСН-2001.1. Доп. 1-42. Р. 3, о. 1, поз. 38</t>
  </si>
  <si>
    <t>Смеси бетонные, БСГ, тяжелого бетона на гранитном щебне, класс прочности В15 (М200); П3, фракция 5-20, F50-100, W0-2</t>
  </si>
  <si>
    <t>ТСН-2001.1. Доп. 1-42. Р. 3, о. 2, поз. 5</t>
  </si>
  <si>
    <t>Растворы цементные, марка 100</t>
  </si>
  <si>
    <t>5898320000</t>
  </si>
  <si>
    <t>Камни бортовые</t>
  </si>
  <si>
    <t>ТСН-2001.1. Доп. 1-42. Р. 1, о. 1, поз. 132</t>
  </si>
  <si>
    <t>Гвозди строительные</t>
  </si>
  <si>
    <t>ТСН-2001.1. Доп. 1-42. Р. 1, о. 1, поз. 230</t>
  </si>
  <si>
    <t>Доски хвойных пород, обрезные, длина 2-6,5 м, сорт IV, толщина 19-22 мм</t>
  </si>
  <si>
    <t>Камни бетонные бортовые садовые и газонные</t>
  </si>
  <si>
    <t>5711130000</t>
  </si>
  <si>
    <t>Щебень из естественного камня для строительных работ марки 1200, фракции 40-70 мм</t>
  </si>
  <si>
    <t>Щебень из естественного камня для строительных работ марки 1200, фракции 10(15)-20(25) мм</t>
  </si>
  <si>
    <t>Щебень из естественного камня для строительных работ марки 1200, фракции (3)5-10(15) мм</t>
  </si>
  <si>
    <t>9797020000</t>
  </si>
  <si>
    <t>9749950000</t>
  </si>
  <si>
    <t>Семена газонных трав</t>
  </si>
  <si>
    <t>Благоустройство Технологическое присоединение к электрической сети энергопринимающих устройств 20кВ ООО "Энергии Технологии" к КРУ 20 кВ ТЭС "Международная" ООО "Ситиэнерго" для электроснабжения энергопринимающих  устройств, по адресу: г.Москва, ул. Беговая, д.32</t>
  </si>
  <si>
    <t>Форма № 1б</t>
  </si>
  <si>
    <t>(наименование стройки)</t>
  </si>
  <si>
    <t>(локальный сметный расчет)</t>
  </si>
  <si>
    <t>(наименование работ и затрат, наименование объекта)</t>
  </si>
  <si>
    <t>базовая    цена</t>
  </si>
  <si>
    <t>текущая   цена</t>
  </si>
  <si>
    <t>Сметная стоимость</t>
  </si>
  <si>
    <t>Монтажные работы</t>
  </si>
  <si>
    <t>Оборудование</t>
  </si>
  <si>
    <t>Средства на оплату труда</t>
  </si>
  <si>
    <t xml:space="preserve">Кроме того: </t>
  </si>
  <si>
    <t>№№ п/п</t>
  </si>
  <si>
    <t>Шифр расценки и коды ресурсов</t>
  </si>
  <si>
    <t>Наименование работ и затрат</t>
  </si>
  <si>
    <t>Единица измерения</t>
  </si>
  <si>
    <t>Кол-во единиц</t>
  </si>
  <si>
    <t>Цена на ед. изм. руб.</t>
  </si>
  <si>
    <t>Попра-вочные коэфф.</t>
  </si>
  <si>
    <t>Коэфф. зимних удоро-жаний</t>
  </si>
  <si>
    <t>ВСЕГО в базисном уровне цен, руб.</t>
  </si>
  <si>
    <t>Коэфф. пересчета и нормы НР и СП</t>
  </si>
  <si>
    <t>Всего в текущем уровне цен, руб.</t>
  </si>
  <si>
    <t>Составлен(а) в уровне текущих (прогнозных) цен Коэффициенты к ТСН-2001 МГЭ №149 февраль 2019 года</t>
  </si>
  <si>
    <t>ЗП</t>
  </si>
  <si>
    <t>ЭМ</t>
  </si>
  <si>
    <t>в т.ч. ЗПМ</t>
  </si>
  <si>
    <t>НР от ЗП</t>
  </si>
  <si>
    <t>%</t>
  </si>
  <si>
    <t>СП от ЗП</t>
  </si>
  <si>
    <t>НР и СП от ЗПМ</t>
  </si>
  <si>
    <t>ЗТР</t>
  </si>
  <si>
    <t>чел-ч</t>
  </si>
  <si>
    <t>МР</t>
  </si>
  <si>
    <t>к нр *3</t>
  </si>
  <si>
    <t>к нр *2</t>
  </si>
  <si>
    <t>к нр *1,33</t>
  </si>
  <si>
    <t xml:space="preserve">   Итого по ТСН-2001.16</t>
  </si>
  <si>
    <t xml:space="preserve">   Итого возвратных сумм</t>
  </si>
  <si>
    <t xml:space="preserve">  тыс.руб</t>
  </si>
  <si>
    <t xml:space="preserve">Составил   </t>
  </si>
  <si>
    <t>[должность,подпись(инициалы,фамилия)]</t>
  </si>
  <si>
    <t xml:space="preserve">Проверил   </t>
  </si>
  <si>
    <t>Технологическое присоединение к электрической сети энергопринимающих устройств 20кВ ООО "Энергии Технологии" к КРУ 20 кВ ТЭС "Международная" ООО "Ситиэнерго" для электроснабжения энергопринимающих  устройств, по адресу: г.Москва, ул. Беговая, д.32</t>
  </si>
  <si>
    <t>НДС-20%</t>
  </si>
  <si>
    <t>Всего по смете с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</si>
</sst>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[Red]\-\ #,##0.00"/>
    <numFmt numFmtId="165" formatCode="#,##0.00####;[Red]\-\ #,##0.00####"/>
  </numFmts>
  <fonts count="19" x14ac:knownFonts="1">
    <font>
      <sz val="10"/>
      <name val="Arial"/>
      <charset val="204"/>
    </font>
    <font>
      <b/>
      <sz val="10"/>
      <color indexed="12"/>
      <name val="Arial"/>
      <charset val="204"/>
    </font>
    <font>
      <b/>
      <sz val="10"/>
      <color indexed="16"/>
      <name val="Arial"/>
      <charset val="204"/>
    </font>
    <font>
      <b/>
      <sz val="10"/>
      <color indexed="20"/>
      <name val="Arial"/>
      <charset val="204"/>
    </font>
    <font>
      <b/>
      <sz val="10"/>
      <color indexed="17"/>
      <name val="Arial"/>
      <charset val="204"/>
    </font>
    <font>
      <sz val="10"/>
      <color indexed="17"/>
      <name val="Arial"/>
      <charset val="204"/>
    </font>
    <font>
      <sz val="10"/>
      <color indexed="12"/>
      <name val="Arial"/>
      <charset val="204"/>
    </font>
    <font>
      <sz val="10"/>
      <color indexed="14"/>
      <name val="Arial"/>
      <charset val="204"/>
    </font>
    <font>
      <b/>
      <sz val="10"/>
      <color indexed="14"/>
      <name val="Arial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b/>
      <sz val="13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i/>
      <sz val="11"/>
      <name val="Arial"/>
      <family val="2"/>
      <charset val="204"/>
    </font>
    <font>
      <b/>
      <sz val="11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9" fillId="0" borderId="0"/>
  </cellStyleXfs>
  <cellXfs count="5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10" fillId="0" borderId="0" xfId="0" applyFont="1"/>
    <xf numFmtId="0" fontId="11" fillId="0" borderId="0" xfId="0" applyFont="1" applyAlignment="1">
      <alignment horizontal="right"/>
    </xf>
    <xf numFmtId="0" fontId="11" fillId="0" borderId="0" xfId="0" applyFont="1"/>
    <xf numFmtId="0" fontId="11" fillId="0" borderId="0" xfId="0" applyFont="1" applyAlignment="1">
      <alignment horizontal="center" wrapText="1"/>
    </xf>
    <xf numFmtId="164" fontId="11" fillId="0" borderId="0" xfId="0" applyNumberFormat="1" applyFont="1"/>
    <xf numFmtId="0" fontId="11" fillId="0" borderId="0" xfId="0" applyFont="1" applyFill="1" applyAlignment="1">
      <alignment horizontal="left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wrapText="1"/>
    </xf>
    <xf numFmtId="0" fontId="16" fillId="0" borderId="0" xfId="0" applyFont="1" applyAlignment="1">
      <alignment wrapText="1"/>
    </xf>
    <xf numFmtId="0" fontId="11" fillId="0" borderId="0" xfId="0" applyFont="1" applyAlignment="1">
      <alignment horizontal="left" vertical="top"/>
    </xf>
    <xf numFmtId="0" fontId="11" fillId="0" borderId="0" xfId="0" applyFont="1" applyAlignment="1">
      <alignment horizontal="left" vertical="top" wrapText="1"/>
    </xf>
    <xf numFmtId="0" fontId="16" fillId="0" borderId="0" xfId="0" applyFont="1" applyAlignment="1">
      <alignment horizontal="right" wrapText="1"/>
    </xf>
    <xf numFmtId="0" fontId="11" fillId="0" borderId="0" xfId="0" applyFont="1" applyAlignment="1">
      <alignment horizontal="right" wrapText="1"/>
    </xf>
    <xf numFmtId="165" fontId="11" fillId="0" borderId="0" xfId="0" applyNumberFormat="1" applyFont="1" applyAlignment="1">
      <alignment horizontal="right"/>
    </xf>
    <xf numFmtId="164" fontId="11" fillId="0" borderId="0" xfId="0" applyNumberFormat="1" applyFont="1" applyAlignment="1">
      <alignment horizontal="right"/>
    </xf>
    <xf numFmtId="164" fontId="16" fillId="0" borderId="0" xfId="0" applyNumberFormat="1" applyFont="1" applyAlignment="1">
      <alignment horizontal="right"/>
    </xf>
    <xf numFmtId="164" fontId="0" fillId="0" borderId="0" xfId="0" applyNumberFormat="1"/>
    <xf numFmtId="0" fontId="0" fillId="0" borderId="5" xfId="0" applyBorder="1"/>
    <xf numFmtId="0" fontId="11" fillId="0" borderId="0" xfId="0" quotePrefix="1" applyFont="1" applyAlignment="1">
      <alignment horizontal="right" wrapText="1"/>
    </xf>
    <xf numFmtId="0" fontId="11" fillId="0" borderId="1" xfId="0" applyFont="1" applyBorder="1"/>
    <xf numFmtId="0" fontId="18" fillId="0" borderId="0" xfId="0" applyFont="1"/>
    <xf numFmtId="0" fontId="11" fillId="0" borderId="0" xfId="0" applyFont="1" applyAlignment="1">
      <alignment horizontal="right" vertical="center"/>
    </xf>
    <xf numFmtId="0" fontId="10" fillId="0" borderId="2" xfId="0" applyFont="1" applyBorder="1" applyAlignment="1">
      <alignment horizontal="center"/>
    </xf>
    <xf numFmtId="0" fontId="11" fillId="0" borderId="0" xfId="0" applyFont="1" applyAlignment="1">
      <alignment horizontal="left" wrapText="1"/>
    </xf>
    <xf numFmtId="164" fontId="11" fillId="0" borderId="0" xfId="0" applyNumberFormat="1" applyFont="1" applyAlignment="1">
      <alignment horizontal="right"/>
    </xf>
    <xf numFmtId="0" fontId="17" fillId="0" borderId="0" xfId="0" applyFont="1" applyAlignment="1">
      <alignment horizontal="left" wrapText="1"/>
    </xf>
    <xf numFmtId="164" fontId="17" fillId="0" borderId="0" xfId="0" applyNumberFormat="1" applyFont="1" applyAlignment="1">
      <alignment horizontal="right"/>
    </xf>
    <xf numFmtId="0" fontId="17" fillId="0" borderId="0" xfId="0" applyFont="1" applyAlignment="1">
      <alignment horizontal="right"/>
    </xf>
    <xf numFmtId="164" fontId="17" fillId="0" borderId="5" xfId="0" applyNumberFormat="1" applyFont="1" applyBorder="1" applyAlignment="1">
      <alignment horizontal="right"/>
    </xf>
    <xf numFmtId="0" fontId="12" fillId="0" borderId="0" xfId="0" applyFont="1" applyAlignment="1">
      <alignment horizontal="center" wrapText="1"/>
    </xf>
    <xf numFmtId="0" fontId="11" fillId="0" borderId="0" xfId="0" applyFont="1" applyAlignment="1">
      <alignment horizontal="left"/>
    </xf>
    <xf numFmtId="0" fontId="11" fillId="0" borderId="0" xfId="1" applyFont="1" applyFill="1" applyAlignment="1">
      <alignment horizontal="left"/>
    </xf>
    <xf numFmtId="0" fontId="9" fillId="0" borderId="0" xfId="1" applyFont="1" applyFill="1" applyAlignment="1">
      <alignment horizontal="left"/>
    </xf>
    <xf numFmtId="0" fontId="11" fillId="0" borderId="1" xfId="0" applyFont="1" applyBorder="1" applyAlignment="1">
      <alignment horizontal="left" wrapText="1"/>
    </xf>
    <xf numFmtId="0" fontId="15" fillId="0" borderId="0" xfId="0" applyFont="1" applyAlignment="1">
      <alignment horizontal="center" wrapText="1"/>
    </xf>
    <xf numFmtId="0" fontId="15" fillId="0" borderId="1" xfId="0" applyFont="1" applyBorder="1" applyAlignment="1">
      <alignment horizontal="center" wrapText="1"/>
    </xf>
    <xf numFmtId="0" fontId="10" fillId="0" borderId="0" xfId="0" applyFont="1" applyAlignment="1">
      <alignment horizontal="center" wrapText="1"/>
    </xf>
    <xf numFmtId="0" fontId="0" fillId="0" borderId="0" xfId="0" applyAlignment="1"/>
    <xf numFmtId="0" fontId="13" fillId="0" borderId="1" xfId="0" applyFont="1" applyBorder="1" applyAlignment="1">
      <alignment horizontal="center" wrapText="1"/>
    </xf>
    <xf numFmtId="0" fontId="14" fillId="0" borderId="1" xfId="0" applyFont="1" applyBorder="1" applyAlignment="1">
      <alignment horizontal="center" wrapText="1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366"/>
  <sheetViews>
    <sheetView tabSelected="1" topLeftCell="A328" zoomScaleNormal="100" workbookViewId="0">
      <selection activeCell="A7" sqref="A7:K7"/>
    </sheetView>
  </sheetViews>
  <sheetFormatPr defaultRowHeight="12.75" x14ac:dyDescent="0.2"/>
  <cols>
    <col min="1" max="1" width="5.7109375" customWidth="1"/>
    <col min="2" max="2" width="11.7109375" customWidth="1"/>
    <col min="3" max="3" width="40.7109375" customWidth="1"/>
    <col min="4" max="6" width="11.7109375" customWidth="1"/>
    <col min="7" max="7" width="12.7109375" customWidth="1"/>
    <col min="8" max="8" width="10.7109375" customWidth="1"/>
    <col min="9" max="11" width="12.7109375" customWidth="1"/>
    <col min="15" max="36" width="0" hidden="1" customWidth="1"/>
    <col min="37" max="37" width="150.7109375" hidden="1" customWidth="1"/>
    <col min="38" max="38" width="104.7109375" hidden="1" customWidth="1"/>
    <col min="39" max="42" width="0" hidden="1" customWidth="1"/>
  </cols>
  <sheetData>
    <row r="1" spans="1:37" x14ac:dyDescent="0.2">
      <c r="A1" s="9" t="str">
        <f>Source!B1</f>
        <v>Smeta.RU  (495) 974-1589</v>
      </c>
    </row>
    <row r="2" spans="1:37" ht="14.25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1" t="s">
        <v>491</v>
      </c>
    </row>
    <row r="3" spans="1:37" ht="14.25" x14ac:dyDescent="0.2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37" ht="51" customHeight="1" x14ac:dyDescent="0.25">
      <c r="A4" s="48" t="str">
        <f>A12</f>
        <v>Технологическое присоединение к электрической сети энергопринимающих устройств 20кВ ООО "Энергии Технологии" к КРУ 20 кВ ТЭС "Международная" ООО "Ситиэнерго" для электроснабжения энергопринимающих  устройств, по адресу: г.Москва, ул. Беговая, д.32</v>
      </c>
      <c r="B4" s="48"/>
      <c r="C4" s="48"/>
      <c r="D4" s="48"/>
      <c r="E4" s="48"/>
      <c r="F4" s="48"/>
      <c r="G4" s="48"/>
      <c r="H4" s="48"/>
      <c r="I4" s="48"/>
      <c r="J4" s="48"/>
      <c r="K4" s="48"/>
    </row>
    <row r="5" spans="1:37" x14ac:dyDescent="0.2">
      <c r="A5" s="32" t="s">
        <v>492</v>
      </c>
      <c r="B5" s="32"/>
      <c r="C5" s="32"/>
      <c r="D5" s="32"/>
      <c r="E5" s="32"/>
      <c r="F5" s="32"/>
      <c r="G5" s="32"/>
      <c r="H5" s="32"/>
      <c r="I5" s="32"/>
      <c r="J5" s="32"/>
      <c r="K5" s="32"/>
    </row>
    <row r="6" spans="1:37" ht="14.25" x14ac:dyDescent="0.2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</row>
    <row r="7" spans="1:37" ht="15.75" x14ac:dyDescent="0.25">
      <c r="A7" s="48" t="str">
        <f>CONCATENATE( "ЛОКАЛЬНАЯ СМЕТА № ",IF(Source!F20&lt;&gt;"Новая локальная смета", Source!F20, ""))</f>
        <v>ЛОКАЛЬНАЯ СМЕТА № 4</v>
      </c>
      <c r="B7" s="49"/>
      <c r="C7" s="49"/>
      <c r="D7" s="49"/>
      <c r="E7" s="49"/>
      <c r="F7" s="49"/>
      <c r="G7" s="49"/>
      <c r="H7" s="49"/>
      <c r="I7" s="49"/>
      <c r="J7" s="49"/>
      <c r="K7" s="49"/>
    </row>
    <row r="8" spans="1:37" x14ac:dyDescent="0.2">
      <c r="A8" s="46" t="s">
        <v>493</v>
      </c>
      <c r="B8" s="46"/>
      <c r="C8" s="46"/>
      <c r="D8" s="46"/>
      <c r="E8" s="46"/>
      <c r="F8" s="46"/>
      <c r="G8" s="46"/>
      <c r="H8" s="46"/>
      <c r="I8" s="46"/>
      <c r="J8" s="46"/>
      <c r="K8" s="46"/>
    </row>
    <row r="9" spans="1:37" ht="14.25" x14ac:dyDescent="0.2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</row>
    <row r="10" spans="1:37" ht="18" x14ac:dyDescent="0.25">
      <c r="A10" s="44" t="str">
        <f>IF(Source!G20&lt;&gt;"Новая локальная смета", Source!G20, "")</f>
        <v>Восстановление благоустройства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</row>
    <row r="11" spans="1:37" ht="12" customHeight="1" x14ac:dyDescent="0.2">
      <c r="A11" s="11"/>
      <c r="B11" s="11"/>
      <c r="C11" s="11"/>
      <c r="D11" s="11"/>
      <c r="E11" s="11"/>
      <c r="F11" s="11"/>
      <c r="G11" s="11"/>
      <c r="H11" s="11"/>
      <c r="I11" s="11"/>
      <c r="J11" s="11"/>
      <c r="K11" s="11"/>
    </row>
    <row r="12" spans="1:37" ht="54" hidden="1" x14ac:dyDescent="0.25">
      <c r="A12" s="45" t="str">
        <f>IF(Source!G12&lt;&gt;"Новый объект", Source!G12, "")</f>
        <v>Технологическое присоединение к электрической сети энергопринимающих устройств 20кВ ООО "Энергии Технологии" к КРУ 20 кВ ТЭС "Международная" ООО "Ситиэнерго" для электроснабжения энергопринимающих  устройств, по адресу: г.Москва, ул. Беговая, д.32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AK12" s="17" t="str">
        <f>IF(Source!G12&lt;&gt;"Новый объект", Source!G12, "")</f>
        <v>Технологическое присоединение к электрической сети энергопринимающих устройств 20кВ ООО "Энергии Технологии" к КРУ 20 кВ ТЭС "Международная" ООО "Ситиэнерго" для электроснабжения энергопринимающих  устройств, по адресу: г.Москва, ул. Беговая, д.32</v>
      </c>
    </row>
    <row r="13" spans="1:37" x14ac:dyDescent="0.2">
      <c r="A13" s="46" t="s">
        <v>494</v>
      </c>
      <c r="B13" s="47"/>
      <c r="C13" s="47"/>
      <c r="D13" s="47"/>
      <c r="E13" s="47"/>
      <c r="F13" s="47"/>
      <c r="G13" s="47"/>
      <c r="H13" s="47"/>
      <c r="I13" s="47"/>
      <c r="J13" s="47"/>
      <c r="K13" s="47"/>
    </row>
    <row r="14" spans="1:37" ht="14.25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</row>
    <row r="15" spans="1:37" ht="14.25" hidden="1" x14ac:dyDescent="0.2">
      <c r="A15" s="33" t="str">
        <f>CONCATENATE( "Основание: чертежи № ", Source!J20)</f>
        <v xml:space="preserve">Основание: чертежи № </v>
      </c>
      <c r="B15" s="33"/>
      <c r="C15" s="33"/>
      <c r="D15" s="33"/>
      <c r="E15" s="33"/>
      <c r="F15" s="33"/>
      <c r="G15" s="33"/>
      <c r="H15" s="33"/>
      <c r="I15" s="33"/>
      <c r="J15" s="33"/>
      <c r="K15" s="33"/>
    </row>
    <row r="16" spans="1:37" ht="28.5" hidden="1" x14ac:dyDescent="0.2">
      <c r="A16" s="11"/>
      <c r="B16" s="11"/>
      <c r="C16" s="11"/>
      <c r="D16" s="11"/>
      <c r="E16" s="11"/>
      <c r="F16" s="11"/>
      <c r="G16" s="11"/>
      <c r="H16" s="11"/>
      <c r="I16" s="12" t="s">
        <v>495</v>
      </c>
      <c r="J16" s="12" t="s">
        <v>496</v>
      </c>
      <c r="K16" s="11"/>
    </row>
    <row r="17" spans="1:23" ht="14.25" hidden="1" x14ac:dyDescent="0.2">
      <c r="A17" s="11"/>
      <c r="B17" s="11"/>
      <c r="C17" s="11"/>
      <c r="D17" s="11"/>
      <c r="E17" s="11"/>
      <c r="F17" s="40" t="s">
        <v>497</v>
      </c>
      <c r="G17" s="40"/>
      <c r="H17" s="40"/>
      <c r="I17" s="13">
        <f>SUM(O28:O352)/1000</f>
        <v>102.70896000000002</v>
      </c>
      <c r="J17" s="13">
        <f>(Source!F206/1000)</f>
        <v>892.59931000000006</v>
      </c>
      <c r="K17" s="11" t="s">
        <v>529</v>
      </c>
    </row>
    <row r="18" spans="1:23" ht="14.25" hidden="1" x14ac:dyDescent="0.2">
      <c r="A18" s="11"/>
      <c r="B18" s="11"/>
      <c r="C18" s="11"/>
      <c r="D18" s="11"/>
      <c r="E18" s="11"/>
      <c r="F18" s="40" t="s">
        <v>53</v>
      </c>
      <c r="G18" s="40"/>
      <c r="H18" s="40"/>
      <c r="I18" s="13">
        <f>SUM(X28:X352)/1000</f>
        <v>83.186539999999994</v>
      </c>
      <c r="J18" s="13">
        <f>(Source!F195)/1000</f>
        <v>822.02356000000009</v>
      </c>
      <c r="K18" s="11" t="s">
        <v>529</v>
      </c>
    </row>
    <row r="19" spans="1:23" ht="14.25" hidden="1" x14ac:dyDescent="0.2">
      <c r="A19" s="11"/>
      <c r="B19" s="11"/>
      <c r="C19" s="11"/>
      <c r="D19" s="11"/>
      <c r="E19" s="11"/>
      <c r="F19" s="40" t="s">
        <v>498</v>
      </c>
      <c r="G19" s="40"/>
      <c r="H19" s="40"/>
      <c r="I19" s="13">
        <f>SUM(Y28:Y352)/1000</f>
        <v>0</v>
      </c>
      <c r="J19" s="13">
        <f>(Source!F196)/1000</f>
        <v>0</v>
      </c>
      <c r="K19" s="11" t="s">
        <v>529</v>
      </c>
    </row>
    <row r="20" spans="1:23" ht="14.25" hidden="1" x14ac:dyDescent="0.2">
      <c r="A20" s="11"/>
      <c r="B20" s="11"/>
      <c r="C20" s="11"/>
      <c r="D20" s="11"/>
      <c r="E20" s="11"/>
      <c r="F20" s="40" t="s">
        <v>499</v>
      </c>
      <c r="G20" s="40"/>
      <c r="H20" s="40"/>
      <c r="I20" s="13">
        <f>SUM(Z28:Z352)/1000</f>
        <v>0</v>
      </c>
      <c r="J20" s="13">
        <f>(Source!F187)/1000</f>
        <v>0</v>
      </c>
      <c r="K20" s="11" t="s">
        <v>529</v>
      </c>
    </row>
    <row r="21" spans="1:23" ht="14.25" hidden="1" x14ac:dyDescent="0.2">
      <c r="A21" s="11"/>
      <c r="B21" s="11"/>
      <c r="C21" s="11"/>
      <c r="D21" s="11"/>
      <c r="E21" s="11"/>
      <c r="F21" s="40" t="s">
        <v>313</v>
      </c>
      <c r="G21" s="40"/>
      <c r="H21" s="40"/>
      <c r="I21" s="13">
        <f>SUM(AA28:AA352)/1000</f>
        <v>19.522419999999997</v>
      </c>
      <c r="J21" s="13">
        <f>(Source!F197+Source!F198)/1000</f>
        <v>70.575749999999999</v>
      </c>
      <c r="K21" s="11" t="s">
        <v>529</v>
      </c>
    </row>
    <row r="22" spans="1:23" ht="14.25" hidden="1" x14ac:dyDescent="0.2">
      <c r="A22" s="11"/>
      <c r="B22" s="11"/>
      <c r="C22" s="11"/>
      <c r="D22" s="11"/>
      <c r="E22" s="11"/>
      <c r="F22" s="40" t="s">
        <v>500</v>
      </c>
      <c r="G22" s="40"/>
      <c r="H22" s="40"/>
      <c r="I22" s="13">
        <f>SUM(W28:W352)/1000</f>
        <v>6.0943900000000006</v>
      </c>
      <c r="J22" s="13">
        <f>(Source!F193+ Source!F192)/1000</f>
        <v>130.60279</v>
      </c>
      <c r="K22" s="11" t="s">
        <v>529</v>
      </c>
    </row>
    <row r="23" spans="1:23" ht="14.25" hidden="1" x14ac:dyDescent="0.2">
      <c r="A23" s="11"/>
      <c r="B23" s="11"/>
      <c r="C23" s="11"/>
      <c r="D23" s="11"/>
      <c r="E23" s="11"/>
      <c r="F23" s="14" t="s">
        <v>501</v>
      </c>
      <c r="G23" s="14"/>
      <c r="H23" s="14"/>
      <c r="I23" s="13"/>
      <c r="J23" s="13"/>
      <c r="K23" s="11"/>
    </row>
    <row r="24" spans="1:23" ht="14.25" hidden="1" x14ac:dyDescent="0.2">
      <c r="A24" s="11"/>
      <c r="B24" s="11"/>
      <c r="C24" s="11"/>
      <c r="D24" s="11"/>
      <c r="E24" s="11"/>
      <c r="F24" s="41" t="s">
        <v>296</v>
      </c>
      <c r="G24" s="42"/>
      <c r="H24" s="42"/>
      <c r="I24" s="13">
        <f>SUM(AE28:AE352)/1000</f>
        <v>0</v>
      </c>
      <c r="J24" s="13">
        <f>SUM(AF28:AF352)/1000</f>
        <v>0</v>
      </c>
      <c r="K24" s="11" t="s">
        <v>529</v>
      </c>
    </row>
    <row r="25" spans="1:23" ht="14.25" x14ac:dyDescent="0.2">
      <c r="A25" s="43" t="s">
        <v>513</v>
      </c>
      <c r="B25" s="43"/>
      <c r="C25" s="43"/>
      <c r="D25" s="43"/>
      <c r="E25" s="43"/>
      <c r="F25" s="43"/>
      <c r="G25" s="43"/>
      <c r="H25" s="43"/>
      <c r="I25" s="43"/>
      <c r="J25" s="43"/>
      <c r="K25" s="43"/>
    </row>
    <row r="26" spans="1:23" ht="57" x14ac:dyDescent="0.2">
      <c r="A26" s="15" t="s">
        <v>502</v>
      </c>
      <c r="B26" s="15" t="s">
        <v>503</v>
      </c>
      <c r="C26" s="15" t="s">
        <v>504</v>
      </c>
      <c r="D26" s="15" t="s">
        <v>505</v>
      </c>
      <c r="E26" s="15" t="s">
        <v>506</v>
      </c>
      <c r="F26" s="15" t="s">
        <v>507</v>
      </c>
      <c r="G26" s="16" t="s">
        <v>508</v>
      </c>
      <c r="H26" s="16" t="s">
        <v>509</v>
      </c>
      <c r="I26" s="15" t="s">
        <v>510</v>
      </c>
      <c r="J26" s="15" t="s">
        <v>511</v>
      </c>
      <c r="K26" s="15" t="s">
        <v>512</v>
      </c>
    </row>
    <row r="27" spans="1:23" ht="14.25" x14ac:dyDescent="0.2">
      <c r="A27" s="15">
        <v>1</v>
      </c>
      <c r="B27" s="15">
        <v>2</v>
      </c>
      <c r="C27" s="15">
        <v>3</v>
      </c>
      <c r="D27" s="15">
        <v>4</v>
      </c>
      <c r="E27" s="15">
        <v>5</v>
      </c>
      <c r="F27" s="15">
        <v>6</v>
      </c>
      <c r="G27" s="15">
        <v>7</v>
      </c>
      <c r="H27" s="15">
        <v>8</v>
      </c>
      <c r="I27" s="15">
        <v>9</v>
      </c>
      <c r="J27" s="15">
        <v>10</v>
      </c>
      <c r="K27" s="15">
        <v>11</v>
      </c>
    </row>
    <row r="29" spans="1:23" ht="16.5" x14ac:dyDescent="0.25">
      <c r="A29" s="39" t="str">
        <f>CONCATENATE("Раздел: ",IF(Source!G24&lt;&gt;"Новый раздел", Source!G24, ""))</f>
        <v>Раздел: Строительные работы.</v>
      </c>
      <c r="B29" s="39"/>
      <c r="C29" s="39"/>
      <c r="D29" s="39"/>
      <c r="E29" s="39"/>
      <c r="F29" s="39"/>
      <c r="G29" s="39"/>
      <c r="H29" s="39"/>
      <c r="I29" s="39"/>
      <c r="J29" s="39"/>
      <c r="K29" s="39"/>
    </row>
    <row r="30" spans="1:23" ht="14.25" x14ac:dyDescent="0.2">
      <c r="C30" s="18" t="str">
        <f>Source!G28</f>
        <v>Проезжая часть асф/бет покрытие</v>
      </c>
    </row>
    <row r="31" spans="1:23" ht="42.75" x14ac:dyDescent="0.2">
      <c r="A31" s="19" t="str">
        <f>Source!E29</f>
        <v>1</v>
      </c>
      <c r="B31" s="20" t="str">
        <f>Source!F29</f>
        <v>6.68-51-4</v>
      </c>
      <c r="C31" s="20" t="s">
        <v>25</v>
      </c>
      <c r="D31" s="21" t="str">
        <f>Source!H29</f>
        <v>100 м3 конструкций</v>
      </c>
      <c r="E31" s="10">
        <f>Source!I29</f>
        <v>0.13925999999999999</v>
      </c>
      <c r="F31" s="23"/>
      <c r="G31" s="22"/>
      <c r="H31" s="10"/>
      <c r="I31" s="24"/>
      <c r="J31" s="10"/>
      <c r="K31" s="24"/>
      <c r="Q31">
        <f>ROUND((Source!DN29/100)*ROUND((ROUND((Source!AF29*Source!AV29*Source!I29),2)),2), 2)</f>
        <v>196.89</v>
      </c>
      <c r="R31">
        <f>Source!X29</f>
        <v>3586.42</v>
      </c>
      <c r="S31">
        <f>ROUND((Source!DO29/100)*ROUND((ROUND((Source!AF29*Source!AV29*Source!I29),2)),2), 2)</f>
        <v>135.36000000000001</v>
      </c>
      <c r="T31">
        <f>Source!Y29</f>
        <v>2162.4</v>
      </c>
      <c r="U31">
        <f>ROUND((175/100)*ROUND((ROUND((Source!AE29*Source!AV29*Source!I29),2)),2), 2)</f>
        <v>187.6</v>
      </c>
      <c r="V31">
        <f>ROUND((157/100)*ROUND(ROUND((ROUND((Source!AE29*Source!AV29*Source!I29),2)*Source!BS29),2), 2), 2)</f>
        <v>3606.76</v>
      </c>
    </row>
    <row r="32" spans="1:23" ht="14.25" x14ac:dyDescent="0.2">
      <c r="A32" s="19"/>
      <c r="B32" s="20"/>
      <c r="C32" s="20" t="s">
        <v>514</v>
      </c>
      <c r="D32" s="21"/>
      <c r="E32" s="10"/>
      <c r="F32" s="23">
        <f>Source!AO29</f>
        <v>1687.95</v>
      </c>
      <c r="G32" s="22" t="str">
        <f>Source!DG29</f>
        <v/>
      </c>
      <c r="H32" s="10">
        <f>Source!AV29</f>
        <v>1.0469999999999999</v>
      </c>
      <c r="I32" s="24">
        <f>ROUND((ROUND((Source!AF29*Source!AV29*Source!I29),2)),2)</f>
        <v>246.11</v>
      </c>
      <c r="J32" s="10">
        <f>IF(Source!BA29&lt;&gt; 0, Source!BA29, 1)</f>
        <v>21.43</v>
      </c>
      <c r="K32" s="24">
        <f>Source!S29</f>
        <v>5274.14</v>
      </c>
      <c r="W32">
        <f>I32</f>
        <v>246.11</v>
      </c>
    </row>
    <row r="33" spans="1:27" ht="14.25" x14ac:dyDescent="0.2">
      <c r="A33" s="19"/>
      <c r="B33" s="20"/>
      <c r="C33" s="20" t="s">
        <v>515</v>
      </c>
      <c r="D33" s="21"/>
      <c r="E33" s="10"/>
      <c r="F33" s="23">
        <f>Source!AM29</f>
        <v>2713.55</v>
      </c>
      <c r="G33" s="22" t="str">
        <f>Source!DE29</f>
        <v/>
      </c>
      <c r="H33" s="10">
        <f>Source!AV29</f>
        <v>1.0469999999999999</v>
      </c>
      <c r="I33" s="24">
        <f>(ROUND((ROUND(((Source!ET29)*Source!AV29*Source!I29),2)),2)+ROUND((ROUND(((Source!AE29-(Source!EU29))*Source!AV29*Source!I29),2)),2))</f>
        <v>395.65</v>
      </c>
      <c r="J33" s="10">
        <f>IF(Source!BB29&lt;&gt; 0, Source!BB29, 1)</f>
        <v>10.199999999999999</v>
      </c>
      <c r="K33" s="24">
        <f>Source!Q29</f>
        <v>4035.63</v>
      </c>
    </row>
    <row r="34" spans="1:27" ht="14.25" x14ac:dyDescent="0.2">
      <c r="A34" s="19"/>
      <c r="B34" s="20"/>
      <c r="C34" s="20" t="s">
        <v>516</v>
      </c>
      <c r="D34" s="21"/>
      <c r="E34" s="10"/>
      <c r="F34" s="23">
        <f>Source!AN29</f>
        <v>735.23</v>
      </c>
      <c r="G34" s="22" t="str">
        <f>Source!DF29</f>
        <v/>
      </c>
      <c r="H34" s="10">
        <f>Source!AV29</f>
        <v>1.0469999999999999</v>
      </c>
      <c r="I34" s="25">
        <f>ROUND((ROUND((Source!AE29*Source!AV29*Source!I29),2)),2)</f>
        <v>107.2</v>
      </c>
      <c r="J34" s="10">
        <f>IF(Source!BS29&lt;&gt; 0, Source!BS29, 1)</f>
        <v>21.43</v>
      </c>
      <c r="K34" s="25">
        <f>Source!R29</f>
        <v>2297.3000000000002</v>
      </c>
      <c r="W34">
        <f>I34</f>
        <v>107.2</v>
      </c>
    </row>
    <row r="35" spans="1:27" ht="14.25" x14ac:dyDescent="0.2">
      <c r="A35" s="19"/>
      <c r="B35" s="20"/>
      <c r="C35" s="20" t="s">
        <v>517</v>
      </c>
      <c r="D35" s="21" t="s">
        <v>518</v>
      </c>
      <c r="E35" s="10">
        <f>Source!DN29</f>
        <v>80</v>
      </c>
      <c r="F35" s="23"/>
      <c r="G35" s="22"/>
      <c r="H35" s="10"/>
      <c r="I35" s="24">
        <f>SUM(Q31:Q34)</f>
        <v>196.89</v>
      </c>
      <c r="J35" s="10">
        <f>Source!BZ29</f>
        <v>68</v>
      </c>
      <c r="K35" s="24">
        <f>SUM(R31:R34)</f>
        <v>3586.42</v>
      </c>
    </row>
    <row r="36" spans="1:27" ht="14.25" x14ac:dyDescent="0.2">
      <c r="A36" s="19"/>
      <c r="B36" s="20"/>
      <c r="C36" s="20" t="s">
        <v>519</v>
      </c>
      <c r="D36" s="21" t="s">
        <v>518</v>
      </c>
      <c r="E36" s="10">
        <f>Source!DO29</f>
        <v>55</v>
      </c>
      <c r="F36" s="23"/>
      <c r="G36" s="22"/>
      <c r="H36" s="10"/>
      <c r="I36" s="24">
        <f>SUM(S31:S35)</f>
        <v>135.36000000000001</v>
      </c>
      <c r="J36" s="10">
        <f>Source!CA29</f>
        <v>41</v>
      </c>
      <c r="K36" s="24">
        <f>SUM(T31:T35)</f>
        <v>2162.4</v>
      </c>
    </row>
    <row r="37" spans="1:27" ht="14.25" x14ac:dyDescent="0.2">
      <c r="A37" s="19"/>
      <c r="B37" s="20"/>
      <c r="C37" s="20" t="s">
        <v>520</v>
      </c>
      <c r="D37" s="21" t="s">
        <v>518</v>
      </c>
      <c r="E37" s="10">
        <f>175</f>
        <v>175</v>
      </c>
      <c r="F37" s="23"/>
      <c r="G37" s="22"/>
      <c r="H37" s="10"/>
      <c r="I37" s="24">
        <f>SUM(U31:U36)</f>
        <v>187.6</v>
      </c>
      <c r="J37" s="10">
        <f>157</f>
        <v>157</v>
      </c>
      <c r="K37" s="24">
        <f>SUM(V31:V36)</f>
        <v>3606.76</v>
      </c>
    </row>
    <row r="38" spans="1:27" ht="14.25" x14ac:dyDescent="0.2">
      <c r="A38" s="19"/>
      <c r="B38" s="20"/>
      <c r="C38" s="20" t="s">
        <v>521</v>
      </c>
      <c r="D38" s="21" t="s">
        <v>522</v>
      </c>
      <c r="E38" s="10">
        <f>Source!AQ29</f>
        <v>155</v>
      </c>
      <c r="F38" s="23"/>
      <c r="G38" s="22" t="str">
        <f>Source!DI29</f>
        <v/>
      </c>
      <c r="H38" s="10">
        <f>Source!AV29</f>
        <v>1.0469999999999999</v>
      </c>
      <c r="I38" s="24">
        <f>Source!U29</f>
        <v>22.599809099999998</v>
      </c>
      <c r="J38" s="10"/>
      <c r="K38" s="24"/>
    </row>
    <row r="39" spans="1:27" ht="15" x14ac:dyDescent="0.25">
      <c r="A39" s="27"/>
      <c r="B39" s="27"/>
      <c r="C39" s="27"/>
      <c r="D39" s="27"/>
      <c r="E39" s="27"/>
      <c r="F39" s="27"/>
      <c r="G39" s="27"/>
      <c r="H39" s="38">
        <f>I32+I33+I35+I36+I37</f>
        <v>1161.6099999999999</v>
      </c>
      <c r="I39" s="38"/>
      <c r="J39" s="38">
        <f>K32+K33+K35+K36+K37</f>
        <v>18665.349999999999</v>
      </c>
      <c r="K39" s="38"/>
      <c r="O39" s="26">
        <f>I32+I33+I35+I36+I37</f>
        <v>1161.6099999999999</v>
      </c>
      <c r="P39" s="26">
        <f>K32+K33+K35+K36+K37</f>
        <v>18665.349999999999</v>
      </c>
      <c r="X39">
        <f>IF(Source!BI29&lt;=1,I32+I33+I35+I36+I37-0, 0)</f>
        <v>1161.6099999999999</v>
      </c>
      <c r="Y39">
        <f>IF(Source!BI29=2,I32+I33+I35+I36+I37-0, 0)</f>
        <v>0</v>
      </c>
      <c r="Z39">
        <f>IF(Source!BI29=3,I32+I33+I35+I36+I37-0, 0)</f>
        <v>0</v>
      </c>
      <c r="AA39">
        <f>IF(Source!BI29=4,I32+I33+I35+I36+I37,0)</f>
        <v>0</v>
      </c>
    </row>
    <row r="40" spans="1:27" ht="42.75" x14ac:dyDescent="0.2">
      <c r="A40" s="19" t="str">
        <f>Source!E30</f>
        <v>2</v>
      </c>
      <c r="B40" s="20" t="str">
        <f>Source!F30</f>
        <v>6.68-51-4</v>
      </c>
      <c r="C40" s="20" t="s">
        <v>25</v>
      </c>
      <c r="D40" s="21" t="str">
        <f>Source!H30</f>
        <v>100 м3 конструкций</v>
      </c>
      <c r="E40" s="10">
        <f>Source!I30</f>
        <v>5.0817000000000001E-2</v>
      </c>
      <c r="F40" s="23"/>
      <c r="G40" s="22"/>
      <c r="H40" s="10"/>
      <c r="I40" s="24"/>
      <c r="J40" s="10"/>
      <c r="K40" s="24"/>
      <c r="Q40">
        <f>ROUND((Source!DN30/100)*ROUND((ROUND((Source!AF30*Source!AV30*Source!I30),2)),2), 2)</f>
        <v>71.849999999999994</v>
      </c>
      <c r="R40">
        <f>Source!X30</f>
        <v>1308.75</v>
      </c>
      <c r="S40">
        <f>ROUND((Source!DO30/100)*ROUND((ROUND((Source!AF30*Source!AV30*Source!I30),2)),2), 2)</f>
        <v>49.4</v>
      </c>
      <c r="T40">
        <f>Source!Y30</f>
        <v>789.1</v>
      </c>
      <c r="U40">
        <f>ROUND((175/100)*ROUND((ROUND((Source!AE30*Source!AV30*Source!I30),2)),2), 2)</f>
        <v>68.459999999999994</v>
      </c>
      <c r="V40">
        <f>ROUND((157/100)*ROUND(ROUND((ROUND((Source!AE30*Source!AV30*Source!I30),2)*Source!BS30),2), 2), 2)</f>
        <v>1316.19</v>
      </c>
    </row>
    <row r="41" spans="1:27" ht="14.25" x14ac:dyDescent="0.2">
      <c r="A41" s="19"/>
      <c r="B41" s="20"/>
      <c r="C41" s="20" t="s">
        <v>514</v>
      </c>
      <c r="D41" s="21"/>
      <c r="E41" s="10"/>
      <c r="F41" s="23">
        <f>Source!AO30</f>
        <v>1687.95</v>
      </c>
      <c r="G41" s="22" t="str">
        <f>Source!DG30</f>
        <v/>
      </c>
      <c r="H41" s="10">
        <f>Source!AV30</f>
        <v>1.0469999999999999</v>
      </c>
      <c r="I41" s="24">
        <f>ROUND((ROUND((Source!AF30*Source!AV30*Source!I30),2)),2)</f>
        <v>89.81</v>
      </c>
      <c r="J41" s="10">
        <f>IF(Source!BA30&lt;&gt; 0, Source!BA30, 1)</f>
        <v>21.43</v>
      </c>
      <c r="K41" s="24">
        <f>Source!S30</f>
        <v>1924.63</v>
      </c>
      <c r="W41">
        <f>I41</f>
        <v>89.81</v>
      </c>
    </row>
    <row r="42" spans="1:27" ht="14.25" x14ac:dyDescent="0.2">
      <c r="A42" s="19"/>
      <c r="B42" s="20"/>
      <c r="C42" s="20" t="s">
        <v>515</v>
      </c>
      <c r="D42" s="21"/>
      <c r="E42" s="10"/>
      <c r="F42" s="23">
        <f>Source!AM30</f>
        <v>2713.55</v>
      </c>
      <c r="G42" s="22" t="str">
        <f>Source!DE30</f>
        <v/>
      </c>
      <c r="H42" s="10">
        <f>Source!AV30</f>
        <v>1.0469999999999999</v>
      </c>
      <c r="I42" s="24">
        <f>(ROUND((ROUND(((Source!ET30)*Source!AV30*Source!I30),2)),2)+ROUND((ROUND(((Source!AE30-(Source!EU30))*Source!AV30*Source!I30),2)),2))</f>
        <v>144.38</v>
      </c>
      <c r="J42" s="10">
        <f>IF(Source!BB30&lt;&gt; 0, Source!BB30, 1)</f>
        <v>10.199999999999999</v>
      </c>
      <c r="K42" s="24">
        <f>Source!Q30</f>
        <v>1472.68</v>
      </c>
    </row>
    <row r="43" spans="1:27" ht="14.25" x14ac:dyDescent="0.2">
      <c r="A43" s="19"/>
      <c r="B43" s="20"/>
      <c r="C43" s="20" t="s">
        <v>516</v>
      </c>
      <c r="D43" s="21"/>
      <c r="E43" s="10"/>
      <c r="F43" s="23">
        <f>Source!AN30</f>
        <v>735.23</v>
      </c>
      <c r="G43" s="22" t="str">
        <f>Source!DF30</f>
        <v/>
      </c>
      <c r="H43" s="10">
        <f>Source!AV30</f>
        <v>1.0469999999999999</v>
      </c>
      <c r="I43" s="25">
        <f>ROUND((ROUND((Source!AE30*Source!AV30*Source!I30),2)),2)</f>
        <v>39.119999999999997</v>
      </c>
      <c r="J43" s="10">
        <f>IF(Source!BS30&lt;&gt; 0, Source!BS30, 1)</f>
        <v>21.43</v>
      </c>
      <c r="K43" s="25">
        <f>Source!R30</f>
        <v>838.34</v>
      </c>
      <c r="W43">
        <f>I43</f>
        <v>39.119999999999997</v>
      </c>
    </row>
    <row r="44" spans="1:27" ht="14.25" x14ac:dyDescent="0.2">
      <c r="A44" s="19"/>
      <c r="B44" s="20"/>
      <c r="C44" s="20" t="s">
        <v>517</v>
      </c>
      <c r="D44" s="21" t="s">
        <v>518</v>
      </c>
      <c r="E44" s="10">
        <f>Source!DN30</f>
        <v>80</v>
      </c>
      <c r="F44" s="23"/>
      <c r="G44" s="22"/>
      <c r="H44" s="10"/>
      <c r="I44" s="24">
        <f>SUM(Q40:Q43)</f>
        <v>71.849999999999994</v>
      </c>
      <c r="J44" s="10">
        <f>Source!BZ30</f>
        <v>68</v>
      </c>
      <c r="K44" s="24">
        <f>SUM(R40:R43)</f>
        <v>1308.75</v>
      </c>
    </row>
    <row r="45" spans="1:27" ht="14.25" x14ac:dyDescent="0.2">
      <c r="A45" s="19"/>
      <c r="B45" s="20"/>
      <c r="C45" s="20" t="s">
        <v>519</v>
      </c>
      <c r="D45" s="21" t="s">
        <v>518</v>
      </c>
      <c r="E45" s="10">
        <f>Source!DO30</f>
        <v>55</v>
      </c>
      <c r="F45" s="23"/>
      <c r="G45" s="22"/>
      <c r="H45" s="10"/>
      <c r="I45" s="24">
        <f>SUM(S40:S44)</f>
        <v>49.4</v>
      </c>
      <c r="J45" s="10">
        <f>Source!CA30</f>
        <v>41</v>
      </c>
      <c r="K45" s="24">
        <f>SUM(T40:T44)</f>
        <v>789.1</v>
      </c>
    </row>
    <row r="46" spans="1:27" ht="14.25" x14ac:dyDescent="0.2">
      <c r="A46" s="19"/>
      <c r="B46" s="20"/>
      <c r="C46" s="20" t="s">
        <v>520</v>
      </c>
      <c r="D46" s="21" t="s">
        <v>518</v>
      </c>
      <c r="E46" s="10">
        <f>175</f>
        <v>175</v>
      </c>
      <c r="F46" s="23"/>
      <c r="G46" s="22"/>
      <c r="H46" s="10"/>
      <c r="I46" s="24">
        <f>SUM(U40:U45)</f>
        <v>68.459999999999994</v>
      </c>
      <c r="J46" s="10">
        <f>157</f>
        <v>157</v>
      </c>
      <c r="K46" s="24">
        <f>SUM(V40:V45)</f>
        <v>1316.19</v>
      </c>
    </row>
    <row r="47" spans="1:27" ht="14.25" x14ac:dyDescent="0.2">
      <c r="A47" s="19"/>
      <c r="B47" s="20"/>
      <c r="C47" s="20" t="s">
        <v>521</v>
      </c>
      <c r="D47" s="21" t="s">
        <v>522</v>
      </c>
      <c r="E47" s="10">
        <f>Source!AQ30</f>
        <v>155</v>
      </c>
      <c r="F47" s="23"/>
      <c r="G47" s="22" t="str">
        <f>Source!DI30</f>
        <v/>
      </c>
      <c r="H47" s="10">
        <f>Source!AV30</f>
        <v>1.0469999999999999</v>
      </c>
      <c r="I47" s="24">
        <f>Source!U30</f>
        <v>8.2468368450000007</v>
      </c>
      <c r="J47" s="10"/>
      <c r="K47" s="24"/>
    </row>
    <row r="48" spans="1:27" ht="15" x14ac:dyDescent="0.25">
      <c r="A48" s="27"/>
      <c r="B48" s="27"/>
      <c r="C48" s="27"/>
      <c r="D48" s="27"/>
      <c r="E48" s="27"/>
      <c r="F48" s="27"/>
      <c r="G48" s="27"/>
      <c r="H48" s="38">
        <f>I41+I42+I44+I45+I46</f>
        <v>423.89999999999992</v>
      </c>
      <c r="I48" s="38"/>
      <c r="J48" s="38">
        <f>K41+K42+K44+K45+K46</f>
        <v>6811.35</v>
      </c>
      <c r="K48" s="38"/>
      <c r="O48" s="26">
        <f>I41+I42+I44+I45+I46</f>
        <v>423.89999999999992</v>
      </c>
      <c r="P48" s="26">
        <f>K41+K42+K44+K45+K46</f>
        <v>6811.35</v>
      </c>
      <c r="X48">
        <f>IF(Source!BI30&lt;=1,I41+I42+I44+I45+I46-0, 0)</f>
        <v>423.89999999999992</v>
      </c>
      <c r="Y48">
        <f>IF(Source!BI30=2,I41+I42+I44+I45+I46-0, 0)</f>
        <v>0</v>
      </c>
      <c r="Z48">
        <f>IF(Source!BI30=3,I41+I42+I44+I45+I46-0, 0)</f>
        <v>0</v>
      </c>
      <c r="AA48">
        <f>IF(Source!BI30=4,I41+I42+I44+I45+I46,0)</f>
        <v>0</v>
      </c>
    </row>
    <row r="49" spans="1:27" ht="42.75" x14ac:dyDescent="0.2">
      <c r="A49" s="19" t="str">
        <f>Source!E31</f>
        <v>3</v>
      </c>
      <c r="B49" s="20" t="str">
        <f>Source!F31</f>
        <v>6.68-51-5</v>
      </c>
      <c r="C49" s="20" t="s">
        <v>33</v>
      </c>
      <c r="D49" s="21" t="str">
        <f>Source!H31</f>
        <v>100 м3 конструкций</v>
      </c>
      <c r="E49" s="10">
        <f>Source!I31</f>
        <v>6.6452999999999998E-2</v>
      </c>
      <c r="F49" s="23"/>
      <c r="G49" s="22"/>
      <c r="H49" s="10"/>
      <c r="I49" s="24"/>
      <c r="J49" s="10"/>
      <c r="K49" s="24"/>
      <c r="Q49">
        <f>ROUND((Source!DN31/100)*ROUND((ROUND((Source!AF31*Source!AV31*Source!I31),2)),2), 2)</f>
        <v>34.770000000000003</v>
      </c>
      <c r="R49">
        <f>Source!X31</f>
        <v>633.32000000000005</v>
      </c>
      <c r="S49">
        <f>ROUND((Source!DO31/100)*ROUND((ROUND((Source!AF31*Source!AV31*Source!I31),2)),2), 2)</f>
        <v>23.9</v>
      </c>
      <c r="T49">
        <f>Source!Y31</f>
        <v>381.85</v>
      </c>
      <c r="U49">
        <f>ROUND((175/100)*ROUND((ROUND((Source!AE31*Source!AV31*Source!I31),2)),2), 2)</f>
        <v>34.21</v>
      </c>
      <c r="V49">
        <f>ROUND((157/100)*ROUND(ROUND((ROUND((Source!AE31*Source!AV31*Source!I31),2)*Source!BS31),2), 2), 2)</f>
        <v>657.77</v>
      </c>
    </row>
    <row r="50" spans="1:27" ht="14.25" x14ac:dyDescent="0.2">
      <c r="A50" s="19"/>
      <c r="B50" s="20"/>
      <c r="C50" s="20" t="s">
        <v>514</v>
      </c>
      <c r="D50" s="21"/>
      <c r="E50" s="10"/>
      <c r="F50" s="23">
        <f>Source!AO31</f>
        <v>624.69000000000005</v>
      </c>
      <c r="G50" s="22" t="str">
        <f>Source!DG31</f>
        <v/>
      </c>
      <c r="H50" s="10">
        <f>Source!AV31</f>
        <v>1.0469999999999999</v>
      </c>
      <c r="I50" s="24">
        <f>ROUND((ROUND((Source!AF31*Source!AV31*Source!I31),2)),2)</f>
        <v>43.46</v>
      </c>
      <c r="J50" s="10">
        <f>IF(Source!BA31&lt;&gt; 0, Source!BA31, 1)</f>
        <v>21.43</v>
      </c>
      <c r="K50" s="24">
        <f>Source!S31</f>
        <v>931.35</v>
      </c>
      <c r="W50">
        <f>I50</f>
        <v>43.46</v>
      </c>
    </row>
    <row r="51" spans="1:27" ht="14.25" x14ac:dyDescent="0.2">
      <c r="A51" s="19"/>
      <c r="B51" s="20"/>
      <c r="C51" s="20" t="s">
        <v>515</v>
      </c>
      <c r="D51" s="21"/>
      <c r="E51" s="10"/>
      <c r="F51" s="23">
        <f>Source!AM31</f>
        <v>1574.15</v>
      </c>
      <c r="G51" s="22" t="str">
        <f>Source!DE31</f>
        <v/>
      </c>
      <c r="H51" s="10">
        <f>Source!AV31</f>
        <v>1.0469999999999999</v>
      </c>
      <c r="I51" s="24">
        <f>(ROUND((ROUND(((Source!ET31)*Source!AV31*Source!I31),2)),2)+ROUND((ROUND(((Source!AE31-(Source!EU31))*Source!AV31*Source!I31),2)),2))</f>
        <v>109.52</v>
      </c>
      <c r="J51" s="10">
        <f>IF(Source!BB31&lt;&gt; 0, Source!BB31, 1)</f>
        <v>9.16</v>
      </c>
      <c r="K51" s="24">
        <f>Source!Q31</f>
        <v>1003.2</v>
      </c>
    </row>
    <row r="52" spans="1:27" ht="14.25" x14ac:dyDescent="0.2">
      <c r="A52" s="19"/>
      <c r="B52" s="20"/>
      <c r="C52" s="20" t="s">
        <v>516</v>
      </c>
      <c r="D52" s="21"/>
      <c r="E52" s="10"/>
      <c r="F52" s="23">
        <f>Source!AN31</f>
        <v>280.92</v>
      </c>
      <c r="G52" s="22" t="str">
        <f>Source!DF31</f>
        <v/>
      </c>
      <c r="H52" s="10">
        <f>Source!AV31</f>
        <v>1.0469999999999999</v>
      </c>
      <c r="I52" s="25">
        <f>ROUND((ROUND((Source!AE31*Source!AV31*Source!I31),2)),2)</f>
        <v>19.55</v>
      </c>
      <c r="J52" s="10">
        <f>IF(Source!BS31&lt;&gt; 0, Source!BS31, 1)</f>
        <v>21.43</v>
      </c>
      <c r="K52" s="25">
        <f>Source!R31</f>
        <v>418.96</v>
      </c>
      <c r="W52">
        <f>I52</f>
        <v>19.55</v>
      </c>
    </row>
    <row r="53" spans="1:27" ht="14.25" x14ac:dyDescent="0.2">
      <c r="A53" s="19"/>
      <c r="B53" s="20"/>
      <c r="C53" s="20" t="s">
        <v>517</v>
      </c>
      <c r="D53" s="21" t="s">
        <v>518</v>
      </c>
      <c r="E53" s="10">
        <f>Source!DN31</f>
        <v>80</v>
      </c>
      <c r="F53" s="23"/>
      <c r="G53" s="22"/>
      <c r="H53" s="10"/>
      <c r="I53" s="24">
        <f>SUM(Q49:Q52)</f>
        <v>34.770000000000003</v>
      </c>
      <c r="J53" s="10">
        <f>Source!BZ31</f>
        <v>68</v>
      </c>
      <c r="K53" s="24">
        <f>SUM(R49:R52)</f>
        <v>633.32000000000005</v>
      </c>
    </row>
    <row r="54" spans="1:27" ht="14.25" x14ac:dyDescent="0.2">
      <c r="A54" s="19"/>
      <c r="B54" s="20"/>
      <c r="C54" s="20" t="s">
        <v>519</v>
      </c>
      <c r="D54" s="21" t="s">
        <v>518</v>
      </c>
      <c r="E54" s="10">
        <f>Source!DO31</f>
        <v>55</v>
      </c>
      <c r="F54" s="23"/>
      <c r="G54" s="22"/>
      <c r="H54" s="10"/>
      <c r="I54" s="24">
        <f>SUM(S49:S53)</f>
        <v>23.9</v>
      </c>
      <c r="J54" s="10">
        <f>Source!CA31</f>
        <v>41</v>
      </c>
      <c r="K54" s="24">
        <f>SUM(T49:T53)</f>
        <v>381.85</v>
      </c>
    </row>
    <row r="55" spans="1:27" ht="14.25" x14ac:dyDescent="0.2">
      <c r="A55" s="19"/>
      <c r="B55" s="20"/>
      <c r="C55" s="20" t="s">
        <v>520</v>
      </c>
      <c r="D55" s="21" t="s">
        <v>518</v>
      </c>
      <c r="E55" s="10">
        <f>175</f>
        <v>175</v>
      </c>
      <c r="F55" s="23"/>
      <c r="G55" s="22"/>
      <c r="H55" s="10"/>
      <c r="I55" s="24">
        <f>SUM(U49:U54)</f>
        <v>34.21</v>
      </c>
      <c r="J55" s="10">
        <f>157</f>
        <v>157</v>
      </c>
      <c r="K55" s="24">
        <f>SUM(V49:V54)</f>
        <v>657.77</v>
      </c>
    </row>
    <row r="56" spans="1:27" ht="14.25" x14ac:dyDescent="0.2">
      <c r="A56" s="19"/>
      <c r="B56" s="20"/>
      <c r="C56" s="20" t="s">
        <v>521</v>
      </c>
      <c r="D56" s="21" t="s">
        <v>522</v>
      </c>
      <c r="E56" s="10">
        <f>Source!AQ31</f>
        <v>49.5</v>
      </c>
      <c r="F56" s="23"/>
      <c r="G56" s="22" t="str">
        <f>Source!DI31</f>
        <v/>
      </c>
      <c r="H56" s="10">
        <f>Source!AV31</f>
        <v>1.0469999999999999</v>
      </c>
      <c r="I56" s="24">
        <f>Source!U31</f>
        <v>3.4440264044999997</v>
      </c>
      <c r="J56" s="10"/>
      <c r="K56" s="24"/>
    </row>
    <row r="57" spans="1:27" ht="15" x14ac:dyDescent="0.25">
      <c r="A57" s="27"/>
      <c r="B57" s="27"/>
      <c r="C57" s="27"/>
      <c r="D57" s="27"/>
      <c r="E57" s="27"/>
      <c r="F57" s="27"/>
      <c r="G57" s="27"/>
      <c r="H57" s="38">
        <f>I50+I51+I53+I54+I55</f>
        <v>245.86</v>
      </c>
      <c r="I57" s="38"/>
      <c r="J57" s="38">
        <f>K50+K51+K53+K54+K55</f>
        <v>3607.4900000000002</v>
      </c>
      <c r="K57" s="38"/>
      <c r="O57" s="26">
        <f>I50+I51+I53+I54+I55</f>
        <v>245.86</v>
      </c>
      <c r="P57" s="26">
        <f>K50+K51+K53+K54+K55</f>
        <v>3607.4900000000002</v>
      </c>
      <c r="X57">
        <f>IF(Source!BI31&lt;=1,I50+I51+I53+I54+I55-0, 0)</f>
        <v>245.86</v>
      </c>
      <c r="Y57">
        <f>IF(Source!BI31=2,I50+I51+I53+I54+I55-0, 0)</f>
        <v>0</v>
      </c>
      <c r="Z57">
        <f>IF(Source!BI31=3,I50+I51+I53+I54+I55-0, 0)</f>
        <v>0</v>
      </c>
      <c r="AA57">
        <f>IF(Source!BI31=4,I50+I51+I53+I54+I55,0)</f>
        <v>0</v>
      </c>
    </row>
    <row r="58" spans="1:27" ht="42.75" x14ac:dyDescent="0.2">
      <c r="A58" s="19" t="str">
        <f>Source!E33</f>
        <v>5</v>
      </c>
      <c r="B58" s="20" t="str">
        <f>Source!F33</f>
        <v>6.68-13-1</v>
      </c>
      <c r="C58" s="20" t="s">
        <v>44</v>
      </c>
      <c r="D58" s="21" t="str">
        <f>Source!H33</f>
        <v>1 Т</v>
      </c>
      <c r="E58" s="10">
        <f>Source!I33</f>
        <v>60.238140000000001</v>
      </c>
      <c r="F58" s="23"/>
      <c r="G58" s="22"/>
      <c r="H58" s="10"/>
      <c r="I58" s="24"/>
      <c r="J58" s="10"/>
      <c r="K58" s="24"/>
      <c r="Q58">
        <f>ROUND((Source!DN33/100)*ROUND((ROUND((Source!AF33*Source!AV33*Source!I33),2)),2), 2)</f>
        <v>0</v>
      </c>
      <c r="R58">
        <f>Source!X33</f>
        <v>0</v>
      </c>
      <c r="S58">
        <f>ROUND((Source!DO33/100)*ROUND((ROUND((Source!AF33*Source!AV33*Source!I33),2)),2), 2)</f>
        <v>0</v>
      </c>
      <c r="T58">
        <f>Source!Y33</f>
        <v>0</v>
      </c>
      <c r="U58">
        <f>ROUND((175/100)*ROUND((ROUND((Source!AE33*Source!AV33*Source!I33),2)),2), 2)</f>
        <v>163.35</v>
      </c>
      <c r="V58">
        <f>ROUND((157/100)*ROUND(ROUND((ROUND((Source!AE33*Source!AV33*Source!I33),2)*Source!BS33),2), 2), 2)</f>
        <v>3140.44</v>
      </c>
    </row>
    <row r="59" spans="1:27" ht="14.25" x14ac:dyDescent="0.2">
      <c r="A59" s="19"/>
      <c r="B59" s="20"/>
      <c r="C59" s="20" t="s">
        <v>515</v>
      </c>
      <c r="D59" s="21"/>
      <c r="E59" s="10"/>
      <c r="F59" s="23">
        <f>Source!AM33</f>
        <v>8.86</v>
      </c>
      <c r="G59" s="22" t="str">
        <f>Source!DE33</f>
        <v/>
      </c>
      <c r="H59" s="10">
        <f>Source!AV33</f>
        <v>1.0469999999999999</v>
      </c>
      <c r="I59" s="24">
        <f>(ROUND((ROUND(((Source!ET33)*Source!AV33*Source!I33),2)),2)+ROUND((ROUND(((Source!AE33-(Source!EU33))*Source!AV33*Source!I33),2)),2))</f>
        <v>558.79</v>
      </c>
      <c r="J59" s="10">
        <f>IF(Source!BB33&lt;&gt; 0, Source!BB33, 1)</f>
        <v>7.96</v>
      </c>
      <c r="K59" s="24">
        <f>Source!Q33</f>
        <v>4447.97</v>
      </c>
    </row>
    <row r="60" spans="1:27" ht="14.25" x14ac:dyDescent="0.2">
      <c r="A60" s="19"/>
      <c r="B60" s="20"/>
      <c r="C60" s="20" t="s">
        <v>516</v>
      </c>
      <c r="D60" s="21"/>
      <c r="E60" s="10"/>
      <c r="F60" s="23">
        <f>Source!AN33</f>
        <v>1.48</v>
      </c>
      <c r="G60" s="22" t="str">
        <f>Source!DF33</f>
        <v/>
      </c>
      <c r="H60" s="10">
        <f>Source!AV33</f>
        <v>1.0469999999999999</v>
      </c>
      <c r="I60" s="25">
        <f>ROUND((ROUND((Source!AE33*Source!AV33*Source!I33),2)),2)</f>
        <v>93.34</v>
      </c>
      <c r="J60" s="10">
        <f>IF(Source!BS33&lt;&gt; 0, Source!BS33, 1)</f>
        <v>21.43</v>
      </c>
      <c r="K60" s="25">
        <f>Source!R33</f>
        <v>2000.28</v>
      </c>
      <c r="W60">
        <f>I60</f>
        <v>93.34</v>
      </c>
    </row>
    <row r="61" spans="1:27" ht="14.25" x14ac:dyDescent="0.2">
      <c r="A61" s="19"/>
      <c r="B61" s="20"/>
      <c r="C61" s="20" t="s">
        <v>520</v>
      </c>
      <c r="D61" s="21" t="s">
        <v>518</v>
      </c>
      <c r="E61" s="10">
        <f>175</f>
        <v>175</v>
      </c>
      <c r="F61" s="23"/>
      <c r="G61" s="22"/>
      <c r="H61" s="10"/>
      <c r="I61" s="24">
        <f>SUM(U58:U60)</f>
        <v>163.35</v>
      </c>
      <c r="J61" s="10">
        <f>157</f>
        <v>157</v>
      </c>
      <c r="K61" s="24">
        <f>SUM(V58:V60)</f>
        <v>3140.44</v>
      </c>
    </row>
    <row r="62" spans="1:27" ht="15" x14ac:dyDescent="0.25">
      <c r="A62" s="27"/>
      <c r="B62" s="27"/>
      <c r="C62" s="27"/>
      <c r="D62" s="27"/>
      <c r="E62" s="27"/>
      <c r="F62" s="27"/>
      <c r="G62" s="27"/>
      <c r="H62" s="38">
        <f>I59+I61</f>
        <v>722.14</v>
      </c>
      <c r="I62" s="38"/>
      <c r="J62" s="38">
        <f>K59+K61</f>
        <v>7588.41</v>
      </c>
      <c r="K62" s="38"/>
      <c r="O62" s="26">
        <f>I59+I61</f>
        <v>722.14</v>
      </c>
      <c r="P62" s="26">
        <f>K59+K61</f>
        <v>7588.41</v>
      </c>
      <c r="X62">
        <f>IF(Source!BI33&lt;=1,I59+I61-0, 0)</f>
        <v>722.14</v>
      </c>
      <c r="Y62">
        <f>IF(Source!BI33=2,I59+I61-0, 0)</f>
        <v>0</v>
      </c>
      <c r="Z62">
        <f>IF(Source!BI33=3,I59+I61-0, 0)</f>
        <v>0</v>
      </c>
      <c r="AA62">
        <f>IF(Source!BI33=4,I59+I61,0)</f>
        <v>0</v>
      </c>
    </row>
    <row r="63" spans="1:27" ht="99.75" x14ac:dyDescent="0.2">
      <c r="A63" s="19" t="str">
        <f>Source!E34</f>
        <v>6</v>
      </c>
      <c r="B63" s="20" t="str">
        <f>Source!F34</f>
        <v>3.27-12-1</v>
      </c>
      <c r="C63" s="20" t="s">
        <v>50</v>
      </c>
      <c r="D63" s="21" t="str">
        <f>Source!H34</f>
        <v>100 м3 материала основания (в плотном теле)</v>
      </c>
      <c r="E63" s="10">
        <f>Source!I34</f>
        <v>0.13681499999999999</v>
      </c>
      <c r="F63" s="23"/>
      <c r="G63" s="22"/>
      <c r="H63" s="10"/>
      <c r="I63" s="24"/>
      <c r="J63" s="10"/>
      <c r="K63" s="24"/>
      <c r="Q63">
        <f>ROUND((Source!DN34/100)*ROUND((ROUND((Source!AF34*Source!AV34*Source!I34),2)),2), 2)</f>
        <v>34.94</v>
      </c>
      <c r="R63">
        <f>Source!X34</f>
        <v>609.19000000000005</v>
      </c>
      <c r="S63">
        <f>ROUND((Source!DO34/100)*ROUND((ROUND((Source!AF34*Source!AV34*Source!I34),2)),2), 2)</f>
        <v>23.22</v>
      </c>
      <c r="T63">
        <f>Source!Y34</f>
        <v>251.12</v>
      </c>
      <c r="U63">
        <f>ROUND((175/100)*ROUND((ROUND((Source!AE34*Source!AV34*Source!I34),2)),2), 2)</f>
        <v>29.84</v>
      </c>
      <c r="V63">
        <f>ROUND((157/100)*ROUND(ROUND((ROUND((Source!AE34*Source!AV34*Source!I34),2)*Source!BS34),2), 2), 2)</f>
        <v>573.65</v>
      </c>
    </row>
    <row r="64" spans="1:27" ht="14.25" x14ac:dyDescent="0.2">
      <c r="A64" s="19"/>
      <c r="B64" s="20"/>
      <c r="C64" s="20" t="s">
        <v>514</v>
      </c>
      <c r="D64" s="21"/>
      <c r="E64" s="10"/>
      <c r="F64" s="23">
        <f>Source!AO34</f>
        <v>151.49</v>
      </c>
      <c r="G64" s="22" t="str">
        <f>Source!DG34</f>
        <v/>
      </c>
      <c r="H64" s="10">
        <f>Source!AV34</f>
        <v>1.0469999999999999</v>
      </c>
      <c r="I64" s="24">
        <f>ROUND((ROUND((Source!AF34*Source!AV34*Source!I34),2)),2)</f>
        <v>21.7</v>
      </c>
      <c r="J64" s="10">
        <f>IF(Source!BA34&lt;&gt; 0, Source!BA34, 1)</f>
        <v>21.43</v>
      </c>
      <c r="K64" s="24">
        <f>Source!S34</f>
        <v>465.03</v>
      </c>
      <c r="W64">
        <f>I64</f>
        <v>21.7</v>
      </c>
    </row>
    <row r="65" spans="1:27" ht="14.25" x14ac:dyDescent="0.2">
      <c r="A65" s="19"/>
      <c r="B65" s="20"/>
      <c r="C65" s="20" t="s">
        <v>515</v>
      </c>
      <c r="D65" s="21"/>
      <c r="E65" s="10"/>
      <c r="F65" s="23">
        <f>Source!AM34</f>
        <v>676.47</v>
      </c>
      <c r="G65" s="22" t="str">
        <f>Source!DE34</f>
        <v/>
      </c>
      <c r="H65" s="10">
        <f>Source!AV34</f>
        <v>1.0469999999999999</v>
      </c>
      <c r="I65" s="24">
        <f>(ROUND((ROUND(((Source!ET34)*Source!AV34*Source!I34),2)),2)+ROUND((ROUND(((Source!AE34-(Source!EU34))*Source!AV34*Source!I34),2)),2))</f>
        <v>96.9</v>
      </c>
      <c r="J65" s="10">
        <f>IF(Source!BB34&lt;&gt; 0, Source!BB34, 1)</f>
        <v>9.82</v>
      </c>
      <c r="K65" s="24">
        <f>Source!Q34</f>
        <v>951.56</v>
      </c>
    </row>
    <row r="66" spans="1:27" ht="14.25" x14ac:dyDescent="0.2">
      <c r="A66" s="19"/>
      <c r="B66" s="20"/>
      <c r="C66" s="20" t="s">
        <v>516</v>
      </c>
      <c r="D66" s="21"/>
      <c r="E66" s="10"/>
      <c r="F66" s="23">
        <f>Source!AN34</f>
        <v>119.05</v>
      </c>
      <c r="G66" s="22" t="str">
        <f>Source!DF34</f>
        <v/>
      </c>
      <c r="H66" s="10">
        <f>Source!AV34</f>
        <v>1.0469999999999999</v>
      </c>
      <c r="I66" s="25">
        <f>ROUND((ROUND((Source!AE34*Source!AV34*Source!I34),2)),2)</f>
        <v>17.05</v>
      </c>
      <c r="J66" s="10">
        <f>IF(Source!BS34&lt;&gt; 0, Source!BS34, 1)</f>
        <v>21.43</v>
      </c>
      <c r="K66" s="25">
        <f>Source!R34</f>
        <v>365.38</v>
      </c>
      <c r="W66">
        <f>I66</f>
        <v>17.05</v>
      </c>
    </row>
    <row r="67" spans="1:27" ht="14.25" x14ac:dyDescent="0.2">
      <c r="A67" s="19"/>
      <c r="B67" s="20"/>
      <c r="C67" s="20" t="s">
        <v>523</v>
      </c>
      <c r="D67" s="21"/>
      <c r="E67" s="10"/>
      <c r="F67" s="23">
        <f>Source!AL34</f>
        <v>35.35</v>
      </c>
      <c r="G67" s="22" t="str">
        <f>Source!DD34</f>
        <v/>
      </c>
      <c r="H67" s="10">
        <f>Source!AW34</f>
        <v>1.002</v>
      </c>
      <c r="I67" s="24">
        <f>ROUND((ROUND((Source!AC34*Source!AW34*Source!I34),2)),2)</f>
        <v>4.8499999999999996</v>
      </c>
      <c r="J67" s="10">
        <f>IF(Source!BC34&lt;&gt; 0, Source!BC34, 1)</f>
        <v>4.5599999999999996</v>
      </c>
      <c r="K67" s="24">
        <f>Source!P34</f>
        <v>22.12</v>
      </c>
    </row>
    <row r="68" spans="1:27" ht="28.5" x14ac:dyDescent="0.2">
      <c r="A68" s="19" t="str">
        <f>Source!E35</f>
        <v>6,1</v>
      </c>
      <c r="B68" s="20" t="str">
        <f>Source!F35</f>
        <v>1.1-1-766</v>
      </c>
      <c r="C68" s="20" t="s">
        <v>58</v>
      </c>
      <c r="D68" s="21" t="str">
        <f>Source!H35</f>
        <v>м3</v>
      </c>
      <c r="E68" s="10">
        <f>Source!I35</f>
        <v>15.04965</v>
      </c>
      <c r="F68" s="23">
        <f>Source!AK35</f>
        <v>104.99</v>
      </c>
      <c r="G68" s="28" t="s">
        <v>5</v>
      </c>
      <c r="H68" s="10">
        <f>Source!AW35</f>
        <v>1.002</v>
      </c>
      <c r="I68" s="24">
        <f>ROUND((ROUND((Source!AC35*Source!AW35*Source!I35),2)),2)+(ROUND((ROUND(((Source!ET35)*Source!AV35*Source!I35),2)),2)+ROUND((ROUND(((Source!AE35-(Source!EU35))*Source!AV35*Source!I35),2)),2))+ROUND((ROUND((Source!AF35*Source!AV35*Source!I35),2)),2)</f>
        <v>1583.22</v>
      </c>
      <c r="J68" s="10">
        <f>IF(Source!BC35&lt;&gt; 0, Source!BC35, 1)</f>
        <v>5.25</v>
      </c>
      <c r="K68" s="24">
        <f>Source!O35</f>
        <v>8311.91</v>
      </c>
      <c r="Q68">
        <f>ROUND((Source!DN35/100)*ROUND((ROUND((Source!AF35*Source!AV35*Source!I35),2)),2), 2)</f>
        <v>0</v>
      </c>
      <c r="R68">
        <f>Source!X35</f>
        <v>0</v>
      </c>
      <c r="S68">
        <f>ROUND((Source!DO35/100)*ROUND((ROUND((Source!AF35*Source!AV35*Source!I35),2)),2), 2)</f>
        <v>0</v>
      </c>
      <c r="T68">
        <f>Source!Y35</f>
        <v>0</v>
      </c>
      <c r="U68">
        <f>ROUND((175/100)*ROUND((ROUND((Source!AE35*Source!AV35*Source!I35),2)),2), 2)</f>
        <v>0</v>
      </c>
      <c r="V68">
        <f>ROUND((157/100)*ROUND(ROUND((ROUND((Source!AE35*Source!AV35*Source!I35),2)*Source!BS35),2), 2), 2)</f>
        <v>0</v>
      </c>
      <c r="X68">
        <f>IF(Source!BI35&lt;=1,I68, 0)</f>
        <v>1583.22</v>
      </c>
      <c r="Y68">
        <f>IF(Source!BI35=2,I68, 0)</f>
        <v>0</v>
      </c>
      <c r="Z68">
        <f>IF(Source!BI35=3,I68, 0)</f>
        <v>0</v>
      </c>
      <c r="AA68">
        <f>IF(Source!BI35=4,I68, 0)</f>
        <v>0</v>
      </c>
    </row>
    <row r="69" spans="1:27" ht="14.25" x14ac:dyDescent="0.2">
      <c r="A69" s="19"/>
      <c r="B69" s="20"/>
      <c r="C69" s="20" t="s">
        <v>517</v>
      </c>
      <c r="D69" s="21" t="s">
        <v>518</v>
      </c>
      <c r="E69" s="10">
        <f>Source!DN34</f>
        <v>161</v>
      </c>
      <c r="F69" s="23"/>
      <c r="G69" s="22"/>
      <c r="H69" s="10"/>
      <c r="I69" s="24">
        <f>SUM(Q63:Q68)</f>
        <v>34.94</v>
      </c>
      <c r="J69" s="10">
        <f>Source!BZ34</f>
        <v>131</v>
      </c>
      <c r="K69" s="24">
        <f>SUM(R63:R68)</f>
        <v>609.19000000000005</v>
      </c>
    </row>
    <row r="70" spans="1:27" ht="14.25" x14ac:dyDescent="0.2">
      <c r="A70" s="19"/>
      <c r="B70" s="20"/>
      <c r="C70" s="20" t="s">
        <v>519</v>
      </c>
      <c r="D70" s="21" t="s">
        <v>518</v>
      </c>
      <c r="E70" s="10">
        <f>Source!DO34</f>
        <v>107</v>
      </c>
      <c r="F70" s="23"/>
      <c r="G70" s="22"/>
      <c r="H70" s="10"/>
      <c r="I70" s="24">
        <f>SUM(S63:S69)</f>
        <v>23.22</v>
      </c>
      <c r="J70" s="10">
        <f>Source!CA34</f>
        <v>54</v>
      </c>
      <c r="K70" s="24">
        <f>SUM(T63:T69)</f>
        <v>251.12</v>
      </c>
    </row>
    <row r="71" spans="1:27" ht="14.25" x14ac:dyDescent="0.2">
      <c r="A71" s="19"/>
      <c r="B71" s="20"/>
      <c r="C71" s="20" t="s">
        <v>520</v>
      </c>
      <c r="D71" s="21" t="s">
        <v>518</v>
      </c>
      <c r="E71" s="10">
        <f>175</f>
        <v>175</v>
      </c>
      <c r="F71" s="23"/>
      <c r="G71" s="22"/>
      <c r="H71" s="10"/>
      <c r="I71" s="24">
        <f>SUM(U63:U70)</f>
        <v>29.84</v>
      </c>
      <c r="J71" s="10">
        <f>157</f>
        <v>157</v>
      </c>
      <c r="K71" s="24">
        <f>SUM(V63:V70)</f>
        <v>573.65</v>
      </c>
    </row>
    <row r="72" spans="1:27" ht="14.25" x14ac:dyDescent="0.2">
      <c r="A72" s="19"/>
      <c r="B72" s="20"/>
      <c r="C72" s="20" t="s">
        <v>521</v>
      </c>
      <c r="D72" s="21" t="s">
        <v>522</v>
      </c>
      <c r="E72" s="10">
        <f>Source!AQ34</f>
        <v>14.4</v>
      </c>
      <c r="F72" s="23"/>
      <c r="G72" s="22" t="str">
        <f>Source!DI34</f>
        <v/>
      </c>
      <c r="H72" s="10">
        <f>Source!AV34</f>
        <v>1.0469999999999999</v>
      </c>
      <c r="I72" s="24">
        <f>Source!U34</f>
        <v>2.0627323919999996</v>
      </c>
      <c r="J72" s="10"/>
      <c r="K72" s="24"/>
    </row>
    <row r="73" spans="1:27" ht="15" x14ac:dyDescent="0.25">
      <c r="A73" s="27"/>
      <c r="B73" s="27"/>
      <c r="C73" s="27"/>
      <c r="D73" s="27"/>
      <c r="E73" s="27"/>
      <c r="F73" s="27"/>
      <c r="G73" s="27"/>
      <c r="H73" s="38">
        <f>I64+I65+I67+I69+I70+I71+SUM(I68:I68)</f>
        <v>1794.67</v>
      </c>
      <c r="I73" s="38"/>
      <c r="J73" s="38">
        <f>K64+K65+K67+K69+K70+K71+SUM(K68:K68)</f>
        <v>11184.58</v>
      </c>
      <c r="K73" s="38"/>
      <c r="O73" s="26">
        <f>I64+I65+I67+I69+I70+I71+SUM(I68:I68)</f>
        <v>1794.67</v>
      </c>
      <c r="P73" s="26">
        <f>K64+K65+K67+K69+K70+K71+SUM(K68:K68)</f>
        <v>11184.58</v>
      </c>
      <c r="X73">
        <f>IF(Source!BI34&lt;=1,I64+I65+I67+I69+I70+I71-0, 0)</f>
        <v>211.45</v>
      </c>
      <c r="Y73">
        <f>IF(Source!BI34=2,I64+I65+I67+I69+I70+I71-0, 0)</f>
        <v>0</v>
      </c>
      <c r="Z73">
        <f>IF(Source!BI34=3,I64+I65+I67+I69+I70+I71-0, 0)</f>
        <v>0</v>
      </c>
      <c r="AA73">
        <f>IF(Source!BI34=4,I64+I65+I67+I69+I70+I71,0)</f>
        <v>0</v>
      </c>
    </row>
    <row r="74" spans="1:27" ht="42.75" x14ac:dyDescent="0.2">
      <c r="A74" s="19" t="str">
        <f>Source!E36</f>
        <v>7</v>
      </c>
      <c r="B74" s="20" t="str">
        <f>Source!F36</f>
        <v>3.27-30-1</v>
      </c>
      <c r="C74" s="20" t="s">
        <v>63</v>
      </c>
      <c r="D74" s="21" t="str">
        <f>Source!H36</f>
        <v>1000 м2 основания</v>
      </c>
      <c r="E74" s="10">
        <f>Source!I36</f>
        <v>3.909E-2</v>
      </c>
      <c r="F74" s="23"/>
      <c r="G74" s="22"/>
      <c r="H74" s="10"/>
      <c r="I74" s="24"/>
      <c r="J74" s="10"/>
      <c r="K74" s="24"/>
      <c r="Q74">
        <f>ROUND((Source!DN36/100)*ROUND((ROUND((Source!AF36*Source!AV36*Source!I36),2)),2), 2)</f>
        <v>201.8</v>
      </c>
      <c r="R74">
        <f>Source!X36</f>
        <v>3518.71</v>
      </c>
      <c r="S74">
        <f>ROUND((Source!DO36/100)*ROUND((ROUND((Source!AF36*Source!AV36*Source!I36),2)),2), 2)</f>
        <v>134.11000000000001</v>
      </c>
      <c r="T74">
        <f>Source!Y36</f>
        <v>1450.46</v>
      </c>
      <c r="U74">
        <f>ROUND((175/100)*ROUND((ROUND((Source!AE36*Source!AV36*Source!I36),2)),2), 2)</f>
        <v>25.62</v>
      </c>
      <c r="V74">
        <f>ROUND((157/100)*ROUND(ROUND((ROUND((Source!AE36*Source!AV36*Source!I36),2)*Source!BS36),2), 2), 2)</f>
        <v>492.57</v>
      </c>
    </row>
    <row r="75" spans="1:27" ht="14.25" x14ac:dyDescent="0.2">
      <c r="A75" s="19"/>
      <c r="B75" s="20"/>
      <c r="C75" s="20" t="s">
        <v>514</v>
      </c>
      <c r="D75" s="21"/>
      <c r="E75" s="10"/>
      <c r="F75" s="23">
        <f>Source!AO36</f>
        <v>3062.49</v>
      </c>
      <c r="G75" s="22" t="str">
        <f>Source!DG36</f>
        <v/>
      </c>
      <c r="H75" s="10">
        <f>Source!AV36</f>
        <v>1.0469999999999999</v>
      </c>
      <c r="I75" s="24">
        <f>ROUND((ROUND((Source!AF36*Source!AV36*Source!I36),2)),2)</f>
        <v>125.34</v>
      </c>
      <c r="J75" s="10">
        <f>IF(Source!BA36&lt;&gt; 0, Source!BA36, 1)</f>
        <v>21.43</v>
      </c>
      <c r="K75" s="24">
        <f>Source!S36</f>
        <v>2686.04</v>
      </c>
      <c r="W75">
        <f>I75</f>
        <v>125.34</v>
      </c>
    </row>
    <row r="76" spans="1:27" ht="14.25" x14ac:dyDescent="0.2">
      <c r="A76" s="19"/>
      <c r="B76" s="20"/>
      <c r="C76" s="20" t="s">
        <v>515</v>
      </c>
      <c r="D76" s="21"/>
      <c r="E76" s="10"/>
      <c r="F76" s="23">
        <f>Source!AM36</f>
        <v>1934.25</v>
      </c>
      <c r="G76" s="22" t="str">
        <f>Source!DE36</f>
        <v/>
      </c>
      <c r="H76" s="10">
        <f>Source!AV36</f>
        <v>1.0469999999999999</v>
      </c>
      <c r="I76" s="24">
        <f>(ROUND((ROUND(((Source!ET36)*Source!AV36*Source!I36),2)),2)+ROUND((ROUND(((Source!AE36-(Source!EU36))*Source!AV36*Source!I36),2)),2))</f>
        <v>79.16</v>
      </c>
      <c r="J76" s="10">
        <f>IF(Source!BB36&lt;&gt; 0, Source!BB36, 1)</f>
        <v>12.05</v>
      </c>
      <c r="K76" s="24">
        <f>Source!Q36</f>
        <v>953.88</v>
      </c>
    </row>
    <row r="77" spans="1:27" ht="14.25" x14ac:dyDescent="0.2">
      <c r="A77" s="19"/>
      <c r="B77" s="20"/>
      <c r="C77" s="20" t="s">
        <v>516</v>
      </c>
      <c r="D77" s="21"/>
      <c r="E77" s="10"/>
      <c r="F77" s="23">
        <f>Source!AN36</f>
        <v>357.6</v>
      </c>
      <c r="G77" s="22" t="str">
        <f>Source!DF36</f>
        <v/>
      </c>
      <c r="H77" s="10">
        <f>Source!AV36</f>
        <v>1.0469999999999999</v>
      </c>
      <c r="I77" s="25">
        <f>ROUND((ROUND((Source!AE36*Source!AV36*Source!I36),2)),2)</f>
        <v>14.64</v>
      </c>
      <c r="J77" s="10">
        <f>IF(Source!BS36&lt;&gt; 0, Source!BS36, 1)</f>
        <v>21.43</v>
      </c>
      <c r="K77" s="25">
        <f>Source!R36</f>
        <v>313.74</v>
      </c>
      <c r="W77">
        <f>I77</f>
        <v>14.64</v>
      </c>
    </row>
    <row r="78" spans="1:27" ht="14.25" x14ac:dyDescent="0.2">
      <c r="A78" s="19"/>
      <c r="B78" s="20"/>
      <c r="C78" s="20" t="s">
        <v>523</v>
      </c>
      <c r="D78" s="21"/>
      <c r="E78" s="10"/>
      <c r="F78" s="23">
        <f>Source!AL36</f>
        <v>6731.62</v>
      </c>
      <c r="G78" s="22" t="str">
        <f>Source!DD36</f>
        <v/>
      </c>
      <c r="H78" s="10">
        <f>Source!AW36</f>
        <v>1.002</v>
      </c>
      <c r="I78" s="24">
        <f>ROUND((ROUND((Source!AC36*Source!AW36*Source!I36),2)),2)</f>
        <v>263.67</v>
      </c>
      <c r="J78" s="10">
        <f>IF(Source!BC36&lt;&gt; 0, Source!BC36, 1)</f>
        <v>4.84</v>
      </c>
      <c r="K78" s="24">
        <f>Source!P36</f>
        <v>1276.1600000000001</v>
      </c>
    </row>
    <row r="79" spans="1:27" ht="57" x14ac:dyDescent="0.2">
      <c r="A79" s="19" t="str">
        <f>Source!E37</f>
        <v>7,1</v>
      </c>
      <c r="B79" s="20" t="str">
        <f>Source!F37</f>
        <v>1.3-1-36</v>
      </c>
      <c r="C79" s="20" t="s">
        <v>70</v>
      </c>
      <c r="D79" s="21" t="str">
        <f>Source!H37</f>
        <v>м3</v>
      </c>
      <c r="E79" s="10">
        <f>Source!I37</f>
        <v>6.3325800000000001</v>
      </c>
      <c r="F79" s="23">
        <f>Source!AK37</f>
        <v>517.14</v>
      </c>
      <c r="G79" s="28" t="s">
        <v>5</v>
      </c>
      <c r="H79" s="10">
        <f>Source!AW37</f>
        <v>1.002</v>
      </c>
      <c r="I79" s="24">
        <f>ROUND((ROUND((Source!AC37*Source!AW37*Source!I37),2)),2)+(ROUND((ROUND(((Source!ET37)*Source!AV37*Source!I37),2)),2)+ROUND((ROUND(((Source!AE37-(Source!EU37))*Source!AV37*Source!I37),2)),2))+ROUND((ROUND((Source!AF37*Source!AV37*Source!I37),2)),2)</f>
        <v>3281.38</v>
      </c>
      <c r="J79" s="10">
        <f>IF(Source!BC37&lt;&gt; 0, Source!BC37, 1)</f>
        <v>7.45</v>
      </c>
      <c r="K79" s="24">
        <f>Source!O37</f>
        <v>24446.28</v>
      </c>
      <c r="Q79">
        <f>ROUND((Source!DN37/100)*ROUND((ROUND((Source!AF37*Source!AV37*Source!I37),2)),2), 2)</f>
        <v>0</v>
      </c>
      <c r="R79">
        <f>Source!X37</f>
        <v>0</v>
      </c>
      <c r="S79">
        <f>ROUND((Source!DO37/100)*ROUND((ROUND((Source!AF37*Source!AV37*Source!I37),2)),2), 2)</f>
        <v>0</v>
      </c>
      <c r="T79">
        <f>Source!Y37</f>
        <v>0</v>
      </c>
      <c r="U79">
        <f>ROUND((175/100)*ROUND((ROUND((Source!AE37*Source!AV37*Source!I37),2)),2), 2)</f>
        <v>0</v>
      </c>
      <c r="V79">
        <f>ROUND((157/100)*ROUND(ROUND((ROUND((Source!AE37*Source!AV37*Source!I37),2)*Source!BS37),2), 2), 2)</f>
        <v>0</v>
      </c>
      <c r="X79">
        <f>IF(Source!BI37&lt;=1,I79, 0)</f>
        <v>3281.38</v>
      </c>
      <c r="Y79">
        <f>IF(Source!BI37=2,I79, 0)</f>
        <v>0</v>
      </c>
      <c r="Z79">
        <f>IF(Source!BI37=3,I79, 0)</f>
        <v>0</v>
      </c>
      <c r="AA79">
        <f>IF(Source!BI37=4,I79, 0)</f>
        <v>0</v>
      </c>
    </row>
    <row r="80" spans="1:27" ht="14.25" x14ac:dyDescent="0.2">
      <c r="A80" s="19"/>
      <c r="B80" s="20"/>
      <c r="C80" s="20" t="s">
        <v>517</v>
      </c>
      <c r="D80" s="21" t="s">
        <v>518</v>
      </c>
      <c r="E80" s="10">
        <f>Source!DN36</f>
        <v>161</v>
      </c>
      <c r="F80" s="23"/>
      <c r="G80" s="22"/>
      <c r="H80" s="10"/>
      <c r="I80" s="24">
        <f>SUM(Q74:Q79)</f>
        <v>201.8</v>
      </c>
      <c r="J80" s="10">
        <f>Source!BZ36</f>
        <v>131</v>
      </c>
      <c r="K80" s="24">
        <f>SUM(R74:R79)</f>
        <v>3518.71</v>
      </c>
    </row>
    <row r="81" spans="1:27" ht="14.25" x14ac:dyDescent="0.2">
      <c r="A81" s="19"/>
      <c r="B81" s="20"/>
      <c r="C81" s="20" t="s">
        <v>519</v>
      </c>
      <c r="D81" s="21" t="s">
        <v>518</v>
      </c>
      <c r="E81" s="10">
        <f>Source!DO36</f>
        <v>107</v>
      </c>
      <c r="F81" s="23"/>
      <c r="G81" s="22"/>
      <c r="H81" s="10"/>
      <c r="I81" s="24">
        <f>SUM(S74:S80)</f>
        <v>134.11000000000001</v>
      </c>
      <c r="J81" s="10">
        <f>Source!CA36</f>
        <v>54</v>
      </c>
      <c r="K81" s="24">
        <f>SUM(T74:T80)</f>
        <v>1450.46</v>
      </c>
    </row>
    <row r="82" spans="1:27" ht="14.25" x14ac:dyDescent="0.2">
      <c r="A82" s="19"/>
      <c r="B82" s="20"/>
      <c r="C82" s="20" t="s">
        <v>520</v>
      </c>
      <c r="D82" s="21" t="s">
        <v>518</v>
      </c>
      <c r="E82" s="10">
        <f>175</f>
        <v>175</v>
      </c>
      <c r="F82" s="23"/>
      <c r="G82" s="22"/>
      <c r="H82" s="10"/>
      <c r="I82" s="24">
        <f>SUM(U74:U81)</f>
        <v>25.62</v>
      </c>
      <c r="J82" s="10">
        <f>157</f>
        <v>157</v>
      </c>
      <c r="K82" s="24">
        <f>SUM(V74:V81)</f>
        <v>492.57</v>
      </c>
    </row>
    <row r="83" spans="1:27" ht="14.25" x14ac:dyDescent="0.2">
      <c r="A83" s="19"/>
      <c r="B83" s="20"/>
      <c r="C83" s="20" t="s">
        <v>521</v>
      </c>
      <c r="D83" s="21" t="s">
        <v>522</v>
      </c>
      <c r="E83" s="10">
        <f>Source!AQ36</f>
        <v>267</v>
      </c>
      <c r="F83" s="23"/>
      <c r="G83" s="22" t="str">
        <f>Source!DI36</f>
        <v/>
      </c>
      <c r="H83" s="10">
        <f>Source!AV36</f>
        <v>1.0469999999999999</v>
      </c>
      <c r="I83" s="24">
        <f>Source!U36</f>
        <v>10.92757041</v>
      </c>
      <c r="J83" s="10"/>
      <c r="K83" s="24"/>
    </row>
    <row r="84" spans="1:27" ht="15" x14ac:dyDescent="0.25">
      <c r="A84" s="27"/>
      <c r="B84" s="27"/>
      <c r="C84" s="27"/>
      <c r="D84" s="27"/>
      <c r="E84" s="27"/>
      <c r="F84" s="27"/>
      <c r="G84" s="27"/>
      <c r="H84" s="38">
        <f>I75+I76+I78+I80+I81+I82+SUM(I79:I79)</f>
        <v>4111.08</v>
      </c>
      <c r="I84" s="38"/>
      <c r="J84" s="38">
        <f>K75+K76+K78+K80+K81+K82+SUM(K79:K79)</f>
        <v>34824.1</v>
      </c>
      <c r="K84" s="38"/>
      <c r="O84" s="26">
        <f>I75+I76+I78+I80+I81+I82+SUM(I79:I79)</f>
        <v>4111.08</v>
      </c>
      <c r="P84" s="26">
        <f>K75+K76+K78+K80+K81+K82+SUM(K79:K79)</f>
        <v>34824.1</v>
      </c>
      <c r="X84">
        <f>IF(Source!BI36&lt;=1,I75+I76+I78+I80+I81+I82-0, 0)</f>
        <v>829.7</v>
      </c>
      <c r="Y84">
        <f>IF(Source!BI36=2,I75+I76+I78+I80+I81+I82-0, 0)</f>
        <v>0</v>
      </c>
      <c r="Z84">
        <f>IF(Source!BI36=3,I75+I76+I78+I80+I81+I82-0, 0)</f>
        <v>0</v>
      </c>
      <c r="AA84">
        <f>IF(Source!BI36=4,I75+I76+I78+I80+I81+I82,0)</f>
        <v>0</v>
      </c>
    </row>
    <row r="85" spans="1:27" ht="57" x14ac:dyDescent="0.2">
      <c r="A85" s="19" t="str">
        <f>Source!E38</f>
        <v>8</v>
      </c>
      <c r="B85" s="20" t="str">
        <f>Source!F38</f>
        <v>3.27-30-2</v>
      </c>
      <c r="C85" s="20" t="s">
        <v>74</v>
      </c>
      <c r="D85" s="21" t="str">
        <f>Source!H38</f>
        <v>1000 м2 основания</v>
      </c>
      <c r="E85" s="10">
        <f>Source!I38</f>
        <v>3.909E-2</v>
      </c>
      <c r="F85" s="23"/>
      <c r="G85" s="22"/>
      <c r="H85" s="10"/>
      <c r="I85" s="24"/>
      <c r="J85" s="10"/>
      <c r="K85" s="24"/>
      <c r="Q85">
        <f>ROUND((Source!DN38/100)*ROUND((ROUND((Source!AF38*Source!AV38*Source!I38),2)),2), 2)</f>
        <v>3.91</v>
      </c>
      <c r="R85">
        <f>Source!X38</f>
        <v>68.209999999999994</v>
      </c>
      <c r="S85">
        <f>ROUND((Source!DO38/100)*ROUND((ROUND((Source!AF38*Source!AV38*Source!I38),2)),2), 2)</f>
        <v>2.6</v>
      </c>
      <c r="T85">
        <f>Source!Y38</f>
        <v>28.12</v>
      </c>
      <c r="U85">
        <f>ROUND((175/100)*ROUND((ROUND((Source!AE38*Source!AV38*Source!I38),2)),2), 2)</f>
        <v>0</v>
      </c>
      <c r="V85">
        <f>ROUND((157/100)*ROUND(ROUND((ROUND((Source!AE38*Source!AV38*Source!I38),2)*Source!BS38),2), 2), 2)</f>
        <v>0</v>
      </c>
    </row>
    <row r="86" spans="1:27" ht="14.25" x14ac:dyDescent="0.2">
      <c r="A86" s="19"/>
      <c r="B86" s="20"/>
      <c r="C86" s="20" t="s">
        <v>514</v>
      </c>
      <c r="D86" s="21"/>
      <c r="E86" s="10"/>
      <c r="F86" s="23">
        <f>Source!AO38</f>
        <v>59.3</v>
      </c>
      <c r="G86" s="22" t="str">
        <f>Source!DG38</f>
        <v/>
      </c>
      <c r="H86" s="10">
        <f>Source!AV38</f>
        <v>1.0469999999999999</v>
      </c>
      <c r="I86" s="24">
        <f>ROUND((ROUND((Source!AF38*Source!AV38*Source!I38),2)),2)</f>
        <v>2.4300000000000002</v>
      </c>
      <c r="J86" s="10">
        <f>IF(Source!BA38&lt;&gt; 0, Source!BA38, 1)</f>
        <v>21.43</v>
      </c>
      <c r="K86" s="24">
        <f>Source!S38</f>
        <v>52.07</v>
      </c>
      <c r="W86">
        <f>I86</f>
        <v>2.4300000000000002</v>
      </c>
    </row>
    <row r="87" spans="1:27" ht="14.25" x14ac:dyDescent="0.2">
      <c r="A87" s="19"/>
      <c r="B87" s="20"/>
      <c r="C87" s="20" t="s">
        <v>523</v>
      </c>
      <c r="D87" s="21"/>
      <c r="E87" s="10"/>
      <c r="F87" s="23">
        <f>Source!AL38</f>
        <v>58.6</v>
      </c>
      <c r="G87" s="22" t="str">
        <f>Source!DD38</f>
        <v/>
      </c>
      <c r="H87" s="10">
        <f>Source!AW38</f>
        <v>1.002</v>
      </c>
      <c r="I87" s="24">
        <f>ROUND((ROUND((Source!AC38*Source!AW38*Source!I38),2)),2)</f>
        <v>2.2999999999999998</v>
      </c>
      <c r="J87" s="10">
        <f>IF(Source!BC38&lt;&gt; 0, Source!BC38, 1)</f>
        <v>3.59</v>
      </c>
      <c r="K87" s="24">
        <f>Source!P38</f>
        <v>8.26</v>
      </c>
    </row>
    <row r="88" spans="1:27" ht="57" x14ac:dyDescent="0.2">
      <c r="A88" s="19" t="str">
        <f>Source!E39</f>
        <v>8,1</v>
      </c>
      <c r="B88" s="20" t="str">
        <f>Source!F39</f>
        <v>1.3-1-36</v>
      </c>
      <c r="C88" s="20" t="s">
        <v>70</v>
      </c>
      <c r="D88" s="21" t="str">
        <f>Source!H39</f>
        <v>м3</v>
      </c>
      <c r="E88" s="10">
        <f>Source!I39</f>
        <v>0.39871800000000002</v>
      </c>
      <c r="F88" s="23">
        <f>Source!AK39</f>
        <v>517.14</v>
      </c>
      <c r="G88" s="28" t="s">
        <v>5</v>
      </c>
      <c r="H88" s="10">
        <f>Source!AW39</f>
        <v>1.002</v>
      </c>
      <c r="I88" s="24">
        <f>ROUND((ROUND((Source!AC39*Source!AW39*Source!I39),2)),2)+(ROUND((ROUND(((Source!ET39)*Source!AV39*Source!I39),2)),2)+ROUND((ROUND(((Source!AE39-(Source!EU39))*Source!AV39*Source!I39),2)),2))+ROUND((ROUND((Source!AF39*Source!AV39*Source!I39),2)),2)</f>
        <v>206.61</v>
      </c>
      <c r="J88" s="10">
        <f>IF(Source!BC39&lt;&gt; 0, Source!BC39, 1)</f>
        <v>7.45</v>
      </c>
      <c r="K88" s="24">
        <f>Source!O39</f>
        <v>1539.24</v>
      </c>
      <c r="Q88">
        <f>ROUND((Source!DN39/100)*ROUND((ROUND((Source!AF39*Source!AV39*Source!I39),2)),2), 2)</f>
        <v>0</v>
      </c>
      <c r="R88">
        <f>Source!X39</f>
        <v>0</v>
      </c>
      <c r="S88">
        <f>ROUND((Source!DO39/100)*ROUND((ROUND((Source!AF39*Source!AV39*Source!I39),2)),2), 2)</f>
        <v>0</v>
      </c>
      <c r="T88">
        <f>Source!Y39</f>
        <v>0</v>
      </c>
      <c r="U88">
        <f>ROUND((175/100)*ROUND((ROUND((Source!AE39*Source!AV39*Source!I39),2)),2), 2)</f>
        <v>0</v>
      </c>
      <c r="V88">
        <f>ROUND((157/100)*ROUND(ROUND((ROUND((Source!AE39*Source!AV39*Source!I39),2)*Source!BS39),2), 2), 2)</f>
        <v>0</v>
      </c>
      <c r="X88">
        <f>IF(Source!BI39&lt;=1,I88, 0)</f>
        <v>206.61</v>
      </c>
      <c r="Y88">
        <f>IF(Source!BI39=2,I88, 0)</f>
        <v>0</v>
      </c>
      <c r="Z88">
        <f>IF(Source!BI39=3,I88, 0)</f>
        <v>0</v>
      </c>
      <c r="AA88">
        <f>IF(Source!BI39=4,I88, 0)</f>
        <v>0</v>
      </c>
    </row>
    <row r="89" spans="1:27" ht="14.25" x14ac:dyDescent="0.2">
      <c r="A89" s="19"/>
      <c r="B89" s="20"/>
      <c r="C89" s="20" t="s">
        <v>517</v>
      </c>
      <c r="D89" s="21" t="s">
        <v>518</v>
      </c>
      <c r="E89" s="10">
        <f>Source!DN38</f>
        <v>161</v>
      </c>
      <c r="F89" s="23"/>
      <c r="G89" s="22"/>
      <c r="H89" s="10"/>
      <c r="I89" s="24">
        <f>SUM(Q85:Q88)</f>
        <v>3.91</v>
      </c>
      <c r="J89" s="10">
        <f>Source!BZ38</f>
        <v>131</v>
      </c>
      <c r="K89" s="24">
        <f>SUM(R85:R88)</f>
        <v>68.209999999999994</v>
      </c>
    </row>
    <row r="90" spans="1:27" ht="14.25" x14ac:dyDescent="0.2">
      <c r="A90" s="19"/>
      <c r="B90" s="20"/>
      <c r="C90" s="20" t="s">
        <v>519</v>
      </c>
      <c r="D90" s="21" t="s">
        <v>518</v>
      </c>
      <c r="E90" s="10">
        <f>Source!DO38</f>
        <v>107</v>
      </c>
      <c r="F90" s="23"/>
      <c r="G90" s="22"/>
      <c r="H90" s="10"/>
      <c r="I90" s="24">
        <f>SUM(S85:S89)</f>
        <v>2.6</v>
      </c>
      <c r="J90" s="10">
        <f>Source!CA38</f>
        <v>54</v>
      </c>
      <c r="K90" s="24">
        <f>SUM(T85:T89)</f>
        <v>28.12</v>
      </c>
    </row>
    <row r="91" spans="1:27" ht="14.25" x14ac:dyDescent="0.2">
      <c r="A91" s="19"/>
      <c r="B91" s="20"/>
      <c r="C91" s="20" t="s">
        <v>521</v>
      </c>
      <c r="D91" s="21" t="s">
        <v>522</v>
      </c>
      <c r="E91" s="10">
        <f>Source!AQ38</f>
        <v>5.17</v>
      </c>
      <c r="F91" s="23"/>
      <c r="G91" s="22" t="str">
        <f>Source!DI38</f>
        <v/>
      </c>
      <c r="H91" s="10">
        <f>Source!AV38</f>
        <v>1.0469999999999999</v>
      </c>
      <c r="I91" s="24">
        <f>Source!U38</f>
        <v>0.21159377909999999</v>
      </c>
      <c r="J91" s="10"/>
      <c r="K91" s="24"/>
    </row>
    <row r="92" spans="1:27" ht="15" x14ac:dyDescent="0.25">
      <c r="A92" s="27"/>
      <c r="B92" s="27"/>
      <c r="C92" s="27"/>
      <c r="D92" s="27"/>
      <c r="E92" s="27"/>
      <c r="F92" s="27"/>
      <c r="G92" s="27"/>
      <c r="H92" s="38">
        <f>I86+I87+I89+I90+SUM(I88:I88)</f>
        <v>217.85000000000002</v>
      </c>
      <c r="I92" s="38"/>
      <c r="J92" s="38">
        <f>K86+K87+K89+K90+SUM(K88:K88)</f>
        <v>1695.9</v>
      </c>
      <c r="K92" s="38"/>
      <c r="O92" s="26">
        <f>I86+I87+I89+I90+SUM(I88:I88)</f>
        <v>217.85000000000002</v>
      </c>
      <c r="P92" s="26">
        <f>K86+K87+K89+K90+SUM(K88:K88)</f>
        <v>1695.9</v>
      </c>
      <c r="X92">
        <f>IF(Source!BI38&lt;=1,I86+I87+I89+I90-0, 0)</f>
        <v>11.24</v>
      </c>
      <c r="Y92">
        <f>IF(Source!BI38=2,I86+I87+I89+I90-0, 0)</f>
        <v>0</v>
      </c>
      <c r="Z92">
        <f>IF(Source!BI38=3,I86+I87+I89+I90-0, 0)</f>
        <v>0</v>
      </c>
      <c r="AA92">
        <f>IF(Source!BI38=4,I86+I87+I89+I90,0)</f>
        <v>0</v>
      </c>
    </row>
    <row r="93" spans="1:27" ht="42.75" x14ac:dyDescent="0.2">
      <c r="A93" s="19" t="str">
        <f>Source!E40</f>
        <v>9</v>
      </c>
      <c r="B93" s="20" t="str">
        <f>Source!F40</f>
        <v>3.27-42-1</v>
      </c>
      <c r="C93" s="20" t="s">
        <v>79</v>
      </c>
      <c r="D93" s="21" t="str">
        <f>Source!H40</f>
        <v>100 м2 покрытия</v>
      </c>
      <c r="E93" s="10">
        <f>Source!I40</f>
        <v>0.39090000000000003</v>
      </c>
      <c r="F93" s="23"/>
      <c r="G93" s="22"/>
      <c r="H93" s="10"/>
      <c r="I93" s="24"/>
      <c r="J93" s="10"/>
      <c r="K93" s="24"/>
      <c r="Q93">
        <f>ROUND((Source!DN40/100)*ROUND((ROUND((Source!AF40*Source!AV40*Source!I40),2)),2), 2)</f>
        <v>34.369999999999997</v>
      </c>
      <c r="R93">
        <f>Source!X40</f>
        <v>599.36</v>
      </c>
      <c r="S93">
        <f>ROUND((Source!DO40/100)*ROUND((ROUND((Source!AF40*Source!AV40*Source!I40),2)),2), 2)</f>
        <v>22.84</v>
      </c>
      <c r="T93">
        <f>Source!Y40</f>
        <v>247.07</v>
      </c>
      <c r="U93">
        <f>ROUND((175/100)*ROUND((ROUND((Source!AE40*Source!AV40*Source!I40),2)),2), 2)</f>
        <v>54.58</v>
      </c>
      <c r="V93">
        <f>ROUND((157/100)*ROUND(ROUND((ROUND((Source!AE40*Source!AV40*Source!I40),2)*Source!BS40),2), 2), 2)</f>
        <v>1049.3900000000001</v>
      </c>
    </row>
    <row r="94" spans="1:27" ht="14.25" x14ac:dyDescent="0.2">
      <c r="A94" s="19"/>
      <c r="B94" s="20"/>
      <c r="C94" s="20" t="s">
        <v>514</v>
      </c>
      <c r="D94" s="21"/>
      <c r="E94" s="10"/>
      <c r="F94" s="23">
        <f>Source!AO40</f>
        <v>52.17</v>
      </c>
      <c r="G94" s="22" t="str">
        <f>Source!DG40</f>
        <v/>
      </c>
      <c r="H94" s="10">
        <f>Source!AV40</f>
        <v>1.0469999999999999</v>
      </c>
      <c r="I94" s="24">
        <f>ROUND((ROUND((Source!AF40*Source!AV40*Source!I40),2)),2)</f>
        <v>21.35</v>
      </c>
      <c r="J94" s="10">
        <f>IF(Source!BA40&lt;&gt; 0, Source!BA40, 1)</f>
        <v>21.43</v>
      </c>
      <c r="K94" s="24">
        <f>Source!S40</f>
        <v>457.53</v>
      </c>
      <c r="W94">
        <f>I94</f>
        <v>21.35</v>
      </c>
    </row>
    <row r="95" spans="1:27" ht="14.25" x14ac:dyDescent="0.2">
      <c r="A95" s="19"/>
      <c r="B95" s="20"/>
      <c r="C95" s="20" t="s">
        <v>515</v>
      </c>
      <c r="D95" s="21"/>
      <c r="E95" s="10"/>
      <c r="F95" s="23">
        <f>Source!AM40</f>
        <v>419.23</v>
      </c>
      <c r="G95" s="22" t="str">
        <f>Source!DE40</f>
        <v/>
      </c>
      <c r="H95" s="10">
        <f>Source!AV40</f>
        <v>1.0469999999999999</v>
      </c>
      <c r="I95" s="24">
        <f>(ROUND((ROUND(((Source!ET40)*Source!AV40*Source!I40),2)),2)+ROUND((ROUND(((Source!AE40-(Source!EU40))*Source!AV40*Source!I40),2)),2))</f>
        <v>171.58</v>
      </c>
      <c r="J95" s="10">
        <f>IF(Source!BB40&lt;&gt; 0, Source!BB40, 1)</f>
        <v>10.36</v>
      </c>
      <c r="K95" s="24">
        <f>Source!Q40</f>
        <v>1777.57</v>
      </c>
    </row>
    <row r="96" spans="1:27" ht="14.25" x14ac:dyDescent="0.2">
      <c r="A96" s="19"/>
      <c r="B96" s="20"/>
      <c r="C96" s="20" t="s">
        <v>516</v>
      </c>
      <c r="D96" s="21"/>
      <c r="E96" s="10"/>
      <c r="F96" s="23">
        <f>Source!AN40</f>
        <v>76.22</v>
      </c>
      <c r="G96" s="22" t="str">
        <f>Source!DF40</f>
        <v/>
      </c>
      <c r="H96" s="10">
        <f>Source!AV40</f>
        <v>1.0469999999999999</v>
      </c>
      <c r="I96" s="25">
        <f>ROUND((ROUND((Source!AE40*Source!AV40*Source!I40),2)),2)</f>
        <v>31.19</v>
      </c>
      <c r="J96" s="10">
        <f>IF(Source!BS40&lt;&gt; 0, Source!BS40, 1)</f>
        <v>21.43</v>
      </c>
      <c r="K96" s="25">
        <f>Source!R40</f>
        <v>668.4</v>
      </c>
      <c r="W96">
        <f>I96</f>
        <v>31.19</v>
      </c>
    </row>
    <row r="97" spans="1:27" ht="14.25" x14ac:dyDescent="0.2">
      <c r="A97" s="19"/>
      <c r="B97" s="20"/>
      <c r="C97" s="20" t="s">
        <v>523</v>
      </c>
      <c r="D97" s="21"/>
      <c r="E97" s="10"/>
      <c r="F97" s="23">
        <f>Source!AL40</f>
        <v>57.83</v>
      </c>
      <c r="G97" s="22" t="str">
        <f>Source!DD40</f>
        <v/>
      </c>
      <c r="H97" s="10">
        <f>Source!AW40</f>
        <v>1</v>
      </c>
      <c r="I97" s="24">
        <f>ROUND((ROUND((Source!AC40*Source!AW40*Source!I40),2)),2)</f>
        <v>22.61</v>
      </c>
      <c r="J97" s="10">
        <f>IF(Source!BC40&lt;&gt; 0, Source!BC40, 1)</f>
        <v>9.09</v>
      </c>
      <c r="K97" s="24">
        <f>Source!P40</f>
        <v>205.52</v>
      </c>
    </row>
    <row r="98" spans="1:27" ht="28.5" x14ac:dyDescent="0.2">
      <c r="A98" s="19" t="str">
        <f>Source!E41</f>
        <v>9,1</v>
      </c>
      <c r="B98" s="20" t="str">
        <f>Source!F41</f>
        <v>1.3-3-3</v>
      </c>
      <c r="C98" s="20" t="s">
        <v>86</v>
      </c>
      <c r="D98" s="21" t="str">
        <f>Source!H41</f>
        <v>т</v>
      </c>
      <c r="E98" s="10">
        <f>Source!I41</f>
        <v>3.7448220000000001</v>
      </c>
      <c r="F98" s="23">
        <f>Source!AK41</f>
        <v>296.7</v>
      </c>
      <c r="G98" s="28" t="s">
        <v>5</v>
      </c>
      <c r="H98" s="10">
        <f>Source!AW41</f>
        <v>1</v>
      </c>
      <c r="I98" s="24">
        <f>ROUND((ROUND((Source!AC41*Source!AW41*Source!I41),2)),2)+(ROUND((ROUND(((Source!ET41)*Source!AV41*Source!I41),2)),2)+ROUND((ROUND(((Source!AE41-(Source!EU41))*Source!AV41*Source!I41),2)),2))+ROUND((ROUND((Source!AF41*Source!AV41*Source!I41),2)),2)</f>
        <v>1111.0899999999999</v>
      </c>
      <c r="J98" s="10">
        <f>IF(Source!BC41&lt;&gt; 0, Source!BC41, 1)</f>
        <v>9.33</v>
      </c>
      <c r="K98" s="24">
        <f>Source!O41</f>
        <v>10366.469999999999</v>
      </c>
      <c r="Q98">
        <f>ROUND((Source!DN41/100)*ROUND((ROUND((Source!AF41*Source!AV41*Source!I41),2)),2), 2)</f>
        <v>0</v>
      </c>
      <c r="R98">
        <f>Source!X41</f>
        <v>0</v>
      </c>
      <c r="S98">
        <f>ROUND((Source!DO41/100)*ROUND((ROUND((Source!AF41*Source!AV41*Source!I41),2)),2), 2)</f>
        <v>0</v>
      </c>
      <c r="T98">
        <f>Source!Y41</f>
        <v>0</v>
      </c>
      <c r="U98">
        <f>ROUND((175/100)*ROUND((ROUND((Source!AE41*Source!AV41*Source!I41),2)),2), 2)</f>
        <v>0</v>
      </c>
      <c r="V98">
        <f>ROUND((157/100)*ROUND(ROUND((ROUND((Source!AE41*Source!AV41*Source!I41),2)*Source!BS41),2), 2), 2)</f>
        <v>0</v>
      </c>
      <c r="X98">
        <f>IF(Source!BI41&lt;=1,I98, 0)</f>
        <v>1111.0899999999999</v>
      </c>
      <c r="Y98">
        <f>IF(Source!BI41=2,I98, 0)</f>
        <v>0</v>
      </c>
      <c r="Z98">
        <f>IF(Source!BI41=3,I98, 0)</f>
        <v>0</v>
      </c>
      <c r="AA98">
        <f>IF(Source!BI41=4,I98, 0)</f>
        <v>0</v>
      </c>
    </row>
    <row r="99" spans="1:27" ht="14.25" x14ac:dyDescent="0.2">
      <c r="A99" s="19"/>
      <c r="B99" s="20"/>
      <c r="C99" s="20" t="s">
        <v>517</v>
      </c>
      <c r="D99" s="21" t="s">
        <v>518</v>
      </c>
      <c r="E99" s="10">
        <f>Source!DN40</f>
        <v>161</v>
      </c>
      <c r="F99" s="23"/>
      <c r="G99" s="22"/>
      <c r="H99" s="10"/>
      <c r="I99" s="24">
        <f>SUM(Q93:Q98)</f>
        <v>34.369999999999997</v>
      </c>
      <c r="J99" s="10">
        <f>Source!BZ40</f>
        <v>131</v>
      </c>
      <c r="K99" s="24">
        <f>SUM(R93:R98)</f>
        <v>599.36</v>
      </c>
    </row>
    <row r="100" spans="1:27" ht="14.25" x14ac:dyDescent="0.2">
      <c r="A100" s="19"/>
      <c r="B100" s="20"/>
      <c r="C100" s="20" t="s">
        <v>519</v>
      </c>
      <c r="D100" s="21" t="s">
        <v>518</v>
      </c>
      <c r="E100" s="10">
        <f>Source!DO40</f>
        <v>107</v>
      </c>
      <c r="F100" s="23"/>
      <c r="G100" s="22"/>
      <c r="H100" s="10"/>
      <c r="I100" s="24">
        <f>SUM(S93:S99)</f>
        <v>22.84</v>
      </c>
      <c r="J100" s="10">
        <f>Source!CA40</f>
        <v>54</v>
      </c>
      <c r="K100" s="24">
        <f>SUM(T93:T99)</f>
        <v>247.07</v>
      </c>
    </row>
    <row r="101" spans="1:27" ht="14.25" x14ac:dyDescent="0.2">
      <c r="A101" s="19"/>
      <c r="B101" s="20"/>
      <c r="C101" s="20" t="s">
        <v>520</v>
      </c>
      <c r="D101" s="21" t="s">
        <v>518</v>
      </c>
      <c r="E101" s="10">
        <f>175</f>
        <v>175</v>
      </c>
      <c r="F101" s="23"/>
      <c r="G101" s="22"/>
      <c r="H101" s="10"/>
      <c r="I101" s="24">
        <f>SUM(U93:U100)</f>
        <v>54.58</v>
      </c>
      <c r="J101" s="10">
        <f>157</f>
        <v>157</v>
      </c>
      <c r="K101" s="24">
        <f>SUM(V93:V100)</f>
        <v>1049.3900000000001</v>
      </c>
    </row>
    <row r="102" spans="1:27" ht="14.25" x14ac:dyDescent="0.2">
      <c r="A102" s="19"/>
      <c r="B102" s="20"/>
      <c r="C102" s="20" t="s">
        <v>521</v>
      </c>
      <c r="D102" s="21" t="s">
        <v>522</v>
      </c>
      <c r="E102" s="10">
        <f>Source!AQ40</f>
        <v>4.29</v>
      </c>
      <c r="F102" s="23"/>
      <c r="G102" s="22" t="str">
        <f>Source!DI40</f>
        <v/>
      </c>
      <c r="H102" s="10">
        <f>Source!AV40</f>
        <v>1.0469999999999999</v>
      </c>
      <c r="I102" s="24">
        <f>Source!U40</f>
        <v>1.7557781670000001</v>
      </c>
      <c r="J102" s="10"/>
      <c r="K102" s="24"/>
    </row>
    <row r="103" spans="1:27" ht="15" x14ac:dyDescent="0.25">
      <c r="A103" s="27"/>
      <c r="B103" s="27"/>
      <c r="C103" s="27"/>
      <c r="D103" s="27"/>
      <c r="E103" s="27"/>
      <c r="F103" s="27"/>
      <c r="G103" s="27"/>
      <c r="H103" s="38">
        <f>I94+I95+I97+I99+I100+I101+SUM(I98:I98)</f>
        <v>1438.4199999999998</v>
      </c>
      <c r="I103" s="38"/>
      <c r="J103" s="38">
        <f>K94+K95+K97+K99+K100+K101+SUM(K98:K98)</f>
        <v>14702.91</v>
      </c>
      <c r="K103" s="38"/>
      <c r="O103" s="26">
        <f>I94+I95+I97+I99+I100+I101+SUM(I98:I98)</f>
        <v>1438.4199999999998</v>
      </c>
      <c r="P103" s="26">
        <f>K94+K95+K97+K99+K100+K101+SUM(K98:K98)</f>
        <v>14702.91</v>
      </c>
      <c r="X103">
        <f>IF(Source!BI40&lt;=1,I94+I95+I97+I99+I100+I101-0, 0)</f>
        <v>327.33</v>
      </c>
      <c r="Y103">
        <f>IF(Source!BI40=2,I94+I95+I97+I99+I100+I101-0, 0)</f>
        <v>0</v>
      </c>
      <c r="Z103">
        <f>IF(Source!BI40=3,I94+I95+I97+I99+I100+I101-0, 0)</f>
        <v>0</v>
      </c>
      <c r="AA103">
        <f>IF(Source!BI40=4,I94+I95+I97+I99+I100+I101,0)</f>
        <v>0</v>
      </c>
    </row>
    <row r="104" spans="1:27" ht="42.75" x14ac:dyDescent="0.2">
      <c r="A104" s="19" t="str">
        <f>Source!E42</f>
        <v>10</v>
      </c>
      <c r="B104" s="20" t="str">
        <f>Source!F42</f>
        <v>3.27-43-1</v>
      </c>
      <c r="C104" s="20" t="s">
        <v>91</v>
      </c>
      <c r="D104" s="21" t="str">
        <f>Source!H42</f>
        <v>100 м2 покрытия</v>
      </c>
      <c r="E104" s="10">
        <f>Source!I42</f>
        <v>0.39090000000000003</v>
      </c>
      <c r="F104" s="23"/>
      <c r="G104" s="22"/>
      <c r="H104" s="10"/>
      <c r="I104" s="24"/>
      <c r="J104" s="10"/>
      <c r="K104" s="24"/>
      <c r="Q104">
        <f>ROUND((Source!DN42/100)*ROUND((ROUND((Source!AF42*Source!AV42*Source!I42),2)),2), 2)</f>
        <v>13.7</v>
      </c>
      <c r="R104">
        <f>Source!X42</f>
        <v>238.9</v>
      </c>
      <c r="S104">
        <f>ROUND((Source!DO42/100)*ROUND((ROUND((Source!AF42*Source!AV42*Source!I42),2)),2), 2)</f>
        <v>9.11</v>
      </c>
      <c r="T104">
        <f>Source!Y42</f>
        <v>98.48</v>
      </c>
      <c r="U104">
        <f>ROUND((175/100)*ROUND((ROUND((Source!AE42*Source!AV42*Source!I42),2)),2), 2)</f>
        <v>7.67</v>
      </c>
      <c r="V104">
        <f>ROUND((157/100)*ROUND(ROUND((ROUND((Source!AE42*Source!AV42*Source!I42),2)*Source!BS42),2), 2), 2)</f>
        <v>147.36000000000001</v>
      </c>
    </row>
    <row r="105" spans="1:27" ht="14.25" x14ac:dyDescent="0.2">
      <c r="A105" s="19"/>
      <c r="B105" s="20"/>
      <c r="C105" s="20" t="s">
        <v>514</v>
      </c>
      <c r="D105" s="21"/>
      <c r="E105" s="10"/>
      <c r="F105" s="23">
        <f>Source!AO42</f>
        <v>6.93</v>
      </c>
      <c r="G105" s="22" t="str">
        <f>Source!DG42</f>
        <v>*3</v>
      </c>
      <c r="H105" s="10">
        <f>Source!AV42</f>
        <v>1.0469999999999999</v>
      </c>
      <c r="I105" s="24">
        <f>ROUND((ROUND((Source!AF42*Source!AV42*Source!I42),2)),2)</f>
        <v>8.51</v>
      </c>
      <c r="J105" s="10">
        <f>IF(Source!BA42&lt;&gt; 0, Source!BA42, 1)</f>
        <v>21.43</v>
      </c>
      <c r="K105" s="24">
        <f>Source!S42</f>
        <v>182.37</v>
      </c>
      <c r="W105">
        <f>I105</f>
        <v>8.51</v>
      </c>
    </row>
    <row r="106" spans="1:27" ht="14.25" x14ac:dyDescent="0.2">
      <c r="A106" s="19"/>
      <c r="B106" s="20"/>
      <c r="C106" s="20" t="s">
        <v>515</v>
      </c>
      <c r="D106" s="21"/>
      <c r="E106" s="10"/>
      <c r="F106" s="23">
        <f>Source!AM42</f>
        <v>17.350000000000001</v>
      </c>
      <c r="G106" s="22" t="str">
        <f>Source!DE42</f>
        <v>*3</v>
      </c>
      <c r="H106" s="10">
        <f>Source!AV42</f>
        <v>1.0469999999999999</v>
      </c>
      <c r="I106" s="24">
        <f>(ROUND((ROUND((((Source!ET42*3))*Source!AV42*Source!I42),2)),2)+ROUND((ROUND(((Source!AE42-((Source!EU42*3)))*Source!AV42*Source!I42),2)),2))</f>
        <v>21.3</v>
      </c>
      <c r="J106" s="10">
        <f>IF(Source!BB42&lt;&gt; 0, Source!BB42, 1)</f>
        <v>9.2799999999999994</v>
      </c>
      <c r="K106" s="24">
        <f>Source!Q42</f>
        <v>197.66</v>
      </c>
    </row>
    <row r="107" spans="1:27" ht="14.25" x14ac:dyDescent="0.2">
      <c r="A107" s="19"/>
      <c r="B107" s="20"/>
      <c r="C107" s="20" t="s">
        <v>516</v>
      </c>
      <c r="D107" s="21"/>
      <c r="E107" s="10"/>
      <c r="F107" s="23">
        <f>Source!AN42</f>
        <v>3.57</v>
      </c>
      <c r="G107" s="22" t="str">
        <f>Source!DF42</f>
        <v>*3</v>
      </c>
      <c r="H107" s="10">
        <f>Source!AV42</f>
        <v>1.0469999999999999</v>
      </c>
      <c r="I107" s="25">
        <f>ROUND((ROUND((Source!AE42*Source!AV42*Source!I42),2)),2)</f>
        <v>4.38</v>
      </c>
      <c r="J107" s="10">
        <f>IF(Source!BS42&lt;&gt; 0, Source!BS42, 1)</f>
        <v>21.43</v>
      </c>
      <c r="K107" s="25">
        <f>Source!R42</f>
        <v>93.86</v>
      </c>
      <c r="W107">
        <f>I107</f>
        <v>4.38</v>
      </c>
    </row>
    <row r="108" spans="1:27" ht="28.5" x14ac:dyDescent="0.2">
      <c r="A108" s="19" t="str">
        <f>Source!E43</f>
        <v>10,1</v>
      </c>
      <c r="B108" s="20" t="str">
        <f>Source!F43</f>
        <v>1.3-3-3</v>
      </c>
      <c r="C108" s="20" t="s">
        <v>86</v>
      </c>
      <c r="D108" s="21" t="str">
        <f>Source!H43</f>
        <v>т</v>
      </c>
      <c r="E108" s="10">
        <f>Source!I43</f>
        <v>2.8144800000000001</v>
      </c>
      <c r="F108" s="23">
        <f>Source!AK43</f>
        <v>296.7</v>
      </c>
      <c r="G108" s="28" t="s">
        <v>524</v>
      </c>
      <c r="H108" s="10">
        <f>Source!AW43</f>
        <v>1</v>
      </c>
      <c r="I108" s="24">
        <f>ROUND((ROUND((Source!AC43*Source!AW43*Source!I43),2)),2)+(ROUND((ROUND(((Source!ET43)*Source!AV43*Source!I43),2)),2)+ROUND((ROUND(((Source!AE43-(Source!EU43))*Source!AV43*Source!I43),2)),2))+ROUND((ROUND((Source!AF43*Source!AV43*Source!I43),2)),2)</f>
        <v>835.06</v>
      </c>
      <c r="J108" s="10">
        <f>IF(Source!BC43&lt;&gt; 0, Source!BC43, 1)</f>
        <v>9.33</v>
      </c>
      <c r="K108" s="24">
        <f>Source!O43</f>
        <v>7791.11</v>
      </c>
      <c r="Q108">
        <f>ROUND((Source!DN43/100)*ROUND((ROUND((Source!AF43*Source!AV43*Source!I43),2)),2), 2)</f>
        <v>0</v>
      </c>
      <c r="R108">
        <f>Source!X43</f>
        <v>0</v>
      </c>
      <c r="S108">
        <f>ROUND((Source!DO43/100)*ROUND((ROUND((Source!AF43*Source!AV43*Source!I43),2)),2), 2)</f>
        <v>0</v>
      </c>
      <c r="T108">
        <f>Source!Y43</f>
        <v>0</v>
      </c>
      <c r="U108">
        <f>ROUND((175/100)*ROUND((ROUND((Source!AE43*Source!AV43*Source!I43),2)),2), 2)</f>
        <v>0</v>
      </c>
      <c r="V108">
        <f>ROUND((157/100)*ROUND(ROUND((ROUND((Source!AE43*Source!AV43*Source!I43),2)*Source!BS43),2), 2), 2)</f>
        <v>0</v>
      </c>
      <c r="X108">
        <f>IF(Source!BI43&lt;=1,I108, 0)</f>
        <v>835.06</v>
      </c>
      <c r="Y108">
        <f>IF(Source!BI43=2,I108, 0)</f>
        <v>0</v>
      </c>
      <c r="Z108">
        <f>IF(Source!BI43=3,I108, 0)</f>
        <v>0</v>
      </c>
      <c r="AA108">
        <f>IF(Source!BI43=4,I108, 0)</f>
        <v>0</v>
      </c>
    </row>
    <row r="109" spans="1:27" ht="14.25" x14ac:dyDescent="0.2">
      <c r="A109" s="19"/>
      <c r="B109" s="20"/>
      <c r="C109" s="20" t="s">
        <v>517</v>
      </c>
      <c r="D109" s="21" t="s">
        <v>518</v>
      </c>
      <c r="E109" s="10">
        <f>Source!DN42</f>
        <v>161</v>
      </c>
      <c r="F109" s="23"/>
      <c r="G109" s="22"/>
      <c r="H109" s="10"/>
      <c r="I109" s="24">
        <f>SUM(Q104:Q108)</f>
        <v>13.7</v>
      </c>
      <c r="J109" s="10">
        <f>Source!BZ42</f>
        <v>131</v>
      </c>
      <c r="K109" s="24">
        <f>SUM(R104:R108)</f>
        <v>238.9</v>
      </c>
    </row>
    <row r="110" spans="1:27" ht="14.25" x14ac:dyDescent="0.2">
      <c r="A110" s="19"/>
      <c r="B110" s="20"/>
      <c r="C110" s="20" t="s">
        <v>519</v>
      </c>
      <c r="D110" s="21" t="s">
        <v>518</v>
      </c>
      <c r="E110" s="10">
        <f>Source!DO42</f>
        <v>107</v>
      </c>
      <c r="F110" s="23"/>
      <c r="G110" s="22"/>
      <c r="H110" s="10"/>
      <c r="I110" s="24">
        <f>SUM(S104:S109)</f>
        <v>9.11</v>
      </c>
      <c r="J110" s="10">
        <f>Source!CA42</f>
        <v>54</v>
      </c>
      <c r="K110" s="24">
        <f>SUM(T104:T109)</f>
        <v>98.48</v>
      </c>
    </row>
    <row r="111" spans="1:27" ht="14.25" x14ac:dyDescent="0.2">
      <c r="A111" s="19"/>
      <c r="B111" s="20"/>
      <c r="C111" s="20" t="s">
        <v>520</v>
      </c>
      <c r="D111" s="21" t="s">
        <v>518</v>
      </c>
      <c r="E111" s="10">
        <f>175</f>
        <v>175</v>
      </c>
      <c r="F111" s="23"/>
      <c r="G111" s="22"/>
      <c r="H111" s="10"/>
      <c r="I111" s="24">
        <f>SUM(U104:U110)</f>
        <v>7.67</v>
      </c>
      <c r="J111" s="10">
        <f>157</f>
        <v>157</v>
      </c>
      <c r="K111" s="24">
        <f>SUM(V104:V110)</f>
        <v>147.36000000000001</v>
      </c>
    </row>
    <row r="112" spans="1:27" ht="14.25" x14ac:dyDescent="0.2">
      <c r="A112" s="19"/>
      <c r="B112" s="20"/>
      <c r="C112" s="20" t="s">
        <v>521</v>
      </c>
      <c r="D112" s="21" t="s">
        <v>522</v>
      </c>
      <c r="E112" s="10">
        <f>Source!AQ42</f>
        <v>0.53</v>
      </c>
      <c r="F112" s="23"/>
      <c r="G112" s="22" t="str">
        <f>Source!DI42</f>
        <v>*3</v>
      </c>
      <c r="H112" s="10">
        <f>Source!AV42</f>
        <v>1.0469999999999999</v>
      </c>
      <c r="I112" s="24">
        <f>Source!U42</f>
        <v>0.65074295700000007</v>
      </c>
      <c r="J112" s="10"/>
      <c r="K112" s="24"/>
    </row>
    <row r="113" spans="1:27" ht="15" x14ac:dyDescent="0.25">
      <c r="A113" s="27"/>
      <c r="B113" s="27"/>
      <c r="C113" s="27"/>
      <c r="D113" s="27"/>
      <c r="E113" s="27"/>
      <c r="F113" s="27"/>
      <c r="G113" s="27"/>
      <c r="H113" s="38">
        <f>I105+I106+I109+I110+I111+SUM(I108:I108)</f>
        <v>895.34999999999991</v>
      </c>
      <c r="I113" s="38"/>
      <c r="J113" s="38">
        <f>K105+K106+K109+K110+K111+SUM(K108:K108)</f>
        <v>8655.8799999999992</v>
      </c>
      <c r="K113" s="38"/>
      <c r="O113" s="26">
        <f>I105+I106+I109+I110+I111+SUM(I108:I108)</f>
        <v>895.34999999999991</v>
      </c>
      <c r="P113" s="26">
        <f>K105+K106+K109+K110+K111+SUM(K108:K108)</f>
        <v>8655.8799999999992</v>
      </c>
      <c r="X113">
        <f>IF(Source!BI42&lt;=1,I105+I106+I109+I110+I111-0, 0)</f>
        <v>60.290000000000006</v>
      </c>
      <c r="Y113">
        <f>IF(Source!BI42=2,I105+I106+I109+I110+I111-0, 0)</f>
        <v>0</v>
      </c>
      <c r="Z113">
        <f>IF(Source!BI42=3,I105+I106+I109+I110+I111-0, 0)</f>
        <v>0</v>
      </c>
      <c r="AA113">
        <f>IF(Source!BI42=4,I105+I106+I109+I110+I111,0)</f>
        <v>0</v>
      </c>
    </row>
    <row r="114" spans="1:27" ht="42.75" x14ac:dyDescent="0.2">
      <c r="A114" s="19" t="str">
        <f>Source!E44</f>
        <v>11</v>
      </c>
      <c r="B114" s="20" t="str">
        <f>Source!F44</f>
        <v>3.27-42-1</v>
      </c>
      <c r="C114" s="20" t="s">
        <v>79</v>
      </c>
      <c r="D114" s="21" t="str">
        <f>Source!H44</f>
        <v>100 м2 покрытия</v>
      </c>
      <c r="E114" s="10">
        <f>Source!I44</f>
        <v>0.39090000000000003</v>
      </c>
      <c r="F114" s="23"/>
      <c r="G114" s="22"/>
      <c r="H114" s="10"/>
      <c r="I114" s="24"/>
      <c r="J114" s="10"/>
      <c r="K114" s="24"/>
      <c r="Q114">
        <f>ROUND((Source!DN44/100)*ROUND((ROUND((Source!AF44*Source!AV44*Source!I44),2)),2), 2)</f>
        <v>34.369999999999997</v>
      </c>
      <c r="R114">
        <f>Source!X44</f>
        <v>599.36</v>
      </c>
      <c r="S114">
        <f>ROUND((Source!DO44/100)*ROUND((ROUND((Source!AF44*Source!AV44*Source!I44),2)),2), 2)</f>
        <v>22.84</v>
      </c>
      <c r="T114">
        <f>Source!Y44</f>
        <v>247.07</v>
      </c>
      <c r="U114">
        <f>ROUND((175/100)*ROUND((ROUND((Source!AE44*Source!AV44*Source!I44),2)),2), 2)</f>
        <v>54.58</v>
      </c>
      <c r="V114">
        <f>ROUND((157/100)*ROUND(ROUND((ROUND((Source!AE44*Source!AV44*Source!I44),2)*Source!BS44),2), 2), 2)</f>
        <v>1049.3900000000001</v>
      </c>
    </row>
    <row r="115" spans="1:27" ht="14.25" x14ac:dyDescent="0.2">
      <c r="A115" s="19"/>
      <c r="B115" s="20"/>
      <c r="C115" s="20" t="s">
        <v>514</v>
      </c>
      <c r="D115" s="21"/>
      <c r="E115" s="10"/>
      <c r="F115" s="23">
        <f>Source!AO44</f>
        <v>52.17</v>
      </c>
      <c r="G115" s="22" t="str">
        <f>Source!DG44</f>
        <v/>
      </c>
      <c r="H115" s="10">
        <f>Source!AV44</f>
        <v>1.0469999999999999</v>
      </c>
      <c r="I115" s="24">
        <f>ROUND((ROUND((Source!AF44*Source!AV44*Source!I44),2)),2)</f>
        <v>21.35</v>
      </c>
      <c r="J115" s="10">
        <f>IF(Source!BA44&lt;&gt; 0, Source!BA44, 1)</f>
        <v>21.43</v>
      </c>
      <c r="K115" s="24">
        <f>Source!S44</f>
        <v>457.53</v>
      </c>
      <c r="W115">
        <f>I115</f>
        <v>21.35</v>
      </c>
    </row>
    <row r="116" spans="1:27" ht="14.25" x14ac:dyDescent="0.2">
      <c r="A116" s="19"/>
      <c r="B116" s="20"/>
      <c r="C116" s="20" t="s">
        <v>515</v>
      </c>
      <c r="D116" s="21"/>
      <c r="E116" s="10"/>
      <c r="F116" s="23">
        <f>Source!AM44</f>
        <v>419.23</v>
      </c>
      <c r="G116" s="22" t="str">
        <f>Source!DE44</f>
        <v/>
      </c>
      <c r="H116" s="10">
        <f>Source!AV44</f>
        <v>1.0469999999999999</v>
      </c>
      <c r="I116" s="24">
        <f>(ROUND((ROUND(((Source!ET44)*Source!AV44*Source!I44),2)),2)+ROUND((ROUND(((Source!AE44-(Source!EU44))*Source!AV44*Source!I44),2)),2))</f>
        <v>171.58</v>
      </c>
      <c r="J116" s="10">
        <f>IF(Source!BB44&lt;&gt; 0, Source!BB44, 1)</f>
        <v>10.36</v>
      </c>
      <c r="K116" s="24">
        <f>Source!Q44</f>
        <v>1777.57</v>
      </c>
    </row>
    <row r="117" spans="1:27" ht="14.25" x14ac:dyDescent="0.2">
      <c r="A117" s="19"/>
      <c r="B117" s="20"/>
      <c r="C117" s="20" t="s">
        <v>516</v>
      </c>
      <c r="D117" s="21"/>
      <c r="E117" s="10"/>
      <c r="F117" s="23">
        <f>Source!AN44</f>
        <v>76.22</v>
      </c>
      <c r="G117" s="22" t="str">
        <f>Source!DF44</f>
        <v/>
      </c>
      <c r="H117" s="10">
        <f>Source!AV44</f>
        <v>1.0469999999999999</v>
      </c>
      <c r="I117" s="25">
        <f>ROUND((ROUND((Source!AE44*Source!AV44*Source!I44),2)),2)</f>
        <v>31.19</v>
      </c>
      <c r="J117" s="10">
        <f>IF(Source!BS44&lt;&gt; 0, Source!BS44, 1)</f>
        <v>21.43</v>
      </c>
      <c r="K117" s="25">
        <f>Source!R44</f>
        <v>668.4</v>
      </c>
      <c r="W117">
        <f>I117</f>
        <v>31.19</v>
      </c>
    </row>
    <row r="118" spans="1:27" ht="14.25" x14ac:dyDescent="0.2">
      <c r="A118" s="19"/>
      <c r="B118" s="20"/>
      <c r="C118" s="20" t="s">
        <v>523</v>
      </c>
      <c r="D118" s="21"/>
      <c r="E118" s="10"/>
      <c r="F118" s="23">
        <f>Source!AL44</f>
        <v>57.83</v>
      </c>
      <c r="G118" s="22" t="str">
        <f>Source!DD44</f>
        <v/>
      </c>
      <c r="H118" s="10">
        <f>Source!AW44</f>
        <v>1</v>
      </c>
      <c r="I118" s="24">
        <f>ROUND((ROUND((Source!AC44*Source!AW44*Source!I44),2)),2)</f>
        <v>22.61</v>
      </c>
      <c r="J118" s="10">
        <f>IF(Source!BC44&lt;&gt; 0, Source!BC44, 1)</f>
        <v>9.09</v>
      </c>
      <c r="K118" s="24">
        <f>Source!P44</f>
        <v>205.52</v>
      </c>
    </row>
    <row r="119" spans="1:27" ht="28.5" x14ac:dyDescent="0.2">
      <c r="A119" s="19" t="str">
        <f>Source!E45</f>
        <v>11,1</v>
      </c>
      <c r="B119" s="20" t="str">
        <f>Source!F45</f>
        <v>1.3-3-3</v>
      </c>
      <c r="C119" s="20" t="s">
        <v>86</v>
      </c>
      <c r="D119" s="21" t="str">
        <f>Source!H45</f>
        <v>т</v>
      </c>
      <c r="E119" s="10">
        <f>Source!I45</f>
        <v>3.7448220000000001</v>
      </c>
      <c r="F119" s="23">
        <f>Source!AK45</f>
        <v>296.7</v>
      </c>
      <c r="G119" s="28" t="s">
        <v>5</v>
      </c>
      <c r="H119" s="10">
        <f>Source!AW45</f>
        <v>1</v>
      </c>
      <c r="I119" s="24">
        <f>ROUND((ROUND((Source!AC45*Source!AW45*Source!I45),2)),2)+(ROUND((ROUND(((Source!ET45)*Source!AV45*Source!I45),2)),2)+ROUND((ROUND(((Source!AE45-(Source!EU45))*Source!AV45*Source!I45),2)),2))+ROUND((ROUND((Source!AF45*Source!AV45*Source!I45),2)),2)</f>
        <v>1111.0899999999999</v>
      </c>
      <c r="J119" s="10">
        <f>IF(Source!BC45&lt;&gt; 0, Source!BC45, 1)</f>
        <v>9.33</v>
      </c>
      <c r="K119" s="24">
        <f>Source!O45</f>
        <v>10366.469999999999</v>
      </c>
      <c r="Q119">
        <f>ROUND((Source!DN45/100)*ROUND((ROUND((Source!AF45*Source!AV45*Source!I45),2)),2), 2)</f>
        <v>0</v>
      </c>
      <c r="R119">
        <f>Source!X45</f>
        <v>0</v>
      </c>
      <c r="S119">
        <f>ROUND((Source!DO45/100)*ROUND((ROUND((Source!AF45*Source!AV45*Source!I45),2)),2), 2)</f>
        <v>0</v>
      </c>
      <c r="T119">
        <f>Source!Y45</f>
        <v>0</v>
      </c>
      <c r="U119">
        <f>ROUND((175/100)*ROUND((ROUND((Source!AE45*Source!AV45*Source!I45),2)),2), 2)</f>
        <v>0</v>
      </c>
      <c r="V119">
        <f>ROUND((157/100)*ROUND(ROUND((ROUND((Source!AE45*Source!AV45*Source!I45),2)*Source!BS45),2), 2), 2)</f>
        <v>0</v>
      </c>
      <c r="X119">
        <f>IF(Source!BI45&lt;=1,I119, 0)</f>
        <v>1111.0899999999999</v>
      </c>
      <c r="Y119">
        <f>IF(Source!BI45=2,I119, 0)</f>
        <v>0</v>
      </c>
      <c r="Z119">
        <f>IF(Source!BI45=3,I119, 0)</f>
        <v>0</v>
      </c>
      <c r="AA119">
        <f>IF(Source!BI45=4,I119, 0)</f>
        <v>0</v>
      </c>
    </row>
    <row r="120" spans="1:27" ht="14.25" x14ac:dyDescent="0.2">
      <c r="A120" s="19"/>
      <c r="B120" s="20"/>
      <c r="C120" s="20" t="s">
        <v>517</v>
      </c>
      <c r="D120" s="21" t="s">
        <v>518</v>
      </c>
      <c r="E120" s="10">
        <f>Source!DN44</f>
        <v>161</v>
      </c>
      <c r="F120" s="23"/>
      <c r="G120" s="22"/>
      <c r="H120" s="10"/>
      <c r="I120" s="24">
        <f>SUM(Q114:Q119)</f>
        <v>34.369999999999997</v>
      </c>
      <c r="J120" s="10">
        <f>Source!BZ44</f>
        <v>131</v>
      </c>
      <c r="K120" s="24">
        <f>SUM(R114:R119)</f>
        <v>599.36</v>
      </c>
    </row>
    <row r="121" spans="1:27" ht="14.25" x14ac:dyDescent="0.2">
      <c r="A121" s="19"/>
      <c r="B121" s="20"/>
      <c r="C121" s="20" t="s">
        <v>519</v>
      </c>
      <c r="D121" s="21" t="s">
        <v>518</v>
      </c>
      <c r="E121" s="10">
        <f>Source!DO44</f>
        <v>107</v>
      </c>
      <c r="F121" s="23"/>
      <c r="G121" s="22"/>
      <c r="H121" s="10"/>
      <c r="I121" s="24">
        <f>SUM(S114:S120)</f>
        <v>22.84</v>
      </c>
      <c r="J121" s="10">
        <f>Source!CA44</f>
        <v>54</v>
      </c>
      <c r="K121" s="24">
        <f>SUM(T114:T120)</f>
        <v>247.07</v>
      </c>
    </row>
    <row r="122" spans="1:27" ht="14.25" x14ac:dyDescent="0.2">
      <c r="A122" s="19"/>
      <c r="B122" s="20"/>
      <c r="C122" s="20" t="s">
        <v>520</v>
      </c>
      <c r="D122" s="21" t="s">
        <v>518</v>
      </c>
      <c r="E122" s="10">
        <f>175</f>
        <v>175</v>
      </c>
      <c r="F122" s="23"/>
      <c r="G122" s="22"/>
      <c r="H122" s="10"/>
      <c r="I122" s="24">
        <f>SUM(U114:U121)</f>
        <v>54.58</v>
      </c>
      <c r="J122" s="10">
        <f>157</f>
        <v>157</v>
      </c>
      <c r="K122" s="24">
        <f>SUM(V114:V121)</f>
        <v>1049.3900000000001</v>
      </c>
    </row>
    <row r="123" spans="1:27" ht="14.25" x14ac:dyDescent="0.2">
      <c r="A123" s="19"/>
      <c r="B123" s="20"/>
      <c r="C123" s="20" t="s">
        <v>521</v>
      </c>
      <c r="D123" s="21" t="s">
        <v>522</v>
      </c>
      <c r="E123" s="10">
        <f>Source!AQ44</f>
        <v>4.29</v>
      </c>
      <c r="F123" s="23"/>
      <c r="G123" s="22" t="str">
        <f>Source!DI44</f>
        <v/>
      </c>
      <c r="H123" s="10">
        <f>Source!AV44</f>
        <v>1.0469999999999999</v>
      </c>
      <c r="I123" s="24">
        <f>Source!U44</f>
        <v>1.7557781670000001</v>
      </c>
      <c r="J123" s="10"/>
      <c r="K123" s="24"/>
    </row>
    <row r="124" spans="1:27" ht="15" x14ac:dyDescent="0.25">
      <c r="A124" s="27"/>
      <c r="B124" s="27"/>
      <c r="C124" s="27"/>
      <c r="D124" s="27"/>
      <c r="E124" s="27"/>
      <c r="F124" s="27"/>
      <c r="G124" s="27"/>
      <c r="H124" s="38">
        <f>I115+I116+I118+I120+I121+I122+SUM(I119:I119)</f>
        <v>1438.4199999999998</v>
      </c>
      <c r="I124" s="38"/>
      <c r="J124" s="38">
        <f>K115+K116+K118+K120+K121+K122+SUM(K119:K119)</f>
        <v>14702.91</v>
      </c>
      <c r="K124" s="38"/>
      <c r="O124" s="26">
        <f>I115+I116+I118+I120+I121+I122+SUM(I119:I119)</f>
        <v>1438.4199999999998</v>
      </c>
      <c r="P124" s="26">
        <f>K115+K116+K118+K120+K121+K122+SUM(K119:K119)</f>
        <v>14702.91</v>
      </c>
      <c r="X124">
        <f>IF(Source!BI44&lt;=1,I115+I116+I118+I120+I121+I122-0, 0)</f>
        <v>327.33</v>
      </c>
      <c r="Y124">
        <f>IF(Source!BI44=2,I115+I116+I118+I120+I121+I122-0, 0)</f>
        <v>0</v>
      </c>
      <c r="Z124">
        <f>IF(Source!BI44=3,I115+I116+I118+I120+I121+I122-0, 0)</f>
        <v>0</v>
      </c>
      <c r="AA124">
        <f>IF(Source!BI44=4,I115+I116+I118+I120+I121+I122,0)</f>
        <v>0</v>
      </c>
    </row>
    <row r="125" spans="1:27" ht="42.75" x14ac:dyDescent="0.2">
      <c r="A125" s="19" t="str">
        <f>Source!E46</f>
        <v>12</v>
      </c>
      <c r="B125" s="20" t="str">
        <f>Source!F46</f>
        <v>3.27-43-1</v>
      </c>
      <c r="C125" s="20" t="s">
        <v>91</v>
      </c>
      <c r="D125" s="21" t="str">
        <f>Source!H46</f>
        <v>100 м2 покрытия</v>
      </c>
      <c r="E125" s="10">
        <f>Source!I46</f>
        <v>0.39090000000000003</v>
      </c>
      <c r="F125" s="23"/>
      <c r="G125" s="22"/>
      <c r="H125" s="10"/>
      <c r="I125" s="24"/>
      <c r="J125" s="10"/>
      <c r="K125" s="24"/>
      <c r="Q125">
        <f>ROUND((Source!DN46/100)*ROUND((ROUND((Source!AF46*Source!AV46*Source!I46),2)),2), 2)</f>
        <v>9.1300000000000008</v>
      </c>
      <c r="R125">
        <f>Source!X46</f>
        <v>159.18</v>
      </c>
      <c r="S125">
        <f>ROUND((Source!DO46/100)*ROUND((ROUND((Source!AF46*Source!AV46*Source!I46),2)),2), 2)</f>
        <v>6.07</v>
      </c>
      <c r="T125">
        <f>Source!Y46</f>
        <v>65.62</v>
      </c>
      <c r="U125">
        <f>ROUND((175/100)*ROUND((ROUND((Source!AE46*Source!AV46*Source!I46),2)),2), 2)</f>
        <v>5.1100000000000003</v>
      </c>
      <c r="V125">
        <f>ROUND((157/100)*ROUND(ROUND((ROUND((Source!AE46*Source!AV46*Source!I46),2)*Source!BS46),2), 2), 2)</f>
        <v>98.25</v>
      </c>
    </row>
    <row r="126" spans="1:27" ht="14.25" x14ac:dyDescent="0.2">
      <c r="A126" s="19"/>
      <c r="B126" s="20"/>
      <c r="C126" s="20" t="s">
        <v>514</v>
      </c>
      <c r="D126" s="21"/>
      <c r="E126" s="10"/>
      <c r="F126" s="23">
        <f>Source!AO46</f>
        <v>6.93</v>
      </c>
      <c r="G126" s="22" t="str">
        <f>Source!DG46</f>
        <v>*2</v>
      </c>
      <c r="H126" s="10">
        <f>Source!AV46</f>
        <v>1.0469999999999999</v>
      </c>
      <c r="I126" s="24">
        <f>ROUND((ROUND((Source!AF46*Source!AV46*Source!I46),2)),2)</f>
        <v>5.67</v>
      </c>
      <c r="J126" s="10">
        <f>IF(Source!BA46&lt;&gt; 0, Source!BA46, 1)</f>
        <v>21.43</v>
      </c>
      <c r="K126" s="24">
        <f>Source!S46</f>
        <v>121.51</v>
      </c>
      <c r="W126">
        <f>I126</f>
        <v>5.67</v>
      </c>
    </row>
    <row r="127" spans="1:27" ht="14.25" x14ac:dyDescent="0.2">
      <c r="A127" s="19"/>
      <c r="B127" s="20"/>
      <c r="C127" s="20" t="s">
        <v>515</v>
      </c>
      <c r="D127" s="21"/>
      <c r="E127" s="10"/>
      <c r="F127" s="23">
        <f>Source!AM46</f>
        <v>17.350000000000001</v>
      </c>
      <c r="G127" s="22" t="str">
        <f>Source!DE46</f>
        <v>*2</v>
      </c>
      <c r="H127" s="10">
        <f>Source!AV46</f>
        <v>1.0469999999999999</v>
      </c>
      <c r="I127" s="24">
        <f>(ROUND((ROUND((((Source!ET46*2))*Source!AV46*Source!I46),2)),2)+ROUND((ROUND(((Source!AE46-((Source!EU46*2)))*Source!AV46*Source!I46),2)),2))</f>
        <v>14.2</v>
      </c>
      <c r="J127" s="10">
        <f>IF(Source!BB46&lt;&gt; 0, Source!BB46, 1)</f>
        <v>9.2799999999999994</v>
      </c>
      <c r="K127" s="24">
        <f>Source!Q46</f>
        <v>131.78</v>
      </c>
    </row>
    <row r="128" spans="1:27" ht="14.25" x14ac:dyDescent="0.2">
      <c r="A128" s="19"/>
      <c r="B128" s="20"/>
      <c r="C128" s="20" t="s">
        <v>516</v>
      </c>
      <c r="D128" s="21"/>
      <c r="E128" s="10"/>
      <c r="F128" s="23">
        <f>Source!AN46</f>
        <v>3.57</v>
      </c>
      <c r="G128" s="22" t="str">
        <f>Source!DF46</f>
        <v>*2</v>
      </c>
      <c r="H128" s="10">
        <f>Source!AV46</f>
        <v>1.0469999999999999</v>
      </c>
      <c r="I128" s="25">
        <f>ROUND((ROUND((Source!AE46*Source!AV46*Source!I46),2)),2)</f>
        <v>2.92</v>
      </c>
      <c r="J128" s="10">
        <f>IF(Source!BS46&lt;&gt; 0, Source!BS46, 1)</f>
        <v>21.43</v>
      </c>
      <c r="K128" s="25">
        <f>Source!R46</f>
        <v>62.58</v>
      </c>
      <c r="W128">
        <f>I128</f>
        <v>2.92</v>
      </c>
    </row>
    <row r="129" spans="1:27" ht="28.5" x14ac:dyDescent="0.2">
      <c r="A129" s="19" t="str">
        <f>Source!E47</f>
        <v>12,1</v>
      </c>
      <c r="B129" s="20" t="str">
        <f>Source!F47</f>
        <v>1.3-3-3</v>
      </c>
      <c r="C129" s="20" t="s">
        <v>86</v>
      </c>
      <c r="D129" s="21" t="str">
        <f>Source!H47</f>
        <v>т</v>
      </c>
      <c r="E129" s="10">
        <f>Source!I47</f>
        <v>1.87632</v>
      </c>
      <c r="F129" s="23">
        <f>Source!AK47</f>
        <v>296.7</v>
      </c>
      <c r="G129" s="28" t="s">
        <v>525</v>
      </c>
      <c r="H129" s="10">
        <f>Source!AW47</f>
        <v>1</v>
      </c>
      <c r="I129" s="24">
        <f>ROUND((ROUND((Source!AC47*Source!AW47*Source!I47),2)),2)+(ROUND((ROUND(((Source!ET47)*Source!AV47*Source!I47),2)),2)+ROUND((ROUND(((Source!AE47-(Source!EU47))*Source!AV47*Source!I47),2)),2))+ROUND((ROUND((Source!AF47*Source!AV47*Source!I47),2)),2)</f>
        <v>556.70000000000005</v>
      </c>
      <c r="J129" s="10">
        <f>IF(Source!BC47&lt;&gt; 0, Source!BC47, 1)</f>
        <v>9.33</v>
      </c>
      <c r="K129" s="24">
        <f>Source!O47</f>
        <v>5194.01</v>
      </c>
      <c r="Q129">
        <f>ROUND((Source!DN47/100)*ROUND((ROUND((Source!AF47*Source!AV47*Source!I47),2)),2), 2)</f>
        <v>0</v>
      </c>
      <c r="R129">
        <f>Source!X47</f>
        <v>0</v>
      </c>
      <c r="S129">
        <f>ROUND((Source!DO47/100)*ROUND((ROUND((Source!AF47*Source!AV47*Source!I47),2)),2), 2)</f>
        <v>0</v>
      </c>
      <c r="T129">
        <f>Source!Y47</f>
        <v>0</v>
      </c>
      <c r="U129">
        <f>ROUND((175/100)*ROUND((ROUND((Source!AE47*Source!AV47*Source!I47),2)),2), 2)</f>
        <v>0</v>
      </c>
      <c r="V129">
        <f>ROUND((157/100)*ROUND(ROUND((ROUND((Source!AE47*Source!AV47*Source!I47),2)*Source!BS47),2), 2), 2)</f>
        <v>0</v>
      </c>
      <c r="X129">
        <f>IF(Source!BI47&lt;=1,I129, 0)</f>
        <v>556.70000000000005</v>
      </c>
      <c r="Y129">
        <f>IF(Source!BI47=2,I129, 0)</f>
        <v>0</v>
      </c>
      <c r="Z129">
        <f>IF(Source!BI47=3,I129, 0)</f>
        <v>0</v>
      </c>
      <c r="AA129">
        <f>IF(Source!BI47=4,I129, 0)</f>
        <v>0</v>
      </c>
    </row>
    <row r="130" spans="1:27" ht="14.25" x14ac:dyDescent="0.2">
      <c r="A130" s="19"/>
      <c r="B130" s="20"/>
      <c r="C130" s="20" t="s">
        <v>517</v>
      </c>
      <c r="D130" s="21" t="s">
        <v>518</v>
      </c>
      <c r="E130" s="10">
        <f>Source!DN46</f>
        <v>161</v>
      </c>
      <c r="F130" s="23"/>
      <c r="G130" s="22"/>
      <c r="H130" s="10"/>
      <c r="I130" s="24">
        <f>SUM(Q125:Q129)</f>
        <v>9.1300000000000008</v>
      </c>
      <c r="J130" s="10">
        <f>Source!BZ46</f>
        <v>131</v>
      </c>
      <c r="K130" s="24">
        <f>SUM(R125:R129)</f>
        <v>159.18</v>
      </c>
    </row>
    <row r="131" spans="1:27" ht="14.25" x14ac:dyDescent="0.2">
      <c r="A131" s="19"/>
      <c r="B131" s="20"/>
      <c r="C131" s="20" t="s">
        <v>519</v>
      </c>
      <c r="D131" s="21" t="s">
        <v>518</v>
      </c>
      <c r="E131" s="10">
        <f>Source!DO46</f>
        <v>107</v>
      </c>
      <c r="F131" s="23"/>
      <c r="G131" s="22"/>
      <c r="H131" s="10"/>
      <c r="I131" s="24">
        <f>SUM(S125:S130)</f>
        <v>6.07</v>
      </c>
      <c r="J131" s="10">
        <f>Source!CA46</f>
        <v>54</v>
      </c>
      <c r="K131" s="24">
        <f>SUM(T125:T130)</f>
        <v>65.62</v>
      </c>
    </row>
    <row r="132" spans="1:27" ht="14.25" x14ac:dyDescent="0.2">
      <c r="A132" s="19"/>
      <c r="B132" s="20"/>
      <c r="C132" s="20" t="s">
        <v>520</v>
      </c>
      <c r="D132" s="21" t="s">
        <v>518</v>
      </c>
      <c r="E132" s="10">
        <f>175</f>
        <v>175</v>
      </c>
      <c r="F132" s="23"/>
      <c r="G132" s="22"/>
      <c r="H132" s="10"/>
      <c r="I132" s="24">
        <f>SUM(U125:U131)</f>
        <v>5.1100000000000003</v>
      </c>
      <c r="J132" s="10">
        <f>157</f>
        <v>157</v>
      </c>
      <c r="K132" s="24">
        <f>SUM(V125:V131)</f>
        <v>98.25</v>
      </c>
    </row>
    <row r="133" spans="1:27" ht="14.25" x14ac:dyDescent="0.2">
      <c r="A133" s="19"/>
      <c r="B133" s="20"/>
      <c r="C133" s="20" t="s">
        <v>521</v>
      </c>
      <c r="D133" s="21" t="s">
        <v>522</v>
      </c>
      <c r="E133" s="10">
        <f>Source!AQ46</f>
        <v>0.53</v>
      </c>
      <c r="F133" s="23"/>
      <c r="G133" s="22" t="str">
        <f>Source!DI46</f>
        <v>*2</v>
      </c>
      <c r="H133" s="10">
        <f>Source!AV46</f>
        <v>1.0469999999999999</v>
      </c>
      <c r="I133" s="24">
        <f>Source!U46</f>
        <v>0.43382863800000004</v>
      </c>
      <c r="J133" s="10"/>
      <c r="K133" s="24"/>
    </row>
    <row r="134" spans="1:27" ht="15" x14ac:dyDescent="0.25">
      <c r="A134" s="27"/>
      <c r="B134" s="27"/>
      <c r="C134" s="27"/>
      <c r="D134" s="27"/>
      <c r="E134" s="27"/>
      <c r="F134" s="27"/>
      <c r="G134" s="27"/>
      <c r="H134" s="38">
        <f>I126+I127+I130+I131+I132+SUM(I129:I129)</f>
        <v>596.88</v>
      </c>
      <c r="I134" s="38"/>
      <c r="J134" s="38">
        <f>K126+K127+K130+K131+K132+SUM(K129:K129)</f>
        <v>5770.35</v>
      </c>
      <c r="K134" s="38"/>
      <c r="O134" s="26">
        <f>I126+I127+I130+I131+I132+SUM(I129:I129)</f>
        <v>596.88</v>
      </c>
      <c r="P134" s="26">
        <f>K126+K127+K130+K131+K132+SUM(K129:K129)</f>
        <v>5770.35</v>
      </c>
      <c r="X134">
        <f>IF(Source!BI46&lt;=1,I126+I127+I130+I131+I132-0, 0)</f>
        <v>40.18</v>
      </c>
      <c r="Y134">
        <f>IF(Source!BI46=2,I126+I127+I130+I131+I132-0, 0)</f>
        <v>0</v>
      </c>
      <c r="Z134">
        <f>IF(Source!BI46=3,I126+I127+I130+I131+I132-0, 0)</f>
        <v>0</v>
      </c>
      <c r="AA134">
        <f>IF(Source!BI46=4,I126+I127+I130+I131+I132,0)</f>
        <v>0</v>
      </c>
    </row>
    <row r="135" spans="1:27" ht="42.75" x14ac:dyDescent="0.2">
      <c r="A135" s="19" t="str">
        <f>Source!E48</f>
        <v>13</v>
      </c>
      <c r="B135" s="20" t="str">
        <f>Source!F48</f>
        <v>3.27-42-1</v>
      </c>
      <c r="C135" s="20" t="s">
        <v>79</v>
      </c>
      <c r="D135" s="21" t="str">
        <f>Source!H48</f>
        <v>100 м2 покрытия</v>
      </c>
      <c r="E135" s="10">
        <f>Source!I48</f>
        <v>3.4815</v>
      </c>
      <c r="F135" s="23"/>
      <c r="G135" s="22"/>
      <c r="H135" s="10"/>
      <c r="I135" s="24"/>
      <c r="J135" s="10"/>
      <c r="K135" s="24"/>
      <c r="Q135">
        <f>ROUND((Source!DN48/100)*ROUND((ROUND((Source!AF48*Source!AV48*Source!I48),2)),2), 2)</f>
        <v>306.17</v>
      </c>
      <c r="R135">
        <f>Source!X48</f>
        <v>5338.7</v>
      </c>
      <c r="S135">
        <f>ROUND((Source!DO48/100)*ROUND((ROUND((Source!AF48*Source!AV48*Source!I48),2)),2), 2)</f>
        <v>203.48</v>
      </c>
      <c r="T135">
        <f>Source!Y48</f>
        <v>2200.6799999999998</v>
      </c>
      <c r="U135">
        <f>ROUND((175/100)*ROUND((ROUND((Source!AE48*Source!AV48*Source!I48),2)),2), 2)</f>
        <v>486.2</v>
      </c>
      <c r="V135">
        <f>ROUND((157/100)*ROUND(ROUND((ROUND((Source!AE48*Source!AV48*Source!I48),2)*Source!BS48),2), 2), 2)</f>
        <v>9347.6200000000008</v>
      </c>
    </row>
    <row r="136" spans="1:27" ht="14.25" x14ac:dyDescent="0.2">
      <c r="A136" s="19"/>
      <c r="B136" s="20"/>
      <c r="C136" s="20" t="s">
        <v>514</v>
      </c>
      <c r="D136" s="21"/>
      <c r="E136" s="10"/>
      <c r="F136" s="23">
        <f>Source!AO48</f>
        <v>52.17</v>
      </c>
      <c r="G136" s="22" t="str">
        <f>Source!DG48</f>
        <v/>
      </c>
      <c r="H136" s="10">
        <f>Source!AV48</f>
        <v>1.0469999999999999</v>
      </c>
      <c r="I136" s="24">
        <f>ROUND((ROUND((Source!AF48*Source!AV48*Source!I48),2)),2)</f>
        <v>190.17</v>
      </c>
      <c r="J136" s="10">
        <f>IF(Source!BA48&lt;&gt; 0, Source!BA48, 1)</f>
        <v>21.43</v>
      </c>
      <c r="K136" s="24">
        <f>Source!S48</f>
        <v>4075.34</v>
      </c>
      <c r="W136">
        <f>I136</f>
        <v>190.17</v>
      </c>
    </row>
    <row r="137" spans="1:27" ht="14.25" x14ac:dyDescent="0.2">
      <c r="A137" s="19"/>
      <c r="B137" s="20"/>
      <c r="C137" s="20" t="s">
        <v>515</v>
      </c>
      <c r="D137" s="21"/>
      <c r="E137" s="10"/>
      <c r="F137" s="23">
        <f>Source!AM48</f>
        <v>419.23</v>
      </c>
      <c r="G137" s="22" t="str">
        <f>Source!DE48</f>
        <v/>
      </c>
      <c r="H137" s="10">
        <f>Source!AV48</f>
        <v>1.0469999999999999</v>
      </c>
      <c r="I137" s="24">
        <f>(ROUND((ROUND(((Source!ET48)*Source!AV48*Source!I48),2)),2)+ROUND((ROUND(((Source!AE48-(Source!EU48))*Source!AV48*Source!I48),2)),2))</f>
        <v>1528.15</v>
      </c>
      <c r="J137" s="10">
        <f>IF(Source!BB48&lt;&gt; 0, Source!BB48, 1)</f>
        <v>10.36</v>
      </c>
      <c r="K137" s="24">
        <f>Source!Q48</f>
        <v>15831.63</v>
      </c>
    </row>
    <row r="138" spans="1:27" ht="14.25" x14ac:dyDescent="0.2">
      <c r="A138" s="19"/>
      <c r="B138" s="20"/>
      <c r="C138" s="20" t="s">
        <v>516</v>
      </c>
      <c r="D138" s="21"/>
      <c r="E138" s="10"/>
      <c r="F138" s="23">
        <f>Source!AN48</f>
        <v>76.22</v>
      </c>
      <c r="G138" s="22" t="str">
        <f>Source!DF48</f>
        <v/>
      </c>
      <c r="H138" s="10">
        <f>Source!AV48</f>
        <v>1.0469999999999999</v>
      </c>
      <c r="I138" s="25">
        <f>ROUND((ROUND((Source!AE48*Source!AV48*Source!I48),2)),2)</f>
        <v>277.83</v>
      </c>
      <c r="J138" s="10">
        <f>IF(Source!BS48&lt;&gt; 0, Source!BS48, 1)</f>
        <v>21.43</v>
      </c>
      <c r="K138" s="25">
        <f>Source!R48</f>
        <v>5953.9</v>
      </c>
      <c r="W138">
        <f>I138</f>
        <v>277.83</v>
      </c>
    </row>
    <row r="139" spans="1:27" ht="14.25" x14ac:dyDescent="0.2">
      <c r="A139" s="19"/>
      <c r="B139" s="20"/>
      <c r="C139" s="20" t="s">
        <v>523</v>
      </c>
      <c r="D139" s="21"/>
      <c r="E139" s="10"/>
      <c r="F139" s="23">
        <f>Source!AL48</f>
        <v>57.83</v>
      </c>
      <c r="G139" s="22" t="str">
        <f>Source!DD48</f>
        <v/>
      </c>
      <c r="H139" s="10">
        <f>Source!AW48</f>
        <v>1</v>
      </c>
      <c r="I139" s="24">
        <f>ROUND((ROUND((Source!AC48*Source!AW48*Source!I48),2)),2)</f>
        <v>201.34</v>
      </c>
      <c r="J139" s="10">
        <f>IF(Source!BC48&lt;&gt; 0, Source!BC48, 1)</f>
        <v>9.09</v>
      </c>
      <c r="K139" s="24">
        <f>Source!P48</f>
        <v>1830.18</v>
      </c>
    </row>
    <row r="140" spans="1:27" ht="28.5" x14ac:dyDescent="0.2">
      <c r="A140" s="19" t="str">
        <f>Source!E49</f>
        <v>13,1</v>
      </c>
      <c r="B140" s="20" t="str">
        <f>Source!F49</f>
        <v>1.3-3-7</v>
      </c>
      <c r="C140" s="20" t="s">
        <v>105</v>
      </c>
      <c r="D140" s="21" t="str">
        <f>Source!H49</f>
        <v>т</v>
      </c>
      <c r="E140" s="10">
        <f>Source!I49</f>
        <v>33.63129</v>
      </c>
      <c r="F140" s="23">
        <f>Source!AK49</f>
        <v>307.58999999999997</v>
      </c>
      <c r="G140" s="28" t="s">
        <v>5</v>
      </c>
      <c r="H140" s="10">
        <f>Source!AW49</f>
        <v>1</v>
      </c>
      <c r="I140" s="24">
        <f>ROUND((ROUND((Source!AC49*Source!AW49*Source!I49),2)),2)+(ROUND((ROUND(((Source!ET49)*Source!AV49*Source!I49),2)),2)+ROUND((ROUND(((Source!AE49-(Source!EU49))*Source!AV49*Source!I49),2)),2))+ROUND((ROUND((Source!AF49*Source!AV49*Source!I49),2)),2)</f>
        <v>10344.65</v>
      </c>
      <c r="J140" s="10">
        <f>IF(Source!BC49&lt;&gt; 0, Source!BC49, 1)</f>
        <v>9</v>
      </c>
      <c r="K140" s="24">
        <f>Source!O49</f>
        <v>93101.85</v>
      </c>
      <c r="Q140">
        <f>ROUND((Source!DN49/100)*ROUND((ROUND((Source!AF49*Source!AV49*Source!I49),2)),2), 2)</f>
        <v>0</v>
      </c>
      <c r="R140">
        <f>Source!X49</f>
        <v>0</v>
      </c>
      <c r="S140">
        <f>ROUND((Source!DO49/100)*ROUND((ROUND((Source!AF49*Source!AV49*Source!I49),2)),2), 2)</f>
        <v>0</v>
      </c>
      <c r="T140">
        <f>Source!Y49</f>
        <v>0</v>
      </c>
      <c r="U140">
        <f>ROUND((175/100)*ROUND((ROUND((Source!AE49*Source!AV49*Source!I49),2)),2), 2)</f>
        <v>0</v>
      </c>
      <c r="V140">
        <f>ROUND((157/100)*ROUND(ROUND((ROUND((Source!AE49*Source!AV49*Source!I49),2)*Source!BS49),2), 2), 2)</f>
        <v>0</v>
      </c>
      <c r="X140">
        <f>IF(Source!BI49&lt;=1,I140, 0)</f>
        <v>10344.65</v>
      </c>
      <c r="Y140">
        <f>IF(Source!BI49=2,I140, 0)</f>
        <v>0</v>
      </c>
      <c r="Z140">
        <f>IF(Source!BI49=3,I140, 0)</f>
        <v>0</v>
      </c>
      <c r="AA140">
        <f>IF(Source!BI49=4,I140, 0)</f>
        <v>0</v>
      </c>
    </row>
    <row r="141" spans="1:27" ht="14.25" x14ac:dyDescent="0.2">
      <c r="A141" s="19"/>
      <c r="B141" s="20"/>
      <c r="C141" s="20" t="s">
        <v>517</v>
      </c>
      <c r="D141" s="21" t="s">
        <v>518</v>
      </c>
      <c r="E141" s="10">
        <f>Source!DN48</f>
        <v>161</v>
      </c>
      <c r="F141" s="23"/>
      <c r="G141" s="22"/>
      <c r="H141" s="10"/>
      <c r="I141" s="24">
        <f>SUM(Q135:Q140)</f>
        <v>306.17</v>
      </c>
      <c r="J141" s="10">
        <f>Source!BZ48</f>
        <v>131</v>
      </c>
      <c r="K141" s="24">
        <f>SUM(R135:R140)</f>
        <v>5338.7</v>
      </c>
    </row>
    <row r="142" spans="1:27" ht="14.25" x14ac:dyDescent="0.2">
      <c r="A142" s="19"/>
      <c r="B142" s="20"/>
      <c r="C142" s="20" t="s">
        <v>519</v>
      </c>
      <c r="D142" s="21" t="s">
        <v>518</v>
      </c>
      <c r="E142" s="10">
        <f>Source!DO48</f>
        <v>107</v>
      </c>
      <c r="F142" s="23"/>
      <c r="G142" s="22"/>
      <c r="H142" s="10"/>
      <c r="I142" s="24">
        <f>SUM(S135:S141)</f>
        <v>203.48</v>
      </c>
      <c r="J142" s="10">
        <f>Source!CA48</f>
        <v>54</v>
      </c>
      <c r="K142" s="24">
        <f>SUM(T135:T141)</f>
        <v>2200.6799999999998</v>
      </c>
    </row>
    <row r="143" spans="1:27" ht="14.25" x14ac:dyDescent="0.2">
      <c r="A143" s="19"/>
      <c r="B143" s="20"/>
      <c r="C143" s="20" t="s">
        <v>520</v>
      </c>
      <c r="D143" s="21" t="s">
        <v>518</v>
      </c>
      <c r="E143" s="10">
        <f>175</f>
        <v>175</v>
      </c>
      <c r="F143" s="23"/>
      <c r="G143" s="22"/>
      <c r="H143" s="10"/>
      <c r="I143" s="24">
        <f>SUM(U135:U142)</f>
        <v>486.2</v>
      </c>
      <c r="J143" s="10">
        <f>157</f>
        <v>157</v>
      </c>
      <c r="K143" s="24">
        <f>SUM(V135:V142)</f>
        <v>9347.6200000000008</v>
      </c>
    </row>
    <row r="144" spans="1:27" ht="14.25" x14ac:dyDescent="0.2">
      <c r="A144" s="19"/>
      <c r="B144" s="20"/>
      <c r="C144" s="20" t="s">
        <v>521</v>
      </c>
      <c r="D144" s="21" t="s">
        <v>522</v>
      </c>
      <c r="E144" s="10">
        <f>Source!AQ48</f>
        <v>4.29</v>
      </c>
      <c r="F144" s="23"/>
      <c r="G144" s="22" t="str">
        <f>Source!DI48</f>
        <v/>
      </c>
      <c r="H144" s="10">
        <f>Source!AV48</f>
        <v>1.0469999999999999</v>
      </c>
      <c r="I144" s="24">
        <f>Source!U48</f>
        <v>15.637609845</v>
      </c>
      <c r="J144" s="10"/>
      <c r="K144" s="24"/>
    </row>
    <row r="145" spans="1:27" ht="15" x14ac:dyDescent="0.25">
      <c r="A145" s="27"/>
      <c r="B145" s="27"/>
      <c r="C145" s="27"/>
      <c r="D145" s="27"/>
      <c r="E145" s="27"/>
      <c r="F145" s="27"/>
      <c r="G145" s="27"/>
      <c r="H145" s="38">
        <f>I136+I137+I139+I141+I142+I143+SUM(I140:I140)</f>
        <v>13260.16</v>
      </c>
      <c r="I145" s="38"/>
      <c r="J145" s="38">
        <f>K136+K137+K139+K141+K142+K143+SUM(K140:K140)</f>
        <v>131726</v>
      </c>
      <c r="K145" s="38"/>
      <c r="O145" s="26">
        <f>I136+I137+I139+I141+I142+I143+SUM(I140:I140)</f>
        <v>13260.16</v>
      </c>
      <c r="P145" s="26">
        <f>K136+K137+K139+K141+K142+K143+SUM(K140:K140)</f>
        <v>131726</v>
      </c>
      <c r="X145">
        <f>IF(Source!BI48&lt;=1,I136+I137+I139+I141+I142+I143-0, 0)</f>
        <v>2915.5099999999998</v>
      </c>
      <c r="Y145">
        <f>IF(Source!BI48=2,I136+I137+I139+I141+I142+I143-0, 0)</f>
        <v>0</v>
      </c>
      <c r="Z145">
        <f>IF(Source!BI48=3,I136+I137+I139+I141+I142+I143-0, 0)</f>
        <v>0</v>
      </c>
      <c r="AA145">
        <f>IF(Source!BI48=4,I136+I137+I139+I141+I142+I143,0)</f>
        <v>0</v>
      </c>
    </row>
    <row r="146" spans="1:27" ht="14.25" x14ac:dyDescent="0.2">
      <c r="C146" s="18" t="str">
        <f>Source!G50</f>
        <v>Тротуар асф./бет.покрытие</v>
      </c>
    </row>
    <row r="147" spans="1:27" ht="42.75" x14ac:dyDescent="0.2">
      <c r="A147" s="19" t="str">
        <f>Source!E51</f>
        <v>14</v>
      </c>
      <c r="B147" s="20" t="str">
        <f>Source!F51</f>
        <v>6.68-51-4</v>
      </c>
      <c r="C147" s="20" t="s">
        <v>25</v>
      </c>
      <c r="D147" s="21" t="str">
        <f>Source!H51</f>
        <v>100 м3 конструкций</v>
      </c>
      <c r="E147" s="10">
        <f>Source!I51</f>
        <v>0.204036</v>
      </c>
      <c r="F147" s="23"/>
      <c r="G147" s="22"/>
      <c r="H147" s="10"/>
      <c r="I147" s="24"/>
      <c r="J147" s="10"/>
      <c r="K147" s="24"/>
      <c r="Q147">
        <f>ROUND((Source!DN51/100)*ROUND((ROUND((Source!AF51*Source!AV51*Source!I51),2)),2), 2)</f>
        <v>288.47000000000003</v>
      </c>
      <c r="R147">
        <f>Source!X51</f>
        <v>5254.66</v>
      </c>
      <c r="S147">
        <f>ROUND((Source!DO51/100)*ROUND((ROUND((Source!AF51*Source!AV51*Source!I51),2)),2), 2)</f>
        <v>198.32</v>
      </c>
      <c r="T147">
        <f>Source!Y51</f>
        <v>3168.25</v>
      </c>
      <c r="U147">
        <f>ROUND((175/100)*ROUND((ROUND((Source!AE51*Source!AV51*Source!I51),2)),2), 2)</f>
        <v>274.86</v>
      </c>
      <c r="V147">
        <f>ROUND((157/100)*ROUND(ROUND((ROUND((Source!AE51*Source!AV51*Source!I51),2)*Source!BS51),2), 2), 2)</f>
        <v>5284.31</v>
      </c>
    </row>
    <row r="148" spans="1:27" ht="14.25" x14ac:dyDescent="0.2">
      <c r="A148" s="19"/>
      <c r="B148" s="20"/>
      <c r="C148" s="20" t="s">
        <v>514</v>
      </c>
      <c r="D148" s="21"/>
      <c r="E148" s="10"/>
      <c r="F148" s="23">
        <f>Source!AO51</f>
        <v>1687.95</v>
      </c>
      <c r="G148" s="22" t="str">
        <f>Source!DG51</f>
        <v/>
      </c>
      <c r="H148" s="10">
        <f>Source!AV51</f>
        <v>1.0469999999999999</v>
      </c>
      <c r="I148" s="24">
        <f>ROUND((ROUND((Source!AF51*Source!AV51*Source!I51),2)),2)</f>
        <v>360.59</v>
      </c>
      <c r="J148" s="10">
        <f>IF(Source!BA51&lt;&gt; 0, Source!BA51, 1)</f>
        <v>21.43</v>
      </c>
      <c r="K148" s="24">
        <f>Source!S51</f>
        <v>7727.44</v>
      </c>
      <c r="W148">
        <f>I148</f>
        <v>360.59</v>
      </c>
    </row>
    <row r="149" spans="1:27" ht="14.25" x14ac:dyDescent="0.2">
      <c r="A149" s="19"/>
      <c r="B149" s="20"/>
      <c r="C149" s="20" t="s">
        <v>515</v>
      </c>
      <c r="D149" s="21"/>
      <c r="E149" s="10"/>
      <c r="F149" s="23">
        <f>Source!AM51</f>
        <v>2713.55</v>
      </c>
      <c r="G149" s="22" t="str">
        <f>Source!DE51</f>
        <v/>
      </c>
      <c r="H149" s="10">
        <f>Source!AV51</f>
        <v>1.0469999999999999</v>
      </c>
      <c r="I149" s="24">
        <f>(ROUND((ROUND(((Source!ET51)*Source!AV51*Source!I51),2)),2)+ROUND((ROUND(((Source!AE51-(Source!EU51))*Source!AV51*Source!I51),2)),2))</f>
        <v>579.67999999999995</v>
      </c>
      <c r="J149" s="10">
        <f>IF(Source!BB51&lt;&gt; 0, Source!BB51, 1)</f>
        <v>10.199999999999999</v>
      </c>
      <c r="K149" s="24">
        <f>Source!Q51</f>
        <v>5912.74</v>
      </c>
    </row>
    <row r="150" spans="1:27" ht="14.25" x14ac:dyDescent="0.2">
      <c r="A150" s="19"/>
      <c r="B150" s="20"/>
      <c r="C150" s="20" t="s">
        <v>516</v>
      </c>
      <c r="D150" s="21"/>
      <c r="E150" s="10"/>
      <c r="F150" s="23">
        <f>Source!AN51</f>
        <v>735.23</v>
      </c>
      <c r="G150" s="22" t="str">
        <f>Source!DF51</f>
        <v/>
      </c>
      <c r="H150" s="10">
        <f>Source!AV51</f>
        <v>1.0469999999999999</v>
      </c>
      <c r="I150" s="25">
        <f>ROUND((ROUND((Source!AE51*Source!AV51*Source!I51),2)),2)</f>
        <v>157.06</v>
      </c>
      <c r="J150" s="10">
        <f>IF(Source!BS51&lt;&gt; 0, Source!BS51, 1)</f>
        <v>21.43</v>
      </c>
      <c r="K150" s="25">
        <f>Source!R51</f>
        <v>3365.8</v>
      </c>
      <c r="W150">
        <f>I150</f>
        <v>157.06</v>
      </c>
    </row>
    <row r="151" spans="1:27" ht="14.25" x14ac:dyDescent="0.2">
      <c r="A151" s="19"/>
      <c r="B151" s="20"/>
      <c r="C151" s="20" t="s">
        <v>517</v>
      </c>
      <c r="D151" s="21" t="s">
        <v>518</v>
      </c>
      <c r="E151" s="10">
        <f>Source!DN51</f>
        <v>80</v>
      </c>
      <c r="F151" s="23"/>
      <c r="G151" s="22"/>
      <c r="H151" s="10"/>
      <c r="I151" s="24">
        <f>SUM(Q147:Q150)</f>
        <v>288.47000000000003</v>
      </c>
      <c r="J151" s="10">
        <f>Source!BZ51</f>
        <v>68</v>
      </c>
      <c r="K151" s="24">
        <f>SUM(R147:R150)</f>
        <v>5254.66</v>
      </c>
    </row>
    <row r="152" spans="1:27" ht="14.25" x14ac:dyDescent="0.2">
      <c r="A152" s="19"/>
      <c r="B152" s="20"/>
      <c r="C152" s="20" t="s">
        <v>519</v>
      </c>
      <c r="D152" s="21" t="s">
        <v>518</v>
      </c>
      <c r="E152" s="10">
        <f>Source!DO51</f>
        <v>55</v>
      </c>
      <c r="F152" s="23"/>
      <c r="G152" s="22"/>
      <c r="H152" s="10"/>
      <c r="I152" s="24">
        <f>SUM(S147:S151)</f>
        <v>198.32</v>
      </c>
      <c r="J152" s="10">
        <f>Source!CA51</f>
        <v>41</v>
      </c>
      <c r="K152" s="24">
        <f>SUM(T147:T151)</f>
        <v>3168.25</v>
      </c>
    </row>
    <row r="153" spans="1:27" ht="14.25" x14ac:dyDescent="0.2">
      <c r="A153" s="19"/>
      <c r="B153" s="20"/>
      <c r="C153" s="20" t="s">
        <v>520</v>
      </c>
      <c r="D153" s="21" t="s">
        <v>518</v>
      </c>
      <c r="E153" s="10">
        <f>175</f>
        <v>175</v>
      </c>
      <c r="F153" s="23"/>
      <c r="G153" s="22"/>
      <c r="H153" s="10"/>
      <c r="I153" s="24">
        <f>SUM(U147:U152)</f>
        <v>274.86</v>
      </c>
      <c r="J153" s="10">
        <f>157</f>
        <v>157</v>
      </c>
      <c r="K153" s="24">
        <f>SUM(V147:V152)</f>
        <v>5284.31</v>
      </c>
    </row>
    <row r="154" spans="1:27" ht="14.25" x14ac:dyDescent="0.2">
      <c r="A154" s="19"/>
      <c r="B154" s="20"/>
      <c r="C154" s="20" t="s">
        <v>521</v>
      </c>
      <c r="D154" s="21" t="s">
        <v>522</v>
      </c>
      <c r="E154" s="10">
        <f>Source!AQ51</f>
        <v>155</v>
      </c>
      <c r="F154" s="23"/>
      <c r="G154" s="22" t="str">
        <f>Source!DI51</f>
        <v/>
      </c>
      <c r="H154" s="10">
        <f>Source!AV51</f>
        <v>1.0469999999999999</v>
      </c>
      <c r="I154" s="24">
        <f>Source!U51</f>
        <v>33.111982259999998</v>
      </c>
      <c r="J154" s="10"/>
      <c r="K154" s="24"/>
    </row>
    <row r="155" spans="1:27" ht="15" x14ac:dyDescent="0.25">
      <c r="A155" s="27"/>
      <c r="B155" s="27"/>
      <c r="C155" s="27"/>
      <c r="D155" s="27"/>
      <c r="E155" s="27"/>
      <c r="F155" s="27"/>
      <c r="G155" s="27"/>
      <c r="H155" s="38">
        <f>I148+I149+I151+I152+I153</f>
        <v>1701.92</v>
      </c>
      <c r="I155" s="38"/>
      <c r="J155" s="38">
        <f>K148+K149+K151+K152+K153</f>
        <v>27347.4</v>
      </c>
      <c r="K155" s="38"/>
      <c r="O155" s="26">
        <f>I148+I149+I151+I152+I153</f>
        <v>1701.92</v>
      </c>
      <c r="P155" s="26">
        <f>K148+K149+K151+K152+K153</f>
        <v>27347.4</v>
      </c>
      <c r="X155">
        <f>IF(Source!BI51&lt;=1,I148+I149+I151+I152+I153-0, 0)</f>
        <v>1701.92</v>
      </c>
      <c r="Y155">
        <f>IF(Source!BI51=2,I148+I149+I151+I152+I153-0, 0)</f>
        <v>0</v>
      </c>
      <c r="Z155">
        <f>IF(Source!BI51=3,I148+I149+I151+I152+I153-0, 0)</f>
        <v>0</v>
      </c>
      <c r="AA155">
        <f>IF(Source!BI51=4,I148+I149+I151+I152+I153,0)</f>
        <v>0</v>
      </c>
    </row>
    <row r="156" spans="1:27" ht="42.75" x14ac:dyDescent="0.2">
      <c r="A156" s="19" t="str">
        <f>Source!E52</f>
        <v>15</v>
      </c>
      <c r="B156" s="20" t="str">
        <f>Source!F52</f>
        <v>6.68-51-4</v>
      </c>
      <c r="C156" s="20" t="s">
        <v>25</v>
      </c>
      <c r="D156" s="21" t="str">
        <f>Source!H52</f>
        <v>100 м3 конструкций</v>
      </c>
      <c r="E156" s="10">
        <f>Source!I52</f>
        <v>4.947E-2</v>
      </c>
      <c r="F156" s="23"/>
      <c r="G156" s="22"/>
      <c r="H156" s="10"/>
      <c r="I156" s="24"/>
      <c r="J156" s="10"/>
      <c r="K156" s="24"/>
      <c r="Q156">
        <f>ROUND((Source!DN52/100)*ROUND((ROUND((Source!AF52*Source!AV52*Source!I52),2)),2), 2)</f>
        <v>69.94</v>
      </c>
      <c r="R156">
        <f>Source!X52</f>
        <v>1274.06</v>
      </c>
      <c r="S156">
        <f>ROUND((Source!DO52/100)*ROUND((ROUND((Source!AF52*Source!AV52*Source!I52),2)),2), 2)</f>
        <v>48.09</v>
      </c>
      <c r="T156">
        <f>Source!Y52</f>
        <v>768.18</v>
      </c>
      <c r="U156">
        <f>ROUND((175/100)*ROUND((ROUND((Source!AE52*Source!AV52*Source!I52),2)),2), 2)</f>
        <v>66.64</v>
      </c>
      <c r="V156">
        <f>ROUND((157/100)*ROUND(ROUND((ROUND((Source!AE52*Source!AV52*Source!I52),2)*Source!BS52),2), 2), 2)</f>
        <v>1281.2</v>
      </c>
    </row>
    <row r="157" spans="1:27" ht="14.25" x14ac:dyDescent="0.2">
      <c r="A157" s="19"/>
      <c r="B157" s="20"/>
      <c r="C157" s="20" t="s">
        <v>514</v>
      </c>
      <c r="D157" s="21"/>
      <c r="E157" s="10"/>
      <c r="F157" s="23">
        <f>Source!AO52</f>
        <v>1687.95</v>
      </c>
      <c r="G157" s="22" t="str">
        <f>Source!DG52</f>
        <v/>
      </c>
      <c r="H157" s="10">
        <f>Source!AV52</f>
        <v>1.0469999999999999</v>
      </c>
      <c r="I157" s="24">
        <f>ROUND((ROUND((Source!AF52*Source!AV52*Source!I52),2)),2)</f>
        <v>87.43</v>
      </c>
      <c r="J157" s="10">
        <f>IF(Source!BA52&lt;&gt; 0, Source!BA52, 1)</f>
        <v>21.43</v>
      </c>
      <c r="K157" s="24">
        <f>Source!S52</f>
        <v>1873.62</v>
      </c>
      <c r="W157">
        <f>I157</f>
        <v>87.43</v>
      </c>
    </row>
    <row r="158" spans="1:27" ht="14.25" x14ac:dyDescent="0.2">
      <c r="A158" s="19"/>
      <c r="B158" s="20"/>
      <c r="C158" s="20" t="s">
        <v>515</v>
      </c>
      <c r="D158" s="21"/>
      <c r="E158" s="10"/>
      <c r="F158" s="23">
        <f>Source!AM52</f>
        <v>2713.55</v>
      </c>
      <c r="G158" s="22" t="str">
        <f>Source!DE52</f>
        <v/>
      </c>
      <c r="H158" s="10">
        <f>Source!AV52</f>
        <v>1.0469999999999999</v>
      </c>
      <c r="I158" s="24">
        <f>(ROUND((ROUND(((Source!ET52)*Source!AV52*Source!I52),2)),2)+ROUND((ROUND(((Source!AE52-(Source!EU52))*Source!AV52*Source!I52),2)),2))</f>
        <v>140.55000000000001</v>
      </c>
      <c r="J158" s="10">
        <f>IF(Source!BB52&lt;&gt; 0, Source!BB52, 1)</f>
        <v>10.199999999999999</v>
      </c>
      <c r="K158" s="24">
        <f>Source!Q52</f>
        <v>1433.61</v>
      </c>
    </row>
    <row r="159" spans="1:27" ht="14.25" x14ac:dyDescent="0.2">
      <c r="A159" s="19"/>
      <c r="B159" s="20"/>
      <c r="C159" s="20" t="s">
        <v>516</v>
      </c>
      <c r="D159" s="21"/>
      <c r="E159" s="10"/>
      <c r="F159" s="23">
        <f>Source!AN52</f>
        <v>735.23</v>
      </c>
      <c r="G159" s="22" t="str">
        <f>Source!DF52</f>
        <v/>
      </c>
      <c r="H159" s="10">
        <f>Source!AV52</f>
        <v>1.0469999999999999</v>
      </c>
      <c r="I159" s="25">
        <f>ROUND((ROUND((Source!AE52*Source!AV52*Source!I52),2)),2)</f>
        <v>38.08</v>
      </c>
      <c r="J159" s="10">
        <f>IF(Source!BS52&lt;&gt; 0, Source!BS52, 1)</f>
        <v>21.43</v>
      </c>
      <c r="K159" s="25">
        <f>Source!R52</f>
        <v>816.05</v>
      </c>
      <c r="W159">
        <f>I159</f>
        <v>38.08</v>
      </c>
    </row>
    <row r="160" spans="1:27" ht="14.25" x14ac:dyDescent="0.2">
      <c r="A160" s="19"/>
      <c r="B160" s="20"/>
      <c r="C160" s="20" t="s">
        <v>517</v>
      </c>
      <c r="D160" s="21" t="s">
        <v>518</v>
      </c>
      <c r="E160" s="10">
        <f>Source!DN52</f>
        <v>80</v>
      </c>
      <c r="F160" s="23"/>
      <c r="G160" s="22"/>
      <c r="H160" s="10"/>
      <c r="I160" s="24">
        <f>SUM(Q156:Q159)</f>
        <v>69.94</v>
      </c>
      <c r="J160" s="10">
        <f>Source!BZ52</f>
        <v>68</v>
      </c>
      <c r="K160" s="24">
        <f>SUM(R156:R159)</f>
        <v>1274.06</v>
      </c>
    </row>
    <row r="161" spans="1:27" ht="14.25" x14ac:dyDescent="0.2">
      <c r="A161" s="19"/>
      <c r="B161" s="20"/>
      <c r="C161" s="20" t="s">
        <v>519</v>
      </c>
      <c r="D161" s="21" t="s">
        <v>518</v>
      </c>
      <c r="E161" s="10">
        <f>Source!DO52</f>
        <v>55</v>
      </c>
      <c r="F161" s="23"/>
      <c r="G161" s="22"/>
      <c r="H161" s="10"/>
      <c r="I161" s="24">
        <f>SUM(S156:S160)</f>
        <v>48.09</v>
      </c>
      <c r="J161" s="10">
        <f>Source!CA52</f>
        <v>41</v>
      </c>
      <c r="K161" s="24">
        <f>SUM(T156:T160)</f>
        <v>768.18</v>
      </c>
    </row>
    <row r="162" spans="1:27" ht="14.25" x14ac:dyDescent="0.2">
      <c r="A162" s="19"/>
      <c r="B162" s="20"/>
      <c r="C162" s="20" t="s">
        <v>520</v>
      </c>
      <c r="D162" s="21" t="s">
        <v>518</v>
      </c>
      <c r="E162" s="10">
        <f>175</f>
        <v>175</v>
      </c>
      <c r="F162" s="23"/>
      <c r="G162" s="22"/>
      <c r="H162" s="10"/>
      <c r="I162" s="24">
        <f>SUM(U156:U161)</f>
        <v>66.64</v>
      </c>
      <c r="J162" s="10">
        <f>157</f>
        <v>157</v>
      </c>
      <c r="K162" s="24">
        <f>SUM(V156:V161)</f>
        <v>1281.2</v>
      </c>
    </row>
    <row r="163" spans="1:27" ht="14.25" x14ac:dyDescent="0.2">
      <c r="A163" s="19"/>
      <c r="B163" s="20"/>
      <c r="C163" s="20" t="s">
        <v>521</v>
      </c>
      <c r="D163" s="21" t="s">
        <v>522</v>
      </c>
      <c r="E163" s="10">
        <f>Source!AQ52</f>
        <v>155</v>
      </c>
      <c r="F163" s="23"/>
      <c r="G163" s="22" t="str">
        <f>Source!DI52</f>
        <v/>
      </c>
      <c r="H163" s="10">
        <f>Source!AV52</f>
        <v>1.0469999999999999</v>
      </c>
      <c r="I163" s="24">
        <f>Source!U52</f>
        <v>8.0282389500000004</v>
      </c>
      <c r="J163" s="10"/>
      <c r="K163" s="24"/>
    </row>
    <row r="164" spans="1:27" ht="15" x14ac:dyDescent="0.25">
      <c r="A164" s="27"/>
      <c r="B164" s="27"/>
      <c r="C164" s="27"/>
      <c r="D164" s="27"/>
      <c r="E164" s="27"/>
      <c r="F164" s="27"/>
      <c r="G164" s="27"/>
      <c r="H164" s="38">
        <f>I157+I158+I160+I161+I162</f>
        <v>412.65</v>
      </c>
      <c r="I164" s="38"/>
      <c r="J164" s="38">
        <f>K157+K158+K160+K161+K162</f>
        <v>6630.6699999999992</v>
      </c>
      <c r="K164" s="38"/>
      <c r="O164" s="26">
        <f>I157+I158+I160+I161+I162</f>
        <v>412.65</v>
      </c>
      <c r="P164" s="26">
        <f>K157+K158+K160+K161+K162</f>
        <v>6630.6699999999992</v>
      </c>
      <c r="X164">
        <f>IF(Source!BI52&lt;=1,I157+I158+I160+I161+I162-0, 0)</f>
        <v>412.65</v>
      </c>
      <c r="Y164">
        <f>IF(Source!BI52=2,I157+I158+I160+I161+I162-0, 0)</f>
        <v>0</v>
      </c>
      <c r="Z164">
        <f>IF(Source!BI52=3,I157+I158+I160+I161+I162-0, 0)</f>
        <v>0</v>
      </c>
      <c r="AA164">
        <f>IF(Source!BI52=4,I157+I158+I160+I161+I162,0)</f>
        <v>0</v>
      </c>
    </row>
    <row r="165" spans="1:27" ht="42.75" x14ac:dyDescent="0.2">
      <c r="A165" s="19" t="str">
        <f>Source!E53</f>
        <v>16</v>
      </c>
      <c r="B165" s="20" t="str">
        <f>Source!F53</f>
        <v>6.68-51-2</v>
      </c>
      <c r="C165" s="20" t="s">
        <v>112</v>
      </c>
      <c r="D165" s="21" t="str">
        <f>Source!H53</f>
        <v>100 м3 конструкций</v>
      </c>
      <c r="E165" s="10">
        <f>Source!I53</f>
        <v>9.894E-2</v>
      </c>
      <c r="F165" s="23"/>
      <c r="G165" s="22"/>
      <c r="H165" s="10"/>
      <c r="I165" s="24"/>
      <c r="J165" s="10"/>
      <c r="K165" s="24"/>
      <c r="Q165">
        <f>ROUND((Source!DN53/100)*ROUND((ROUND((Source!AF53*Source!AV53*Source!I53),2)),2), 2)</f>
        <v>9.14</v>
      </c>
      <c r="R165">
        <f>Source!X53</f>
        <v>166.56</v>
      </c>
      <c r="S165">
        <f>ROUND((Source!DO53/100)*ROUND((ROUND((Source!AF53*Source!AV53*Source!I53),2)),2), 2)</f>
        <v>6.29</v>
      </c>
      <c r="T165">
        <f>Source!Y53</f>
        <v>100.43</v>
      </c>
      <c r="U165">
        <f>ROUND((175/100)*ROUND((ROUND((Source!AE53*Source!AV53*Source!I53),2)),2), 2)</f>
        <v>14.79</v>
      </c>
      <c r="V165">
        <f>ROUND((157/100)*ROUND(ROUND((ROUND((Source!AE53*Source!AV53*Source!I53),2)*Source!BS53),2), 2), 2)</f>
        <v>284.3</v>
      </c>
    </row>
    <row r="166" spans="1:27" ht="14.25" x14ac:dyDescent="0.2">
      <c r="A166" s="19"/>
      <c r="B166" s="20"/>
      <c r="C166" s="20" t="s">
        <v>514</v>
      </c>
      <c r="D166" s="21"/>
      <c r="E166" s="10"/>
      <c r="F166" s="23">
        <f>Source!AO53</f>
        <v>110.33</v>
      </c>
      <c r="G166" s="22" t="str">
        <f>Source!DG53</f>
        <v/>
      </c>
      <c r="H166" s="10">
        <f>Source!AV53</f>
        <v>1.0469999999999999</v>
      </c>
      <c r="I166" s="24">
        <f>ROUND((ROUND((Source!AF53*Source!AV53*Source!I53),2)),2)</f>
        <v>11.43</v>
      </c>
      <c r="J166" s="10">
        <f>IF(Source!BA53&lt;&gt; 0, Source!BA53, 1)</f>
        <v>21.43</v>
      </c>
      <c r="K166" s="24">
        <f>Source!S53</f>
        <v>244.94</v>
      </c>
      <c r="W166">
        <f>I166</f>
        <v>11.43</v>
      </c>
    </row>
    <row r="167" spans="1:27" ht="14.25" x14ac:dyDescent="0.2">
      <c r="A167" s="19"/>
      <c r="B167" s="20"/>
      <c r="C167" s="20" t="s">
        <v>515</v>
      </c>
      <c r="D167" s="21"/>
      <c r="E167" s="10"/>
      <c r="F167" s="23">
        <f>Source!AM53</f>
        <v>402.43</v>
      </c>
      <c r="G167" s="22" t="str">
        <f>Source!DE53</f>
        <v/>
      </c>
      <c r="H167" s="10">
        <f>Source!AV53</f>
        <v>1.0469999999999999</v>
      </c>
      <c r="I167" s="24">
        <f>(ROUND((ROUND(((Source!ET53)*Source!AV53*Source!I53),2)),2)+ROUND((ROUND(((Source!AE53-(Source!EU53))*Source!AV53*Source!I53),2)),2))</f>
        <v>41.69</v>
      </c>
      <c r="J167" s="10">
        <f>IF(Source!BB53&lt;&gt; 0, Source!BB53, 1)</f>
        <v>10.18</v>
      </c>
      <c r="K167" s="24">
        <f>Source!Q53</f>
        <v>424.4</v>
      </c>
    </row>
    <row r="168" spans="1:27" ht="14.25" x14ac:dyDescent="0.2">
      <c r="A168" s="19"/>
      <c r="B168" s="20"/>
      <c r="C168" s="20" t="s">
        <v>516</v>
      </c>
      <c r="D168" s="21"/>
      <c r="E168" s="10"/>
      <c r="F168" s="23">
        <f>Source!AN53</f>
        <v>81.58</v>
      </c>
      <c r="G168" s="22" t="str">
        <f>Source!DF53</f>
        <v/>
      </c>
      <c r="H168" s="10">
        <f>Source!AV53</f>
        <v>1.0469999999999999</v>
      </c>
      <c r="I168" s="25">
        <f>ROUND((ROUND((Source!AE53*Source!AV53*Source!I53),2)),2)</f>
        <v>8.4499999999999993</v>
      </c>
      <c r="J168" s="10">
        <f>IF(Source!BS53&lt;&gt; 0, Source!BS53, 1)</f>
        <v>21.43</v>
      </c>
      <c r="K168" s="25">
        <f>Source!R53</f>
        <v>181.08</v>
      </c>
      <c r="W168">
        <f>I168</f>
        <v>8.4499999999999993</v>
      </c>
    </row>
    <row r="169" spans="1:27" ht="14.25" x14ac:dyDescent="0.2">
      <c r="A169" s="19"/>
      <c r="B169" s="20"/>
      <c r="C169" s="20" t="s">
        <v>517</v>
      </c>
      <c r="D169" s="21" t="s">
        <v>518</v>
      </c>
      <c r="E169" s="10">
        <f>Source!DN53</f>
        <v>80</v>
      </c>
      <c r="F169" s="23"/>
      <c r="G169" s="22"/>
      <c r="H169" s="10"/>
      <c r="I169" s="24">
        <f>SUM(Q165:Q168)</f>
        <v>9.14</v>
      </c>
      <c r="J169" s="10">
        <f>Source!BZ53</f>
        <v>68</v>
      </c>
      <c r="K169" s="24">
        <f>SUM(R165:R168)</f>
        <v>166.56</v>
      </c>
    </row>
    <row r="170" spans="1:27" ht="14.25" x14ac:dyDescent="0.2">
      <c r="A170" s="19"/>
      <c r="B170" s="20"/>
      <c r="C170" s="20" t="s">
        <v>519</v>
      </c>
      <c r="D170" s="21" t="s">
        <v>518</v>
      </c>
      <c r="E170" s="10">
        <f>Source!DO53</f>
        <v>55</v>
      </c>
      <c r="F170" s="23"/>
      <c r="G170" s="22"/>
      <c r="H170" s="10"/>
      <c r="I170" s="24">
        <f>SUM(S165:S169)</f>
        <v>6.29</v>
      </c>
      <c r="J170" s="10">
        <f>Source!CA53</f>
        <v>41</v>
      </c>
      <c r="K170" s="24">
        <f>SUM(T165:T169)</f>
        <v>100.43</v>
      </c>
    </row>
    <row r="171" spans="1:27" ht="14.25" x14ac:dyDescent="0.2">
      <c r="A171" s="19"/>
      <c r="B171" s="20"/>
      <c r="C171" s="20" t="s">
        <v>520</v>
      </c>
      <c r="D171" s="21" t="s">
        <v>518</v>
      </c>
      <c r="E171" s="10">
        <f>175</f>
        <v>175</v>
      </c>
      <c r="F171" s="23"/>
      <c r="G171" s="22"/>
      <c r="H171" s="10"/>
      <c r="I171" s="24">
        <f>SUM(U165:U170)</f>
        <v>14.79</v>
      </c>
      <c r="J171" s="10">
        <f>157</f>
        <v>157</v>
      </c>
      <c r="K171" s="24">
        <f>SUM(V165:V170)</f>
        <v>284.3</v>
      </c>
    </row>
    <row r="172" spans="1:27" ht="14.25" x14ac:dyDescent="0.2">
      <c r="A172" s="19"/>
      <c r="B172" s="20"/>
      <c r="C172" s="20" t="s">
        <v>521</v>
      </c>
      <c r="D172" s="21" t="s">
        <v>522</v>
      </c>
      <c r="E172" s="10">
        <f>Source!AQ53</f>
        <v>11.7</v>
      </c>
      <c r="F172" s="23"/>
      <c r="G172" s="22" t="str">
        <f>Source!DI53</f>
        <v/>
      </c>
      <c r="H172" s="10">
        <f>Source!AV53</f>
        <v>1.0469999999999999</v>
      </c>
      <c r="I172" s="24">
        <f>Source!U53</f>
        <v>1.2120051059999999</v>
      </c>
      <c r="J172" s="10"/>
      <c r="K172" s="24"/>
    </row>
    <row r="173" spans="1:27" ht="15" x14ac:dyDescent="0.25">
      <c r="A173" s="27"/>
      <c r="B173" s="27"/>
      <c r="C173" s="27"/>
      <c r="D173" s="27"/>
      <c r="E173" s="27"/>
      <c r="F173" s="27"/>
      <c r="G173" s="27"/>
      <c r="H173" s="38">
        <f>I166+I167+I169+I170+I171</f>
        <v>83.34</v>
      </c>
      <c r="I173" s="38"/>
      <c r="J173" s="38">
        <f>K166+K167+K169+K170+K171</f>
        <v>1220.6299999999999</v>
      </c>
      <c r="K173" s="38"/>
      <c r="O173" s="26">
        <f>I166+I167+I169+I170+I171</f>
        <v>83.34</v>
      </c>
      <c r="P173" s="26">
        <f>K166+K167+K169+K170+K171</f>
        <v>1220.6299999999999</v>
      </c>
      <c r="X173">
        <f>IF(Source!BI53&lt;=1,I166+I167+I169+I170+I171-0, 0)</f>
        <v>83.34</v>
      </c>
      <c r="Y173">
        <f>IF(Source!BI53=2,I166+I167+I169+I170+I171-0, 0)</f>
        <v>0</v>
      </c>
      <c r="Z173">
        <f>IF(Source!BI53=3,I166+I167+I169+I170+I171-0, 0)</f>
        <v>0</v>
      </c>
      <c r="AA173">
        <f>IF(Source!BI53=4,I166+I167+I169+I170+I171,0)</f>
        <v>0</v>
      </c>
    </row>
    <row r="174" spans="1:27" ht="42.75" x14ac:dyDescent="0.2">
      <c r="A174" s="19" t="str">
        <f>Source!E56</f>
        <v>19</v>
      </c>
      <c r="B174" s="20" t="str">
        <f>Source!F56</f>
        <v>6.68-13-1</v>
      </c>
      <c r="C174" s="20" t="s">
        <v>44</v>
      </c>
      <c r="D174" s="21" t="str">
        <f>Source!H56</f>
        <v>1 Т</v>
      </c>
      <c r="E174" s="10">
        <f>Source!I56</f>
        <v>74.693039999999996</v>
      </c>
      <c r="F174" s="23"/>
      <c r="G174" s="22"/>
      <c r="H174" s="10"/>
      <c r="I174" s="24"/>
      <c r="J174" s="10"/>
      <c r="K174" s="24"/>
      <c r="Q174">
        <f>ROUND((Source!DN56/100)*ROUND((ROUND((Source!AF56*Source!AV56*Source!I56),2)),2), 2)</f>
        <v>0</v>
      </c>
      <c r="R174">
        <f>Source!X56</f>
        <v>0</v>
      </c>
      <c r="S174">
        <f>ROUND((Source!DO56/100)*ROUND((ROUND((Source!AF56*Source!AV56*Source!I56),2)),2), 2)</f>
        <v>0</v>
      </c>
      <c r="T174">
        <f>Source!Y56</f>
        <v>0</v>
      </c>
      <c r="U174">
        <f>ROUND((175/100)*ROUND((ROUND((Source!AE56*Source!AV56*Source!I56),2)),2), 2)</f>
        <v>202.55</v>
      </c>
      <c r="V174">
        <f>ROUND((157/100)*ROUND(ROUND((ROUND((Source!AE56*Source!AV56*Source!I56),2)*Source!BS56),2), 2), 2)</f>
        <v>3894.09</v>
      </c>
    </row>
    <row r="175" spans="1:27" ht="14.25" x14ac:dyDescent="0.2">
      <c r="A175" s="19"/>
      <c r="B175" s="20"/>
      <c r="C175" s="20" t="s">
        <v>515</v>
      </c>
      <c r="D175" s="21"/>
      <c r="E175" s="10"/>
      <c r="F175" s="23">
        <f>Source!AM56</f>
        <v>8.86</v>
      </c>
      <c r="G175" s="22" t="str">
        <f>Source!DE56</f>
        <v/>
      </c>
      <c r="H175" s="10">
        <f>Source!AV56</f>
        <v>1.0469999999999999</v>
      </c>
      <c r="I175" s="24">
        <f>(ROUND((ROUND(((Source!ET56)*Source!AV56*Source!I56),2)),2)+ROUND((ROUND(((Source!AE56-(Source!EU56))*Source!AV56*Source!I56),2)),2))</f>
        <v>692.88</v>
      </c>
      <c r="J175" s="10">
        <f>IF(Source!BB56&lt;&gt; 0, Source!BB56, 1)</f>
        <v>7.96</v>
      </c>
      <c r="K175" s="24">
        <f>Source!Q56</f>
        <v>5515.32</v>
      </c>
    </row>
    <row r="176" spans="1:27" ht="14.25" x14ac:dyDescent="0.2">
      <c r="A176" s="19"/>
      <c r="B176" s="20"/>
      <c r="C176" s="20" t="s">
        <v>516</v>
      </c>
      <c r="D176" s="21"/>
      <c r="E176" s="10"/>
      <c r="F176" s="23">
        <f>Source!AN56</f>
        <v>1.48</v>
      </c>
      <c r="G176" s="22" t="str">
        <f>Source!DF56</f>
        <v/>
      </c>
      <c r="H176" s="10">
        <f>Source!AV56</f>
        <v>1.0469999999999999</v>
      </c>
      <c r="I176" s="25">
        <f>ROUND((ROUND((Source!AE56*Source!AV56*Source!I56),2)),2)</f>
        <v>115.74</v>
      </c>
      <c r="J176" s="10">
        <f>IF(Source!BS56&lt;&gt; 0, Source!BS56, 1)</f>
        <v>21.43</v>
      </c>
      <c r="K176" s="25">
        <f>Source!R56</f>
        <v>2480.31</v>
      </c>
      <c r="W176">
        <f>I176</f>
        <v>115.74</v>
      </c>
    </row>
    <row r="177" spans="1:27" ht="14.25" x14ac:dyDescent="0.2">
      <c r="A177" s="19"/>
      <c r="B177" s="20"/>
      <c r="C177" s="20" t="s">
        <v>520</v>
      </c>
      <c r="D177" s="21" t="s">
        <v>518</v>
      </c>
      <c r="E177" s="10">
        <f>175</f>
        <v>175</v>
      </c>
      <c r="F177" s="23"/>
      <c r="G177" s="22"/>
      <c r="H177" s="10"/>
      <c r="I177" s="24">
        <f>SUM(U174:U176)</f>
        <v>202.55</v>
      </c>
      <c r="J177" s="10">
        <f>157</f>
        <v>157</v>
      </c>
      <c r="K177" s="24">
        <f>SUM(V174:V176)</f>
        <v>3894.09</v>
      </c>
    </row>
    <row r="178" spans="1:27" ht="15" x14ac:dyDescent="0.25">
      <c r="A178" s="27"/>
      <c r="B178" s="27"/>
      <c r="C178" s="27"/>
      <c r="D178" s="27"/>
      <c r="E178" s="27"/>
      <c r="F178" s="27"/>
      <c r="G178" s="27"/>
      <c r="H178" s="38">
        <f>I175+I177</f>
        <v>895.43000000000006</v>
      </c>
      <c r="I178" s="38"/>
      <c r="J178" s="38">
        <f>K175+K177</f>
        <v>9409.41</v>
      </c>
      <c r="K178" s="38"/>
      <c r="O178" s="26">
        <f>I175+I177</f>
        <v>895.43000000000006</v>
      </c>
      <c r="P178" s="26">
        <f>K175+K177</f>
        <v>9409.41</v>
      </c>
      <c r="X178">
        <f>IF(Source!BI56&lt;=1,I175+I177-0, 0)</f>
        <v>895.43000000000006</v>
      </c>
      <c r="Y178">
        <f>IF(Source!BI56=2,I175+I177-0, 0)</f>
        <v>0</v>
      </c>
      <c r="Z178">
        <f>IF(Source!BI56=3,I175+I177-0, 0)</f>
        <v>0</v>
      </c>
      <c r="AA178">
        <f>IF(Source!BI56=4,I175+I177,0)</f>
        <v>0</v>
      </c>
    </row>
    <row r="179" spans="1:27" ht="99.75" x14ac:dyDescent="0.2">
      <c r="A179" s="19" t="str">
        <f>Source!E57</f>
        <v>20</v>
      </c>
      <c r="B179" s="20" t="str">
        <f>Source!F57</f>
        <v>3.27-12-1</v>
      </c>
      <c r="C179" s="20" t="s">
        <v>50</v>
      </c>
      <c r="D179" s="21" t="str">
        <f>Source!H57</f>
        <v>100 м3 материала основания (в плотном теле)</v>
      </c>
      <c r="E179" s="10">
        <f>Source!I57</f>
        <v>0.206125</v>
      </c>
      <c r="F179" s="23"/>
      <c r="G179" s="22"/>
      <c r="H179" s="10"/>
      <c r="I179" s="24"/>
      <c r="J179" s="10"/>
      <c r="K179" s="24"/>
      <c r="Q179">
        <f>ROUND((Source!DN57/100)*ROUND((ROUND((Source!AF57*Source!AV57*Source!I57),2)),2), 2)</f>
        <v>52.63</v>
      </c>
      <c r="R179">
        <f>Source!X57</f>
        <v>917.72</v>
      </c>
      <c r="S179">
        <f>ROUND((Source!DO57/100)*ROUND((ROUND((Source!AF57*Source!AV57*Source!I57),2)),2), 2)</f>
        <v>34.979999999999997</v>
      </c>
      <c r="T179">
        <f>Source!Y57</f>
        <v>378.3</v>
      </c>
      <c r="U179">
        <f>ROUND((175/100)*ROUND((ROUND((Source!AE57*Source!AV57*Source!I57),2)),2), 2)</f>
        <v>44.96</v>
      </c>
      <c r="V179">
        <f>ROUND((157/100)*ROUND(ROUND((ROUND((Source!AE57*Source!AV57*Source!I57),2)*Source!BS57),2), 2), 2)</f>
        <v>864.35</v>
      </c>
    </row>
    <row r="180" spans="1:27" ht="14.25" x14ac:dyDescent="0.2">
      <c r="A180" s="19"/>
      <c r="B180" s="20"/>
      <c r="C180" s="20" t="s">
        <v>514</v>
      </c>
      <c r="D180" s="21"/>
      <c r="E180" s="10"/>
      <c r="F180" s="23">
        <f>Source!AO57</f>
        <v>151.49</v>
      </c>
      <c r="G180" s="22" t="str">
        <f>Source!DG57</f>
        <v/>
      </c>
      <c r="H180" s="10">
        <f>Source!AV57</f>
        <v>1.0469999999999999</v>
      </c>
      <c r="I180" s="24">
        <f>ROUND((ROUND((Source!AF57*Source!AV57*Source!I57),2)),2)</f>
        <v>32.69</v>
      </c>
      <c r="J180" s="10">
        <f>IF(Source!BA57&lt;&gt; 0, Source!BA57, 1)</f>
        <v>21.43</v>
      </c>
      <c r="K180" s="24">
        <f>Source!S57</f>
        <v>700.55</v>
      </c>
      <c r="W180">
        <f>I180</f>
        <v>32.69</v>
      </c>
    </row>
    <row r="181" spans="1:27" ht="14.25" x14ac:dyDescent="0.2">
      <c r="A181" s="19"/>
      <c r="B181" s="20"/>
      <c r="C181" s="20" t="s">
        <v>515</v>
      </c>
      <c r="D181" s="21"/>
      <c r="E181" s="10"/>
      <c r="F181" s="23">
        <f>Source!AM57</f>
        <v>676.47</v>
      </c>
      <c r="G181" s="22" t="str">
        <f>Source!DE57</f>
        <v/>
      </c>
      <c r="H181" s="10">
        <f>Source!AV57</f>
        <v>1.0469999999999999</v>
      </c>
      <c r="I181" s="24">
        <f>(ROUND((ROUND(((Source!ET57)*Source!AV57*Source!I57),2)),2)+ROUND((ROUND(((Source!AE57-(Source!EU57))*Source!AV57*Source!I57),2)),2))</f>
        <v>145.99</v>
      </c>
      <c r="J181" s="10">
        <f>IF(Source!BB57&lt;&gt; 0, Source!BB57, 1)</f>
        <v>9.82</v>
      </c>
      <c r="K181" s="24">
        <f>Source!Q57</f>
        <v>1433.62</v>
      </c>
    </row>
    <row r="182" spans="1:27" ht="14.25" x14ac:dyDescent="0.2">
      <c r="A182" s="19"/>
      <c r="B182" s="20"/>
      <c r="C182" s="20" t="s">
        <v>516</v>
      </c>
      <c r="D182" s="21"/>
      <c r="E182" s="10"/>
      <c r="F182" s="23">
        <f>Source!AN57</f>
        <v>119.05</v>
      </c>
      <c r="G182" s="22" t="str">
        <f>Source!DF57</f>
        <v/>
      </c>
      <c r="H182" s="10">
        <f>Source!AV57</f>
        <v>1.0469999999999999</v>
      </c>
      <c r="I182" s="25">
        <f>ROUND((ROUND((Source!AE57*Source!AV57*Source!I57),2)),2)</f>
        <v>25.69</v>
      </c>
      <c r="J182" s="10">
        <f>IF(Source!BS57&lt;&gt; 0, Source!BS57, 1)</f>
        <v>21.43</v>
      </c>
      <c r="K182" s="25">
        <f>Source!R57</f>
        <v>550.54</v>
      </c>
      <c r="W182">
        <f>I182</f>
        <v>25.69</v>
      </c>
    </row>
    <row r="183" spans="1:27" ht="14.25" x14ac:dyDescent="0.2">
      <c r="A183" s="19"/>
      <c r="B183" s="20"/>
      <c r="C183" s="20" t="s">
        <v>523</v>
      </c>
      <c r="D183" s="21"/>
      <c r="E183" s="10"/>
      <c r="F183" s="23">
        <f>Source!AL57</f>
        <v>35.35</v>
      </c>
      <c r="G183" s="22" t="str">
        <f>Source!DD57</f>
        <v/>
      </c>
      <c r="H183" s="10">
        <f>Source!AW57</f>
        <v>1.002</v>
      </c>
      <c r="I183" s="24">
        <f>ROUND((ROUND((Source!AC57*Source!AW57*Source!I57),2)),2)</f>
        <v>7.3</v>
      </c>
      <c r="J183" s="10">
        <f>IF(Source!BC57&lt;&gt; 0, Source!BC57, 1)</f>
        <v>4.5599999999999996</v>
      </c>
      <c r="K183" s="24">
        <f>Source!P57</f>
        <v>33.29</v>
      </c>
    </row>
    <row r="184" spans="1:27" ht="28.5" x14ac:dyDescent="0.2">
      <c r="A184" s="19" t="str">
        <f>Source!E58</f>
        <v>20,1</v>
      </c>
      <c r="B184" s="20" t="str">
        <f>Source!F58</f>
        <v>1.1-1-766</v>
      </c>
      <c r="C184" s="20" t="s">
        <v>58</v>
      </c>
      <c r="D184" s="21" t="str">
        <f>Source!H58</f>
        <v>м3</v>
      </c>
      <c r="E184" s="10">
        <f>Source!I58</f>
        <v>22.673749999999998</v>
      </c>
      <c r="F184" s="23">
        <f>Source!AK58</f>
        <v>104.99</v>
      </c>
      <c r="G184" s="28" t="s">
        <v>5</v>
      </c>
      <c r="H184" s="10">
        <f>Source!AW58</f>
        <v>1.002</v>
      </c>
      <c r="I184" s="24">
        <f>ROUND((ROUND((Source!AC58*Source!AW58*Source!I58),2)),2)+(ROUND((ROUND(((Source!ET58)*Source!AV58*Source!I58),2)),2)+ROUND((ROUND(((Source!AE58-(Source!EU58))*Source!AV58*Source!I58),2)),2))+ROUND((ROUND((Source!AF58*Source!AV58*Source!I58),2)),2)</f>
        <v>2385.2800000000002</v>
      </c>
      <c r="J184" s="10">
        <f>IF(Source!BC58&lt;&gt; 0, Source!BC58, 1)</f>
        <v>5.25</v>
      </c>
      <c r="K184" s="24">
        <f>Source!O58</f>
        <v>12522.72</v>
      </c>
      <c r="Q184">
        <f>ROUND((Source!DN58/100)*ROUND((ROUND((Source!AF58*Source!AV58*Source!I58),2)),2), 2)</f>
        <v>0</v>
      </c>
      <c r="R184">
        <f>Source!X58</f>
        <v>0</v>
      </c>
      <c r="S184">
        <f>ROUND((Source!DO58/100)*ROUND((ROUND((Source!AF58*Source!AV58*Source!I58),2)),2), 2)</f>
        <v>0</v>
      </c>
      <c r="T184">
        <f>Source!Y58</f>
        <v>0</v>
      </c>
      <c r="U184">
        <f>ROUND((175/100)*ROUND((ROUND((Source!AE58*Source!AV58*Source!I58),2)),2), 2)</f>
        <v>0</v>
      </c>
      <c r="V184">
        <f>ROUND((157/100)*ROUND(ROUND((ROUND((Source!AE58*Source!AV58*Source!I58),2)*Source!BS58),2), 2), 2)</f>
        <v>0</v>
      </c>
      <c r="X184">
        <f>IF(Source!BI58&lt;=1,I184, 0)</f>
        <v>2385.2800000000002</v>
      </c>
      <c r="Y184">
        <f>IF(Source!BI58=2,I184, 0)</f>
        <v>0</v>
      </c>
      <c r="Z184">
        <f>IF(Source!BI58=3,I184, 0)</f>
        <v>0</v>
      </c>
      <c r="AA184">
        <f>IF(Source!BI58=4,I184, 0)</f>
        <v>0</v>
      </c>
    </row>
    <row r="185" spans="1:27" ht="14.25" x14ac:dyDescent="0.2">
      <c r="A185" s="19"/>
      <c r="B185" s="20"/>
      <c r="C185" s="20" t="s">
        <v>517</v>
      </c>
      <c r="D185" s="21" t="s">
        <v>518</v>
      </c>
      <c r="E185" s="10">
        <f>Source!DN57</f>
        <v>161</v>
      </c>
      <c r="F185" s="23"/>
      <c r="G185" s="22"/>
      <c r="H185" s="10"/>
      <c r="I185" s="24">
        <f>SUM(Q179:Q184)</f>
        <v>52.63</v>
      </c>
      <c r="J185" s="10">
        <f>Source!BZ57</f>
        <v>131</v>
      </c>
      <c r="K185" s="24">
        <f>SUM(R179:R184)</f>
        <v>917.72</v>
      </c>
    </row>
    <row r="186" spans="1:27" ht="14.25" x14ac:dyDescent="0.2">
      <c r="A186" s="19"/>
      <c r="B186" s="20"/>
      <c r="C186" s="20" t="s">
        <v>519</v>
      </c>
      <c r="D186" s="21" t="s">
        <v>518</v>
      </c>
      <c r="E186" s="10">
        <f>Source!DO57</f>
        <v>107</v>
      </c>
      <c r="F186" s="23"/>
      <c r="G186" s="22"/>
      <c r="H186" s="10"/>
      <c r="I186" s="24">
        <f>SUM(S179:S185)</f>
        <v>34.979999999999997</v>
      </c>
      <c r="J186" s="10">
        <f>Source!CA57</f>
        <v>54</v>
      </c>
      <c r="K186" s="24">
        <f>SUM(T179:T185)</f>
        <v>378.3</v>
      </c>
    </row>
    <row r="187" spans="1:27" ht="14.25" x14ac:dyDescent="0.2">
      <c r="A187" s="19"/>
      <c r="B187" s="20"/>
      <c r="C187" s="20" t="s">
        <v>520</v>
      </c>
      <c r="D187" s="21" t="s">
        <v>518</v>
      </c>
      <c r="E187" s="10">
        <f>175</f>
        <v>175</v>
      </c>
      <c r="F187" s="23"/>
      <c r="G187" s="22"/>
      <c r="H187" s="10"/>
      <c r="I187" s="24">
        <f>SUM(U179:U186)</f>
        <v>44.96</v>
      </c>
      <c r="J187" s="10">
        <f>157</f>
        <v>157</v>
      </c>
      <c r="K187" s="24">
        <f>SUM(V179:V186)</f>
        <v>864.35</v>
      </c>
    </row>
    <row r="188" spans="1:27" ht="14.25" x14ac:dyDescent="0.2">
      <c r="A188" s="19"/>
      <c r="B188" s="20"/>
      <c r="C188" s="20" t="s">
        <v>521</v>
      </c>
      <c r="D188" s="21" t="s">
        <v>522</v>
      </c>
      <c r="E188" s="10">
        <f>Source!AQ57</f>
        <v>14.4</v>
      </c>
      <c r="F188" s="23"/>
      <c r="G188" s="22" t="str">
        <f>Source!DI57</f>
        <v/>
      </c>
      <c r="H188" s="10">
        <f>Source!AV57</f>
        <v>1.0469999999999999</v>
      </c>
      <c r="I188" s="24">
        <f>Source!U57</f>
        <v>3.1077054</v>
      </c>
      <c r="J188" s="10"/>
      <c r="K188" s="24"/>
    </row>
    <row r="189" spans="1:27" ht="15" x14ac:dyDescent="0.25">
      <c r="A189" s="27"/>
      <c r="B189" s="27"/>
      <c r="C189" s="27"/>
      <c r="D189" s="27"/>
      <c r="E189" s="27"/>
      <c r="F189" s="27"/>
      <c r="G189" s="27"/>
      <c r="H189" s="38">
        <f>I180+I181+I183+I185+I186+I187+SUM(I184:I184)</f>
        <v>2703.8300000000004</v>
      </c>
      <c r="I189" s="38"/>
      <c r="J189" s="38">
        <f>K180+K181+K183+K185+K186+K187+SUM(K184:K184)</f>
        <v>16850.55</v>
      </c>
      <c r="K189" s="38"/>
      <c r="O189" s="26">
        <f>I180+I181+I183+I185+I186+I187+SUM(I184:I184)</f>
        <v>2703.8300000000004</v>
      </c>
      <c r="P189" s="26">
        <f>K180+K181+K183+K185+K186+K187+SUM(K184:K184)</f>
        <v>16850.55</v>
      </c>
      <c r="X189">
        <f>IF(Source!BI57&lt;=1,I180+I181+I183+I185+I186+I187-0, 0)</f>
        <v>318.55</v>
      </c>
      <c r="Y189">
        <f>IF(Source!BI57=2,I180+I181+I183+I185+I186+I187-0, 0)</f>
        <v>0</v>
      </c>
      <c r="Z189">
        <f>IF(Source!BI57=3,I180+I181+I183+I185+I186+I187-0, 0)</f>
        <v>0</v>
      </c>
      <c r="AA189">
        <f>IF(Source!BI57=4,I180+I181+I183+I185+I186+I187,0)</f>
        <v>0</v>
      </c>
    </row>
    <row r="190" spans="1:27" ht="57" x14ac:dyDescent="0.2">
      <c r="A190" s="19" t="str">
        <f>Source!E63</f>
        <v>23</v>
      </c>
      <c r="B190" s="20" t="str">
        <f>Source!F63</f>
        <v>3.27-48-1</v>
      </c>
      <c r="C190" s="20" t="s">
        <v>130</v>
      </c>
      <c r="D190" s="21" t="str">
        <f>Source!H63</f>
        <v>100 м2 дорожек и тротуаров</v>
      </c>
      <c r="E190" s="10">
        <f>Source!I63</f>
        <v>0.82450000000000001</v>
      </c>
      <c r="F190" s="23"/>
      <c r="G190" s="22"/>
      <c r="H190" s="10"/>
      <c r="I190" s="24"/>
      <c r="J190" s="10"/>
      <c r="K190" s="24"/>
      <c r="Q190">
        <f>ROUND((Source!DN63/100)*ROUND((ROUND((Source!AF63*Source!AV63*Source!I63),2)),2), 2)</f>
        <v>314.26</v>
      </c>
      <c r="R190">
        <f>Source!X63</f>
        <v>5327.31</v>
      </c>
      <c r="S190">
        <f>ROUND((Source!DO63/100)*ROUND((ROUND((Source!AF63*Source!AV63*Source!I63),2)),2), 2)</f>
        <v>194.65</v>
      </c>
      <c r="T190">
        <f>Source!Y63</f>
        <v>2060.56</v>
      </c>
      <c r="U190">
        <f>ROUND((175/100)*ROUND((ROUND((Source!AE63*Source!AV63*Source!I63),2)),2), 2)</f>
        <v>65.19</v>
      </c>
      <c r="V190">
        <f>ROUND((157/100)*ROUND(ROUND((ROUND((Source!AE63*Source!AV63*Source!I63),2)*Source!BS63),2), 2), 2)</f>
        <v>1253.28</v>
      </c>
    </row>
    <row r="191" spans="1:27" ht="14.25" x14ac:dyDescent="0.2">
      <c r="A191" s="19"/>
      <c r="B191" s="20"/>
      <c r="C191" s="20" t="s">
        <v>514</v>
      </c>
      <c r="D191" s="21"/>
      <c r="E191" s="10"/>
      <c r="F191" s="23">
        <f>Source!AO63</f>
        <v>271.67</v>
      </c>
      <c r="G191" s="22" t="str">
        <f>Source!DG63</f>
        <v/>
      </c>
      <c r="H191" s="10">
        <f>Source!AV63</f>
        <v>1.0469999999999999</v>
      </c>
      <c r="I191" s="24">
        <f>ROUND((ROUND((Source!AF63*Source!AV63*Source!I63),2)),2)</f>
        <v>234.52</v>
      </c>
      <c r="J191" s="10">
        <f>IF(Source!BA63&lt;&gt; 0, Source!BA63, 1)</f>
        <v>21.43</v>
      </c>
      <c r="K191" s="24">
        <f>Source!S63</f>
        <v>5025.76</v>
      </c>
      <c r="W191">
        <f>I191</f>
        <v>234.52</v>
      </c>
    </row>
    <row r="192" spans="1:27" ht="14.25" x14ac:dyDescent="0.2">
      <c r="A192" s="19"/>
      <c r="B192" s="20"/>
      <c r="C192" s="20" t="s">
        <v>515</v>
      </c>
      <c r="D192" s="21"/>
      <c r="E192" s="10"/>
      <c r="F192" s="23">
        <f>Source!AM63</f>
        <v>176.34</v>
      </c>
      <c r="G192" s="22" t="str">
        <f>Source!DE63</f>
        <v/>
      </c>
      <c r="H192" s="10">
        <f>Source!AV63</f>
        <v>1.0469999999999999</v>
      </c>
      <c r="I192" s="24">
        <f>(ROUND((ROUND(((Source!ET63)*Source!AV63*Source!I63),2)),2)+ROUND((ROUND(((Source!AE63-(Source!EU63))*Source!AV63*Source!I63),2)),2))</f>
        <v>152.22999999999999</v>
      </c>
      <c r="J192" s="10">
        <f>IF(Source!BB63&lt;&gt; 0, Source!BB63, 1)</f>
        <v>12.97</v>
      </c>
      <c r="K192" s="24">
        <f>Source!Q63</f>
        <v>1974.42</v>
      </c>
    </row>
    <row r="193" spans="1:27" ht="14.25" x14ac:dyDescent="0.2">
      <c r="A193" s="19"/>
      <c r="B193" s="20"/>
      <c r="C193" s="20" t="s">
        <v>516</v>
      </c>
      <c r="D193" s="21"/>
      <c r="E193" s="10"/>
      <c r="F193" s="23">
        <f>Source!AN63</f>
        <v>43.15</v>
      </c>
      <c r="G193" s="22" t="str">
        <f>Source!DF63</f>
        <v/>
      </c>
      <c r="H193" s="10">
        <f>Source!AV63</f>
        <v>1.0469999999999999</v>
      </c>
      <c r="I193" s="25">
        <f>ROUND((ROUND((Source!AE63*Source!AV63*Source!I63),2)),2)</f>
        <v>37.25</v>
      </c>
      <c r="J193" s="10">
        <f>IF(Source!BS63&lt;&gt; 0, Source!BS63, 1)</f>
        <v>21.43</v>
      </c>
      <c r="K193" s="25">
        <f>Source!R63</f>
        <v>798.27</v>
      </c>
      <c r="W193">
        <f>I193</f>
        <v>37.25</v>
      </c>
    </row>
    <row r="194" spans="1:27" ht="14.25" x14ac:dyDescent="0.2">
      <c r="A194" s="19"/>
      <c r="B194" s="20"/>
      <c r="C194" s="20" t="s">
        <v>523</v>
      </c>
      <c r="D194" s="21"/>
      <c r="E194" s="10"/>
      <c r="F194" s="23">
        <f>Source!AL63</f>
        <v>14.14</v>
      </c>
      <c r="G194" s="22" t="str">
        <f>Source!DD63</f>
        <v/>
      </c>
      <c r="H194" s="10">
        <f>Source!AW63</f>
        <v>1.002</v>
      </c>
      <c r="I194" s="24">
        <f>ROUND((ROUND((Source!AC63*Source!AW63*Source!I63),2)),2)</f>
        <v>11.68</v>
      </c>
      <c r="J194" s="10">
        <f>IF(Source!BC63&lt;&gt; 0, Source!BC63, 1)</f>
        <v>4.5599999999999996</v>
      </c>
      <c r="K194" s="24">
        <f>Source!P63</f>
        <v>53.26</v>
      </c>
    </row>
    <row r="195" spans="1:27" ht="42.75" x14ac:dyDescent="0.2">
      <c r="A195" s="19" t="str">
        <f>Source!E64</f>
        <v>23,1</v>
      </c>
      <c r="B195" s="20" t="str">
        <f>Source!F64</f>
        <v>1.1-1-1555</v>
      </c>
      <c r="C195" s="20" t="s">
        <v>137</v>
      </c>
      <c r="D195" s="21" t="str">
        <f>Source!H64</f>
        <v>м3</v>
      </c>
      <c r="E195" s="10">
        <f>Source!I64</f>
        <v>14.346299999999999</v>
      </c>
      <c r="F195" s="23">
        <f>Source!AK64</f>
        <v>160.62</v>
      </c>
      <c r="G195" s="28" t="s">
        <v>5</v>
      </c>
      <c r="H195" s="10">
        <f>Source!AW64</f>
        <v>1.002</v>
      </c>
      <c r="I195" s="24">
        <f>ROUND((ROUND((Source!AC64*Source!AW64*Source!I64),2)),2)+(ROUND((ROUND(((Source!ET64)*Source!AV64*Source!I64),2)),2)+ROUND((ROUND(((Source!AE64-(Source!EU64))*Source!AV64*Source!I64),2)),2))+ROUND((ROUND((Source!AF64*Source!AV64*Source!I64),2)),2)</f>
        <v>2308.91</v>
      </c>
      <c r="J195" s="10">
        <f>IF(Source!BC64&lt;&gt; 0, Source!BC64, 1)</f>
        <v>13.69</v>
      </c>
      <c r="K195" s="24">
        <f>Source!O64</f>
        <v>31608.98</v>
      </c>
      <c r="Q195">
        <f>ROUND((Source!DN64/100)*ROUND((ROUND((Source!AF64*Source!AV64*Source!I64),2)),2), 2)</f>
        <v>0</v>
      </c>
      <c r="R195">
        <f>Source!X64</f>
        <v>0</v>
      </c>
      <c r="S195">
        <f>ROUND((Source!DO64/100)*ROUND((ROUND((Source!AF64*Source!AV64*Source!I64),2)),2), 2)</f>
        <v>0</v>
      </c>
      <c r="T195">
        <f>Source!Y64</f>
        <v>0</v>
      </c>
      <c r="U195">
        <f>ROUND((175/100)*ROUND((ROUND((Source!AE64*Source!AV64*Source!I64),2)),2), 2)</f>
        <v>0</v>
      </c>
      <c r="V195">
        <f>ROUND((157/100)*ROUND(ROUND((ROUND((Source!AE64*Source!AV64*Source!I64),2)*Source!BS64),2), 2), 2)</f>
        <v>0</v>
      </c>
      <c r="X195">
        <f>IF(Source!BI64&lt;=1,I195, 0)</f>
        <v>2308.91</v>
      </c>
      <c r="Y195">
        <f>IF(Source!BI64=2,I195, 0)</f>
        <v>0</v>
      </c>
      <c r="Z195">
        <f>IF(Source!BI64=3,I195, 0)</f>
        <v>0</v>
      </c>
      <c r="AA195">
        <f>IF(Source!BI64=4,I195, 0)</f>
        <v>0</v>
      </c>
    </row>
    <row r="196" spans="1:27" ht="14.25" x14ac:dyDescent="0.2">
      <c r="A196" s="19"/>
      <c r="B196" s="20"/>
      <c r="C196" s="20" t="s">
        <v>517</v>
      </c>
      <c r="D196" s="21" t="s">
        <v>518</v>
      </c>
      <c r="E196" s="10">
        <f>Source!DN63</f>
        <v>134</v>
      </c>
      <c r="F196" s="23"/>
      <c r="G196" s="22"/>
      <c r="H196" s="10"/>
      <c r="I196" s="24">
        <f>SUM(Q190:Q195)</f>
        <v>314.26</v>
      </c>
      <c r="J196" s="10">
        <f>Source!BZ63</f>
        <v>106</v>
      </c>
      <c r="K196" s="24">
        <f>SUM(R190:R195)</f>
        <v>5327.31</v>
      </c>
    </row>
    <row r="197" spans="1:27" ht="14.25" x14ac:dyDescent="0.2">
      <c r="A197" s="19"/>
      <c r="B197" s="20"/>
      <c r="C197" s="20" t="s">
        <v>519</v>
      </c>
      <c r="D197" s="21" t="s">
        <v>518</v>
      </c>
      <c r="E197" s="10">
        <f>Source!DO63</f>
        <v>83</v>
      </c>
      <c r="F197" s="23"/>
      <c r="G197" s="22"/>
      <c r="H197" s="10"/>
      <c r="I197" s="24">
        <f>SUM(S190:S196)</f>
        <v>194.65</v>
      </c>
      <c r="J197" s="10">
        <f>Source!CA63</f>
        <v>41</v>
      </c>
      <c r="K197" s="24">
        <f>SUM(T190:T196)</f>
        <v>2060.56</v>
      </c>
    </row>
    <row r="198" spans="1:27" ht="14.25" x14ac:dyDescent="0.2">
      <c r="A198" s="19"/>
      <c r="B198" s="20"/>
      <c r="C198" s="20" t="s">
        <v>520</v>
      </c>
      <c r="D198" s="21" t="s">
        <v>518</v>
      </c>
      <c r="E198" s="10">
        <f>175</f>
        <v>175</v>
      </c>
      <c r="F198" s="23"/>
      <c r="G198" s="22"/>
      <c r="H198" s="10"/>
      <c r="I198" s="24">
        <f>SUM(U190:U197)</f>
        <v>65.19</v>
      </c>
      <c r="J198" s="10">
        <f>157</f>
        <v>157</v>
      </c>
      <c r="K198" s="24">
        <f>SUM(V190:V197)</f>
        <v>1253.28</v>
      </c>
    </row>
    <row r="199" spans="1:27" ht="14.25" x14ac:dyDescent="0.2">
      <c r="A199" s="19"/>
      <c r="B199" s="20"/>
      <c r="C199" s="20" t="s">
        <v>521</v>
      </c>
      <c r="D199" s="21" t="s">
        <v>522</v>
      </c>
      <c r="E199" s="10">
        <f>Source!AQ63</f>
        <v>24.3</v>
      </c>
      <c r="F199" s="23"/>
      <c r="G199" s="22" t="str">
        <f>Source!DI63</f>
        <v/>
      </c>
      <c r="H199" s="10">
        <f>Source!AV63</f>
        <v>1.0469999999999999</v>
      </c>
      <c r="I199" s="24">
        <f>Source!U63</f>
        <v>20.977011449999999</v>
      </c>
      <c r="J199" s="10"/>
      <c r="K199" s="24"/>
    </row>
    <row r="200" spans="1:27" ht="15" x14ac:dyDescent="0.25">
      <c r="A200" s="27"/>
      <c r="B200" s="27"/>
      <c r="C200" s="27"/>
      <c r="D200" s="27"/>
      <c r="E200" s="27"/>
      <c r="F200" s="27"/>
      <c r="G200" s="27"/>
      <c r="H200" s="38">
        <f>I191+I192+I194+I196+I197+I198+SUM(I195:I195)</f>
        <v>3281.4399999999996</v>
      </c>
      <c r="I200" s="38"/>
      <c r="J200" s="38">
        <f>K191+K192+K194+K196+K197+K198+SUM(K195:K195)</f>
        <v>47303.57</v>
      </c>
      <c r="K200" s="38"/>
      <c r="O200" s="26">
        <f>I191+I192+I194+I196+I197+I198+SUM(I195:I195)</f>
        <v>3281.4399999999996</v>
      </c>
      <c r="P200" s="26">
        <f>K191+K192+K194+K196+K197+K198+SUM(K195:K195)</f>
        <v>47303.57</v>
      </c>
      <c r="X200">
        <f>IF(Source!BI63&lt;=1,I191+I192+I194+I196+I197+I198-0, 0)</f>
        <v>972.53</v>
      </c>
      <c r="Y200">
        <f>IF(Source!BI63=2,I191+I192+I194+I196+I197+I198-0, 0)</f>
        <v>0</v>
      </c>
      <c r="Z200">
        <f>IF(Source!BI63=3,I191+I192+I194+I196+I197+I198-0, 0)</f>
        <v>0</v>
      </c>
      <c r="AA200">
        <f>IF(Source!BI63=4,I191+I192+I194+I196+I197+I198,0)</f>
        <v>0</v>
      </c>
    </row>
    <row r="201" spans="1:27" ht="71.25" x14ac:dyDescent="0.2">
      <c r="A201" s="19" t="str">
        <f>Source!E65</f>
        <v>24</v>
      </c>
      <c r="B201" s="20" t="str">
        <f>Source!F65</f>
        <v>3.27-47-3</v>
      </c>
      <c r="C201" s="20" t="s">
        <v>141</v>
      </c>
      <c r="D201" s="21" t="str">
        <f>Source!H65</f>
        <v>100 м2 покрытия</v>
      </c>
      <c r="E201" s="10">
        <f>Source!I65</f>
        <v>0.82450000000000001</v>
      </c>
      <c r="F201" s="23"/>
      <c r="G201" s="22"/>
      <c r="H201" s="10"/>
      <c r="I201" s="24"/>
      <c r="J201" s="10"/>
      <c r="K201" s="24"/>
      <c r="Q201">
        <f>ROUND((Source!DN65/100)*ROUND((ROUND((Source!AF65*Source!AV65*Source!I65),2)),2), 2)</f>
        <v>124.69</v>
      </c>
      <c r="R201">
        <f>Source!X65</f>
        <v>2113.6999999999998</v>
      </c>
      <c r="S201">
        <f>ROUND((Source!DO65/100)*ROUND((ROUND((Source!AF65*Source!AV65*Source!I65),2)),2), 2)</f>
        <v>77.23</v>
      </c>
      <c r="T201">
        <f>Source!Y65</f>
        <v>817.56</v>
      </c>
      <c r="U201">
        <f>ROUND((175/100)*ROUND((ROUND((Source!AE65*Source!AV65*Source!I65),2)),2), 2)</f>
        <v>24.5</v>
      </c>
      <c r="V201">
        <f>ROUND((157/100)*ROUND(ROUND((ROUND((Source!AE65*Source!AV65*Source!I65),2)*Source!BS65),2), 2), 2)</f>
        <v>471.03</v>
      </c>
    </row>
    <row r="202" spans="1:27" ht="14.25" x14ac:dyDescent="0.2">
      <c r="A202" s="19"/>
      <c r="B202" s="20"/>
      <c r="C202" s="20" t="s">
        <v>514</v>
      </c>
      <c r="D202" s="21"/>
      <c r="E202" s="10"/>
      <c r="F202" s="23">
        <f>Source!AO65</f>
        <v>107.79</v>
      </c>
      <c r="G202" s="22" t="str">
        <f>Source!DG65</f>
        <v/>
      </c>
      <c r="H202" s="10">
        <f>Source!AV65</f>
        <v>1.0469999999999999</v>
      </c>
      <c r="I202" s="24">
        <f>ROUND((ROUND((Source!AF65*Source!AV65*Source!I65),2)),2)</f>
        <v>93.05</v>
      </c>
      <c r="J202" s="10">
        <f>IF(Source!BA65&lt;&gt; 0, Source!BA65, 1)</f>
        <v>21.43</v>
      </c>
      <c r="K202" s="24">
        <f>Source!S65</f>
        <v>1994.06</v>
      </c>
      <c r="W202">
        <f>I202</f>
        <v>93.05</v>
      </c>
    </row>
    <row r="203" spans="1:27" ht="14.25" x14ac:dyDescent="0.2">
      <c r="A203" s="19"/>
      <c r="B203" s="20"/>
      <c r="C203" s="20" t="s">
        <v>515</v>
      </c>
      <c r="D203" s="21"/>
      <c r="E203" s="10"/>
      <c r="F203" s="23">
        <f>Source!AM65</f>
        <v>60.22</v>
      </c>
      <c r="G203" s="22" t="str">
        <f>Source!DE65</f>
        <v/>
      </c>
      <c r="H203" s="10">
        <f>Source!AV65</f>
        <v>1.0469999999999999</v>
      </c>
      <c r="I203" s="24">
        <f>(ROUND((ROUND(((Source!ET65)*Source!AV65*Source!I65),2)),2)+ROUND((ROUND(((Source!AE65-(Source!EU65))*Source!AV65*Source!I65),2)),2))</f>
        <v>51.99</v>
      </c>
      <c r="J203" s="10">
        <f>IF(Source!BB65&lt;&gt; 0, Source!BB65, 1)</f>
        <v>13.21</v>
      </c>
      <c r="K203" s="24">
        <f>Source!Q65</f>
        <v>686.79</v>
      </c>
    </row>
    <row r="204" spans="1:27" ht="14.25" x14ac:dyDescent="0.2">
      <c r="A204" s="19"/>
      <c r="B204" s="20"/>
      <c r="C204" s="20" t="s">
        <v>516</v>
      </c>
      <c r="D204" s="21"/>
      <c r="E204" s="10"/>
      <c r="F204" s="23">
        <f>Source!AN65</f>
        <v>16.22</v>
      </c>
      <c r="G204" s="22" t="str">
        <f>Source!DF65</f>
        <v/>
      </c>
      <c r="H204" s="10">
        <f>Source!AV65</f>
        <v>1.0469999999999999</v>
      </c>
      <c r="I204" s="25">
        <f>ROUND((ROUND((Source!AE65*Source!AV65*Source!I65),2)),2)</f>
        <v>14</v>
      </c>
      <c r="J204" s="10">
        <f>IF(Source!BS65&lt;&gt; 0, Source!BS65, 1)</f>
        <v>21.43</v>
      </c>
      <c r="K204" s="25">
        <f>Source!R65</f>
        <v>300.02</v>
      </c>
      <c r="W204">
        <f>I204</f>
        <v>14</v>
      </c>
    </row>
    <row r="205" spans="1:27" ht="14.25" x14ac:dyDescent="0.2">
      <c r="A205" s="19"/>
      <c r="B205" s="20"/>
      <c r="C205" s="20" t="s">
        <v>523</v>
      </c>
      <c r="D205" s="21"/>
      <c r="E205" s="10"/>
      <c r="F205" s="23">
        <f>Source!AL65</f>
        <v>210.11</v>
      </c>
      <c r="G205" s="22" t="str">
        <f>Source!DD65</f>
        <v/>
      </c>
      <c r="H205" s="10">
        <f>Source!AW65</f>
        <v>1</v>
      </c>
      <c r="I205" s="24">
        <f>ROUND((ROUND((Source!AC65*Source!AW65*Source!I65),2)),2)</f>
        <v>173.24</v>
      </c>
      <c r="J205" s="10">
        <f>IF(Source!BC65&lt;&gt; 0, Source!BC65, 1)</f>
        <v>6.86</v>
      </c>
      <c r="K205" s="24">
        <f>Source!P65</f>
        <v>1188.43</v>
      </c>
    </row>
    <row r="206" spans="1:27" ht="28.5" x14ac:dyDescent="0.2">
      <c r="A206" s="19" t="str">
        <f>Source!E66</f>
        <v>24,1</v>
      </c>
      <c r="B206" s="20" t="str">
        <f>Source!F66</f>
        <v>1.3-3-3</v>
      </c>
      <c r="C206" s="20" t="s">
        <v>86</v>
      </c>
      <c r="D206" s="21" t="str">
        <f>Source!H66</f>
        <v>т</v>
      </c>
      <c r="E206" s="10">
        <f>Source!I66</f>
        <v>11.733459999999999</v>
      </c>
      <c r="F206" s="23">
        <f>Source!AK66</f>
        <v>296.7</v>
      </c>
      <c r="G206" s="28" t="s">
        <v>526</v>
      </c>
      <c r="H206" s="10">
        <f>Source!AW66</f>
        <v>1</v>
      </c>
      <c r="I206" s="24">
        <f>ROUND((ROUND((Source!AC66*Source!AW66*Source!I66),2)),2)+(ROUND((ROUND(((Source!ET66)*Source!AV66*Source!I66),2)),2)+ROUND((ROUND(((Source!AE66-(Source!EU66))*Source!AV66*Source!I66),2)),2))+ROUND((ROUND((Source!AF66*Source!AV66*Source!I66),2)),2)</f>
        <v>3481.32</v>
      </c>
      <c r="J206" s="10">
        <f>IF(Source!BC66&lt;&gt; 0, Source!BC66, 1)</f>
        <v>9.33</v>
      </c>
      <c r="K206" s="24">
        <f>Source!O66</f>
        <v>32480.720000000001</v>
      </c>
      <c r="Q206">
        <f>ROUND((Source!DN66/100)*ROUND((ROUND((Source!AF66*Source!AV66*Source!I66),2)),2), 2)</f>
        <v>0</v>
      </c>
      <c r="R206">
        <f>Source!X66</f>
        <v>0</v>
      </c>
      <c r="S206">
        <f>ROUND((Source!DO66/100)*ROUND((ROUND((Source!AF66*Source!AV66*Source!I66),2)),2), 2)</f>
        <v>0</v>
      </c>
      <c r="T206">
        <f>Source!Y66</f>
        <v>0</v>
      </c>
      <c r="U206">
        <f>ROUND((175/100)*ROUND((ROUND((Source!AE66*Source!AV66*Source!I66),2)),2), 2)</f>
        <v>0</v>
      </c>
      <c r="V206">
        <f>ROUND((157/100)*ROUND(ROUND((ROUND((Source!AE66*Source!AV66*Source!I66),2)*Source!BS66),2), 2), 2)</f>
        <v>0</v>
      </c>
      <c r="X206">
        <f>IF(Source!BI66&lt;=1,I206, 0)</f>
        <v>3481.32</v>
      </c>
      <c r="Y206">
        <f>IF(Source!BI66=2,I206, 0)</f>
        <v>0</v>
      </c>
      <c r="Z206">
        <f>IF(Source!BI66=3,I206, 0)</f>
        <v>0</v>
      </c>
      <c r="AA206">
        <f>IF(Source!BI66=4,I206, 0)</f>
        <v>0</v>
      </c>
    </row>
    <row r="207" spans="1:27" ht="14.25" x14ac:dyDescent="0.2">
      <c r="A207" s="19"/>
      <c r="B207" s="20"/>
      <c r="C207" s="20" t="s">
        <v>517</v>
      </c>
      <c r="D207" s="21" t="s">
        <v>518</v>
      </c>
      <c r="E207" s="10">
        <f>Source!DN65</f>
        <v>134</v>
      </c>
      <c r="F207" s="23"/>
      <c r="G207" s="22"/>
      <c r="H207" s="10"/>
      <c r="I207" s="24">
        <f>SUM(Q201:Q206)</f>
        <v>124.69</v>
      </c>
      <c r="J207" s="10">
        <f>Source!BZ65</f>
        <v>106</v>
      </c>
      <c r="K207" s="24">
        <f>SUM(R201:R206)</f>
        <v>2113.6999999999998</v>
      </c>
    </row>
    <row r="208" spans="1:27" ht="14.25" x14ac:dyDescent="0.2">
      <c r="A208" s="19"/>
      <c r="B208" s="20"/>
      <c r="C208" s="20" t="s">
        <v>519</v>
      </c>
      <c r="D208" s="21" t="s">
        <v>518</v>
      </c>
      <c r="E208" s="10">
        <f>Source!DO65</f>
        <v>83</v>
      </c>
      <c r="F208" s="23"/>
      <c r="G208" s="22"/>
      <c r="H208" s="10"/>
      <c r="I208" s="24">
        <f>SUM(S201:S207)</f>
        <v>77.23</v>
      </c>
      <c r="J208" s="10">
        <f>Source!CA65</f>
        <v>41</v>
      </c>
      <c r="K208" s="24">
        <f>SUM(T201:T207)</f>
        <v>817.56</v>
      </c>
    </row>
    <row r="209" spans="1:27" ht="14.25" x14ac:dyDescent="0.2">
      <c r="A209" s="19"/>
      <c r="B209" s="20"/>
      <c r="C209" s="20" t="s">
        <v>520</v>
      </c>
      <c r="D209" s="21" t="s">
        <v>518</v>
      </c>
      <c r="E209" s="10">
        <f>175</f>
        <v>175</v>
      </c>
      <c r="F209" s="23"/>
      <c r="G209" s="22"/>
      <c r="H209" s="10"/>
      <c r="I209" s="24">
        <f>SUM(U201:U208)</f>
        <v>24.5</v>
      </c>
      <c r="J209" s="10">
        <f>157</f>
        <v>157</v>
      </c>
      <c r="K209" s="24">
        <f>SUM(V201:V208)</f>
        <v>471.03</v>
      </c>
    </row>
    <row r="210" spans="1:27" ht="14.25" x14ac:dyDescent="0.2">
      <c r="A210" s="19"/>
      <c r="B210" s="20"/>
      <c r="C210" s="20" t="s">
        <v>521</v>
      </c>
      <c r="D210" s="21" t="s">
        <v>522</v>
      </c>
      <c r="E210" s="10">
        <f>Source!AQ65</f>
        <v>8.9600000000000009</v>
      </c>
      <c r="F210" s="23"/>
      <c r="G210" s="22" t="str">
        <f>Source!DI65</f>
        <v/>
      </c>
      <c r="H210" s="10">
        <f>Source!AV65</f>
        <v>1.0469999999999999</v>
      </c>
      <c r="I210" s="24">
        <f>Source!U65</f>
        <v>7.7347334400000012</v>
      </c>
      <c r="J210" s="10"/>
      <c r="K210" s="24"/>
    </row>
    <row r="211" spans="1:27" ht="15" x14ac:dyDescent="0.25">
      <c r="A211" s="27"/>
      <c r="B211" s="27"/>
      <c r="C211" s="27"/>
      <c r="D211" s="27"/>
      <c r="E211" s="27"/>
      <c r="F211" s="27"/>
      <c r="G211" s="27"/>
      <c r="H211" s="38">
        <f>I202+I203+I205+I207+I208+I209+SUM(I206:I206)</f>
        <v>4026.02</v>
      </c>
      <c r="I211" s="38"/>
      <c r="J211" s="38">
        <f>K202+K203+K205+K207+K208+K209+SUM(K206:K206)</f>
        <v>39752.29</v>
      </c>
      <c r="K211" s="38"/>
      <c r="O211" s="26">
        <f>I202+I203+I205+I207+I208+I209+SUM(I206:I206)</f>
        <v>4026.02</v>
      </c>
      <c r="P211" s="26">
        <f>K202+K203+K205+K207+K208+K209+SUM(K206:K206)</f>
        <v>39752.29</v>
      </c>
      <c r="X211">
        <f>IF(Source!BI65&lt;=1,I202+I203+I205+I207+I208+I209-0, 0)</f>
        <v>544.69999999999993</v>
      </c>
      <c r="Y211">
        <f>IF(Source!BI65=2,I202+I203+I205+I207+I208+I209-0, 0)</f>
        <v>0</v>
      </c>
      <c r="Z211">
        <f>IF(Source!BI65=3,I202+I203+I205+I207+I208+I209-0, 0)</f>
        <v>0</v>
      </c>
      <c r="AA211">
        <f>IF(Source!BI65=4,I202+I203+I205+I207+I208+I209,0)</f>
        <v>0</v>
      </c>
    </row>
    <row r="212" spans="1:27" ht="71.25" x14ac:dyDescent="0.2">
      <c r="A212" s="19" t="str">
        <f>Source!E67</f>
        <v>25</v>
      </c>
      <c r="B212" s="20" t="str">
        <f>Source!F67</f>
        <v>3.27-47-4</v>
      </c>
      <c r="C212" s="20" t="s">
        <v>148</v>
      </c>
      <c r="D212" s="21" t="str">
        <f>Source!H67</f>
        <v>100 м2 покрытия</v>
      </c>
      <c r="E212" s="10">
        <f>Source!I67</f>
        <v>5.1009000000000002</v>
      </c>
      <c r="F212" s="23"/>
      <c r="G212" s="22"/>
      <c r="H212" s="10"/>
      <c r="I212" s="24"/>
      <c r="J212" s="10"/>
      <c r="K212" s="24"/>
      <c r="Q212">
        <f>ROUND((Source!DN67/100)*ROUND((ROUND((Source!AF67*Source!AV67*Source!I67),2)),2), 2)</f>
        <v>771.4</v>
      </c>
      <c r="R212">
        <f>Source!X67</f>
        <v>13076.81</v>
      </c>
      <c r="S212">
        <f>ROUND((Source!DO67/100)*ROUND((ROUND((Source!AF67*Source!AV67*Source!I67),2)),2), 2)</f>
        <v>477.81</v>
      </c>
      <c r="T212">
        <f>Source!Y67</f>
        <v>5058.01</v>
      </c>
      <c r="U212">
        <f>ROUND((175/100)*ROUND((ROUND((Source!AE67*Source!AV67*Source!I67),2)),2), 2)</f>
        <v>151.6</v>
      </c>
      <c r="V212">
        <f>ROUND((157/100)*ROUND(ROUND((ROUND((Source!AE67*Source!AV67*Source!I67),2)*Source!BS67),2), 2), 2)</f>
        <v>2914.67</v>
      </c>
    </row>
    <row r="213" spans="1:27" ht="14.25" x14ac:dyDescent="0.2">
      <c r="A213" s="19"/>
      <c r="B213" s="20"/>
      <c r="C213" s="20" t="s">
        <v>514</v>
      </c>
      <c r="D213" s="21"/>
      <c r="E213" s="10"/>
      <c r="F213" s="23">
        <f>Source!AO67</f>
        <v>107.79</v>
      </c>
      <c r="G213" s="22" t="str">
        <f>Source!DG67</f>
        <v/>
      </c>
      <c r="H213" s="10">
        <f>Source!AV67</f>
        <v>1.0469999999999999</v>
      </c>
      <c r="I213" s="24">
        <f>ROUND((ROUND((Source!AF67*Source!AV67*Source!I67),2)),2)</f>
        <v>575.66999999999996</v>
      </c>
      <c r="J213" s="10">
        <f>IF(Source!BA67&lt;&gt; 0, Source!BA67, 1)</f>
        <v>21.43</v>
      </c>
      <c r="K213" s="24">
        <f>Source!S67</f>
        <v>12336.61</v>
      </c>
      <c r="W213">
        <f>I213</f>
        <v>575.66999999999996</v>
      </c>
    </row>
    <row r="214" spans="1:27" ht="14.25" x14ac:dyDescent="0.2">
      <c r="A214" s="19"/>
      <c r="B214" s="20"/>
      <c r="C214" s="20" t="s">
        <v>515</v>
      </c>
      <c r="D214" s="21"/>
      <c r="E214" s="10"/>
      <c r="F214" s="23">
        <f>Source!AM67</f>
        <v>60.22</v>
      </c>
      <c r="G214" s="22" t="str">
        <f>Source!DE67</f>
        <v/>
      </c>
      <c r="H214" s="10">
        <f>Source!AV67</f>
        <v>1.0469999999999999</v>
      </c>
      <c r="I214" s="24">
        <f>(ROUND((ROUND(((Source!ET67)*Source!AV67*Source!I67),2)),2)+ROUND((ROUND(((Source!AE67-(Source!EU67))*Source!AV67*Source!I67),2)),2))</f>
        <v>321.61</v>
      </c>
      <c r="J214" s="10">
        <f>IF(Source!BB67&lt;&gt; 0, Source!BB67, 1)</f>
        <v>13.21</v>
      </c>
      <c r="K214" s="24">
        <f>Source!Q67</f>
        <v>4248.47</v>
      </c>
    </row>
    <row r="215" spans="1:27" ht="14.25" x14ac:dyDescent="0.2">
      <c r="A215" s="19"/>
      <c r="B215" s="20"/>
      <c r="C215" s="20" t="s">
        <v>516</v>
      </c>
      <c r="D215" s="21"/>
      <c r="E215" s="10"/>
      <c r="F215" s="23">
        <f>Source!AN67</f>
        <v>16.22</v>
      </c>
      <c r="G215" s="22" t="str">
        <f>Source!DF67</f>
        <v/>
      </c>
      <c r="H215" s="10">
        <f>Source!AV67</f>
        <v>1.0469999999999999</v>
      </c>
      <c r="I215" s="25">
        <f>ROUND((ROUND((Source!AE67*Source!AV67*Source!I67),2)),2)</f>
        <v>86.63</v>
      </c>
      <c r="J215" s="10">
        <f>IF(Source!BS67&lt;&gt; 0, Source!BS67, 1)</f>
        <v>21.43</v>
      </c>
      <c r="K215" s="25">
        <f>Source!R67</f>
        <v>1856.48</v>
      </c>
      <c r="W215">
        <f>I215</f>
        <v>86.63</v>
      </c>
    </row>
    <row r="216" spans="1:27" ht="14.25" x14ac:dyDescent="0.2">
      <c r="A216" s="19"/>
      <c r="B216" s="20"/>
      <c r="C216" s="20" t="s">
        <v>523</v>
      </c>
      <c r="D216" s="21"/>
      <c r="E216" s="10"/>
      <c r="F216" s="23">
        <f>Source!AL67</f>
        <v>210.11</v>
      </c>
      <c r="G216" s="22" t="str">
        <f>Source!DD67</f>
        <v/>
      </c>
      <c r="H216" s="10">
        <f>Source!AW67</f>
        <v>1</v>
      </c>
      <c r="I216" s="24">
        <f>ROUND((ROUND((Source!AC67*Source!AW67*Source!I67),2)),2)</f>
        <v>1071.75</v>
      </c>
      <c r="J216" s="10">
        <f>IF(Source!BC67&lt;&gt; 0, Source!BC67, 1)</f>
        <v>6.86</v>
      </c>
      <c r="K216" s="24">
        <f>Source!P67</f>
        <v>7352.21</v>
      </c>
    </row>
    <row r="217" spans="1:27" ht="28.5" x14ac:dyDescent="0.2">
      <c r="A217" s="19" t="str">
        <f>Source!E68</f>
        <v>25,1</v>
      </c>
      <c r="B217" s="20" t="str">
        <f>Source!F68</f>
        <v>1.3-3-7</v>
      </c>
      <c r="C217" s="20" t="s">
        <v>105</v>
      </c>
      <c r="D217" s="21" t="str">
        <f>Source!H68</f>
        <v>т</v>
      </c>
      <c r="E217" s="10">
        <f>Source!I68</f>
        <v>48.439253000000001</v>
      </c>
      <c r="F217" s="23">
        <f>Source!AK68</f>
        <v>307.58999999999997</v>
      </c>
      <c r="G217" s="28" t="s">
        <v>5</v>
      </c>
      <c r="H217" s="10">
        <f>Source!AW68</f>
        <v>1</v>
      </c>
      <c r="I217" s="24">
        <f>ROUND((ROUND((Source!AC68*Source!AW68*Source!I68),2)),2)+(ROUND((ROUND(((Source!ET68)*Source!AV68*Source!I68),2)),2)+ROUND((ROUND(((Source!AE68-(Source!EU68))*Source!AV68*Source!I68),2)),2))+ROUND((ROUND((Source!AF68*Source!AV68*Source!I68),2)),2)</f>
        <v>14899.43</v>
      </c>
      <c r="J217" s="10">
        <f>IF(Source!BC68&lt;&gt; 0, Source!BC68, 1)</f>
        <v>9</v>
      </c>
      <c r="K217" s="24">
        <f>Source!O68</f>
        <v>134094.87</v>
      </c>
      <c r="Q217">
        <f>ROUND((Source!DN68/100)*ROUND((ROUND((Source!AF68*Source!AV68*Source!I68),2)),2), 2)</f>
        <v>0</v>
      </c>
      <c r="R217">
        <f>Source!X68</f>
        <v>0</v>
      </c>
      <c r="S217">
        <f>ROUND((Source!DO68/100)*ROUND((ROUND((Source!AF68*Source!AV68*Source!I68),2)),2), 2)</f>
        <v>0</v>
      </c>
      <c r="T217">
        <f>Source!Y68</f>
        <v>0</v>
      </c>
      <c r="U217">
        <f>ROUND((175/100)*ROUND((ROUND((Source!AE68*Source!AV68*Source!I68),2)),2), 2)</f>
        <v>0</v>
      </c>
      <c r="V217">
        <f>ROUND((157/100)*ROUND(ROUND((ROUND((Source!AE68*Source!AV68*Source!I68),2)*Source!BS68),2), 2), 2)</f>
        <v>0</v>
      </c>
      <c r="X217">
        <f>IF(Source!BI68&lt;=1,I217, 0)</f>
        <v>14899.43</v>
      </c>
      <c r="Y217">
        <f>IF(Source!BI68=2,I217, 0)</f>
        <v>0</v>
      </c>
      <c r="Z217">
        <f>IF(Source!BI68=3,I217, 0)</f>
        <v>0</v>
      </c>
      <c r="AA217">
        <f>IF(Source!BI68=4,I217, 0)</f>
        <v>0</v>
      </c>
    </row>
    <row r="218" spans="1:27" ht="14.25" x14ac:dyDescent="0.2">
      <c r="A218" s="19"/>
      <c r="B218" s="20"/>
      <c r="C218" s="20" t="s">
        <v>517</v>
      </c>
      <c r="D218" s="21" t="s">
        <v>518</v>
      </c>
      <c r="E218" s="10">
        <f>Source!DN67</f>
        <v>134</v>
      </c>
      <c r="F218" s="23"/>
      <c r="G218" s="22"/>
      <c r="H218" s="10"/>
      <c r="I218" s="24">
        <f>SUM(Q212:Q217)</f>
        <v>771.4</v>
      </c>
      <c r="J218" s="10">
        <f>Source!BZ67</f>
        <v>106</v>
      </c>
      <c r="K218" s="24">
        <f>SUM(R212:R217)</f>
        <v>13076.81</v>
      </c>
    </row>
    <row r="219" spans="1:27" ht="14.25" x14ac:dyDescent="0.2">
      <c r="A219" s="19"/>
      <c r="B219" s="20"/>
      <c r="C219" s="20" t="s">
        <v>519</v>
      </c>
      <c r="D219" s="21" t="s">
        <v>518</v>
      </c>
      <c r="E219" s="10">
        <f>Source!DO67</f>
        <v>83</v>
      </c>
      <c r="F219" s="23"/>
      <c r="G219" s="22"/>
      <c r="H219" s="10"/>
      <c r="I219" s="24">
        <f>SUM(S212:S218)</f>
        <v>477.81</v>
      </c>
      <c r="J219" s="10">
        <f>Source!CA67</f>
        <v>41</v>
      </c>
      <c r="K219" s="24">
        <f>SUM(T212:T218)</f>
        <v>5058.01</v>
      </c>
    </row>
    <row r="220" spans="1:27" ht="14.25" x14ac:dyDescent="0.2">
      <c r="A220" s="19"/>
      <c r="B220" s="20"/>
      <c r="C220" s="20" t="s">
        <v>520</v>
      </c>
      <c r="D220" s="21" t="s">
        <v>518</v>
      </c>
      <c r="E220" s="10">
        <f>175</f>
        <v>175</v>
      </c>
      <c r="F220" s="23"/>
      <c r="G220" s="22"/>
      <c r="H220" s="10"/>
      <c r="I220" s="24">
        <f>SUM(U212:U219)</f>
        <v>151.6</v>
      </c>
      <c r="J220" s="10">
        <f>157</f>
        <v>157</v>
      </c>
      <c r="K220" s="24">
        <f>SUM(V212:V219)</f>
        <v>2914.67</v>
      </c>
    </row>
    <row r="221" spans="1:27" ht="14.25" x14ac:dyDescent="0.2">
      <c r="A221" s="19"/>
      <c r="B221" s="20"/>
      <c r="C221" s="20" t="s">
        <v>521</v>
      </c>
      <c r="D221" s="21" t="s">
        <v>522</v>
      </c>
      <c r="E221" s="10">
        <f>Source!AQ67</f>
        <v>8.9600000000000009</v>
      </c>
      <c r="F221" s="23"/>
      <c r="G221" s="22" t="str">
        <f>Source!DI67</f>
        <v/>
      </c>
      <c r="H221" s="10">
        <f>Source!AV67</f>
        <v>1.0469999999999999</v>
      </c>
      <c r="I221" s="24">
        <f>Source!U67</f>
        <v>47.852155008000004</v>
      </c>
      <c r="J221" s="10"/>
      <c r="K221" s="24"/>
    </row>
    <row r="222" spans="1:27" ht="15" x14ac:dyDescent="0.25">
      <c r="A222" s="27"/>
      <c r="B222" s="27"/>
      <c r="C222" s="27"/>
      <c r="D222" s="27"/>
      <c r="E222" s="27"/>
      <c r="F222" s="27"/>
      <c r="G222" s="27"/>
      <c r="H222" s="38">
        <f>I213+I214+I216+I218+I219+I220+SUM(I217:I217)</f>
        <v>18269.27</v>
      </c>
      <c r="I222" s="38"/>
      <c r="J222" s="38">
        <f>K213+K214+K216+K218+K219+K220+SUM(K217:K217)</f>
        <v>179081.65</v>
      </c>
      <c r="K222" s="38"/>
      <c r="O222" s="26">
        <f>I213+I214+I216+I218+I219+I220+SUM(I217:I217)</f>
        <v>18269.27</v>
      </c>
      <c r="P222" s="26">
        <f>K213+K214+K216+K218+K219+K220+SUM(K217:K217)</f>
        <v>179081.65</v>
      </c>
      <c r="X222">
        <f>IF(Source!BI67&lt;=1,I213+I214+I216+I218+I219+I220-0, 0)</f>
        <v>3369.8399999999997</v>
      </c>
      <c r="Y222">
        <f>IF(Source!BI67=2,I213+I214+I216+I218+I219+I220-0, 0)</f>
        <v>0</v>
      </c>
      <c r="Z222">
        <f>IF(Source!BI67=3,I213+I214+I216+I218+I219+I220-0, 0)</f>
        <v>0</v>
      </c>
      <c r="AA222">
        <f>IF(Source!BI67=4,I213+I214+I216+I218+I219+I220,0)</f>
        <v>0</v>
      </c>
    </row>
    <row r="223" spans="1:27" ht="28.5" x14ac:dyDescent="0.2">
      <c r="C223" s="18" t="str">
        <f>Source!G71</f>
        <v>Восстановление садового бордюрного камня</v>
      </c>
    </row>
    <row r="224" spans="1:27" ht="14.25" x14ac:dyDescent="0.2">
      <c r="C224" s="18" t="str">
        <f>Source!G76</f>
        <v>Восстановление покрытий из щебня</v>
      </c>
    </row>
    <row r="225" spans="1:27" ht="42.75" x14ac:dyDescent="0.2">
      <c r="A225" s="19" t="str">
        <f>Source!E77</f>
        <v>30</v>
      </c>
      <c r="B225" s="20" t="str">
        <f>Source!F77</f>
        <v>6.68-51-2</v>
      </c>
      <c r="C225" s="20" t="s">
        <v>112</v>
      </c>
      <c r="D225" s="21" t="str">
        <f>Source!H77</f>
        <v>100 м3 конструкций</v>
      </c>
      <c r="E225" s="10">
        <f>Source!I77</f>
        <v>1.4904000000000001E-2</v>
      </c>
      <c r="F225" s="23"/>
      <c r="G225" s="22"/>
      <c r="H225" s="10"/>
      <c r="I225" s="24"/>
      <c r="J225" s="10"/>
      <c r="K225" s="24"/>
      <c r="Q225">
        <f>ROUND((Source!DN77/100)*ROUND((ROUND((Source!AF77*Source!AV77*Source!I77),2)),2), 2)</f>
        <v>1.38</v>
      </c>
      <c r="R225">
        <f>Source!X77</f>
        <v>25.06</v>
      </c>
      <c r="S225">
        <f>ROUND((Source!DO77/100)*ROUND((ROUND((Source!AF77*Source!AV77*Source!I77),2)),2), 2)</f>
        <v>0.95</v>
      </c>
      <c r="T225">
        <f>Source!Y77</f>
        <v>15.11</v>
      </c>
      <c r="U225">
        <f>ROUND((175/100)*ROUND((ROUND((Source!AE77*Source!AV77*Source!I77),2)),2), 2)</f>
        <v>2.2200000000000002</v>
      </c>
      <c r="V225">
        <f>ROUND((157/100)*ROUND(ROUND((ROUND((Source!AE77*Source!AV77*Source!I77),2)*Source!BS77),2), 2), 2)</f>
        <v>42.74</v>
      </c>
    </row>
    <row r="226" spans="1:27" ht="14.25" x14ac:dyDescent="0.2">
      <c r="A226" s="19"/>
      <c r="B226" s="20"/>
      <c r="C226" s="20" t="s">
        <v>514</v>
      </c>
      <c r="D226" s="21"/>
      <c r="E226" s="10"/>
      <c r="F226" s="23">
        <f>Source!AO77</f>
        <v>110.33</v>
      </c>
      <c r="G226" s="22" t="str">
        <f>Source!DG77</f>
        <v/>
      </c>
      <c r="H226" s="10">
        <f>Source!AV77</f>
        <v>1.0469999999999999</v>
      </c>
      <c r="I226" s="24">
        <f>ROUND((ROUND((Source!AF77*Source!AV77*Source!I77),2)),2)</f>
        <v>1.72</v>
      </c>
      <c r="J226" s="10">
        <f>IF(Source!BA77&lt;&gt; 0, Source!BA77, 1)</f>
        <v>21.43</v>
      </c>
      <c r="K226" s="24">
        <f>Source!S77</f>
        <v>36.86</v>
      </c>
      <c r="W226">
        <f>I226</f>
        <v>1.72</v>
      </c>
    </row>
    <row r="227" spans="1:27" ht="14.25" x14ac:dyDescent="0.2">
      <c r="A227" s="19"/>
      <c r="B227" s="20"/>
      <c r="C227" s="20" t="s">
        <v>515</v>
      </c>
      <c r="D227" s="21"/>
      <c r="E227" s="10"/>
      <c r="F227" s="23">
        <f>Source!AM77</f>
        <v>402.43</v>
      </c>
      <c r="G227" s="22" t="str">
        <f>Source!DE77</f>
        <v/>
      </c>
      <c r="H227" s="10">
        <f>Source!AV77</f>
        <v>1.0469999999999999</v>
      </c>
      <c r="I227" s="24">
        <f>(ROUND((ROUND(((Source!ET77)*Source!AV77*Source!I77),2)),2)+ROUND((ROUND(((Source!AE77-(Source!EU77))*Source!AV77*Source!I77),2)),2))</f>
        <v>6.28</v>
      </c>
      <c r="J227" s="10">
        <f>IF(Source!BB77&lt;&gt; 0, Source!BB77, 1)</f>
        <v>10.18</v>
      </c>
      <c r="K227" s="24">
        <f>Source!Q77</f>
        <v>63.93</v>
      </c>
    </row>
    <row r="228" spans="1:27" ht="14.25" x14ac:dyDescent="0.2">
      <c r="A228" s="19"/>
      <c r="B228" s="20"/>
      <c r="C228" s="20" t="s">
        <v>516</v>
      </c>
      <c r="D228" s="21"/>
      <c r="E228" s="10"/>
      <c r="F228" s="23">
        <f>Source!AN77</f>
        <v>81.58</v>
      </c>
      <c r="G228" s="22" t="str">
        <f>Source!DF77</f>
        <v/>
      </c>
      <c r="H228" s="10">
        <f>Source!AV77</f>
        <v>1.0469999999999999</v>
      </c>
      <c r="I228" s="25">
        <f>ROUND((ROUND((Source!AE77*Source!AV77*Source!I77),2)),2)</f>
        <v>1.27</v>
      </c>
      <c r="J228" s="10">
        <f>IF(Source!BS77&lt;&gt; 0, Source!BS77, 1)</f>
        <v>21.43</v>
      </c>
      <c r="K228" s="25">
        <f>Source!R77</f>
        <v>27.22</v>
      </c>
      <c r="W228">
        <f>I228</f>
        <v>1.27</v>
      </c>
    </row>
    <row r="229" spans="1:27" ht="14.25" x14ac:dyDescent="0.2">
      <c r="A229" s="19"/>
      <c r="B229" s="20"/>
      <c r="C229" s="20" t="s">
        <v>517</v>
      </c>
      <c r="D229" s="21" t="s">
        <v>518</v>
      </c>
      <c r="E229" s="10">
        <f>Source!DN77</f>
        <v>80</v>
      </c>
      <c r="F229" s="23"/>
      <c r="G229" s="22"/>
      <c r="H229" s="10"/>
      <c r="I229" s="24">
        <f>SUM(Q225:Q228)</f>
        <v>1.38</v>
      </c>
      <c r="J229" s="10">
        <f>Source!BZ77</f>
        <v>68</v>
      </c>
      <c r="K229" s="24">
        <f>SUM(R225:R228)</f>
        <v>25.06</v>
      </c>
    </row>
    <row r="230" spans="1:27" ht="14.25" x14ac:dyDescent="0.2">
      <c r="A230" s="19"/>
      <c r="B230" s="20"/>
      <c r="C230" s="20" t="s">
        <v>519</v>
      </c>
      <c r="D230" s="21" t="s">
        <v>518</v>
      </c>
      <c r="E230" s="10">
        <f>Source!DO77</f>
        <v>55</v>
      </c>
      <c r="F230" s="23"/>
      <c r="G230" s="22"/>
      <c r="H230" s="10"/>
      <c r="I230" s="24">
        <f>SUM(S225:S229)</f>
        <v>0.95</v>
      </c>
      <c r="J230" s="10">
        <f>Source!CA77</f>
        <v>41</v>
      </c>
      <c r="K230" s="24">
        <f>SUM(T225:T229)</f>
        <v>15.11</v>
      </c>
    </row>
    <row r="231" spans="1:27" ht="14.25" x14ac:dyDescent="0.2">
      <c r="A231" s="19"/>
      <c r="B231" s="20"/>
      <c r="C231" s="20" t="s">
        <v>520</v>
      </c>
      <c r="D231" s="21" t="s">
        <v>518</v>
      </c>
      <c r="E231" s="10">
        <f>175</f>
        <v>175</v>
      </c>
      <c r="F231" s="23"/>
      <c r="G231" s="22"/>
      <c r="H231" s="10"/>
      <c r="I231" s="24">
        <f>SUM(U225:U230)</f>
        <v>2.2200000000000002</v>
      </c>
      <c r="J231" s="10">
        <f>157</f>
        <v>157</v>
      </c>
      <c r="K231" s="24">
        <f>SUM(V225:V230)</f>
        <v>42.74</v>
      </c>
    </row>
    <row r="232" spans="1:27" ht="14.25" x14ac:dyDescent="0.2">
      <c r="A232" s="19"/>
      <c r="B232" s="20"/>
      <c r="C232" s="20" t="s">
        <v>521</v>
      </c>
      <c r="D232" s="21" t="s">
        <v>522</v>
      </c>
      <c r="E232" s="10">
        <f>Source!AQ77</f>
        <v>11.7</v>
      </c>
      <c r="F232" s="23"/>
      <c r="G232" s="22" t="str">
        <f>Source!DI77</f>
        <v/>
      </c>
      <c r="H232" s="10">
        <f>Source!AV77</f>
        <v>1.0469999999999999</v>
      </c>
      <c r="I232" s="24">
        <f>Source!U77</f>
        <v>0.18257250959999999</v>
      </c>
      <c r="J232" s="10"/>
      <c r="K232" s="24"/>
    </row>
    <row r="233" spans="1:27" ht="15" x14ac:dyDescent="0.25">
      <c r="A233" s="27"/>
      <c r="B233" s="27"/>
      <c r="C233" s="27"/>
      <c r="D233" s="27"/>
      <c r="E233" s="27"/>
      <c r="F233" s="27"/>
      <c r="G233" s="27"/>
      <c r="H233" s="38">
        <f>I226+I227+I229+I230+I231</f>
        <v>12.549999999999999</v>
      </c>
      <c r="I233" s="38"/>
      <c r="J233" s="38">
        <f>K226+K227+K229+K230+K231</f>
        <v>183.7</v>
      </c>
      <c r="K233" s="38"/>
      <c r="O233" s="26">
        <f>I226+I227+I229+I230+I231</f>
        <v>12.549999999999999</v>
      </c>
      <c r="P233" s="26">
        <f>K226+K227+K229+K230+K231</f>
        <v>183.7</v>
      </c>
      <c r="X233">
        <f>IF(Source!BI77&lt;=1,I226+I227+I229+I230+I231-0, 0)</f>
        <v>12.549999999999999</v>
      </c>
      <c r="Y233">
        <f>IF(Source!BI77=2,I226+I227+I229+I230+I231-0, 0)</f>
        <v>0</v>
      </c>
      <c r="Z233">
        <f>IF(Source!BI77=3,I226+I227+I229+I230+I231-0, 0)</f>
        <v>0</v>
      </c>
      <c r="AA233">
        <f>IF(Source!BI77=4,I226+I227+I229+I230+I231,0)</f>
        <v>0</v>
      </c>
    </row>
    <row r="234" spans="1:27" ht="42.75" x14ac:dyDescent="0.2">
      <c r="A234" s="19" t="str">
        <f>Source!E78</f>
        <v>31</v>
      </c>
      <c r="B234" s="20" t="str">
        <f>Source!F78</f>
        <v>6.68-13-1</v>
      </c>
      <c r="C234" s="20" t="s">
        <v>44</v>
      </c>
      <c r="D234" s="21" t="str">
        <f>Source!H78</f>
        <v>1 Т</v>
      </c>
      <c r="E234" s="10">
        <f>Source!I78</f>
        <v>2.08656</v>
      </c>
      <c r="F234" s="23"/>
      <c r="G234" s="22"/>
      <c r="H234" s="10"/>
      <c r="I234" s="24"/>
      <c r="J234" s="10"/>
      <c r="K234" s="24"/>
      <c r="Q234">
        <f>ROUND((Source!DN78/100)*ROUND((ROUND((Source!AF78*Source!AV78*Source!I78),2)),2), 2)</f>
        <v>0</v>
      </c>
      <c r="R234">
        <f>Source!X78</f>
        <v>0</v>
      </c>
      <c r="S234">
        <f>ROUND((Source!DO78/100)*ROUND((ROUND((Source!AF78*Source!AV78*Source!I78),2)),2), 2)</f>
        <v>0</v>
      </c>
      <c r="T234">
        <f>Source!Y78</f>
        <v>0</v>
      </c>
      <c r="U234">
        <f>ROUND((175/100)*ROUND((ROUND((Source!AE78*Source!AV78*Source!I78),2)),2), 2)</f>
        <v>5.65</v>
      </c>
      <c r="V234">
        <f>ROUND((157/100)*ROUND(ROUND((ROUND((Source!AE78*Source!AV78*Source!I78),2)*Source!BS78),2), 2), 2)</f>
        <v>108.68</v>
      </c>
    </row>
    <row r="235" spans="1:27" ht="14.25" x14ac:dyDescent="0.2">
      <c r="A235" s="19"/>
      <c r="B235" s="20"/>
      <c r="C235" s="20" t="s">
        <v>515</v>
      </c>
      <c r="D235" s="21"/>
      <c r="E235" s="10"/>
      <c r="F235" s="23">
        <f>Source!AM78</f>
        <v>8.86</v>
      </c>
      <c r="G235" s="22" t="str">
        <f>Source!DE78</f>
        <v/>
      </c>
      <c r="H235" s="10">
        <f>Source!AV78</f>
        <v>1.0469999999999999</v>
      </c>
      <c r="I235" s="24">
        <f>(ROUND((ROUND(((Source!ET78)*Source!AV78*Source!I78),2)),2)+ROUND((ROUND(((Source!AE78-(Source!EU78))*Source!AV78*Source!I78),2)),2))</f>
        <v>19.36</v>
      </c>
      <c r="J235" s="10">
        <f>IF(Source!BB78&lt;&gt; 0, Source!BB78, 1)</f>
        <v>7.96</v>
      </c>
      <c r="K235" s="24">
        <f>Source!Q78</f>
        <v>154.11000000000001</v>
      </c>
    </row>
    <row r="236" spans="1:27" ht="14.25" x14ac:dyDescent="0.2">
      <c r="A236" s="19"/>
      <c r="B236" s="20"/>
      <c r="C236" s="20" t="s">
        <v>516</v>
      </c>
      <c r="D236" s="21"/>
      <c r="E236" s="10"/>
      <c r="F236" s="23">
        <f>Source!AN78</f>
        <v>1.48</v>
      </c>
      <c r="G236" s="22" t="str">
        <f>Source!DF78</f>
        <v/>
      </c>
      <c r="H236" s="10">
        <f>Source!AV78</f>
        <v>1.0469999999999999</v>
      </c>
      <c r="I236" s="25">
        <f>ROUND((ROUND((Source!AE78*Source!AV78*Source!I78),2)),2)</f>
        <v>3.23</v>
      </c>
      <c r="J236" s="10">
        <f>IF(Source!BS78&lt;&gt; 0, Source!BS78, 1)</f>
        <v>21.43</v>
      </c>
      <c r="K236" s="25">
        <f>Source!R78</f>
        <v>69.22</v>
      </c>
      <c r="W236">
        <f>I236</f>
        <v>3.23</v>
      </c>
    </row>
    <row r="237" spans="1:27" ht="14.25" x14ac:dyDescent="0.2">
      <c r="A237" s="19"/>
      <c r="B237" s="20"/>
      <c r="C237" s="20" t="s">
        <v>520</v>
      </c>
      <c r="D237" s="21" t="s">
        <v>518</v>
      </c>
      <c r="E237" s="10">
        <f>175</f>
        <v>175</v>
      </c>
      <c r="F237" s="23"/>
      <c r="G237" s="22"/>
      <c r="H237" s="10"/>
      <c r="I237" s="24">
        <f>SUM(U234:U236)</f>
        <v>5.65</v>
      </c>
      <c r="J237" s="10">
        <f>157</f>
        <v>157</v>
      </c>
      <c r="K237" s="24">
        <f>SUM(V234:V236)</f>
        <v>108.68</v>
      </c>
    </row>
    <row r="238" spans="1:27" ht="15" x14ac:dyDescent="0.25">
      <c r="A238" s="27"/>
      <c r="B238" s="27"/>
      <c r="C238" s="27"/>
      <c r="D238" s="27"/>
      <c r="E238" s="27"/>
      <c r="F238" s="27"/>
      <c r="G238" s="27"/>
      <c r="H238" s="38">
        <f>I235+I237</f>
        <v>25.009999999999998</v>
      </c>
      <c r="I238" s="38"/>
      <c r="J238" s="38">
        <f>K235+K237</f>
        <v>262.79000000000002</v>
      </c>
      <c r="K238" s="38"/>
      <c r="O238" s="26">
        <f>I235+I237</f>
        <v>25.009999999999998</v>
      </c>
      <c r="P238" s="26">
        <f>K235+K237</f>
        <v>262.79000000000002</v>
      </c>
      <c r="X238">
        <f>IF(Source!BI78&lt;=1,I235+I237-0, 0)</f>
        <v>25.009999999999998</v>
      </c>
      <c r="Y238">
        <f>IF(Source!BI78=2,I235+I237-0, 0)</f>
        <v>0</v>
      </c>
      <c r="Z238">
        <f>IF(Source!BI78=3,I235+I237-0, 0)</f>
        <v>0</v>
      </c>
      <c r="AA238">
        <f>IF(Source!BI78=4,I235+I237,0)</f>
        <v>0</v>
      </c>
    </row>
    <row r="239" spans="1:27" ht="99.75" x14ac:dyDescent="0.2">
      <c r="A239" s="19" t="str">
        <f>Source!E79</f>
        <v>32</v>
      </c>
      <c r="B239" s="20" t="str">
        <f>Source!F79</f>
        <v>3.27-12-1</v>
      </c>
      <c r="C239" s="20" t="s">
        <v>50</v>
      </c>
      <c r="D239" s="21" t="str">
        <f>Source!H79</f>
        <v>100 м3 материала основания (в плотном теле)</v>
      </c>
      <c r="E239" s="10">
        <f>Source!I79</f>
        <v>3.1050000000000001E-2</v>
      </c>
      <c r="F239" s="23"/>
      <c r="G239" s="22"/>
      <c r="H239" s="10"/>
      <c r="I239" s="24"/>
      <c r="J239" s="10"/>
      <c r="K239" s="24"/>
      <c r="Q239">
        <f>ROUND((Source!DN79/100)*ROUND((ROUND((Source!AF79*Source!AV79*Source!I79),2)),2), 2)</f>
        <v>7.92</v>
      </c>
      <c r="R239">
        <f>Source!X79</f>
        <v>138.13</v>
      </c>
      <c r="S239">
        <f>ROUND((Source!DO79/100)*ROUND((ROUND((Source!AF79*Source!AV79*Source!I79),2)),2), 2)</f>
        <v>5.26</v>
      </c>
      <c r="T239">
        <f>Source!Y79</f>
        <v>56.94</v>
      </c>
      <c r="U239">
        <f>ROUND((175/100)*ROUND((ROUND((Source!AE79*Source!AV79*Source!I79),2)),2), 2)</f>
        <v>6.77</v>
      </c>
      <c r="V239">
        <f>ROUND((157/100)*ROUND(ROUND((ROUND((Source!AE79*Source!AV79*Source!I79),2)*Source!BS79),2), 2), 2)</f>
        <v>130.19999999999999</v>
      </c>
    </row>
    <row r="240" spans="1:27" ht="14.25" x14ac:dyDescent="0.2">
      <c r="A240" s="19"/>
      <c r="B240" s="20"/>
      <c r="C240" s="20" t="s">
        <v>514</v>
      </c>
      <c r="D240" s="21"/>
      <c r="E240" s="10"/>
      <c r="F240" s="23">
        <f>Source!AO79</f>
        <v>151.49</v>
      </c>
      <c r="G240" s="22" t="str">
        <f>Source!DG79</f>
        <v/>
      </c>
      <c r="H240" s="10">
        <f>Source!AV79</f>
        <v>1.0469999999999999</v>
      </c>
      <c r="I240" s="24">
        <f>ROUND((ROUND((Source!AF79*Source!AV79*Source!I79),2)),2)</f>
        <v>4.92</v>
      </c>
      <c r="J240" s="10">
        <f>IF(Source!BA79&lt;&gt; 0, Source!BA79, 1)</f>
        <v>21.43</v>
      </c>
      <c r="K240" s="24">
        <f>Source!S79</f>
        <v>105.44</v>
      </c>
      <c r="W240">
        <f>I240</f>
        <v>4.92</v>
      </c>
    </row>
    <row r="241" spans="1:27" ht="14.25" x14ac:dyDescent="0.2">
      <c r="A241" s="19"/>
      <c r="B241" s="20"/>
      <c r="C241" s="20" t="s">
        <v>515</v>
      </c>
      <c r="D241" s="21"/>
      <c r="E241" s="10"/>
      <c r="F241" s="23">
        <f>Source!AM79</f>
        <v>676.47</v>
      </c>
      <c r="G241" s="22" t="str">
        <f>Source!DE79</f>
        <v/>
      </c>
      <c r="H241" s="10">
        <f>Source!AV79</f>
        <v>1.0469999999999999</v>
      </c>
      <c r="I241" s="24">
        <f>(ROUND((ROUND(((Source!ET79)*Source!AV79*Source!I79),2)),2)+ROUND((ROUND(((Source!AE79-(Source!EU79))*Source!AV79*Source!I79),2)),2))</f>
        <v>21.99</v>
      </c>
      <c r="J241" s="10">
        <f>IF(Source!BB79&lt;&gt; 0, Source!BB79, 1)</f>
        <v>9.82</v>
      </c>
      <c r="K241" s="24">
        <f>Source!Q79</f>
        <v>215.94</v>
      </c>
    </row>
    <row r="242" spans="1:27" ht="14.25" x14ac:dyDescent="0.2">
      <c r="A242" s="19"/>
      <c r="B242" s="20"/>
      <c r="C242" s="20" t="s">
        <v>516</v>
      </c>
      <c r="D242" s="21"/>
      <c r="E242" s="10"/>
      <c r="F242" s="23">
        <f>Source!AN79</f>
        <v>119.05</v>
      </c>
      <c r="G242" s="22" t="str">
        <f>Source!DF79</f>
        <v/>
      </c>
      <c r="H242" s="10">
        <f>Source!AV79</f>
        <v>1.0469999999999999</v>
      </c>
      <c r="I242" s="25">
        <f>ROUND((ROUND((Source!AE79*Source!AV79*Source!I79),2)),2)</f>
        <v>3.87</v>
      </c>
      <c r="J242" s="10">
        <f>IF(Source!BS79&lt;&gt; 0, Source!BS79, 1)</f>
        <v>21.43</v>
      </c>
      <c r="K242" s="25">
        <f>Source!R79</f>
        <v>82.93</v>
      </c>
      <c r="W242">
        <f>I242</f>
        <v>3.87</v>
      </c>
    </row>
    <row r="243" spans="1:27" ht="14.25" x14ac:dyDescent="0.2">
      <c r="A243" s="19"/>
      <c r="B243" s="20"/>
      <c r="C243" s="20" t="s">
        <v>523</v>
      </c>
      <c r="D243" s="21"/>
      <c r="E243" s="10"/>
      <c r="F243" s="23">
        <f>Source!AL79</f>
        <v>35.35</v>
      </c>
      <c r="G243" s="22" t="str">
        <f>Source!DD79</f>
        <v/>
      </c>
      <c r="H243" s="10">
        <f>Source!AW79</f>
        <v>1.002</v>
      </c>
      <c r="I243" s="24">
        <f>ROUND((ROUND((Source!AC79*Source!AW79*Source!I79),2)),2)</f>
        <v>1.1000000000000001</v>
      </c>
      <c r="J243" s="10">
        <f>IF(Source!BC79&lt;&gt; 0, Source!BC79, 1)</f>
        <v>4.5599999999999996</v>
      </c>
      <c r="K243" s="24">
        <f>Source!P79</f>
        <v>5.0199999999999996</v>
      </c>
    </row>
    <row r="244" spans="1:27" ht="28.5" x14ac:dyDescent="0.2">
      <c r="A244" s="19" t="str">
        <f>Source!E80</f>
        <v>32,1</v>
      </c>
      <c r="B244" s="20" t="str">
        <f>Source!F80</f>
        <v>1.1-1-766</v>
      </c>
      <c r="C244" s="20" t="s">
        <v>58</v>
      </c>
      <c r="D244" s="21" t="str">
        <f>Source!H80</f>
        <v>м3</v>
      </c>
      <c r="E244" s="10">
        <f>Source!I80</f>
        <v>3.4155000000000002</v>
      </c>
      <c r="F244" s="23">
        <f>Source!AK80</f>
        <v>104.99</v>
      </c>
      <c r="G244" s="28" t="s">
        <v>5</v>
      </c>
      <c r="H244" s="10">
        <f>Source!AW80</f>
        <v>1.002</v>
      </c>
      <c r="I244" s="24">
        <f>ROUND((ROUND((Source!AC80*Source!AW80*Source!I80),2)),2)+(ROUND((ROUND(((Source!ET80)*Source!AV80*Source!I80),2)),2)+ROUND((ROUND(((Source!AE80-(Source!EU80))*Source!AV80*Source!I80),2)),2))+ROUND((ROUND((Source!AF80*Source!AV80*Source!I80),2)),2)</f>
        <v>359.31</v>
      </c>
      <c r="J244" s="10">
        <f>IF(Source!BC80&lt;&gt; 0, Source!BC80, 1)</f>
        <v>5.25</v>
      </c>
      <c r="K244" s="24">
        <f>Source!O80</f>
        <v>1886.38</v>
      </c>
      <c r="Q244">
        <f>ROUND((Source!DN80/100)*ROUND((ROUND((Source!AF80*Source!AV80*Source!I80),2)),2), 2)</f>
        <v>0</v>
      </c>
      <c r="R244">
        <f>Source!X80</f>
        <v>0</v>
      </c>
      <c r="S244">
        <f>ROUND((Source!DO80/100)*ROUND((ROUND((Source!AF80*Source!AV80*Source!I80),2)),2), 2)</f>
        <v>0</v>
      </c>
      <c r="T244">
        <f>Source!Y80</f>
        <v>0</v>
      </c>
      <c r="U244">
        <f>ROUND((175/100)*ROUND((ROUND((Source!AE80*Source!AV80*Source!I80),2)),2), 2)</f>
        <v>0</v>
      </c>
      <c r="V244">
        <f>ROUND((157/100)*ROUND(ROUND((ROUND((Source!AE80*Source!AV80*Source!I80),2)*Source!BS80),2), 2), 2)</f>
        <v>0</v>
      </c>
      <c r="X244">
        <f>IF(Source!BI80&lt;=1,I244, 0)</f>
        <v>359.31</v>
      </c>
      <c r="Y244">
        <f>IF(Source!BI80=2,I244, 0)</f>
        <v>0</v>
      </c>
      <c r="Z244">
        <f>IF(Source!BI80=3,I244, 0)</f>
        <v>0</v>
      </c>
      <c r="AA244">
        <f>IF(Source!BI80=4,I244, 0)</f>
        <v>0</v>
      </c>
    </row>
    <row r="245" spans="1:27" ht="14.25" x14ac:dyDescent="0.2">
      <c r="A245" s="19"/>
      <c r="B245" s="20"/>
      <c r="C245" s="20" t="s">
        <v>517</v>
      </c>
      <c r="D245" s="21" t="s">
        <v>518</v>
      </c>
      <c r="E245" s="10">
        <f>Source!DN79</f>
        <v>161</v>
      </c>
      <c r="F245" s="23"/>
      <c r="G245" s="22"/>
      <c r="H245" s="10"/>
      <c r="I245" s="24">
        <f>SUM(Q239:Q244)</f>
        <v>7.92</v>
      </c>
      <c r="J245" s="10">
        <f>Source!BZ79</f>
        <v>131</v>
      </c>
      <c r="K245" s="24">
        <f>SUM(R239:R244)</f>
        <v>138.13</v>
      </c>
    </row>
    <row r="246" spans="1:27" ht="14.25" x14ac:dyDescent="0.2">
      <c r="A246" s="19"/>
      <c r="B246" s="20"/>
      <c r="C246" s="20" t="s">
        <v>519</v>
      </c>
      <c r="D246" s="21" t="s">
        <v>518</v>
      </c>
      <c r="E246" s="10">
        <f>Source!DO79</f>
        <v>107</v>
      </c>
      <c r="F246" s="23"/>
      <c r="G246" s="22"/>
      <c r="H246" s="10"/>
      <c r="I246" s="24">
        <f>SUM(S239:S245)</f>
        <v>5.26</v>
      </c>
      <c r="J246" s="10">
        <f>Source!CA79</f>
        <v>54</v>
      </c>
      <c r="K246" s="24">
        <f>SUM(T239:T245)</f>
        <v>56.94</v>
      </c>
    </row>
    <row r="247" spans="1:27" ht="14.25" x14ac:dyDescent="0.2">
      <c r="A247" s="19"/>
      <c r="B247" s="20"/>
      <c r="C247" s="20" t="s">
        <v>520</v>
      </c>
      <c r="D247" s="21" t="s">
        <v>518</v>
      </c>
      <c r="E247" s="10">
        <f>175</f>
        <v>175</v>
      </c>
      <c r="F247" s="23"/>
      <c r="G247" s="22"/>
      <c r="H247" s="10"/>
      <c r="I247" s="24">
        <f>SUM(U239:U246)</f>
        <v>6.77</v>
      </c>
      <c r="J247" s="10">
        <f>157</f>
        <v>157</v>
      </c>
      <c r="K247" s="24">
        <f>SUM(V239:V246)</f>
        <v>130.19999999999999</v>
      </c>
    </row>
    <row r="248" spans="1:27" ht="14.25" x14ac:dyDescent="0.2">
      <c r="A248" s="19"/>
      <c r="B248" s="20"/>
      <c r="C248" s="20" t="s">
        <v>521</v>
      </c>
      <c r="D248" s="21" t="s">
        <v>522</v>
      </c>
      <c r="E248" s="10">
        <f>Source!AQ79</f>
        <v>14.4</v>
      </c>
      <c r="F248" s="23"/>
      <c r="G248" s="22" t="str">
        <f>Source!DI79</f>
        <v/>
      </c>
      <c r="H248" s="10">
        <f>Source!AV79</f>
        <v>1.0469999999999999</v>
      </c>
      <c r="I248" s="24">
        <f>Source!U79</f>
        <v>0.46813463999999999</v>
      </c>
      <c r="J248" s="10"/>
      <c r="K248" s="24"/>
    </row>
    <row r="249" spans="1:27" ht="15" x14ac:dyDescent="0.25">
      <c r="A249" s="27"/>
      <c r="B249" s="27"/>
      <c r="C249" s="27"/>
      <c r="D249" s="27"/>
      <c r="E249" s="27"/>
      <c r="F249" s="27"/>
      <c r="G249" s="27"/>
      <c r="H249" s="38">
        <f>I240+I241+I243+I245+I246+I247+SUM(I244:I244)</f>
        <v>407.27</v>
      </c>
      <c r="I249" s="38"/>
      <c r="J249" s="38">
        <f>K240+K241+K243+K245+K246+K247+SUM(K244:K244)</f>
        <v>2538.0500000000002</v>
      </c>
      <c r="K249" s="38"/>
      <c r="O249" s="26">
        <f>I240+I241+I243+I245+I246+I247+SUM(I244:I244)</f>
        <v>407.27</v>
      </c>
      <c r="P249" s="26">
        <f>K240+K241+K243+K245+K246+K247+SUM(K244:K244)</f>
        <v>2538.0500000000002</v>
      </c>
      <c r="X249">
        <f>IF(Source!BI79&lt;=1,I240+I241+I243+I245+I246+I247-0, 0)</f>
        <v>47.959999999999994</v>
      </c>
      <c r="Y249">
        <f>IF(Source!BI79=2,I240+I241+I243+I245+I246+I247-0, 0)</f>
        <v>0</v>
      </c>
      <c r="Z249">
        <f>IF(Source!BI79=3,I240+I241+I243+I245+I246+I247-0, 0)</f>
        <v>0</v>
      </c>
      <c r="AA249">
        <f>IF(Source!BI79=4,I240+I241+I243+I245+I246+I247,0)</f>
        <v>0</v>
      </c>
    </row>
    <row r="250" spans="1:27" ht="57" x14ac:dyDescent="0.2">
      <c r="A250" s="19" t="str">
        <f>Source!E81</f>
        <v>33</v>
      </c>
      <c r="B250" s="20" t="str">
        <f>Source!F81</f>
        <v>3.27-48-1</v>
      </c>
      <c r="C250" s="20" t="s">
        <v>130</v>
      </c>
      <c r="D250" s="21" t="str">
        <f>Source!H81</f>
        <v>100 м2 дорожек и тротуаров</v>
      </c>
      <c r="E250" s="10">
        <f>Source!I81</f>
        <v>0.1242</v>
      </c>
      <c r="F250" s="23"/>
      <c r="G250" s="22"/>
      <c r="H250" s="10"/>
      <c r="I250" s="24"/>
      <c r="J250" s="10"/>
      <c r="K250" s="24"/>
      <c r="Q250">
        <f>ROUND((Source!DN81/100)*ROUND((ROUND((Source!AF81*Source!AV81*Source!I81),2)),2), 2)</f>
        <v>47.34</v>
      </c>
      <c r="R250">
        <f>Source!X81</f>
        <v>802.55</v>
      </c>
      <c r="S250">
        <f>ROUND((Source!DO81/100)*ROUND((ROUND((Source!AF81*Source!AV81*Source!I81),2)),2), 2)</f>
        <v>29.32</v>
      </c>
      <c r="T250">
        <f>Source!Y81</f>
        <v>310.42</v>
      </c>
      <c r="U250">
        <f>ROUND((175/100)*ROUND((ROUND((Source!AE81*Source!AV81*Source!I81),2)),2), 2)</f>
        <v>9.82</v>
      </c>
      <c r="V250">
        <f>ROUND((157/100)*ROUND(ROUND((ROUND((Source!AE81*Source!AV81*Source!I81),2)*Source!BS81),2), 2), 2)</f>
        <v>188.75</v>
      </c>
    </row>
    <row r="251" spans="1:27" ht="14.25" x14ac:dyDescent="0.2">
      <c r="A251" s="19"/>
      <c r="B251" s="20"/>
      <c r="C251" s="20" t="s">
        <v>514</v>
      </c>
      <c r="D251" s="21"/>
      <c r="E251" s="10"/>
      <c r="F251" s="23">
        <f>Source!AO81</f>
        <v>271.67</v>
      </c>
      <c r="G251" s="22" t="str">
        <f>Source!DG81</f>
        <v/>
      </c>
      <c r="H251" s="10">
        <f>Source!AV81</f>
        <v>1.0469999999999999</v>
      </c>
      <c r="I251" s="24">
        <f>ROUND((ROUND((Source!AF81*Source!AV81*Source!I81),2)),2)</f>
        <v>35.33</v>
      </c>
      <c r="J251" s="10">
        <f>IF(Source!BA81&lt;&gt; 0, Source!BA81, 1)</f>
        <v>21.43</v>
      </c>
      <c r="K251" s="24">
        <f>Source!S81</f>
        <v>757.12</v>
      </c>
      <c r="W251">
        <f>I251</f>
        <v>35.33</v>
      </c>
    </row>
    <row r="252" spans="1:27" ht="14.25" x14ac:dyDescent="0.2">
      <c r="A252" s="19"/>
      <c r="B252" s="20"/>
      <c r="C252" s="20" t="s">
        <v>515</v>
      </c>
      <c r="D252" s="21"/>
      <c r="E252" s="10"/>
      <c r="F252" s="23">
        <f>Source!AM81</f>
        <v>176.34</v>
      </c>
      <c r="G252" s="22" t="str">
        <f>Source!DE81</f>
        <v/>
      </c>
      <c r="H252" s="10">
        <f>Source!AV81</f>
        <v>1.0469999999999999</v>
      </c>
      <c r="I252" s="24">
        <f>(ROUND((ROUND(((Source!ET81)*Source!AV81*Source!I81),2)),2)+ROUND((ROUND(((Source!AE81-(Source!EU81))*Source!AV81*Source!I81),2)),2))</f>
        <v>22.93</v>
      </c>
      <c r="J252" s="10">
        <f>IF(Source!BB81&lt;&gt; 0, Source!BB81, 1)</f>
        <v>12.97</v>
      </c>
      <c r="K252" s="24">
        <f>Source!Q81</f>
        <v>297.39999999999998</v>
      </c>
    </row>
    <row r="253" spans="1:27" ht="14.25" x14ac:dyDescent="0.2">
      <c r="A253" s="19"/>
      <c r="B253" s="20"/>
      <c r="C253" s="20" t="s">
        <v>516</v>
      </c>
      <c r="D253" s="21"/>
      <c r="E253" s="10"/>
      <c r="F253" s="23">
        <f>Source!AN81</f>
        <v>43.15</v>
      </c>
      <c r="G253" s="22" t="str">
        <f>Source!DF81</f>
        <v/>
      </c>
      <c r="H253" s="10">
        <f>Source!AV81</f>
        <v>1.0469999999999999</v>
      </c>
      <c r="I253" s="25">
        <f>ROUND((ROUND((Source!AE81*Source!AV81*Source!I81),2)),2)</f>
        <v>5.61</v>
      </c>
      <c r="J253" s="10">
        <f>IF(Source!BS81&lt;&gt; 0, Source!BS81, 1)</f>
        <v>21.43</v>
      </c>
      <c r="K253" s="25">
        <f>Source!R81</f>
        <v>120.22</v>
      </c>
      <c r="W253">
        <f>I253</f>
        <v>5.61</v>
      </c>
    </row>
    <row r="254" spans="1:27" ht="14.25" x14ac:dyDescent="0.2">
      <c r="A254" s="19"/>
      <c r="B254" s="20"/>
      <c r="C254" s="20" t="s">
        <v>523</v>
      </c>
      <c r="D254" s="21"/>
      <c r="E254" s="10"/>
      <c r="F254" s="23">
        <f>Source!AL81</f>
        <v>14.14</v>
      </c>
      <c r="G254" s="22" t="str">
        <f>Source!DD81</f>
        <v/>
      </c>
      <c r="H254" s="10">
        <f>Source!AW81</f>
        <v>1.002</v>
      </c>
      <c r="I254" s="24">
        <f>ROUND((ROUND((Source!AC81*Source!AW81*Source!I81),2)),2)</f>
        <v>1.76</v>
      </c>
      <c r="J254" s="10">
        <f>IF(Source!BC81&lt;&gt; 0, Source!BC81, 1)</f>
        <v>4.5599999999999996</v>
      </c>
      <c r="K254" s="24">
        <f>Source!P81</f>
        <v>8.0299999999999994</v>
      </c>
    </row>
    <row r="255" spans="1:27" ht="42.75" x14ac:dyDescent="0.2">
      <c r="A255" s="19" t="str">
        <f>Source!E82</f>
        <v>33,1</v>
      </c>
      <c r="B255" s="20" t="str">
        <f>Source!F82</f>
        <v>1.1-1-1528</v>
      </c>
      <c r="C255" s="20" t="s">
        <v>183</v>
      </c>
      <c r="D255" s="21" t="str">
        <f>Source!H82</f>
        <v>м3</v>
      </c>
      <c r="E255" s="10">
        <f>Source!I82</f>
        <v>2.1610800000000001</v>
      </c>
      <c r="F255" s="23">
        <f>Source!AK82</f>
        <v>250.65</v>
      </c>
      <c r="G255" s="28" t="s">
        <v>5</v>
      </c>
      <c r="H255" s="10">
        <f>Source!AW82</f>
        <v>1.002</v>
      </c>
      <c r="I255" s="24">
        <f>ROUND((ROUND((Source!AC82*Source!AW82*Source!I82),2)),2)+(ROUND((ROUND(((Source!ET82)*Source!AV82*Source!I82),2)),2)+ROUND((ROUND(((Source!AE82-(Source!EU82))*Source!AV82*Source!I82),2)),2))+ROUND((ROUND((Source!AF82*Source!AV82*Source!I82),2)),2)</f>
        <v>542.76</v>
      </c>
      <c r="J255" s="10">
        <f>IF(Source!BC82&lt;&gt; 0, Source!BC82, 1)</f>
        <v>8.8800000000000008</v>
      </c>
      <c r="K255" s="24">
        <f>Source!O82</f>
        <v>4819.71</v>
      </c>
      <c r="Q255">
        <f>ROUND((Source!DN82/100)*ROUND((ROUND((Source!AF82*Source!AV82*Source!I82),2)),2), 2)</f>
        <v>0</v>
      </c>
      <c r="R255">
        <f>Source!X82</f>
        <v>0</v>
      </c>
      <c r="S255">
        <f>ROUND((Source!DO82/100)*ROUND((ROUND((Source!AF82*Source!AV82*Source!I82),2)),2), 2)</f>
        <v>0</v>
      </c>
      <c r="T255">
        <f>Source!Y82</f>
        <v>0</v>
      </c>
      <c r="U255">
        <f>ROUND((175/100)*ROUND((ROUND((Source!AE82*Source!AV82*Source!I82),2)),2), 2)</f>
        <v>0</v>
      </c>
      <c r="V255">
        <f>ROUND((157/100)*ROUND(ROUND((ROUND((Source!AE82*Source!AV82*Source!I82),2)*Source!BS82),2), 2), 2)</f>
        <v>0</v>
      </c>
      <c r="X255">
        <f>IF(Source!BI82&lt;=1,I255, 0)</f>
        <v>542.76</v>
      </c>
      <c r="Y255">
        <f>IF(Source!BI82=2,I255, 0)</f>
        <v>0</v>
      </c>
      <c r="Z255">
        <f>IF(Source!BI82=3,I255, 0)</f>
        <v>0</v>
      </c>
      <c r="AA255">
        <f>IF(Source!BI82=4,I255, 0)</f>
        <v>0</v>
      </c>
    </row>
    <row r="256" spans="1:27" ht="14.25" x14ac:dyDescent="0.2">
      <c r="A256" s="19"/>
      <c r="B256" s="20"/>
      <c r="C256" s="20" t="s">
        <v>517</v>
      </c>
      <c r="D256" s="21" t="s">
        <v>518</v>
      </c>
      <c r="E256" s="10">
        <f>Source!DN81</f>
        <v>134</v>
      </c>
      <c r="F256" s="23"/>
      <c r="G256" s="22"/>
      <c r="H256" s="10"/>
      <c r="I256" s="24">
        <f>SUM(Q250:Q255)</f>
        <v>47.34</v>
      </c>
      <c r="J256" s="10">
        <f>Source!BZ81</f>
        <v>106</v>
      </c>
      <c r="K256" s="24">
        <f>SUM(R250:R255)</f>
        <v>802.55</v>
      </c>
    </row>
    <row r="257" spans="1:27" ht="14.25" x14ac:dyDescent="0.2">
      <c r="A257" s="19"/>
      <c r="B257" s="20"/>
      <c r="C257" s="20" t="s">
        <v>519</v>
      </c>
      <c r="D257" s="21" t="s">
        <v>518</v>
      </c>
      <c r="E257" s="10">
        <f>Source!DO81</f>
        <v>83</v>
      </c>
      <c r="F257" s="23"/>
      <c r="G257" s="22"/>
      <c r="H257" s="10"/>
      <c r="I257" s="24">
        <f>SUM(S250:S256)</f>
        <v>29.32</v>
      </c>
      <c r="J257" s="10">
        <f>Source!CA81</f>
        <v>41</v>
      </c>
      <c r="K257" s="24">
        <f>SUM(T250:T256)</f>
        <v>310.42</v>
      </c>
    </row>
    <row r="258" spans="1:27" ht="14.25" x14ac:dyDescent="0.2">
      <c r="A258" s="19"/>
      <c r="B258" s="20"/>
      <c r="C258" s="20" t="s">
        <v>520</v>
      </c>
      <c r="D258" s="21" t="s">
        <v>518</v>
      </c>
      <c r="E258" s="10">
        <f>175</f>
        <v>175</v>
      </c>
      <c r="F258" s="23"/>
      <c r="G258" s="22"/>
      <c r="H258" s="10"/>
      <c r="I258" s="24">
        <f>SUM(U250:U257)</f>
        <v>9.82</v>
      </c>
      <c r="J258" s="10">
        <f>157</f>
        <v>157</v>
      </c>
      <c r="K258" s="24">
        <f>SUM(V250:V257)</f>
        <v>188.75</v>
      </c>
    </row>
    <row r="259" spans="1:27" ht="14.25" x14ac:dyDescent="0.2">
      <c r="A259" s="19"/>
      <c r="B259" s="20"/>
      <c r="C259" s="20" t="s">
        <v>521</v>
      </c>
      <c r="D259" s="21" t="s">
        <v>522</v>
      </c>
      <c r="E259" s="10">
        <f>Source!AQ81</f>
        <v>24.3</v>
      </c>
      <c r="F259" s="23"/>
      <c r="G259" s="22" t="str">
        <f>Source!DI81</f>
        <v/>
      </c>
      <c r="H259" s="10">
        <f>Source!AV81</f>
        <v>1.0469999999999999</v>
      </c>
      <c r="I259" s="24">
        <f>Source!U81</f>
        <v>3.1599088200000001</v>
      </c>
      <c r="J259" s="10"/>
      <c r="K259" s="24"/>
    </row>
    <row r="260" spans="1:27" ht="15" x14ac:dyDescent="0.25">
      <c r="A260" s="27"/>
      <c r="B260" s="27"/>
      <c r="C260" s="27"/>
      <c r="D260" s="27"/>
      <c r="E260" s="27"/>
      <c r="F260" s="27"/>
      <c r="G260" s="27"/>
      <c r="H260" s="38">
        <f>I251+I252+I254+I256+I257+I258+SUM(I255:I255)</f>
        <v>689.26</v>
      </c>
      <c r="I260" s="38"/>
      <c r="J260" s="38">
        <f>K251+K252+K254+K256+K257+K258+SUM(K255:K255)</f>
        <v>7183.98</v>
      </c>
      <c r="K260" s="38"/>
      <c r="O260" s="26">
        <f>I251+I252+I254+I256+I257+I258+SUM(I255:I255)</f>
        <v>689.26</v>
      </c>
      <c r="P260" s="26">
        <f>K251+K252+K254+K256+K257+K258+SUM(K255:K255)</f>
        <v>7183.98</v>
      </c>
      <c r="X260">
        <f>IF(Source!BI81&lt;=1,I251+I252+I254+I256+I257+I258-0, 0)</f>
        <v>146.5</v>
      </c>
      <c r="Y260">
        <f>IF(Source!BI81=2,I251+I252+I254+I256+I257+I258-0, 0)</f>
        <v>0</v>
      </c>
      <c r="Z260">
        <f>IF(Source!BI81=3,I251+I252+I254+I256+I257+I258-0, 0)</f>
        <v>0</v>
      </c>
      <c r="AA260">
        <f>IF(Source!BI81=4,I251+I252+I254+I256+I257+I258,0)</f>
        <v>0</v>
      </c>
    </row>
    <row r="261" spans="1:27" ht="14.25" x14ac:dyDescent="0.2">
      <c r="C261" s="18" t="str">
        <f>Source!G83</f>
        <v>Устройство покрытий из плитки</v>
      </c>
    </row>
    <row r="262" spans="1:27" ht="28.5" x14ac:dyDescent="0.2">
      <c r="A262" s="19" t="str">
        <f>Source!E84</f>
        <v>34</v>
      </c>
      <c r="B262" s="20" t="str">
        <f>Source!F84</f>
        <v>6.68-23-1</v>
      </c>
      <c r="C262" s="20" t="s">
        <v>188</v>
      </c>
      <c r="D262" s="21" t="str">
        <f>Source!H84</f>
        <v>100 м2 покрытия</v>
      </c>
      <c r="E262" s="10">
        <f>Source!I84</f>
        <v>0.34</v>
      </c>
      <c r="F262" s="23"/>
      <c r="G262" s="22"/>
      <c r="H262" s="10"/>
      <c r="I262" s="24"/>
      <c r="J262" s="10"/>
      <c r="K262" s="24"/>
      <c r="Q262">
        <f>ROUND((Source!DN84/100)*ROUND((ROUND((Source!AF84*Source!AV84*Source!I84),2)),2), 2)</f>
        <v>640.15</v>
      </c>
      <c r="R262">
        <f>Source!X84</f>
        <v>10974.73</v>
      </c>
      <c r="S262">
        <f>ROUND((Source!DO84/100)*ROUND((ROUND((Source!AF84*Source!AV84*Source!I84),2)),2), 2)</f>
        <v>361.23</v>
      </c>
      <c r="T262">
        <f>Source!Y84</f>
        <v>4017.54</v>
      </c>
      <c r="U262">
        <f>ROUND((175/100)*ROUND((ROUND((Source!AE84*Source!AV84*Source!I84),2)),2), 2)</f>
        <v>0</v>
      </c>
      <c r="V262">
        <f>ROUND((157/100)*ROUND(ROUND((ROUND((Source!AE84*Source!AV84*Source!I84),2)*Source!BS84),2), 2), 2)</f>
        <v>0</v>
      </c>
    </row>
    <row r="263" spans="1:27" ht="14.25" x14ac:dyDescent="0.2">
      <c r="A263" s="19"/>
      <c r="B263" s="20"/>
      <c r="C263" s="20" t="s">
        <v>514</v>
      </c>
      <c r="D263" s="21"/>
      <c r="E263" s="10"/>
      <c r="F263" s="23">
        <f>Source!AO84</f>
        <v>1284.49</v>
      </c>
      <c r="G263" s="22" t="str">
        <f>Source!DG84</f>
        <v/>
      </c>
      <c r="H263" s="10">
        <f>Source!AV84</f>
        <v>1.0469999999999999</v>
      </c>
      <c r="I263" s="24">
        <f>ROUND((ROUND((Source!AF84*Source!AV84*Source!I84),2)),2)</f>
        <v>457.25</v>
      </c>
      <c r="J263" s="10">
        <f>IF(Source!BA84&lt;&gt; 0, Source!BA84, 1)</f>
        <v>21.43</v>
      </c>
      <c r="K263" s="24">
        <f>Source!S84</f>
        <v>9798.8700000000008</v>
      </c>
      <c r="W263">
        <f>I263</f>
        <v>457.25</v>
      </c>
    </row>
    <row r="264" spans="1:27" ht="14.25" x14ac:dyDescent="0.2">
      <c r="A264" s="19"/>
      <c r="B264" s="20"/>
      <c r="C264" s="20" t="s">
        <v>523</v>
      </c>
      <c r="D264" s="21"/>
      <c r="E264" s="10"/>
      <c r="F264" s="23">
        <f>Source!AL84</f>
        <v>419.96</v>
      </c>
      <c r="G264" s="22" t="str">
        <f>Source!DD84</f>
        <v/>
      </c>
      <c r="H264" s="10">
        <f>Source!AW84</f>
        <v>1</v>
      </c>
      <c r="I264" s="24">
        <f>ROUND((ROUND((Source!AC84*Source!AW84*Source!I84),2)),2)</f>
        <v>142.79</v>
      </c>
      <c r="J264" s="10">
        <f>IF(Source!BC84&lt;&gt; 0, Source!BC84, 1)</f>
        <v>5.25</v>
      </c>
      <c r="K264" s="24">
        <f>Source!P84</f>
        <v>749.65</v>
      </c>
    </row>
    <row r="265" spans="1:27" ht="128.25" x14ac:dyDescent="0.2">
      <c r="A265" s="19" t="str">
        <f>Source!E85</f>
        <v>34,1</v>
      </c>
      <c r="B265" s="20" t="str">
        <f>Source!F85</f>
        <v>1.3-2-21</v>
      </c>
      <c r="C265" s="20" t="s">
        <v>194</v>
      </c>
      <c r="D265" s="21" t="str">
        <f>Source!H85</f>
        <v>т</v>
      </c>
      <c r="E265" s="10">
        <f>Source!I85</f>
        <v>1.36</v>
      </c>
      <c r="F265" s="23">
        <f>Source!AK85</f>
        <v>540.16</v>
      </c>
      <c r="G265" s="28" t="s">
        <v>5</v>
      </c>
      <c r="H265" s="10">
        <f>Source!AW85</f>
        <v>1</v>
      </c>
      <c r="I265" s="24">
        <f>ROUND((ROUND((Source!AC85*Source!AW85*Source!I85),2)),2)+(ROUND((ROUND(((Source!ET85)*Source!AV85*Source!I85),2)),2)+ROUND((ROUND(((Source!AE85-(Source!EU85))*Source!AV85*Source!I85),2)),2))+ROUND((ROUND((Source!AF85*Source!AV85*Source!I85),2)),2)</f>
        <v>734.62</v>
      </c>
      <c r="J265" s="10">
        <f>IF(Source!BC85&lt;&gt; 0, Source!BC85, 1)</f>
        <v>6.6</v>
      </c>
      <c r="K265" s="24">
        <f>Source!O85</f>
        <v>4848.49</v>
      </c>
      <c r="Q265">
        <f>ROUND((Source!DN85/100)*ROUND((ROUND((Source!AF85*Source!AV85*Source!I85),2)),2), 2)</f>
        <v>0</v>
      </c>
      <c r="R265">
        <f>Source!X85</f>
        <v>0</v>
      </c>
      <c r="S265">
        <f>ROUND((Source!DO85/100)*ROUND((ROUND((Source!AF85*Source!AV85*Source!I85),2)),2), 2)</f>
        <v>0</v>
      </c>
      <c r="T265">
        <f>Source!Y85</f>
        <v>0</v>
      </c>
      <c r="U265">
        <f>ROUND((175/100)*ROUND((ROUND((Source!AE85*Source!AV85*Source!I85),2)),2), 2)</f>
        <v>0</v>
      </c>
      <c r="V265">
        <f>ROUND((157/100)*ROUND(ROUND((ROUND((Source!AE85*Source!AV85*Source!I85),2)*Source!BS85),2), 2), 2)</f>
        <v>0</v>
      </c>
      <c r="X265">
        <f>IF(Source!BI85&lt;=1,I265, 0)</f>
        <v>734.62</v>
      </c>
      <c r="Y265">
        <f>IF(Source!BI85=2,I265, 0)</f>
        <v>0</v>
      </c>
      <c r="Z265">
        <f>IF(Source!BI85=3,I265, 0)</f>
        <v>0</v>
      </c>
      <c r="AA265">
        <f>IF(Source!BI85=4,I265, 0)</f>
        <v>0</v>
      </c>
    </row>
    <row r="266" spans="1:27" ht="14.25" x14ac:dyDescent="0.2">
      <c r="A266" s="19"/>
      <c r="B266" s="20"/>
      <c r="C266" s="20" t="s">
        <v>517</v>
      </c>
      <c r="D266" s="21" t="s">
        <v>518</v>
      </c>
      <c r="E266" s="10">
        <f>Source!DN84</f>
        <v>140</v>
      </c>
      <c r="F266" s="23"/>
      <c r="G266" s="22"/>
      <c r="H266" s="10"/>
      <c r="I266" s="24">
        <f>SUM(Q262:Q265)</f>
        <v>640.15</v>
      </c>
      <c r="J266" s="10">
        <f>Source!BZ84</f>
        <v>112</v>
      </c>
      <c r="K266" s="24">
        <f>SUM(R262:R265)</f>
        <v>10974.73</v>
      </c>
    </row>
    <row r="267" spans="1:27" ht="14.25" x14ac:dyDescent="0.2">
      <c r="A267" s="19"/>
      <c r="B267" s="20"/>
      <c r="C267" s="20" t="s">
        <v>519</v>
      </c>
      <c r="D267" s="21" t="s">
        <v>518</v>
      </c>
      <c r="E267" s="10">
        <f>Source!DO84</f>
        <v>79</v>
      </c>
      <c r="F267" s="23"/>
      <c r="G267" s="22"/>
      <c r="H267" s="10"/>
      <c r="I267" s="24">
        <f>SUM(S262:S266)</f>
        <v>361.23</v>
      </c>
      <c r="J267" s="10">
        <f>Source!CA84</f>
        <v>41</v>
      </c>
      <c r="K267" s="24">
        <f>SUM(T262:T266)</f>
        <v>4017.54</v>
      </c>
    </row>
    <row r="268" spans="1:27" ht="14.25" x14ac:dyDescent="0.2">
      <c r="A268" s="19"/>
      <c r="B268" s="20"/>
      <c r="C268" s="20" t="s">
        <v>521</v>
      </c>
      <c r="D268" s="21" t="s">
        <v>522</v>
      </c>
      <c r="E268" s="10">
        <f>Source!AQ84</f>
        <v>122.1</v>
      </c>
      <c r="F268" s="23"/>
      <c r="G268" s="22" t="str">
        <f>Source!DI84</f>
        <v/>
      </c>
      <c r="H268" s="10">
        <f>Source!AV84</f>
        <v>1.0469999999999999</v>
      </c>
      <c r="I268" s="24">
        <f>Source!U84</f>
        <v>43.465158000000002</v>
      </c>
      <c r="J268" s="10"/>
      <c r="K268" s="24"/>
    </row>
    <row r="269" spans="1:27" ht="15" x14ac:dyDescent="0.25">
      <c r="A269" s="27"/>
      <c r="B269" s="27"/>
      <c r="C269" s="27"/>
      <c r="D269" s="27"/>
      <c r="E269" s="27"/>
      <c r="F269" s="27"/>
      <c r="G269" s="27"/>
      <c r="H269" s="38">
        <f>I263+I264+I266+I267+SUM(I265:I265)</f>
        <v>2336.04</v>
      </c>
      <c r="I269" s="38"/>
      <c r="J269" s="38">
        <f>K263+K264+K266+K267+SUM(K265:K265)</f>
        <v>30389.279999999999</v>
      </c>
      <c r="K269" s="38"/>
      <c r="O269" s="26">
        <f>I263+I264+I266+I267+SUM(I265:I265)</f>
        <v>2336.04</v>
      </c>
      <c r="P269" s="26">
        <f>K263+K264+K266+K267+SUM(K265:K265)</f>
        <v>30389.279999999999</v>
      </c>
      <c r="X269">
        <f>IF(Source!BI84&lt;=1,I263+I264+I266+I267-0, 0)</f>
        <v>1601.42</v>
      </c>
      <c r="Y269">
        <f>IF(Source!BI84=2,I263+I264+I266+I267-0, 0)</f>
        <v>0</v>
      </c>
      <c r="Z269">
        <f>IF(Source!BI84=3,I263+I264+I266+I267-0, 0)</f>
        <v>0</v>
      </c>
      <c r="AA269">
        <f>IF(Source!BI84=4,I263+I264+I266+I267,0)</f>
        <v>0</v>
      </c>
    </row>
    <row r="270" spans="1:27" ht="42.75" x14ac:dyDescent="0.2">
      <c r="A270" s="19" t="str">
        <f>Source!E86</f>
        <v>35</v>
      </c>
      <c r="B270" s="20" t="str">
        <f>Source!F86</f>
        <v>1.5-3-419</v>
      </c>
      <c r="C270" s="20" t="s">
        <v>198</v>
      </c>
      <c r="D270" s="21" t="str">
        <f>Source!H86</f>
        <v>м2</v>
      </c>
      <c r="E270" s="10">
        <f>Source!I86</f>
        <v>10.199999999999999</v>
      </c>
      <c r="F270" s="23">
        <f>Source!AL86</f>
        <v>157.25</v>
      </c>
      <c r="G270" s="22" t="str">
        <f>Source!DD86</f>
        <v/>
      </c>
      <c r="H270" s="10">
        <f>Source!AW86</f>
        <v>1</v>
      </c>
      <c r="I270" s="24">
        <f>ROUND((ROUND((Source!AC86*Source!AW86*Source!I86),2)),2)</f>
        <v>1603.95</v>
      </c>
      <c r="J270" s="10">
        <f>IF(Source!BC86&lt;&gt; 0, Source!BC86, 1)</f>
        <v>3.14</v>
      </c>
      <c r="K270" s="24">
        <f>Source!P86</f>
        <v>5036.3999999999996</v>
      </c>
      <c r="Q270">
        <f>ROUND((Source!DN86/100)*ROUND((ROUND((Source!AF86*Source!AV86*Source!I86),2)),2), 2)</f>
        <v>0</v>
      </c>
      <c r="R270">
        <f>Source!X86</f>
        <v>0</v>
      </c>
      <c r="S270">
        <f>ROUND((Source!DO86/100)*ROUND((ROUND((Source!AF86*Source!AV86*Source!I86),2)),2), 2)</f>
        <v>0</v>
      </c>
      <c r="T270">
        <f>Source!Y86</f>
        <v>0</v>
      </c>
      <c r="U270">
        <f>ROUND((175/100)*ROUND((ROUND((Source!AE86*Source!AV86*Source!I86),2)),2), 2)</f>
        <v>0</v>
      </c>
      <c r="V270">
        <f>ROUND((157/100)*ROUND(ROUND((ROUND((Source!AE86*Source!AV86*Source!I86),2)*Source!BS86),2), 2), 2)</f>
        <v>0</v>
      </c>
    </row>
    <row r="271" spans="1:27" ht="15" x14ac:dyDescent="0.25">
      <c r="A271" s="27"/>
      <c r="B271" s="27"/>
      <c r="C271" s="27"/>
      <c r="D271" s="27"/>
      <c r="E271" s="27"/>
      <c r="F271" s="27"/>
      <c r="G271" s="27"/>
      <c r="H271" s="38">
        <f>I270</f>
        <v>1603.95</v>
      </c>
      <c r="I271" s="38"/>
      <c r="J271" s="38">
        <f>K270</f>
        <v>5036.3999999999996</v>
      </c>
      <c r="K271" s="38"/>
      <c r="O271" s="26">
        <f>I270</f>
        <v>1603.95</v>
      </c>
      <c r="P271" s="26">
        <f>K270</f>
        <v>5036.3999999999996</v>
      </c>
      <c r="X271">
        <f>IF(Source!BI86&lt;=1,I270-0, 0)</f>
        <v>1603.95</v>
      </c>
      <c r="Y271">
        <f>IF(Source!BI86=2,I270-0, 0)</f>
        <v>0</v>
      </c>
      <c r="Z271">
        <f>IF(Source!BI86=3,I270-0, 0)</f>
        <v>0</v>
      </c>
      <c r="AA271">
        <f>IF(Source!BI86=4,I270,0)</f>
        <v>0</v>
      </c>
    </row>
    <row r="272" spans="1:27" ht="42.75" x14ac:dyDescent="0.2">
      <c r="A272" s="19" t="str">
        <f>Source!E87</f>
        <v>36</v>
      </c>
      <c r="B272" s="20" t="str">
        <f>Source!F87</f>
        <v>6.68-51-2</v>
      </c>
      <c r="C272" s="20" t="s">
        <v>112</v>
      </c>
      <c r="D272" s="21" t="str">
        <f>Source!H87</f>
        <v>100 м3 конструкций</v>
      </c>
      <c r="E272" s="10">
        <f>Source!I87</f>
        <v>4.0800000000000003E-2</v>
      </c>
      <c r="F272" s="23"/>
      <c r="G272" s="22"/>
      <c r="H272" s="10"/>
      <c r="I272" s="24"/>
      <c r="J272" s="10"/>
      <c r="K272" s="24"/>
      <c r="Q272">
        <f>ROUND((Source!DN87/100)*ROUND((ROUND((Source!AF87*Source!AV87*Source!I87),2)),2), 2)</f>
        <v>3.77</v>
      </c>
      <c r="R272">
        <f>Source!X87</f>
        <v>68.64</v>
      </c>
      <c r="S272">
        <f>ROUND((Source!DO87/100)*ROUND((ROUND((Source!AF87*Source!AV87*Source!I87),2)),2), 2)</f>
        <v>2.59</v>
      </c>
      <c r="T272">
        <f>Source!Y87</f>
        <v>41.39</v>
      </c>
      <c r="U272">
        <f>ROUND((175/100)*ROUND((ROUND((Source!AE87*Source!AV87*Source!I87),2)),2), 2)</f>
        <v>6.09</v>
      </c>
      <c r="V272">
        <f>ROUND((157/100)*ROUND(ROUND((ROUND((Source!AE87*Source!AV87*Source!I87),2)*Source!BS87),2), 2), 2)</f>
        <v>117.09</v>
      </c>
    </row>
    <row r="273" spans="1:27" ht="14.25" x14ac:dyDescent="0.2">
      <c r="A273" s="19"/>
      <c r="B273" s="20"/>
      <c r="C273" s="20" t="s">
        <v>514</v>
      </c>
      <c r="D273" s="21"/>
      <c r="E273" s="10"/>
      <c r="F273" s="23">
        <f>Source!AO87</f>
        <v>110.33</v>
      </c>
      <c r="G273" s="22" t="str">
        <f>Source!DG87</f>
        <v/>
      </c>
      <c r="H273" s="10">
        <f>Source!AV87</f>
        <v>1.0469999999999999</v>
      </c>
      <c r="I273" s="24">
        <f>ROUND((ROUND((Source!AF87*Source!AV87*Source!I87),2)),2)</f>
        <v>4.71</v>
      </c>
      <c r="J273" s="10">
        <f>IF(Source!BA87&lt;&gt; 0, Source!BA87, 1)</f>
        <v>21.43</v>
      </c>
      <c r="K273" s="24">
        <f>Source!S87</f>
        <v>100.94</v>
      </c>
      <c r="W273">
        <f>I273</f>
        <v>4.71</v>
      </c>
    </row>
    <row r="274" spans="1:27" ht="14.25" x14ac:dyDescent="0.2">
      <c r="A274" s="19"/>
      <c r="B274" s="20"/>
      <c r="C274" s="20" t="s">
        <v>515</v>
      </c>
      <c r="D274" s="21"/>
      <c r="E274" s="10"/>
      <c r="F274" s="23">
        <f>Source!AM87</f>
        <v>402.43</v>
      </c>
      <c r="G274" s="22" t="str">
        <f>Source!DE87</f>
        <v/>
      </c>
      <c r="H274" s="10">
        <f>Source!AV87</f>
        <v>1.0469999999999999</v>
      </c>
      <c r="I274" s="24">
        <f>(ROUND((ROUND(((Source!ET87)*Source!AV87*Source!I87),2)),2)+ROUND((ROUND(((Source!AE87-(Source!EU87))*Source!AV87*Source!I87),2)),2))</f>
        <v>17.190000000000001</v>
      </c>
      <c r="J274" s="10">
        <f>IF(Source!BB87&lt;&gt; 0, Source!BB87, 1)</f>
        <v>10.18</v>
      </c>
      <c r="K274" s="24">
        <f>Source!Q87</f>
        <v>174.99</v>
      </c>
    </row>
    <row r="275" spans="1:27" ht="14.25" x14ac:dyDescent="0.2">
      <c r="A275" s="19"/>
      <c r="B275" s="20"/>
      <c r="C275" s="20" t="s">
        <v>516</v>
      </c>
      <c r="D275" s="21"/>
      <c r="E275" s="10"/>
      <c r="F275" s="23">
        <f>Source!AN87</f>
        <v>81.58</v>
      </c>
      <c r="G275" s="22" t="str">
        <f>Source!DF87</f>
        <v/>
      </c>
      <c r="H275" s="10">
        <f>Source!AV87</f>
        <v>1.0469999999999999</v>
      </c>
      <c r="I275" s="25">
        <f>ROUND((ROUND((Source!AE87*Source!AV87*Source!I87),2)),2)</f>
        <v>3.48</v>
      </c>
      <c r="J275" s="10">
        <f>IF(Source!BS87&lt;&gt; 0, Source!BS87, 1)</f>
        <v>21.43</v>
      </c>
      <c r="K275" s="25">
        <f>Source!R87</f>
        <v>74.58</v>
      </c>
      <c r="W275">
        <f>I275</f>
        <v>3.48</v>
      </c>
    </row>
    <row r="276" spans="1:27" ht="14.25" x14ac:dyDescent="0.2">
      <c r="A276" s="19"/>
      <c r="B276" s="20"/>
      <c r="C276" s="20" t="s">
        <v>517</v>
      </c>
      <c r="D276" s="21" t="s">
        <v>518</v>
      </c>
      <c r="E276" s="10">
        <f>Source!DN87</f>
        <v>80</v>
      </c>
      <c r="F276" s="23"/>
      <c r="G276" s="22"/>
      <c r="H276" s="10"/>
      <c r="I276" s="24">
        <f>SUM(Q272:Q275)</f>
        <v>3.77</v>
      </c>
      <c r="J276" s="10">
        <f>Source!BZ87</f>
        <v>68</v>
      </c>
      <c r="K276" s="24">
        <f>SUM(R272:R275)</f>
        <v>68.64</v>
      </c>
    </row>
    <row r="277" spans="1:27" ht="14.25" x14ac:dyDescent="0.2">
      <c r="A277" s="19"/>
      <c r="B277" s="20"/>
      <c r="C277" s="20" t="s">
        <v>519</v>
      </c>
      <c r="D277" s="21" t="s">
        <v>518</v>
      </c>
      <c r="E277" s="10">
        <f>Source!DO87</f>
        <v>55</v>
      </c>
      <c r="F277" s="23"/>
      <c r="G277" s="22"/>
      <c r="H277" s="10"/>
      <c r="I277" s="24">
        <f>SUM(S272:S276)</f>
        <v>2.59</v>
      </c>
      <c r="J277" s="10">
        <f>Source!CA87</f>
        <v>41</v>
      </c>
      <c r="K277" s="24">
        <f>SUM(T272:T276)</f>
        <v>41.39</v>
      </c>
    </row>
    <row r="278" spans="1:27" ht="14.25" x14ac:dyDescent="0.2">
      <c r="A278" s="19"/>
      <c r="B278" s="20"/>
      <c r="C278" s="20" t="s">
        <v>520</v>
      </c>
      <c r="D278" s="21" t="s">
        <v>518</v>
      </c>
      <c r="E278" s="10">
        <f>175</f>
        <v>175</v>
      </c>
      <c r="F278" s="23"/>
      <c r="G278" s="22"/>
      <c r="H278" s="10"/>
      <c r="I278" s="24">
        <f>SUM(U272:U277)</f>
        <v>6.09</v>
      </c>
      <c r="J278" s="10">
        <f>157</f>
        <v>157</v>
      </c>
      <c r="K278" s="24">
        <f>SUM(V272:V277)</f>
        <v>117.09</v>
      </c>
    </row>
    <row r="279" spans="1:27" ht="14.25" x14ac:dyDescent="0.2">
      <c r="A279" s="19"/>
      <c r="B279" s="20"/>
      <c r="C279" s="20" t="s">
        <v>521</v>
      </c>
      <c r="D279" s="21" t="s">
        <v>522</v>
      </c>
      <c r="E279" s="10">
        <f>Source!AQ87</f>
        <v>11.7</v>
      </c>
      <c r="F279" s="23"/>
      <c r="G279" s="22" t="str">
        <f>Source!DI87</f>
        <v/>
      </c>
      <c r="H279" s="10">
        <f>Source!AV87</f>
        <v>1.0469999999999999</v>
      </c>
      <c r="I279" s="24">
        <f>Source!U87</f>
        <v>0.49979591999999995</v>
      </c>
      <c r="J279" s="10"/>
      <c r="K279" s="24"/>
    </row>
    <row r="280" spans="1:27" ht="15" x14ac:dyDescent="0.25">
      <c r="A280" s="27"/>
      <c r="B280" s="27"/>
      <c r="C280" s="27"/>
      <c r="D280" s="27"/>
      <c r="E280" s="27"/>
      <c r="F280" s="27"/>
      <c r="G280" s="27"/>
      <c r="H280" s="38">
        <f>I273+I274+I276+I277+I278</f>
        <v>34.35</v>
      </c>
      <c r="I280" s="38"/>
      <c r="J280" s="38">
        <f>K273+K274+K276+K277+K278</f>
        <v>503.04999999999995</v>
      </c>
      <c r="K280" s="38"/>
      <c r="O280" s="26">
        <f>I273+I274+I276+I277+I278</f>
        <v>34.35</v>
      </c>
      <c r="P280" s="26">
        <f>K273+K274+K276+K277+K278</f>
        <v>503.04999999999995</v>
      </c>
      <c r="X280">
        <f>IF(Source!BI87&lt;=1,I273+I274+I276+I277+I278-0, 0)</f>
        <v>34.35</v>
      </c>
      <c r="Y280">
        <f>IF(Source!BI87=2,I273+I274+I276+I277+I278-0, 0)</f>
        <v>0</v>
      </c>
      <c r="Z280">
        <f>IF(Source!BI87=3,I273+I274+I276+I277+I278-0, 0)</f>
        <v>0</v>
      </c>
      <c r="AA280">
        <f>IF(Source!BI87=4,I273+I274+I276+I277+I278,0)</f>
        <v>0</v>
      </c>
    </row>
    <row r="281" spans="1:27" ht="42.75" x14ac:dyDescent="0.2">
      <c r="A281" s="19" t="str">
        <f>Source!E88</f>
        <v>37</v>
      </c>
      <c r="B281" s="20" t="str">
        <f>Source!F88</f>
        <v>6.68-13-1</v>
      </c>
      <c r="C281" s="20" t="s">
        <v>44</v>
      </c>
      <c r="D281" s="21" t="str">
        <f>Source!H88</f>
        <v>1 Т</v>
      </c>
      <c r="E281" s="10">
        <f>Source!I88</f>
        <v>7.2827999999999999</v>
      </c>
      <c r="F281" s="23"/>
      <c r="G281" s="22"/>
      <c r="H281" s="10"/>
      <c r="I281" s="24"/>
      <c r="J281" s="10"/>
      <c r="K281" s="24"/>
      <c r="Q281">
        <f>ROUND((Source!DN88/100)*ROUND((ROUND((Source!AF88*Source!AV88*Source!I88),2)),2), 2)</f>
        <v>0</v>
      </c>
      <c r="R281">
        <f>Source!X88</f>
        <v>0</v>
      </c>
      <c r="S281">
        <f>ROUND((Source!DO88/100)*ROUND((ROUND((Source!AF88*Source!AV88*Source!I88),2)),2), 2)</f>
        <v>0</v>
      </c>
      <c r="T281">
        <f>Source!Y88</f>
        <v>0</v>
      </c>
      <c r="U281">
        <f>ROUND((175/100)*ROUND((ROUND((Source!AE88*Source!AV88*Source!I88),2)),2), 2)</f>
        <v>19.760000000000002</v>
      </c>
      <c r="V281">
        <f>ROUND((157/100)*ROUND(ROUND((ROUND((Source!AE88*Source!AV88*Source!I88),2)*Source!BS88),2), 2), 2)</f>
        <v>379.85</v>
      </c>
    </row>
    <row r="282" spans="1:27" ht="14.25" x14ac:dyDescent="0.2">
      <c r="A282" s="19"/>
      <c r="B282" s="20"/>
      <c r="C282" s="20" t="s">
        <v>515</v>
      </c>
      <c r="D282" s="21"/>
      <c r="E282" s="10"/>
      <c r="F282" s="23">
        <f>Source!AM88</f>
        <v>8.86</v>
      </c>
      <c r="G282" s="22" t="str">
        <f>Source!DE88</f>
        <v/>
      </c>
      <c r="H282" s="10">
        <f>Source!AV88</f>
        <v>1.0469999999999999</v>
      </c>
      <c r="I282" s="24">
        <f>(ROUND((ROUND(((Source!ET88)*Source!AV88*Source!I88),2)),2)+ROUND((ROUND(((Source!AE88-(Source!EU88))*Source!AV88*Source!I88),2)),2))</f>
        <v>67.56</v>
      </c>
      <c r="J282" s="10">
        <f>IF(Source!BB88&lt;&gt; 0, Source!BB88, 1)</f>
        <v>7.96</v>
      </c>
      <c r="K282" s="24">
        <f>Source!Q88</f>
        <v>537.78</v>
      </c>
    </row>
    <row r="283" spans="1:27" ht="14.25" x14ac:dyDescent="0.2">
      <c r="A283" s="19"/>
      <c r="B283" s="20"/>
      <c r="C283" s="20" t="s">
        <v>516</v>
      </c>
      <c r="D283" s="21"/>
      <c r="E283" s="10"/>
      <c r="F283" s="23">
        <f>Source!AN88</f>
        <v>1.48</v>
      </c>
      <c r="G283" s="22" t="str">
        <f>Source!DF88</f>
        <v/>
      </c>
      <c r="H283" s="10">
        <f>Source!AV88</f>
        <v>1.0469999999999999</v>
      </c>
      <c r="I283" s="25">
        <f>ROUND((ROUND((Source!AE88*Source!AV88*Source!I88),2)),2)</f>
        <v>11.29</v>
      </c>
      <c r="J283" s="10">
        <f>IF(Source!BS88&lt;&gt; 0, Source!BS88, 1)</f>
        <v>21.43</v>
      </c>
      <c r="K283" s="25">
        <f>Source!R88</f>
        <v>241.94</v>
      </c>
      <c r="W283">
        <f>I283</f>
        <v>11.29</v>
      </c>
    </row>
    <row r="284" spans="1:27" ht="14.25" x14ac:dyDescent="0.2">
      <c r="A284" s="19"/>
      <c r="B284" s="20"/>
      <c r="C284" s="20" t="s">
        <v>520</v>
      </c>
      <c r="D284" s="21" t="s">
        <v>518</v>
      </c>
      <c r="E284" s="10">
        <f>175</f>
        <v>175</v>
      </c>
      <c r="F284" s="23"/>
      <c r="G284" s="22"/>
      <c r="H284" s="10"/>
      <c r="I284" s="24">
        <f>SUM(U281:U283)</f>
        <v>19.760000000000002</v>
      </c>
      <c r="J284" s="10">
        <f>157</f>
        <v>157</v>
      </c>
      <c r="K284" s="24">
        <f>SUM(V281:V283)</f>
        <v>379.85</v>
      </c>
    </row>
    <row r="285" spans="1:27" ht="15" x14ac:dyDescent="0.25">
      <c r="A285" s="27"/>
      <c r="B285" s="27"/>
      <c r="C285" s="27"/>
      <c r="D285" s="27"/>
      <c r="E285" s="27"/>
      <c r="F285" s="27"/>
      <c r="G285" s="27"/>
      <c r="H285" s="38">
        <f>I282+I284</f>
        <v>87.320000000000007</v>
      </c>
      <c r="I285" s="38"/>
      <c r="J285" s="38">
        <f>K282+K284</f>
        <v>917.63</v>
      </c>
      <c r="K285" s="38"/>
      <c r="O285" s="26">
        <f>I282+I284</f>
        <v>87.320000000000007</v>
      </c>
      <c r="P285" s="26">
        <f>K282+K284</f>
        <v>917.63</v>
      </c>
      <c r="X285">
        <f>IF(Source!BI88&lt;=1,I282+I284-0, 0)</f>
        <v>87.320000000000007</v>
      </c>
      <c r="Y285">
        <f>IF(Source!BI88=2,I282+I284-0, 0)</f>
        <v>0</v>
      </c>
      <c r="Z285">
        <f>IF(Source!BI88=3,I282+I284-0, 0)</f>
        <v>0</v>
      </c>
      <c r="AA285">
        <f>IF(Source!BI88=4,I282+I284,0)</f>
        <v>0</v>
      </c>
    </row>
    <row r="286" spans="1:27" ht="99.75" x14ac:dyDescent="0.2">
      <c r="A286" s="19" t="str">
        <f>Source!E89</f>
        <v>38</v>
      </c>
      <c r="B286" s="20" t="str">
        <f>Source!F89</f>
        <v>3.27-12-1</v>
      </c>
      <c r="C286" s="20" t="s">
        <v>50</v>
      </c>
      <c r="D286" s="21" t="str">
        <f>Source!H89</f>
        <v>100 м3 материала основания (в плотном теле)</v>
      </c>
      <c r="E286" s="10">
        <f>Source!I89</f>
        <v>8.5000000000000006E-2</v>
      </c>
      <c r="F286" s="23"/>
      <c r="G286" s="22"/>
      <c r="H286" s="10"/>
      <c r="I286" s="24"/>
      <c r="J286" s="10"/>
      <c r="K286" s="24"/>
      <c r="Q286">
        <f>ROUND((Source!DN89/100)*ROUND((ROUND((Source!AF89*Source!AV89*Source!I89),2)),2), 2)</f>
        <v>21.7</v>
      </c>
      <c r="R286">
        <f>Source!X89</f>
        <v>378.43</v>
      </c>
      <c r="S286">
        <f>ROUND((Source!DO89/100)*ROUND((ROUND((Source!AF89*Source!AV89*Source!I89),2)),2), 2)</f>
        <v>14.42</v>
      </c>
      <c r="T286">
        <f>Source!Y89</f>
        <v>156</v>
      </c>
      <c r="U286">
        <f>ROUND((175/100)*ROUND((ROUND((Source!AE89*Source!AV89*Source!I89),2)),2), 2)</f>
        <v>18.53</v>
      </c>
      <c r="V286">
        <f>ROUND((157/100)*ROUND(ROUND((ROUND((Source!AE89*Source!AV89*Source!I89),2)*Source!BS89),2), 2), 2)</f>
        <v>356.3</v>
      </c>
    </row>
    <row r="287" spans="1:27" ht="14.25" x14ac:dyDescent="0.2">
      <c r="A287" s="19"/>
      <c r="B287" s="20"/>
      <c r="C287" s="20" t="s">
        <v>514</v>
      </c>
      <c r="D287" s="21"/>
      <c r="E287" s="10"/>
      <c r="F287" s="23">
        <f>Source!AO89</f>
        <v>151.49</v>
      </c>
      <c r="G287" s="22" t="str">
        <f>Source!DG89</f>
        <v/>
      </c>
      <c r="H287" s="10">
        <f>Source!AV89</f>
        <v>1.0469999999999999</v>
      </c>
      <c r="I287" s="24">
        <f>ROUND((ROUND((Source!AF89*Source!AV89*Source!I89),2)),2)</f>
        <v>13.48</v>
      </c>
      <c r="J287" s="10">
        <f>IF(Source!BA89&lt;&gt; 0, Source!BA89, 1)</f>
        <v>21.43</v>
      </c>
      <c r="K287" s="24">
        <f>Source!S89</f>
        <v>288.88</v>
      </c>
      <c r="W287">
        <f>I287</f>
        <v>13.48</v>
      </c>
    </row>
    <row r="288" spans="1:27" ht="14.25" x14ac:dyDescent="0.2">
      <c r="A288" s="19"/>
      <c r="B288" s="20"/>
      <c r="C288" s="20" t="s">
        <v>515</v>
      </c>
      <c r="D288" s="21"/>
      <c r="E288" s="10"/>
      <c r="F288" s="23">
        <f>Source!AM89</f>
        <v>676.47</v>
      </c>
      <c r="G288" s="22" t="str">
        <f>Source!DE89</f>
        <v/>
      </c>
      <c r="H288" s="10">
        <f>Source!AV89</f>
        <v>1.0469999999999999</v>
      </c>
      <c r="I288" s="24">
        <f>(ROUND((ROUND(((Source!ET89)*Source!AV89*Source!I89),2)),2)+ROUND((ROUND(((Source!AE89-(Source!EU89))*Source!AV89*Source!I89),2)),2))</f>
        <v>60.2</v>
      </c>
      <c r="J288" s="10">
        <f>IF(Source!BB89&lt;&gt; 0, Source!BB89, 1)</f>
        <v>9.82</v>
      </c>
      <c r="K288" s="24">
        <f>Source!Q89</f>
        <v>591.16</v>
      </c>
    </row>
    <row r="289" spans="1:27" ht="14.25" x14ac:dyDescent="0.2">
      <c r="A289" s="19"/>
      <c r="B289" s="20"/>
      <c r="C289" s="20" t="s">
        <v>516</v>
      </c>
      <c r="D289" s="21"/>
      <c r="E289" s="10"/>
      <c r="F289" s="23">
        <f>Source!AN89</f>
        <v>119.05</v>
      </c>
      <c r="G289" s="22" t="str">
        <f>Source!DF89</f>
        <v/>
      </c>
      <c r="H289" s="10">
        <f>Source!AV89</f>
        <v>1.0469999999999999</v>
      </c>
      <c r="I289" s="25">
        <f>ROUND((ROUND((Source!AE89*Source!AV89*Source!I89),2)),2)</f>
        <v>10.59</v>
      </c>
      <c r="J289" s="10">
        <f>IF(Source!BS89&lt;&gt; 0, Source!BS89, 1)</f>
        <v>21.43</v>
      </c>
      <c r="K289" s="25">
        <f>Source!R89</f>
        <v>226.94</v>
      </c>
      <c r="W289">
        <f>I289</f>
        <v>10.59</v>
      </c>
    </row>
    <row r="290" spans="1:27" ht="14.25" x14ac:dyDescent="0.2">
      <c r="A290" s="19"/>
      <c r="B290" s="20"/>
      <c r="C290" s="20" t="s">
        <v>523</v>
      </c>
      <c r="D290" s="21"/>
      <c r="E290" s="10"/>
      <c r="F290" s="23">
        <f>Source!AL89</f>
        <v>35.35</v>
      </c>
      <c r="G290" s="22" t="str">
        <f>Source!DD89</f>
        <v/>
      </c>
      <c r="H290" s="10">
        <f>Source!AW89</f>
        <v>1.002</v>
      </c>
      <c r="I290" s="24">
        <f>ROUND((ROUND((Source!AC89*Source!AW89*Source!I89),2)),2)</f>
        <v>3.01</v>
      </c>
      <c r="J290" s="10">
        <f>IF(Source!BC89&lt;&gt; 0, Source!BC89, 1)</f>
        <v>4.5599999999999996</v>
      </c>
      <c r="K290" s="24">
        <f>Source!P89</f>
        <v>13.73</v>
      </c>
    </row>
    <row r="291" spans="1:27" ht="28.5" x14ac:dyDescent="0.2">
      <c r="A291" s="19" t="str">
        <f>Source!E90</f>
        <v>38,1</v>
      </c>
      <c r="B291" s="20" t="str">
        <f>Source!F90</f>
        <v>1.1-1-766</v>
      </c>
      <c r="C291" s="20" t="s">
        <v>58</v>
      </c>
      <c r="D291" s="21" t="str">
        <f>Source!H90</f>
        <v>м3</v>
      </c>
      <c r="E291" s="10">
        <f>Source!I90</f>
        <v>9.35</v>
      </c>
      <c r="F291" s="23">
        <f>Source!AK90</f>
        <v>104.99</v>
      </c>
      <c r="G291" s="28" t="s">
        <v>5</v>
      </c>
      <c r="H291" s="10">
        <f>Source!AW90</f>
        <v>1.002</v>
      </c>
      <c r="I291" s="24">
        <f>ROUND((ROUND((Source!AC90*Source!AW90*Source!I90),2)),2)+(ROUND((ROUND(((Source!ET90)*Source!AV90*Source!I90),2)),2)+ROUND((ROUND(((Source!AE90-(Source!EU90))*Source!AV90*Source!I90),2)),2))+ROUND((ROUND((Source!AF90*Source!AV90*Source!I90),2)),2)</f>
        <v>983.62</v>
      </c>
      <c r="J291" s="10">
        <f>IF(Source!BC90&lt;&gt; 0, Source!BC90, 1)</f>
        <v>5.25</v>
      </c>
      <c r="K291" s="24">
        <f>Source!O90</f>
        <v>5164.01</v>
      </c>
      <c r="Q291">
        <f>ROUND((Source!DN90/100)*ROUND((ROUND((Source!AF90*Source!AV90*Source!I90),2)),2), 2)</f>
        <v>0</v>
      </c>
      <c r="R291">
        <f>Source!X90</f>
        <v>0</v>
      </c>
      <c r="S291">
        <f>ROUND((Source!DO90/100)*ROUND((ROUND((Source!AF90*Source!AV90*Source!I90),2)),2), 2)</f>
        <v>0</v>
      </c>
      <c r="T291">
        <f>Source!Y90</f>
        <v>0</v>
      </c>
      <c r="U291">
        <f>ROUND((175/100)*ROUND((ROUND((Source!AE90*Source!AV90*Source!I90),2)),2), 2)</f>
        <v>0</v>
      </c>
      <c r="V291">
        <f>ROUND((157/100)*ROUND(ROUND((ROUND((Source!AE90*Source!AV90*Source!I90),2)*Source!BS90),2), 2), 2)</f>
        <v>0</v>
      </c>
      <c r="X291">
        <f>IF(Source!BI90&lt;=1,I291, 0)</f>
        <v>983.62</v>
      </c>
      <c r="Y291">
        <f>IF(Source!BI90=2,I291, 0)</f>
        <v>0</v>
      </c>
      <c r="Z291">
        <f>IF(Source!BI90=3,I291, 0)</f>
        <v>0</v>
      </c>
      <c r="AA291">
        <f>IF(Source!BI90=4,I291, 0)</f>
        <v>0</v>
      </c>
    </row>
    <row r="292" spans="1:27" ht="14.25" x14ac:dyDescent="0.2">
      <c r="A292" s="19"/>
      <c r="B292" s="20"/>
      <c r="C292" s="20" t="s">
        <v>517</v>
      </c>
      <c r="D292" s="21" t="s">
        <v>518</v>
      </c>
      <c r="E292" s="10">
        <f>Source!DN89</f>
        <v>161</v>
      </c>
      <c r="F292" s="23"/>
      <c r="G292" s="22"/>
      <c r="H292" s="10"/>
      <c r="I292" s="24">
        <f>SUM(Q286:Q291)</f>
        <v>21.7</v>
      </c>
      <c r="J292" s="10">
        <f>Source!BZ89</f>
        <v>131</v>
      </c>
      <c r="K292" s="24">
        <f>SUM(R286:R291)</f>
        <v>378.43</v>
      </c>
    </row>
    <row r="293" spans="1:27" ht="14.25" x14ac:dyDescent="0.2">
      <c r="A293" s="19"/>
      <c r="B293" s="20"/>
      <c r="C293" s="20" t="s">
        <v>519</v>
      </c>
      <c r="D293" s="21" t="s">
        <v>518</v>
      </c>
      <c r="E293" s="10">
        <f>Source!DO89</f>
        <v>107</v>
      </c>
      <c r="F293" s="23"/>
      <c r="G293" s="22"/>
      <c r="H293" s="10"/>
      <c r="I293" s="24">
        <f>SUM(S286:S292)</f>
        <v>14.42</v>
      </c>
      <c r="J293" s="10">
        <f>Source!CA89</f>
        <v>54</v>
      </c>
      <c r="K293" s="24">
        <f>SUM(T286:T292)</f>
        <v>156</v>
      </c>
    </row>
    <row r="294" spans="1:27" ht="14.25" x14ac:dyDescent="0.2">
      <c r="A294" s="19"/>
      <c r="B294" s="20"/>
      <c r="C294" s="20" t="s">
        <v>520</v>
      </c>
      <c r="D294" s="21" t="s">
        <v>518</v>
      </c>
      <c r="E294" s="10">
        <f>175</f>
        <v>175</v>
      </c>
      <c r="F294" s="23"/>
      <c r="G294" s="22"/>
      <c r="H294" s="10"/>
      <c r="I294" s="24">
        <f>SUM(U286:U293)</f>
        <v>18.53</v>
      </c>
      <c r="J294" s="10">
        <f>157</f>
        <v>157</v>
      </c>
      <c r="K294" s="24">
        <f>SUM(V286:V293)</f>
        <v>356.3</v>
      </c>
    </row>
    <row r="295" spans="1:27" ht="14.25" x14ac:dyDescent="0.2">
      <c r="A295" s="19"/>
      <c r="B295" s="20"/>
      <c r="C295" s="20" t="s">
        <v>521</v>
      </c>
      <c r="D295" s="21" t="s">
        <v>522</v>
      </c>
      <c r="E295" s="10">
        <f>Source!AQ89</f>
        <v>14.4</v>
      </c>
      <c r="F295" s="23"/>
      <c r="G295" s="22" t="str">
        <f>Source!DI89</f>
        <v/>
      </c>
      <c r="H295" s="10">
        <f>Source!AV89</f>
        <v>1.0469999999999999</v>
      </c>
      <c r="I295" s="24">
        <f>Source!U89</f>
        <v>1.281528</v>
      </c>
      <c r="J295" s="10"/>
      <c r="K295" s="24"/>
    </row>
    <row r="296" spans="1:27" ht="15" x14ac:dyDescent="0.25">
      <c r="A296" s="27"/>
      <c r="B296" s="27"/>
      <c r="C296" s="27"/>
      <c r="D296" s="27"/>
      <c r="E296" s="27"/>
      <c r="F296" s="27"/>
      <c r="G296" s="27"/>
      <c r="H296" s="38">
        <f>I287+I288+I290+I292+I293+I294+SUM(I291:I291)</f>
        <v>1114.96</v>
      </c>
      <c r="I296" s="38"/>
      <c r="J296" s="38">
        <f>K287+K288+K290+K292+K293+K294+SUM(K291:K291)</f>
        <v>6948.51</v>
      </c>
      <c r="K296" s="38"/>
      <c r="O296" s="26">
        <f>I287+I288+I290+I292+I293+I294+SUM(I291:I291)</f>
        <v>1114.96</v>
      </c>
      <c r="P296" s="26">
        <f>K287+K288+K290+K292+K293+K294+SUM(K291:K291)</f>
        <v>6948.51</v>
      </c>
      <c r="X296">
        <f>IF(Source!BI89&lt;=1,I287+I288+I290+I292+I293+I294-0, 0)</f>
        <v>131.34000000000003</v>
      </c>
      <c r="Y296">
        <f>IF(Source!BI89=2,I287+I288+I290+I292+I293+I294-0, 0)</f>
        <v>0</v>
      </c>
      <c r="Z296">
        <f>IF(Source!BI89=3,I287+I288+I290+I292+I293+I294-0, 0)</f>
        <v>0</v>
      </c>
      <c r="AA296">
        <f>IF(Source!BI89=4,I287+I288+I290+I292+I293+I294,0)</f>
        <v>0</v>
      </c>
    </row>
    <row r="297" spans="1:27" ht="57" x14ac:dyDescent="0.2">
      <c r="A297" s="19" t="str">
        <f>Source!E95</f>
        <v>40</v>
      </c>
      <c r="B297" s="20" t="str">
        <f>Source!F95</f>
        <v>3.27-48-1</v>
      </c>
      <c r="C297" s="20" t="s">
        <v>130</v>
      </c>
      <c r="D297" s="21" t="str">
        <f>Source!H95</f>
        <v>100 м2 дорожек и тротуаров</v>
      </c>
      <c r="E297" s="10">
        <f>Source!I95</f>
        <v>0.34</v>
      </c>
      <c r="F297" s="23"/>
      <c r="G297" s="22"/>
      <c r="H297" s="10"/>
      <c r="I297" s="24"/>
      <c r="J297" s="10"/>
      <c r="K297" s="24"/>
      <c r="Q297">
        <f>ROUND((Source!DN95/100)*ROUND((ROUND((Source!AF95*Source!AV95*Source!I95),2)),2), 2)</f>
        <v>129.59</v>
      </c>
      <c r="R297">
        <f>Source!X95</f>
        <v>2196.85</v>
      </c>
      <c r="S297">
        <f>ROUND((Source!DO95/100)*ROUND((ROUND((Source!AF95*Source!AV95*Source!I95),2)),2), 2)</f>
        <v>80.27</v>
      </c>
      <c r="T297">
        <f>Source!Y95</f>
        <v>849.73</v>
      </c>
      <c r="U297">
        <f>ROUND((175/100)*ROUND((ROUND((Source!AE95*Source!AV95*Source!I95),2)),2), 2)</f>
        <v>26.88</v>
      </c>
      <c r="V297">
        <f>ROUND((157/100)*ROUND(ROUND((ROUND((Source!AE95*Source!AV95*Source!I95),2)*Source!BS95),2), 2), 2)</f>
        <v>516.78</v>
      </c>
    </row>
    <row r="298" spans="1:27" ht="14.25" x14ac:dyDescent="0.2">
      <c r="A298" s="19"/>
      <c r="B298" s="20"/>
      <c r="C298" s="20" t="s">
        <v>514</v>
      </c>
      <c r="D298" s="21"/>
      <c r="E298" s="10"/>
      <c r="F298" s="23">
        <f>Source!AO95</f>
        <v>271.67</v>
      </c>
      <c r="G298" s="22" t="str">
        <f>Source!DG95</f>
        <v/>
      </c>
      <c r="H298" s="10">
        <f>Source!AV95</f>
        <v>1.0469999999999999</v>
      </c>
      <c r="I298" s="24">
        <f>ROUND((ROUND((Source!AF95*Source!AV95*Source!I95),2)),2)</f>
        <v>96.71</v>
      </c>
      <c r="J298" s="10">
        <f>IF(Source!BA95&lt;&gt; 0, Source!BA95, 1)</f>
        <v>21.43</v>
      </c>
      <c r="K298" s="24">
        <f>Source!S95</f>
        <v>2072.5</v>
      </c>
      <c r="W298">
        <f>I298</f>
        <v>96.71</v>
      </c>
    </row>
    <row r="299" spans="1:27" ht="14.25" x14ac:dyDescent="0.2">
      <c r="A299" s="19"/>
      <c r="B299" s="20"/>
      <c r="C299" s="20" t="s">
        <v>515</v>
      </c>
      <c r="D299" s="21"/>
      <c r="E299" s="10"/>
      <c r="F299" s="23">
        <f>Source!AM95</f>
        <v>176.34</v>
      </c>
      <c r="G299" s="22" t="str">
        <f>Source!DE95</f>
        <v/>
      </c>
      <c r="H299" s="10">
        <f>Source!AV95</f>
        <v>1.0469999999999999</v>
      </c>
      <c r="I299" s="24">
        <f>(ROUND((ROUND(((Source!ET95)*Source!AV95*Source!I95),2)),2)+ROUND((ROUND(((Source!AE95-(Source!EU95))*Source!AV95*Source!I95),2)),2))</f>
        <v>62.77</v>
      </c>
      <c r="J299" s="10">
        <f>IF(Source!BB95&lt;&gt; 0, Source!BB95, 1)</f>
        <v>12.97</v>
      </c>
      <c r="K299" s="24">
        <f>Source!Q95</f>
        <v>814.13</v>
      </c>
    </row>
    <row r="300" spans="1:27" ht="14.25" x14ac:dyDescent="0.2">
      <c r="A300" s="19"/>
      <c r="B300" s="20"/>
      <c r="C300" s="20" t="s">
        <v>516</v>
      </c>
      <c r="D300" s="21"/>
      <c r="E300" s="10"/>
      <c r="F300" s="23">
        <f>Source!AN95</f>
        <v>43.15</v>
      </c>
      <c r="G300" s="22" t="str">
        <f>Source!DF95</f>
        <v/>
      </c>
      <c r="H300" s="10">
        <f>Source!AV95</f>
        <v>1.0469999999999999</v>
      </c>
      <c r="I300" s="25">
        <f>ROUND((ROUND((Source!AE95*Source!AV95*Source!I95),2)),2)</f>
        <v>15.36</v>
      </c>
      <c r="J300" s="10">
        <f>IF(Source!BS95&lt;&gt; 0, Source!BS95, 1)</f>
        <v>21.43</v>
      </c>
      <c r="K300" s="25">
        <f>Source!R95</f>
        <v>329.16</v>
      </c>
      <c r="W300">
        <f>I300</f>
        <v>15.36</v>
      </c>
    </row>
    <row r="301" spans="1:27" ht="14.25" x14ac:dyDescent="0.2">
      <c r="A301" s="19"/>
      <c r="B301" s="20"/>
      <c r="C301" s="20" t="s">
        <v>523</v>
      </c>
      <c r="D301" s="21"/>
      <c r="E301" s="10"/>
      <c r="F301" s="23">
        <f>Source!AL95</f>
        <v>14.14</v>
      </c>
      <c r="G301" s="22" t="str">
        <f>Source!DD95</f>
        <v/>
      </c>
      <c r="H301" s="10">
        <f>Source!AW95</f>
        <v>1.002</v>
      </c>
      <c r="I301" s="24">
        <f>ROUND((ROUND((Source!AC95*Source!AW95*Source!I95),2)),2)</f>
        <v>4.82</v>
      </c>
      <c r="J301" s="10">
        <f>IF(Source!BC95&lt;&gt; 0, Source!BC95, 1)</f>
        <v>4.5599999999999996</v>
      </c>
      <c r="K301" s="24">
        <f>Source!P95</f>
        <v>21.98</v>
      </c>
    </row>
    <row r="302" spans="1:27" ht="42.75" x14ac:dyDescent="0.2">
      <c r="A302" s="19" t="str">
        <f>Source!E96</f>
        <v>40,1</v>
      </c>
      <c r="B302" s="20" t="str">
        <f>Source!F96</f>
        <v>1.1-1-1528</v>
      </c>
      <c r="C302" s="20" t="s">
        <v>183</v>
      </c>
      <c r="D302" s="21" t="str">
        <f>Source!H96</f>
        <v>м3</v>
      </c>
      <c r="E302" s="10">
        <f>Source!I96</f>
        <v>5.9160000000000004</v>
      </c>
      <c r="F302" s="23">
        <f>Source!AK96</f>
        <v>250.65</v>
      </c>
      <c r="G302" s="28" t="s">
        <v>5</v>
      </c>
      <c r="H302" s="10">
        <f>Source!AW96</f>
        <v>1.002</v>
      </c>
      <c r="I302" s="24">
        <f>ROUND((ROUND((Source!AC96*Source!AW96*Source!I96),2)),2)+(ROUND((ROUND(((Source!ET96)*Source!AV96*Source!I96),2)),2)+ROUND((ROUND(((Source!AE96-(Source!EU96))*Source!AV96*Source!I96),2)),2))+ROUND((ROUND((Source!AF96*Source!AV96*Source!I96),2)),2)</f>
        <v>1485.81</v>
      </c>
      <c r="J302" s="10">
        <f>IF(Source!BC96&lt;&gt; 0, Source!BC96, 1)</f>
        <v>8.8800000000000008</v>
      </c>
      <c r="K302" s="24">
        <f>Source!O96</f>
        <v>13193.99</v>
      </c>
      <c r="Q302">
        <f>ROUND((Source!DN96/100)*ROUND((ROUND((Source!AF96*Source!AV96*Source!I96),2)),2), 2)</f>
        <v>0</v>
      </c>
      <c r="R302">
        <f>Source!X96</f>
        <v>0</v>
      </c>
      <c r="S302">
        <f>ROUND((Source!DO96/100)*ROUND((ROUND((Source!AF96*Source!AV96*Source!I96),2)),2), 2)</f>
        <v>0</v>
      </c>
      <c r="T302">
        <f>Source!Y96</f>
        <v>0</v>
      </c>
      <c r="U302">
        <f>ROUND((175/100)*ROUND((ROUND((Source!AE96*Source!AV96*Source!I96),2)),2), 2)</f>
        <v>0</v>
      </c>
      <c r="V302">
        <f>ROUND((157/100)*ROUND(ROUND((ROUND((Source!AE96*Source!AV96*Source!I96),2)*Source!BS96),2), 2), 2)</f>
        <v>0</v>
      </c>
      <c r="X302">
        <f>IF(Source!BI96&lt;=1,I302, 0)</f>
        <v>1485.81</v>
      </c>
      <c r="Y302">
        <f>IF(Source!BI96=2,I302, 0)</f>
        <v>0</v>
      </c>
      <c r="Z302">
        <f>IF(Source!BI96=3,I302, 0)</f>
        <v>0</v>
      </c>
      <c r="AA302">
        <f>IF(Source!BI96=4,I302, 0)</f>
        <v>0</v>
      </c>
    </row>
    <row r="303" spans="1:27" ht="14.25" x14ac:dyDescent="0.2">
      <c r="A303" s="19"/>
      <c r="B303" s="20"/>
      <c r="C303" s="20" t="s">
        <v>517</v>
      </c>
      <c r="D303" s="21" t="s">
        <v>518</v>
      </c>
      <c r="E303" s="10">
        <f>Source!DN95</f>
        <v>134</v>
      </c>
      <c r="F303" s="23"/>
      <c r="G303" s="22"/>
      <c r="H303" s="10"/>
      <c r="I303" s="24">
        <f>SUM(Q297:Q302)</f>
        <v>129.59</v>
      </c>
      <c r="J303" s="10">
        <f>Source!BZ95</f>
        <v>106</v>
      </c>
      <c r="K303" s="24">
        <f>SUM(R297:R302)</f>
        <v>2196.85</v>
      </c>
    </row>
    <row r="304" spans="1:27" ht="14.25" x14ac:dyDescent="0.2">
      <c r="A304" s="19"/>
      <c r="B304" s="20"/>
      <c r="C304" s="20" t="s">
        <v>519</v>
      </c>
      <c r="D304" s="21" t="s">
        <v>518</v>
      </c>
      <c r="E304" s="10">
        <f>Source!DO95</f>
        <v>83</v>
      </c>
      <c r="F304" s="23"/>
      <c r="G304" s="22"/>
      <c r="H304" s="10"/>
      <c r="I304" s="24">
        <f>SUM(S297:S303)</f>
        <v>80.27</v>
      </c>
      <c r="J304" s="10">
        <f>Source!CA95</f>
        <v>41</v>
      </c>
      <c r="K304" s="24">
        <f>SUM(T297:T303)</f>
        <v>849.73</v>
      </c>
    </row>
    <row r="305" spans="1:27" ht="14.25" x14ac:dyDescent="0.2">
      <c r="A305" s="19"/>
      <c r="B305" s="20"/>
      <c r="C305" s="20" t="s">
        <v>520</v>
      </c>
      <c r="D305" s="21" t="s">
        <v>518</v>
      </c>
      <c r="E305" s="10">
        <f>175</f>
        <v>175</v>
      </c>
      <c r="F305" s="23"/>
      <c r="G305" s="22"/>
      <c r="H305" s="10"/>
      <c r="I305" s="24">
        <f>SUM(U297:U304)</f>
        <v>26.88</v>
      </c>
      <c r="J305" s="10">
        <f>157</f>
        <v>157</v>
      </c>
      <c r="K305" s="24">
        <f>SUM(V297:V304)</f>
        <v>516.78</v>
      </c>
    </row>
    <row r="306" spans="1:27" ht="14.25" x14ac:dyDescent="0.2">
      <c r="A306" s="19"/>
      <c r="B306" s="20"/>
      <c r="C306" s="20" t="s">
        <v>521</v>
      </c>
      <c r="D306" s="21" t="s">
        <v>522</v>
      </c>
      <c r="E306" s="10">
        <f>Source!AQ95</f>
        <v>24.3</v>
      </c>
      <c r="F306" s="23"/>
      <c r="G306" s="22" t="str">
        <f>Source!DI95</f>
        <v/>
      </c>
      <c r="H306" s="10">
        <f>Source!AV95</f>
        <v>1.0469999999999999</v>
      </c>
      <c r="I306" s="24">
        <f>Source!U95</f>
        <v>8.6503139999999998</v>
      </c>
      <c r="J306" s="10"/>
      <c r="K306" s="24"/>
    </row>
    <row r="307" spans="1:27" ht="15" x14ac:dyDescent="0.25">
      <c r="A307" s="27"/>
      <c r="B307" s="27"/>
      <c r="C307" s="27"/>
      <c r="D307" s="27"/>
      <c r="E307" s="27"/>
      <c r="F307" s="27"/>
      <c r="G307" s="27"/>
      <c r="H307" s="38">
        <f>I298+I299+I301+I303+I304+I305+SUM(I302:I302)</f>
        <v>1886.85</v>
      </c>
      <c r="I307" s="38"/>
      <c r="J307" s="38">
        <f>K298+K299+K301+K303+K304+K305+SUM(K302:K302)</f>
        <v>19665.96</v>
      </c>
      <c r="K307" s="38"/>
      <c r="O307" s="26">
        <f>I298+I299+I301+I303+I304+I305+SUM(I302:I302)</f>
        <v>1886.85</v>
      </c>
      <c r="P307" s="26">
        <f>K298+K299+K301+K303+K304+K305+SUM(K302:K302)</f>
        <v>19665.96</v>
      </c>
      <c r="X307">
        <f>IF(Source!BI95&lt;=1,I298+I299+I301+I303+I304+I305-0, 0)</f>
        <v>401.03999999999996</v>
      </c>
      <c r="Y307">
        <f>IF(Source!BI95=2,I298+I299+I301+I303+I304+I305-0, 0)</f>
        <v>0</v>
      </c>
      <c r="Z307">
        <f>IF(Source!BI95=3,I298+I299+I301+I303+I304+I305-0, 0)</f>
        <v>0</v>
      </c>
      <c r="AA307">
        <f>IF(Source!BI95=4,I298+I299+I301+I303+I304+I305,0)</f>
        <v>0</v>
      </c>
    </row>
    <row r="308" spans="1:27" ht="14.25" x14ac:dyDescent="0.2">
      <c r="C308" s="18" t="str">
        <f>Source!G97</f>
        <v>Газон</v>
      </c>
    </row>
    <row r="309" spans="1:27" ht="57" x14ac:dyDescent="0.2">
      <c r="A309" s="19" t="str">
        <f>Source!E100</f>
        <v>42</v>
      </c>
      <c r="B309" s="20" t="str">
        <f>Source!F100</f>
        <v>3.47-26-4</v>
      </c>
      <c r="C309" s="20" t="s">
        <v>240</v>
      </c>
      <c r="D309" s="21" t="str">
        <f>Source!H100</f>
        <v>100 м2</v>
      </c>
      <c r="E309" s="10">
        <f>Source!I100</f>
        <v>5.1009000000000002</v>
      </c>
      <c r="F309" s="23"/>
      <c r="G309" s="22"/>
      <c r="H309" s="10"/>
      <c r="I309" s="24"/>
      <c r="J309" s="10"/>
      <c r="K309" s="24"/>
      <c r="Q309">
        <f>ROUND((Source!DN100/100)*ROUND((ROUND((Source!AF100*Source!AV100*Source!I100),2)),2), 2)</f>
        <v>3971.9</v>
      </c>
      <c r="R309">
        <f>Source!X100</f>
        <v>46427.88</v>
      </c>
      <c r="S309">
        <f>ROUND((Source!DO100/100)*ROUND((ROUND((Source!AF100*Source!AV100*Source!I100),2)),2), 2)</f>
        <v>2145.25</v>
      </c>
      <c r="T309">
        <f>Source!Y100</f>
        <v>21393.24</v>
      </c>
      <c r="U309">
        <f>ROUND((175/100)*ROUND((ROUND((Source!AE100*Source!AV100*Source!I100),2)),2), 2)</f>
        <v>0</v>
      </c>
      <c r="V309">
        <f>ROUND((157/100)*ROUND(ROUND((ROUND((Source!AE100*Source!AV100*Source!I100),2)*Source!BS100),2), 2), 2)</f>
        <v>0</v>
      </c>
    </row>
    <row r="310" spans="1:27" ht="14.25" x14ac:dyDescent="0.2">
      <c r="A310" s="19"/>
      <c r="B310" s="20"/>
      <c r="C310" s="20" t="s">
        <v>514</v>
      </c>
      <c r="D310" s="21"/>
      <c r="E310" s="10"/>
      <c r="F310" s="23">
        <f>Source!AO100</f>
        <v>416.4</v>
      </c>
      <c r="G310" s="22" t="str">
        <f>Source!DG100</f>
        <v/>
      </c>
      <c r="H310" s="10">
        <f>Source!AV100</f>
        <v>1</v>
      </c>
      <c r="I310" s="24">
        <f>ROUND((ROUND((Source!AF100*Source!AV100*Source!I100),2)),2)</f>
        <v>2124.0100000000002</v>
      </c>
      <c r="J310" s="10">
        <f>IF(Source!BA100&lt;&gt; 0, Source!BA100, 1)</f>
        <v>21.43</v>
      </c>
      <c r="K310" s="24">
        <f>Source!S100</f>
        <v>45517.53</v>
      </c>
      <c r="W310">
        <f>I310</f>
        <v>2124.0100000000002</v>
      </c>
    </row>
    <row r="311" spans="1:27" ht="14.25" x14ac:dyDescent="0.2">
      <c r="A311" s="19" t="str">
        <f>Source!E101</f>
        <v>42,1</v>
      </c>
      <c r="B311" s="20" t="str">
        <f>Source!F101</f>
        <v>1.4-6-1</v>
      </c>
      <c r="C311" s="20" t="s">
        <v>236</v>
      </c>
      <c r="D311" s="21" t="str">
        <f>Source!H101</f>
        <v>м3</v>
      </c>
      <c r="E311" s="10">
        <f>Source!I101</f>
        <v>76.513499999999993</v>
      </c>
      <c r="F311" s="23">
        <f>Source!AK101</f>
        <v>146.84</v>
      </c>
      <c r="G311" s="28" t="s">
        <v>5</v>
      </c>
      <c r="H311" s="10">
        <f>Source!AW101</f>
        <v>1</v>
      </c>
      <c r="I311" s="24">
        <f>ROUND((ROUND((Source!AC101*Source!AW101*Source!I101),2)),2)+(ROUND((ROUND(((Source!ET101)*Source!AV101*Source!I101),2)),2)+ROUND((ROUND(((Source!AE101-(Source!EU101))*Source!AV101*Source!I101),2)),2))+ROUND((ROUND((Source!AF101*Source!AV101*Source!I101),2)),2)</f>
        <v>11235.24</v>
      </c>
      <c r="J311" s="10">
        <f>IF(Source!BC101&lt;&gt; 0, Source!BC101, 1)</f>
        <v>5.79</v>
      </c>
      <c r="K311" s="24">
        <f>Source!O101</f>
        <v>65052.04</v>
      </c>
      <c r="Q311">
        <f>ROUND((Source!DN101/100)*ROUND((ROUND((Source!AF101*Source!AV101*Source!I101),2)),2), 2)</f>
        <v>0</v>
      </c>
      <c r="R311">
        <f>Source!X101</f>
        <v>0</v>
      </c>
      <c r="S311">
        <f>ROUND((Source!DO101/100)*ROUND((ROUND((Source!AF101*Source!AV101*Source!I101),2)),2), 2)</f>
        <v>0</v>
      </c>
      <c r="T311">
        <f>Source!Y101</f>
        <v>0</v>
      </c>
      <c r="U311">
        <f>ROUND((175/100)*ROUND((ROUND((Source!AE101*Source!AV101*Source!I101),2)),2), 2)</f>
        <v>0</v>
      </c>
      <c r="V311">
        <f>ROUND((157/100)*ROUND(ROUND((ROUND((Source!AE101*Source!AV101*Source!I101),2)*Source!BS101),2), 2), 2)</f>
        <v>0</v>
      </c>
      <c r="X311">
        <f>IF(Source!BI101&lt;=1,I311, 0)</f>
        <v>11235.24</v>
      </c>
      <c r="Y311">
        <f>IF(Source!BI101=2,I311, 0)</f>
        <v>0</v>
      </c>
      <c r="Z311">
        <f>IF(Source!BI101=3,I311, 0)</f>
        <v>0</v>
      </c>
      <c r="AA311">
        <f>IF(Source!BI101=4,I311, 0)</f>
        <v>0</v>
      </c>
    </row>
    <row r="312" spans="1:27" ht="14.25" x14ac:dyDescent="0.2">
      <c r="A312" s="19"/>
      <c r="B312" s="20"/>
      <c r="C312" s="20" t="s">
        <v>517</v>
      </c>
      <c r="D312" s="21" t="s">
        <v>518</v>
      </c>
      <c r="E312" s="10">
        <f>Source!DN100</f>
        <v>187</v>
      </c>
      <c r="F312" s="23"/>
      <c r="G312" s="22"/>
      <c r="H312" s="10"/>
      <c r="I312" s="24">
        <f>SUM(Q309:Q311)</f>
        <v>3971.9</v>
      </c>
      <c r="J312" s="10">
        <f>Source!BZ100</f>
        <v>102</v>
      </c>
      <c r="K312" s="24">
        <f>SUM(R309:R311)</f>
        <v>46427.88</v>
      </c>
    </row>
    <row r="313" spans="1:27" ht="14.25" x14ac:dyDescent="0.2">
      <c r="A313" s="19"/>
      <c r="B313" s="20"/>
      <c r="C313" s="20" t="s">
        <v>519</v>
      </c>
      <c r="D313" s="21" t="s">
        <v>518</v>
      </c>
      <c r="E313" s="10">
        <f>Source!DO100</f>
        <v>101</v>
      </c>
      <c r="F313" s="23"/>
      <c r="G313" s="22"/>
      <c r="H313" s="10"/>
      <c r="I313" s="24">
        <f>SUM(S309:S312)</f>
        <v>2145.25</v>
      </c>
      <c r="J313" s="10">
        <f>Source!CA100</f>
        <v>47</v>
      </c>
      <c r="K313" s="24">
        <f>SUM(T309:T312)</f>
        <v>21393.24</v>
      </c>
    </row>
    <row r="314" spans="1:27" ht="14.25" x14ac:dyDescent="0.2">
      <c r="A314" s="19"/>
      <c r="B314" s="20"/>
      <c r="C314" s="20" t="s">
        <v>521</v>
      </c>
      <c r="D314" s="21" t="s">
        <v>522</v>
      </c>
      <c r="E314" s="10">
        <f>Source!AQ100</f>
        <v>40</v>
      </c>
      <c r="F314" s="23"/>
      <c r="G314" s="22" t="str">
        <f>Source!DI100</f>
        <v/>
      </c>
      <c r="H314" s="10">
        <f>Source!AV100</f>
        <v>1</v>
      </c>
      <c r="I314" s="24">
        <f>Source!U100</f>
        <v>204.036</v>
      </c>
      <c r="J314" s="10"/>
      <c r="K314" s="24"/>
    </row>
    <row r="315" spans="1:27" ht="15" x14ac:dyDescent="0.25">
      <c r="A315" s="27"/>
      <c r="B315" s="27"/>
      <c r="C315" s="27"/>
      <c r="D315" s="27"/>
      <c r="E315" s="27"/>
      <c r="F315" s="27"/>
      <c r="G315" s="27"/>
      <c r="H315" s="38">
        <f>I310+I312+I313+SUM(I311:I311)</f>
        <v>19476.400000000001</v>
      </c>
      <c r="I315" s="38"/>
      <c r="J315" s="38">
        <f>K310+K312+K313+SUM(K311:K311)</f>
        <v>178390.69</v>
      </c>
      <c r="K315" s="38"/>
      <c r="O315" s="26">
        <f>I310+I312+I313+SUM(I311:I311)</f>
        <v>19476.400000000001</v>
      </c>
      <c r="P315" s="26">
        <f>K310+K312+K313+SUM(K311:K311)</f>
        <v>178390.69</v>
      </c>
      <c r="X315">
        <f>IF(Source!BI100&lt;=1,I310+I312+I313-0, 0)</f>
        <v>8241.16</v>
      </c>
      <c r="Y315">
        <f>IF(Source!BI100=2,I310+I312+I313-0, 0)</f>
        <v>0</v>
      </c>
      <c r="Z315">
        <f>IF(Source!BI100=3,I310+I312+I313-0, 0)</f>
        <v>0</v>
      </c>
      <c r="AA315">
        <f>IF(Source!BI100=4,I310+I312+I313,0)</f>
        <v>0</v>
      </c>
    </row>
    <row r="316" spans="1:27" ht="57" x14ac:dyDescent="0.2">
      <c r="A316" s="19" t="str">
        <f>Source!E102</f>
        <v>43</v>
      </c>
      <c r="B316" s="20" t="str">
        <f>Source!F102</f>
        <v>3.47-26-5</v>
      </c>
      <c r="C316" s="20" t="s">
        <v>245</v>
      </c>
      <c r="D316" s="21" t="str">
        <f>Source!H102</f>
        <v>100 м2</v>
      </c>
      <c r="E316" s="10">
        <f>Source!I102</f>
        <v>-5.1009000000000002</v>
      </c>
      <c r="F316" s="23"/>
      <c r="G316" s="22"/>
      <c r="H316" s="10"/>
      <c r="I316" s="24"/>
      <c r="J316" s="10"/>
      <c r="K316" s="24"/>
      <c r="Q316">
        <f>ROUND((Source!DN102/100)*ROUND((ROUND((Source!AF102*Source!AV102*Source!I102),2)),2), 2)</f>
        <v>-543.14</v>
      </c>
      <c r="R316">
        <f>Source!X102</f>
        <v>-6348.83</v>
      </c>
      <c r="S316">
        <f>ROUND((Source!DO102/100)*ROUND((ROUND((Source!AF102*Source!AV102*Source!I102),2)),2), 2)</f>
        <v>-293.35000000000002</v>
      </c>
      <c r="T316">
        <f>Source!Y102</f>
        <v>-2925.44</v>
      </c>
      <c r="U316">
        <f>ROUND((175/100)*ROUND((ROUND((Source!AE102*Source!AV102*Source!I102),2)),2), 2)</f>
        <v>0</v>
      </c>
      <c r="V316">
        <f>ROUND((157/100)*ROUND(ROUND((ROUND((Source!AE102*Source!AV102*Source!I102),2)*Source!BS102),2), 2), 2)</f>
        <v>0</v>
      </c>
    </row>
    <row r="317" spans="1:27" ht="14.25" x14ac:dyDescent="0.2">
      <c r="A317" s="19"/>
      <c r="B317" s="20"/>
      <c r="C317" s="20" t="s">
        <v>514</v>
      </c>
      <c r="D317" s="21"/>
      <c r="E317" s="10"/>
      <c r="F317" s="23">
        <f>Source!AO102</f>
        <v>56.94</v>
      </c>
      <c r="G317" s="22" t="str">
        <f>Source!DG102</f>
        <v/>
      </c>
      <c r="H317" s="10">
        <f>Source!AV102</f>
        <v>1</v>
      </c>
      <c r="I317" s="24">
        <f>ROUND((ROUND((Source!AF102*Source!AV102*Source!I102),2)),2)</f>
        <v>-290.45</v>
      </c>
      <c r="J317" s="10">
        <f>IF(Source!BA102&lt;&gt; 0, Source!BA102, 1)</f>
        <v>21.43</v>
      </c>
      <c r="K317" s="24">
        <f>Source!S102</f>
        <v>-6224.34</v>
      </c>
      <c r="W317">
        <f>I317</f>
        <v>-290.45</v>
      </c>
    </row>
    <row r="318" spans="1:27" ht="14.25" x14ac:dyDescent="0.2">
      <c r="A318" s="19" t="str">
        <f>Source!E103</f>
        <v>43,1</v>
      </c>
      <c r="B318" s="20" t="str">
        <f>Source!F103</f>
        <v>1.4-6-1</v>
      </c>
      <c r="C318" s="20" t="s">
        <v>236</v>
      </c>
      <c r="D318" s="21" t="str">
        <f>Source!H103</f>
        <v>м3</v>
      </c>
      <c r="E318" s="10">
        <f>Source!I103</f>
        <v>-25.5045</v>
      </c>
      <c r="F318" s="23">
        <f>Source!AK103</f>
        <v>146.84</v>
      </c>
      <c r="G318" s="28" t="s">
        <v>5</v>
      </c>
      <c r="H318" s="10">
        <f>Source!AW103</f>
        <v>1</v>
      </c>
      <c r="I318" s="24">
        <f>ROUND((ROUND((Source!AC103*Source!AW103*Source!I103),2)),2)+(ROUND((ROUND(((Source!ET103)*Source!AV103*Source!I103),2)),2)+ROUND((ROUND(((Source!AE103-(Source!EU103))*Source!AV103*Source!I103),2)),2))+ROUND((ROUND((Source!AF103*Source!AV103*Source!I103),2)),2)</f>
        <v>-3745.08</v>
      </c>
      <c r="J318" s="10">
        <f>IF(Source!BC103&lt;&gt; 0, Source!BC103, 1)</f>
        <v>5.79</v>
      </c>
      <c r="K318" s="24">
        <f>Source!O103</f>
        <v>-21684.01</v>
      </c>
      <c r="Q318">
        <f>ROUND((Source!DN103/100)*ROUND((ROUND((Source!AF103*Source!AV103*Source!I103),2)),2), 2)</f>
        <v>0</v>
      </c>
      <c r="R318">
        <f>Source!X103</f>
        <v>0</v>
      </c>
      <c r="S318">
        <f>ROUND((Source!DO103/100)*ROUND((ROUND((Source!AF103*Source!AV103*Source!I103),2)),2), 2)</f>
        <v>0</v>
      </c>
      <c r="T318">
        <f>Source!Y103</f>
        <v>0</v>
      </c>
      <c r="U318">
        <f>ROUND((175/100)*ROUND((ROUND((Source!AE103*Source!AV103*Source!I103),2)),2), 2)</f>
        <v>0</v>
      </c>
      <c r="V318">
        <f>ROUND((157/100)*ROUND(ROUND((ROUND((Source!AE103*Source!AV103*Source!I103),2)*Source!BS103),2), 2), 2)</f>
        <v>0</v>
      </c>
      <c r="X318">
        <f>IF(Source!BI103&lt;=1,I318, 0)</f>
        <v>-3745.08</v>
      </c>
      <c r="Y318">
        <f>IF(Source!BI103=2,I318, 0)</f>
        <v>0</v>
      </c>
      <c r="Z318">
        <f>IF(Source!BI103=3,I318, 0)</f>
        <v>0</v>
      </c>
      <c r="AA318">
        <f>IF(Source!BI103=4,I318, 0)</f>
        <v>0</v>
      </c>
    </row>
    <row r="319" spans="1:27" ht="14.25" x14ac:dyDescent="0.2">
      <c r="A319" s="19"/>
      <c r="B319" s="20"/>
      <c r="C319" s="20" t="s">
        <v>517</v>
      </c>
      <c r="D319" s="21" t="s">
        <v>518</v>
      </c>
      <c r="E319" s="10">
        <f>Source!DN102</f>
        <v>187</v>
      </c>
      <c r="F319" s="23"/>
      <c r="G319" s="22"/>
      <c r="H319" s="10"/>
      <c r="I319" s="24">
        <f>SUM(Q316:Q318)</f>
        <v>-543.14</v>
      </c>
      <c r="J319" s="10">
        <f>Source!BZ102</f>
        <v>102</v>
      </c>
      <c r="K319" s="24">
        <f>SUM(R316:R318)</f>
        <v>-6348.83</v>
      </c>
    </row>
    <row r="320" spans="1:27" ht="14.25" x14ac:dyDescent="0.2">
      <c r="A320" s="19"/>
      <c r="B320" s="20"/>
      <c r="C320" s="20" t="s">
        <v>519</v>
      </c>
      <c r="D320" s="21" t="s">
        <v>518</v>
      </c>
      <c r="E320" s="10">
        <f>Source!DO102</f>
        <v>101</v>
      </c>
      <c r="F320" s="23"/>
      <c r="G320" s="22"/>
      <c r="H320" s="10"/>
      <c r="I320" s="24">
        <f>SUM(S316:S319)</f>
        <v>-293.35000000000002</v>
      </c>
      <c r="J320" s="10">
        <f>Source!CA102</f>
        <v>47</v>
      </c>
      <c r="K320" s="24">
        <f>SUM(T316:T319)</f>
        <v>-2925.44</v>
      </c>
    </row>
    <row r="321" spans="1:27" ht="14.25" x14ac:dyDescent="0.2">
      <c r="A321" s="19"/>
      <c r="B321" s="20"/>
      <c r="C321" s="20" t="s">
        <v>521</v>
      </c>
      <c r="D321" s="21" t="s">
        <v>522</v>
      </c>
      <c r="E321" s="10">
        <f>Source!AQ102</f>
        <v>5.47</v>
      </c>
      <c r="F321" s="23"/>
      <c r="G321" s="22" t="str">
        <f>Source!DI102</f>
        <v/>
      </c>
      <c r="H321" s="10">
        <f>Source!AV102</f>
        <v>1</v>
      </c>
      <c r="I321" s="24">
        <f>Source!U102</f>
        <v>-27.901923</v>
      </c>
      <c r="J321" s="10"/>
      <c r="K321" s="24"/>
    </row>
    <row r="322" spans="1:27" ht="15" x14ac:dyDescent="0.25">
      <c r="A322" s="27"/>
      <c r="B322" s="27"/>
      <c r="C322" s="27"/>
      <c r="D322" s="27"/>
      <c r="E322" s="27"/>
      <c r="F322" s="27"/>
      <c r="G322" s="27"/>
      <c r="H322" s="38">
        <f>I317+I319+I320+SUM(I318:I318)</f>
        <v>-4872.0200000000004</v>
      </c>
      <c r="I322" s="38"/>
      <c r="J322" s="38">
        <f>K317+K319+K320+SUM(K318:K318)</f>
        <v>-37182.619999999995</v>
      </c>
      <c r="K322" s="38"/>
      <c r="O322" s="26">
        <f>I317+I319+I320+SUM(I318:I318)</f>
        <v>-4872.0200000000004</v>
      </c>
      <c r="P322" s="26">
        <f>K317+K319+K320+SUM(K318:K318)</f>
        <v>-37182.619999999995</v>
      </c>
      <c r="X322">
        <f>IF(Source!BI102&lt;=1,I317+I319+I320-0, 0)</f>
        <v>-1126.94</v>
      </c>
      <c r="Y322">
        <f>IF(Source!BI102=2,I317+I319+I320-0, 0)</f>
        <v>0</v>
      </c>
      <c r="Z322">
        <f>IF(Source!BI102=3,I317+I319+I320-0, 0)</f>
        <v>0</v>
      </c>
      <c r="AA322">
        <f>IF(Source!BI102=4,I317+I319+I320,0)</f>
        <v>0</v>
      </c>
    </row>
    <row r="323" spans="1:27" ht="42.75" x14ac:dyDescent="0.2">
      <c r="A323" s="19" t="str">
        <f>Source!E104</f>
        <v>44</v>
      </c>
      <c r="B323" s="20" t="str">
        <f>Source!F104</f>
        <v>3.47-26-6</v>
      </c>
      <c r="C323" s="20" t="s">
        <v>250</v>
      </c>
      <c r="D323" s="21" t="str">
        <f>Source!H104</f>
        <v>100 м2</v>
      </c>
      <c r="E323" s="10">
        <f>Source!I104</f>
        <v>5.1009000000000002</v>
      </c>
      <c r="F323" s="23"/>
      <c r="G323" s="22"/>
      <c r="H323" s="10"/>
      <c r="I323" s="24"/>
      <c r="J323" s="10"/>
      <c r="K323" s="24"/>
      <c r="Q323">
        <f>ROUND((Source!DN104/100)*ROUND((ROUND((Source!AF104*Source!AV104*Source!I104),2)),2), 2)</f>
        <v>559.91999999999996</v>
      </c>
      <c r="R323">
        <f>Source!X104</f>
        <v>6544.9</v>
      </c>
      <c r="S323">
        <f>ROUND((Source!DO104/100)*ROUND((ROUND((Source!AF104*Source!AV104*Source!I104),2)),2), 2)</f>
        <v>302.41000000000003</v>
      </c>
      <c r="T323">
        <f>Source!Y104</f>
        <v>3015.79</v>
      </c>
      <c r="U323">
        <f>ROUND((175/100)*ROUND((ROUND((Source!AE104*Source!AV104*Source!I104),2)),2), 2)</f>
        <v>0</v>
      </c>
      <c r="V323">
        <f>ROUND((157/100)*ROUND(ROUND((ROUND((Source!AE104*Source!AV104*Source!I104),2)*Source!BS104),2), 2), 2)</f>
        <v>0</v>
      </c>
    </row>
    <row r="324" spans="1:27" ht="14.25" x14ac:dyDescent="0.2">
      <c r="A324" s="19"/>
      <c r="B324" s="20"/>
      <c r="C324" s="20" t="s">
        <v>514</v>
      </c>
      <c r="D324" s="21"/>
      <c r="E324" s="10"/>
      <c r="F324" s="23">
        <f>Source!AO104</f>
        <v>58.7</v>
      </c>
      <c r="G324" s="22" t="str">
        <f>Source!DG104</f>
        <v/>
      </c>
      <c r="H324" s="10">
        <f>Source!AV104</f>
        <v>1</v>
      </c>
      <c r="I324" s="24">
        <f>ROUND((ROUND((Source!AF104*Source!AV104*Source!I104),2)),2)</f>
        <v>299.42</v>
      </c>
      <c r="J324" s="10">
        <f>IF(Source!BA104&lt;&gt; 0, Source!BA104, 1)</f>
        <v>21.43</v>
      </c>
      <c r="K324" s="24">
        <f>Source!S104</f>
        <v>6416.57</v>
      </c>
      <c r="W324">
        <f>I324</f>
        <v>299.42</v>
      </c>
    </row>
    <row r="325" spans="1:27" ht="14.25" x14ac:dyDescent="0.2">
      <c r="A325" s="19"/>
      <c r="B325" s="20"/>
      <c r="C325" s="20" t="s">
        <v>523</v>
      </c>
      <c r="D325" s="21"/>
      <c r="E325" s="10"/>
      <c r="F325" s="23">
        <f>Source!AL104</f>
        <v>70.7</v>
      </c>
      <c r="G325" s="22" t="str">
        <f>Source!DD104</f>
        <v/>
      </c>
      <c r="H325" s="10">
        <f>Source!AW104</f>
        <v>1</v>
      </c>
      <c r="I325" s="24">
        <f>ROUND((ROUND((Source!AC104*Source!AW104*Source!I104),2)),2)</f>
        <v>360.63</v>
      </c>
      <c r="J325" s="10">
        <f>IF(Source!BC104&lt;&gt; 0, Source!BC104, 1)</f>
        <v>4.5599999999999996</v>
      </c>
      <c r="K325" s="24">
        <f>Source!P104</f>
        <v>1644.47</v>
      </c>
    </row>
    <row r="326" spans="1:27" ht="28.5" x14ac:dyDescent="0.2">
      <c r="A326" s="19" t="str">
        <f>Source!E105</f>
        <v>44,1</v>
      </c>
      <c r="B326" s="20" t="str">
        <f>Source!F105</f>
        <v>1.4-6-6</v>
      </c>
      <c r="C326" s="20" t="s">
        <v>254</v>
      </c>
      <c r="D326" s="21" t="str">
        <f>Source!H105</f>
        <v>кг</v>
      </c>
      <c r="E326" s="10">
        <f>Source!I105</f>
        <v>20.403600000000001</v>
      </c>
      <c r="F326" s="23">
        <f>Source!AK105</f>
        <v>57.93</v>
      </c>
      <c r="G326" s="28" t="s">
        <v>5</v>
      </c>
      <c r="H326" s="10">
        <f>Source!AW105</f>
        <v>1</v>
      </c>
      <c r="I326" s="24">
        <f>ROUND((ROUND((Source!AC105*Source!AW105*Source!I105),2)),2)+(ROUND((ROUND(((Source!ET105)*Source!AV105*Source!I105),2)),2)+ROUND((ROUND(((Source!AE105-(Source!EU105))*Source!AV105*Source!I105),2)),2))+ROUND((ROUND((Source!AF105*Source!AV105*Source!I105),2)),2)</f>
        <v>1181.98</v>
      </c>
      <c r="J326" s="10">
        <f>IF(Source!BC105&lt;&gt; 0, Source!BC105, 1)</f>
        <v>1.72</v>
      </c>
      <c r="K326" s="24">
        <f>Source!O105</f>
        <v>2033.01</v>
      </c>
      <c r="Q326">
        <f>ROUND((Source!DN105/100)*ROUND((ROUND((Source!AF105*Source!AV105*Source!I105),2)),2), 2)</f>
        <v>0</v>
      </c>
      <c r="R326">
        <f>Source!X105</f>
        <v>0</v>
      </c>
      <c r="S326">
        <f>ROUND((Source!DO105/100)*ROUND((ROUND((Source!AF105*Source!AV105*Source!I105),2)),2), 2)</f>
        <v>0</v>
      </c>
      <c r="T326">
        <f>Source!Y105</f>
        <v>0</v>
      </c>
      <c r="U326">
        <f>ROUND((175/100)*ROUND((ROUND((Source!AE105*Source!AV105*Source!I105),2)),2), 2)</f>
        <v>0</v>
      </c>
      <c r="V326">
        <f>ROUND((157/100)*ROUND(ROUND((ROUND((Source!AE105*Source!AV105*Source!I105),2)*Source!BS105),2), 2), 2)</f>
        <v>0</v>
      </c>
      <c r="X326">
        <f>IF(Source!BI105&lt;=1,I326, 0)</f>
        <v>1181.98</v>
      </c>
      <c r="Y326">
        <f>IF(Source!BI105=2,I326, 0)</f>
        <v>0</v>
      </c>
      <c r="Z326">
        <f>IF(Source!BI105=3,I326, 0)</f>
        <v>0</v>
      </c>
      <c r="AA326">
        <f>IF(Source!BI105=4,I326, 0)</f>
        <v>0</v>
      </c>
    </row>
    <row r="327" spans="1:27" ht="14.25" x14ac:dyDescent="0.2">
      <c r="A327" s="19"/>
      <c r="B327" s="20"/>
      <c r="C327" s="20" t="s">
        <v>517</v>
      </c>
      <c r="D327" s="21" t="s">
        <v>518</v>
      </c>
      <c r="E327" s="10">
        <f>Source!DN104</f>
        <v>187</v>
      </c>
      <c r="F327" s="23"/>
      <c r="G327" s="22"/>
      <c r="H327" s="10"/>
      <c r="I327" s="24">
        <f>SUM(Q323:Q326)</f>
        <v>559.91999999999996</v>
      </c>
      <c r="J327" s="10">
        <f>Source!BZ104</f>
        <v>102</v>
      </c>
      <c r="K327" s="24">
        <f>SUM(R323:R326)</f>
        <v>6544.9</v>
      </c>
    </row>
    <row r="328" spans="1:27" ht="14.25" x14ac:dyDescent="0.2">
      <c r="A328" s="19"/>
      <c r="B328" s="20"/>
      <c r="C328" s="20" t="s">
        <v>519</v>
      </c>
      <c r="D328" s="21" t="s">
        <v>518</v>
      </c>
      <c r="E328" s="10">
        <f>Source!DO104</f>
        <v>101</v>
      </c>
      <c r="F328" s="23"/>
      <c r="G328" s="22"/>
      <c r="H328" s="10"/>
      <c r="I328" s="24">
        <f>SUM(S323:S327)</f>
        <v>302.41000000000003</v>
      </c>
      <c r="J328" s="10">
        <f>Source!CA104</f>
        <v>47</v>
      </c>
      <c r="K328" s="24">
        <f>SUM(T323:T327)</f>
        <v>3015.79</v>
      </c>
    </row>
    <row r="329" spans="1:27" ht="14.25" x14ac:dyDescent="0.2">
      <c r="A329" s="19"/>
      <c r="B329" s="20"/>
      <c r="C329" s="20" t="s">
        <v>521</v>
      </c>
      <c r="D329" s="21" t="s">
        <v>522</v>
      </c>
      <c r="E329" s="10">
        <f>Source!AQ104</f>
        <v>5.25</v>
      </c>
      <c r="F329" s="23"/>
      <c r="G329" s="22" t="str">
        <f>Source!DI104</f>
        <v/>
      </c>
      <c r="H329" s="10">
        <f>Source!AV104</f>
        <v>1</v>
      </c>
      <c r="I329" s="24">
        <f>Source!U104</f>
        <v>26.779725000000003</v>
      </c>
      <c r="J329" s="10"/>
      <c r="K329" s="24"/>
    </row>
    <row r="330" spans="1:27" ht="15" x14ac:dyDescent="0.25">
      <c r="A330" s="27"/>
      <c r="B330" s="27"/>
      <c r="C330" s="27"/>
      <c r="D330" s="27"/>
      <c r="E330" s="27"/>
      <c r="F330" s="27"/>
      <c r="G330" s="27"/>
      <c r="H330" s="38">
        <f>I324+I325+I327+I328+SUM(I326:I326)</f>
        <v>2704.3599999999997</v>
      </c>
      <c r="I330" s="38"/>
      <c r="J330" s="38">
        <f>K324+K325+K327+K328+SUM(K326:K326)</f>
        <v>19654.739999999998</v>
      </c>
      <c r="K330" s="38"/>
      <c r="O330" s="26">
        <f>I324+I325+I327+I328+SUM(I326:I326)</f>
        <v>2704.3599999999997</v>
      </c>
      <c r="P330" s="26">
        <f>K324+K325+K327+K328+SUM(K326:K326)</f>
        <v>19654.739999999998</v>
      </c>
      <c r="X330">
        <f>IF(Source!BI104&lt;=1,I324+I325+I327+I328-0, 0)</f>
        <v>1522.3799999999999</v>
      </c>
      <c r="Y330">
        <f>IF(Source!BI104=2,I324+I325+I327+I328-0, 0)</f>
        <v>0</v>
      </c>
      <c r="Z330">
        <f>IF(Source!BI104=3,I324+I325+I327+I328-0, 0)</f>
        <v>0</v>
      </c>
      <c r="AA330">
        <f>IF(Source!BI104=4,I324+I325+I327+I328,0)</f>
        <v>0</v>
      </c>
    </row>
    <row r="332" spans="1:27" ht="15" x14ac:dyDescent="0.25">
      <c r="A332" s="35" t="str">
        <f>CONCATENATE("Итого по разделу: ",IF(Source!G107&lt;&gt;"Новый раздел", Source!G107, ""))</f>
        <v>Итого по разделу: Строительные работы.</v>
      </c>
      <c r="B332" s="35"/>
      <c r="C332" s="35"/>
      <c r="D332" s="35"/>
      <c r="E332" s="35"/>
      <c r="F332" s="35"/>
      <c r="G332" s="35"/>
      <c r="H332" s="36">
        <f>SUM(O29:O331)</f>
        <v>83186.540000000008</v>
      </c>
      <c r="I332" s="37"/>
      <c r="J332" s="36">
        <f>SUM(P29:P331)</f>
        <v>822023.55999999994</v>
      </c>
      <c r="K332" s="37"/>
    </row>
    <row r="333" spans="1:27" hidden="1" x14ac:dyDescent="0.2">
      <c r="A333" t="s">
        <v>527</v>
      </c>
      <c r="I333">
        <f>SUM(AC29:AC332)</f>
        <v>0</v>
      </c>
      <c r="J333">
        <f>SUM(AD29:AD332)</f>
        <v>0</v>
      </c>
    </row>
    <row r="334" spans="1:27" hidden="1" x14ac:dyDescent="0.2">
      <c r="A334" t="s">
        <v>528</v>
      </c>
      <c r="I334">
        <f>SUM(AE29:AE333)</f>
        <v>0</v>
      </c>
      <c r="J334">
        <f>SUM(AF29:AF333)</f>
        <v>0</v>
      </c>
    </row>
    <row r="335" spans="1:27" ht="14.25" x14ac:dyDescent="0.2">
      <c r="C335" s="33" t="str">
        <f>Source!H138</f>
        <v>Итого по разделу</v>
      </c>
      <c r="D335" s="33"/>
      <c r="E335" s="33"/>
      <c r="F335" s="33"/>
      <c r="G335" s="33"/>
      <c r="H335" s="33"/>
      <c r="I335" s="33"/>
      <c r="J335" s="34">
        <f>IF(Source!F138=0, "", Source!F138)</f>
        <v>822023.56</v>
      </c>
      <c r="K335" s="34"/>
    </row>
    <row r="337" spans="1:27" ht="16.5" x14ac:dyDescent="0.25">
      <c r="A337" s="39" t="str">
        <f>CONCATENATE("Раздел: ",IF(Source!G140&lt;&gt;"Новый раздел", Source!G140, ""))</f>
        <v>Раздел: Прочие работы</v>
      </c>
      <c r="B337" s="39"/>
      <c r="C337" s="39"/>
      <c r="D337" s="39"/>
      <c r="E337" s="39"/>
      <c r="F337" s="39"/>
      <c r="G337" s="39"/>
      <c r="H337" s="39"/>
      <c r="I337" s="39"/>
      <c r="J337" s="39"/>
      <c r="K337" s="39"/>
    </row>
    <row r="338" spans="1:27" ht="42.75" x14ac:dyDescent="0.2">
      <c r="A338" s="19" t="str">
        <f>Source!E144</f>
        <v>35</v>
      </c>
      <c r="B338" s="20" t="str">
        <f>Source!F144</f>
        <v>15.1-28-10</v>
      </c>
      <c r="C338" s="20" t="s">
        <v>315</v>
      </c>
      <c r="D338" s="21" t="str">
        <f>Source!H144</f>
        <v>1 Т</v>
      </c>
      <c r="E338" s="10">
        <f>Source!I144</f>
        <v>144.30054000000001</v>
      </c>
      <c r="F338" s="23"/>
      <c r="G338" s="22"/>
      <c r="H338" s="10"/>
      <c r="I338" s="24"/>
      <c r="J338" s="10"/>
      <c r="K338" s="24"/>
      <c r="Q338">
        <f>ROUND((Source!DN144/100)*ROUND((ROUND((Source!AF144*Source!AV144*Source!I144),2)),2), 2)</f>
        <v>0</v>
      </c>
      <c r="R338">
        <f>Source!X144</f>
        <v>0</v>
      </c>
      <c r="S338">
        <f>ROUND((Source!DO144/100)*ROUND((ROUND((Source!AF144*Source!AV144*Source!I144),2)),2), 2)</f>
        <v>0</v>
      </c>
      <c r="T338">
        <f>Source!Y144</f>
        <v>0</v>
      </c>
      <c r="U338">
        <f>ROUND((175/100)*ROUND((ROUND((Source!AE144*Source!AV144*Source!I144),2)),2), 2)</f>
        <v>0</v>
      </c>
      <c r="V338">
        <f>ROUND((157/100)*ROUND(ROUND((ROUND((Source!AE144*Source!AV144*Source!I144),2)*Source!BS144),2), 2), 2)</f>
        <v>0</v>
      </c>
    </row>
    <row r="339" spans="1:27" ht="14.25" x14ac:dyDescent="0.2">
      <c r="A339" s="19"/>
      <c r="B339" s="20"/>
      <c r="C339" s="20" t="s">
        <v>515</v>
      </c>
      <c r="D339" s="21"/>
      <c r="E339" s="10"/>
      <c r="F339" s="23">
        <f>Source!AM144</f>
        <v>34.29</v>
      </c>
      <c r="G339" s="22" t="str">
        <f>Source!DE144</f>
        <v/>
      </c>
      <c r="H339" s="10">
        <f>Source!AV144</f>
        <v>1</v>
      </c>
      <c r="I339" s="24">
        <f>(ROUND((ROUND(((Source!ET144)*Source!AV144*Source!I144),2)),2)+ROUND((ROUND(((Source!AE144-(Source!EU144))*Source!AV144*Source!I144),2)),2))</f>
        <v>4948.07</v>
      </c>
      <c r="J339" s="10">
        <f>IF(Source!BB144&lt;&gt; 0, Source!BB144, 1)</f>
        <v>7.96</v>
      </c>
      <c r="K339" s="24">
        <f>Source!Q144</f>
        <v>39386.639999999999</v>
      </c>
    </row>
    <row r="340" spans="1:27" ht="15" x14ac:dyDescent="0.25">
      <c r="A340" s="27"/>
      <c r="B340" s="27"/>
      <c r="C340" s="27"/>
      <c r="D340" s="27"/>
      <c r="E340" s="27"/>
      <c r="F340" s="27"/>
      <c r="G340" s="27"/>
      <c r="H340" s="38">
        <f>I339</f>
        <v>4948.07</v>
      </c>
      <c r="I340" s="38"/>
      <c r="J340" s="38">
        <f>K339</f>
        <v>39386.639999999999</v>
      </c>
      <c r="K340" s="38"/>
      <c r="O340" s="26">
        <f>I339</f>
        <v>4948.07</v>
      </c>
      <c r="P340" s="26">
        <f>K339</f>
        <v>39386.639999999999</v>
      </c>
      <c r="X340">
        <f>IF(Source!BI144&lt;=1,I339-0, 0)</f>
        <v>0</v>
      </c>
      <c r="Y340">
        <f>IF(Source!BI144=2,I339-0, 0)</f>
        <v>0</v>
      </c>
      <c r="Z340">
        <f>IF(Source!BI144=3,I339-0, 0)</f>
        <v>0</v>
      </c>
      <c r="AA340">
        <f>IF(Source!BI144=4,I339,0)</f>
        <v>4948.07</v>
      </c>
    </row>
    <row r="341" spans="1:27" ht="14.25" x14ac:dyDescent="0.2">
      <c r="A341" s="19" t="str">
        <f>Source!E145</f>
        <v>36</v>
      </c>
      <c r="B341" s="20" t="str">
        <f>Source!F145</f>
        <v>15.1-0-1</v>
      </c>
      <c r="C341" s="20" t="s">
        <v>321</v>
      </c>
      <c r="D341" s="21" t="str">
        <f>Source!H145</f>
        <v>1 Т</v>
      </c>
      <c r="E341" s="10">
        <f>Source!I145</f>
        <v>144.30054000000001</v>
      </c>
      <c r="F341" s="23"/>
      <c r="G341" s="22"/>
      <c r="H341" s="10"/>
      <c r="I341" s="24"/>
      <c r="J341" s="10"/>
      <c r="K341" s="24"/>
      <c r="Q341">
        <f>ROUND((Source!DN145/100)*ROUND((ROUND((Source!AF145*Source!AV145*Source!I145),2)),2), 2)</f>
        <v>0</v>
      </c>
      <c r="R341">
        <f>Source!X145</f>
        <v>0</v>
      </c>
      <c r="S341">
        <f>ROUND((Source!DO145/100)*ROUND((ROUND((Source!AF145*Source!AV145*Source!I145),2)),2), 2)</f>
        <v>0</v>
      </c>
      <c r="T341">
        <f>Source!Y145</f>
        <v>0</v>
      </c>
      <c r="U341">
        <f>ROUND((175/100)*ROUND((ROUND((Source!AE145*Source!AV145*Source!I145),2)),2), 2)</f>
        <v>0</v>
      </c>
      <c r="V341">
        <f>ROUND((157/100)*ROUND(ROUND((ROUND((Source!AE145*Source!AV145*Source!I145),2)*Source!BS145),2), 2), 2)</f>
        <v>0</v>
      </c>
    </row>
    <row r="342" spans="1:27" ht="14.25" x14ac:dyDescent="0.2">
      <c r="A342" s="19"/>
      <c r="B342" s="20"/>
      <c r="C342" s="20" t="s">
        <v>515</v>
      </c>
      <c r="D342" s="21"/>
      <c r="E342" s="10"/>
      <c r="F342" s="23">
        <f>Source!AM145</f>
        <v>101</v>
      </c>
      <c r="G342" s="22" t="str">
        <f>Source!DE145</f>
        <v/>
      </c>
      <c r="H342" s="10">
        <f>Source!AV145</f>
        <v>1</v>
      </c>
      <c r="I342" s="24">
        <f>(ROUND((ROUND(((Source!ET145)*Source!AV145*Source!I145),2)),2)+ROUND((ROUND(((Source!AE145-(Source!EU145))*Source!AV145*Source!I145),2)),2))</f>
        <v>14574.35</v>
      </c>
      <c r="J342" s="10">
        <f>IF(Source!BB145&lt;&gt; 0, Source!BB145, 1)</f>
        <v>2.14</v>
      </c>
      <c r="K342" s="24">
        <f>Source!Q145</f>
        <v>31189.11</v>
      </c>
    </row>
    <row r="343" spans="1:27" ht="15" x14ac:dyDescent="0.25">
      <c r="A343" s="27"/>
      <c r="B343" s="27"/>
      <c r="C343" s="27"/>
      <c r="D343" s="27"/>
      <c r="E343" s="27"/>
      <c r="F343" s="27"/>
      <c r="G343" s="27"/>
      <c r="H343" s="38">
        <f>I342</f>
        <v>14574.35</v>
      </c>
      <c r="I343" s="38"/>
      <c r="J343" s="38">
        <f>K342</f>
        <v>31189.11</v>
      </c>
      <c r="K343" s="38"/>
      <c r="O343" s="26">
        <f>I342</f>
        <v>14574.35</v>
      </c>
      <c r="P343" s="26">
        <f>K342</f>
        <v>31189.11</v>
      </c>
      <c r="X343">
        <f>IF(Source!BI145&lt;=1,I342-0, 0)</f>
        <v>0</v>
      </c>
      <c r="Y343">
        <f>IF(Source!BI145=2,I342-0, 0)</f>
        <v>0</v>
      </c>
      <c r="Z343">
        <f>IF(Source!BI145=3,I342-0, 0)</f>
        <v>0</v>
      </c>
      <c r="AA343">
        <f>IF(Source!BI145=4,I342,0)</f>
        <v>14574.35</v>
      </c>
    </row>
    <row r="345" spans="1:27" ht="15" x14ac:dyDescent="0.25">
      <c r="A345" s="35" t="str">
        <f>CONCATENATE("Итого по разделу: ",IF(Source!G147&lt;&gt;"Новый раздел", Source!G147, ""))</f>
        <v>Итого по разделу: Прочие работы</v>
      </c>
      <c r="B345" s="35"/>
      <c r="C345" s="35"/>
      <c r="D345" s="35"/>
      <c r="E345" s="35"/>
      <c r="F345" s="35"/>
      <c r="G345" s="35"/>
      <c r="H345" s="36">
        <f>SUM(O337:O344)</f>
        <v>19522.419999999998</v>
      </c>
      <c r="I345" s="37"/>
      <c r="J345" s="36">
        <f>SUM(P337:P344)</f>
        <v>70575.75</v>
      </c>
      <c r="K345" s="37"/>
    </row>
    <row r="346" spans="1:27" hidden="1" x14ac:dyDescent="0.2">
      <c r="A346" t="s">
        <v>527</v>
      </c>
      <c r="I346">
        <f>SUM(AC337:AC345)</f>
        <v>0</v>
      </c>
      <c r="J346">
        <f>SUM(AD337:AD345)</f>
        <v>0</v>
      </c>
    </row>
    <row r="347" spans="1:27" hidden="1" x14ac:dyDescent="0.2">
      <c r="A347" t="s">
        <v>528</v>
      </c>
      <c r="I347">
        <f>SUM(AE337:AE346)</f>
        <v>0</v>
      </c>
      <c r="J347">
        <f>SUM(AF337:AF346)</f>
        <v>0</v>
      </c>
    </row>
    <row r="348" spans="1:27" ht="14.25" x14ac:dyDescent="0.2">
      <c r="C348" s="33" t="str">
        <f>Source!H176</f>
        <v>Итого по разделу</v>
      </c>
      <c r="D348" s="33"/>
      <c r="E348" s="33"/>
      <c r="F348" s="33"/>
      <c r="G348" s="33"/>
      <c r="H348" s="33"/>
      <c r="I348" s="33"/>
      <c r="J348" s="34">
        <f>IF(Source!F176=0, "", Source!F176)</f>
        <v>70575.75</v>
      </c>
      <c r="K348" s="34"/>
    </row>
    <row r="350" spans="1:27" ht="15" x14ac:dyDescent="0.25">
      <c r="A350" s="35" t="str">
        <f>CONCATENATE("Итого по локальной смете: ",IF(Source!G178&lt;&gt;"Новая локальная смета", Source!G178, ""))</f>
        <v>Итого по локальной смете: Восстановление благоустройства</v>
      </c>
      <c r="B350" s="35"/>
      <c r="C350" s="35"/>
      <c r="D350" s="35"/>
      <c r="E350" s="35"/>
      <c r="F350" s="35"/>
      <c r="G350" s="35"/>
      <c r="H350" s="36">
        <f>SUM(O28:O349)</f>
        <v>102708.96000000002</v>
      </c>
      <c r="I350" s="37"/>
      <c r="J350" s="36">
        <f>SUM(P28:P349)</f>
        <v>892599.30999999994</v>
      </c>
      <c r="K350" s="37"/>
    </row>
    <row r="351" spans="1:27" hidden="1" x14ac:dyDescent="0.2">
      <c r="A351" t="s">
        <v>527</v>
      </c>
      <c r="I351">
        <f>SUM(AC28:AC350)</f>
        <v>0</v>
      </c>
      <c r="J351">
        <f>SUM(AD28:AD350)</f>
        <v>0</v>
      </c>
    </row>
    <row r="352" spans="1:27" hidden="1" x14ac:dyDescent="0.2">
      <c r="A352" t="s">
        <v>528</v>
      </c>
      <c r="I352">
        <f>SUM(AE28:AE351)</f>
        <v>0</v>
      </c>
      <c r="J352">
        <f>SUM(AF28:AF351)</f>
        <v>0</v>
      </c>
    </row>
    <row r="353" spans="1:11" ht="14.25" x14ac:dyDescent="0.2">
      <c r="C353" s="33" t="str">
        <f>Source!H207</f>
        <v>Строительные работы</v>
      </c>
      <c r="D353" s="33"/>
      <c r="E353" s="33"/>
      <c r="F353" s="33"/>
      <c r="G353" s="33"/>
      <c r="H353" s="33"/>
      <c r="I353" s="33"/>
      <c r="J353" s="34">
        <f>IF(Source!F207=0, "", Source!F207)</f>
        <v>822023.56</v>
      </c>
      <c r="K353" s="34"/>
    </row>
    <row r="354" spans="1:11" ht="14.25" x14ac:dyDescent="0.2">
      <c r="C354" s="33" t="str">
        <f>Source!H208</f>
        <v>Временные здания и сооружения 1,5%</v>
      </c>
      <c r="D354" s="33"/>
      <c r="E354" s="33"/>
      <c r="F354" s="33"/>
      <c r="G354" s="33"/>
      <c r="H354" s="33"/>
      <c r="I354" s="33"/>
      <c r="J354" s="34">
        <f>IF(Source!F208=0, "", Source!F208)</f>
        <v>12330.35</v>
      </c>
      <c r="K354" s="34"/>
    </row>
    <row r="355" spans="1:11" ht="14.25" x14ac:dyDescent="0.2">
      <c r="C355" s="33" t="str">
        <f>Source!H209</f>
        <v>Прочие</v>
      </c>
      <c r="D355" s="33"/>
      <c r="E355" s="33"/>
      <c r="F355" s="33"/>
      <c r="G355" s="33"/>
      <c r="H355" s="33"/>
      <c r="I355" s="33"/>
      <c r="J355" s="34">
        <f>IF(Source!F209=0, "", Source!F209)</f>
        <v>70575.75</v>
      </c>
      <c r="K355" s="34"/>
    </row>
    <row r="356" spans="1:11" ht="14.25" x14ac:dyDescent="0.2">
      <c r="C356" s="33" t="str">
        <f>Source!H210</f>
        <v>Итого</v>
      </c>
      <c r="D356" s="33"/>
      <c r="E356" s="33"/>
      <c r="F356" s="33"/>
      <c r="G356" s="33"/>
      <c r="H356" s="33"/>
      <c r="I356" s="33"/>
      <c r="J356" s="34">
        <f>IF(Source!F210=0, "", Source!F210)</f>
        <v>904929.66</v>
      </c>
      <c r="K356" s="34"/>
    </row>
    <row r="357" spans="1:11" ht="14.25" x14ac:dyDescent="0.2">
      <c r="C357" s="33" t="s">
        <v>534</v>
      </c>
      <c r="D357" s="33"/>
      <c r="E357" s="33"/>
      <c r="F357" s="33"/>
      <c r="G357" s="33"/>
      <c r="H357" s="33"/>
      <c r="I357" s="33"/>
      <c r="J357" s="34">
        <f>J356*0.2</f>
        <v>180985.93200000003</v>
      </c>
      <c r="K357" s="34"/>
    </row>
    <row r="358" spans="1:11" s="30" customFormat="1" ht="15" x14ac:dyDescent="0.25">
      <c r="C358" s="35" t="s">
        <v>535</v>
      </c>
      <c r="D358" s="35"/>
      <c r="E358" s="35"/>
      <c r="F358" s="35"/>
      <c r="G358" s="35"/>
      <c r="H358" s="35"/>
      <c r="I358" s="35"/>
      <c r="J358" s="36">
        <f>J356+J357</f>
        <v>1085915.5920000002</v>
      </c>
      <c r="K358" s="36"/>
    </row>
    <row r="362" spans="1:11" ht="14.25" x14ac:dyDescent="0.2">
      <c r="A362" s="31" t="s">
        <v>530</v>
      </c>
      <c r="B362" s="31"/>
      <c r="C362" s="29" t="str">
        <f>IF(Source!AC12&lt;&gt;"", Source!AC12," ")</f>
        <v xml:space="preserve"> </v>
      </c>
      <c r="D362" s="29"/>
      <c r="E362" s="29"/>
      <c r="F362" s="29"/>
      <c r="G362" s="29"/>
      <c r="H362" s="11" t="str">
        <f>IF(Source!AB12&lt;&gt;"", Source!AB12," ")</f>
        <v xml:space="preserve"> </v>
      </c>
      <c r="I362" s="11"/>
      <c r="J362" s="11"/>
      <c r="K362" s="11"/>
    </row>
    <row r="363" spans="1:11" ht="14.25" x14ac:dyDescent="0.2">
      <c r="A363" s="11"/>
      <c r="B363" s="11"/>
      <c r="C363" s="32" t="s">
        <v>531</v>
      </c>
      <c r="D363" s="32"/>
      <c r="E363" s="32"/>
      <c r="F363" s="32"/>
      <c r="G363" s="32"/>
      <c r="H363" s="11"/>
      <c r="I363" s="11"/>
      <c r="J363" s="11"/>
      <c r="K363" s="11"/>
    </row>
    <row r="364" spans="1:11" ht="14.25" x14ac:dyDescent="0.2">
      <c r="A364" s="11"/>
      <c r="B364" s="11"/>
      <c r="C364" s="11"/>
      <c r="D364" s="11"/>
      <c r="E364" s="11"/>
      <c r="F364" s="11"/>
      <c r="G364" s="11"/>
      <c r="H364" s="11"/>
      <c r="I364" s="11"/>
      <c r="J364" s="11"/>
      <c r="K364" s="11"/>
    </row>
    <row r="365" spans="1:11" ht="14.25" x14ac:dyDescent="0.2">
      <c r="A365" s="31" t="s">
        <v>532</v>
      </c>
      <c r="B365" s="31"/>
      <c r="C365" s="29" t="str">
        <f>IF(Source!AE12&lt;&gt;"", Source!AE12," ")</f>
        <v xml:space="preserve"> </v>
      </c>
      <c r="D365" s="29"/>
      <c r="E365" s="29"/>
      <c r="F365" s="29"/>
      <c r="G365" s="29"/>
      <c r="H365" s="11" t="str">
        <f>IF(Source!AD12&lt;&gt;"", Source!AD12," ")</f>
        <v xml:space="preserve"> </v>
      </c>
      <c r="I365" s="11"/>
      <c r="J365" s="11"/>
      <c r="K365" s="11"/>
    </row>
    <row r="366" spans="1:11" ht="14.25" x14ac:dyDescent="0.2">
      <c r="A366" s="11"/>
      <c r="B366" s="11"/>
      <c r="C366" s="32" t="s">
        <v>531</v>
      </c>
      <c r="D366" s="32"/>
      <c r="E366" s="32"/>
      <c r="F366" s="32"/>
      <c r="G366" s="32"/>
      <c r="H366" s="11"/>
      <c r="I366" s="11"/>
      <c r="J366" s="11"/>
      <c r="K366" s="11"/>
    </row>
  </sheetData>
  <mergeCells count="117">
    <mergeCell ref="A10:K10"/>
    <mergeCell ref="A12:K12"/>
    <mergeCell ref="A13:K13"/>
    <mergeCell ref="A15:K15"/>
    <mergeCell ref="F17:H17"/>
    <mergeCell ref="F18:H18"/>
    <mergeCell ref="A4:K4"/>
    <mergeCell ref="A5:K5"/>
    <mergeCell ref="A7:K7"/>
    <mergeCell ref="A8:K8"/>
    <mergeCell ref="A29:K29"/>
    <mergeCell ref="J39:K39"/>
    <mergeCell ref="H39:I39"/>
    <mergeCell ref="J48:K48"/>
    <mergeCell ref="H48:I48"/>
    <mergeCell ref="J57:K57"/>
    <mergeCell ref="H57:I57"/>
    <mergeCell ref="F19:H19"/>
    <mergeCell ref="F20:H20"/>
    <mergeCell ref="F21:H21"/>
    <mergeCell ref="F22:H22"/>
    <mergeCell ref="F24:H24"/>
    <mergeCell ref="A25:K25"/>
    <mergeCell ref="J92:K92"/>
    <mergeCell ref="H92:I92"/>
    <mergeCell ref="J103:K103"/>
    <mergeCell ref="H103:I103"/>
    <mergeCell ref="J113:K113"/>
    <mergeCell ref="H113:I113"/>
    <mergeCell ref="J62:K62"/>
    <mergeCell ref="H62:I62"/>
    <mergeCell ref="J73:K73"/>
    <mergeCell ref="H73:I73"/>
    <mergeCell ref="J84:K84"/>
    <mergeCell ref="H84:I84"/>
    <mergeCell ref="J155:K155"/>
    <mergeCell ref="H155:I155"/>
    <mergeCell ref="J164:K164"/>
    <mergeCell ref="H164:I164"/>
    <mergeCell ref="J173:K173"/>
    <mergeCell ref="H173:I173"/>
    <mergeCell ref="J124:K124"/>
    <mergeCell ref="H124:I124"/>
    <mergeCell ref="J134:K134"/>
    <mergeCell ref="H134:I134"/>
    <mergeCell ref="J145:K145"/>
    <mergeCell ref="H145:I145"/>
    <mergeCell ref="J211:K211"/>
    <mergeCell ref="H211:I211"/>
    <mergeCell ref="J222:K222"/>
    <mergeCell ref="H222:I222"/>
    <mergeCell ref="J233:K233"/>
    <mergeCell ref="H233:I233"/>
    <mergeCell ref="J178:K178"/>
    <mergeCell ref="H178:I178"/>
    <mergeCell ref="J189:K189"/>
    <mergeCell ref="H189:I189"/>
    <mergeCell ref="J200:K200"/>
    <mergeCell ref="H200:I200"/>
    <mergeCell ref="J269:K269"/>
    <mergeCell ref="H269:I269"/>
    <mergeCell ref="J271:K271"/>
    <mergeCell ref="H271:I271"/>
    <mergeCell ref="J280:K280"/>
    <mergeCell ref="H280:I280"/>
    <mergeCell ref="J238:K238"/>
    <mergeCell ref="H238:I238"/>
    <mergeCell ref="J249:K249"/>
    <mergeCell ref="H249:I249"/>
    <mergeCell ref="J260:K260"/>
    <mergeCell ref="H260:I260"/>
    <mergeCell ref="J315:K315"/>
    <mergeCell ref="H315:I315"/>
    <mergeCell ref="J322:K322"/>
    <mergeCell ref="H322:I322"/>
    <mergeCell ref="J330:K330"/>
    <mergeCell ref="H330:I330"/>
    <mergeCell ref="J285:K285"/>
    <mergeCell ref="H285:I285"/>
    <mergeCell ref="J296:K296"/>
    <mergeCell ref="H296:I296"/>
    <mergeCell ref="J307:K307"/>
    <mergeCell ref="H307:I307"/>
    <mergeCell ref="J340:K340"/>
    <mergeCell ref="H340:I340"/>
    <mergeCell ref="J343:K343"/>
    <mergeCell ref="H343:I343"/>
    <mergeCell ref="J345:K345"/>
    <mergeCell ref="H345:I345"/>
    <mergeCell ref="J332:K332"/>
    <mergeCell ref="H332:I332"/>
    <mergeCell ref="A332:G332"/>
    <mergeCell ref="C335:I335"/>
    <mergeCell ref="J335:K335"/>
    <mergeCell ref="A337:K337"/>
    <mergeCell ref="C353:I353"/>
    <mergeCell ref="J353:K353"/>
    <mergeCell ref="C354:I354"/>
    <mergeCell ref="J354:K354"/>
    <mergeCell ref="C355:I355"/>
    <mergeCell ref="J355:K355"/>
    <mergeCell ref="A345:G345"/>
    <mergeCell ref="C348:I348"/>
    <mergeCell ref="J348:K348"/>
    <mergeCell ref="J350:K350"/>
    <mergeCell ref="H350:I350"/>
    <mergeCell ref="A350:G350"/>
    <mergeCell ref="A362:B362"/>
    <mergeCell ref="C363:G363"/>
    <mergeCell ref="A365:B365"/>
    <mergeCell ref="C366:G366"/>
    <mergeCell ref="C356:I356"/>
    <mergeCell ref="J356:K356"/>
    <mergeCell ref="C357:I357"/>
    <mergeCell ref="J357:K357"/>
    <mergeCell ref="C358:I358"/>
    <mergeCell ref="J358:K358"/>
  </mergeCells>
  <pageMargins left="0.4" right="0.2" top="0.4" bottom="0.4" header="0.2" footer="0.2"/>
  <pageSetup paperSize="9" scale="64" fitToHeight="0" orientation="portrait" r:id="rId1"/>
  <headerFooter>
    <oddHeader>&amp;L&amp;8ООО "Инженерные коммуникации СТОУН"  Доп. раб. место  MCCS-0028578</oddHead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K255"/>
  <sheetViews>
    <sheetView workbookViewId="0">
      <selection activeCell="G13" sqref="G13"/>
    </sheetView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0</v>
      </c>
      <c r="L1">
        <v>28578</v>
      </c>
      <c r="M1">
        <v>10</v>
      </c>
      <c r="N1">
        <v>11</v>
      </c>
      <c r="O1">
        <v>0</v>
      </c>
      <c r="P1">
        <v>0</v>
      </c>
      <c r="Q1">
        <v>3</v>
      </c>
    </row>
    <row r="12" spans="1:133" x14ac:dyDescent="0.2">
      <c r="A12" s="1">
        <v>1</v>
      </c>
      <c r="B12" s="1">
        <v>250</v>
      </c>
      <c r="C12" s="1">
        <v>0</v>
      </c>
      <c r="D12" s="1">
        <f>ROW(A214)</f>
        <v>214</v>
      </c>
      <c r="E12" s="1">
        <v>0</v>
      </c>
      <c r="F12" s="1" t="s">
        <v>4</v>
      </c>
      <c r="G12" s="1" t="s">
        <v>533</v>
      </c>
      <c r="H12" s="1" t="s">
        <v>5</v>
      </c>
      <c r="I12" s="1">
        <v>0</v>
      </c>
      <c r="J12" s="1" t="s">
        <v>6</v>
      </c>
      <c r="K12" s="1">
        <v>0</v>
      </c>
      <c r="L12" s="1"/>
      <c r="M12" s="1"/>
      <c r="N12" s="1"/>
      <c r="O12" s="1">
        <v>0</v>
      </c>
      <c r="P12" s="1">
        <v>0</v>
      </c>
      <c r="Q12" s="1">
        <v>0</v>
      </c>
      <c r="R12" s="1">
        <v>157</v>
      </c>
      <c r="S12" s="1"/>
      <c r="T12" s="1"/>
      <c r="U12" s="1" t="s">
        <v>5</v>
      </c>
      <c r="V12" s="1">
        <v>0</v>
      </c>
      <c r="W12" s="1" t="s">
        <v>5</v>
      </c>
      <c r="X12" s="1" t="s">
        <v>5</v>
      </c>
      <c r="Y12" s="1" t="s">
        <v>5</v>
      </c>
      <c r="Z12" s="1" t="s">
        <v>5</v>
      </c>
      <c r="AA12" s="1" t="s">
        <v>5</v>
      </c>
      <c r="AB12" s="1" t="s">
        <v>5</v>
      </c>
      <c r="AC12" s="1" t="s">
        <v>5</v>
      </c>
      <c r="AD12" s="1" t="s">
        <v>5</v>
      </c>
      <c r="AE12" s="1" t="s">
        <v>5</v>
      </c>
      <c r="AF12" s="1" t="s">
        <v>5</v>
      </c>
      <c r="AG12" s="1" t="s">
        <v>5</v>
      </c>
      <c r="AH12" s="1" t="s">
        <v>7</v>
      </c>
      <c r="AI12" s="1" t="s">
        <v>8</v>
      </c>
      <c r="AJ12" s="1" t="s">
        <v>9</v>
      </c>
      <c r="AK12" s="1"/>
      <c r="AL12" s="1" t="s">
        <v>10</v>
      </c>
      <c r="AM12" s="1" t="s">
        <v>8</v>
      </c>
      <c r="AN12" s="1" t="s">
        <v>11</v>
      </c>
      <c r="AO12" s="1"/>
      <c r="AP12" s="1" t="s">
        <v>5</v>
      </c>
      <c r="AQ12" s="1" t="s">
        <v>5</v>
      </c>
      <c r="AR12" s="1" t="s">
        <v>5</v>
      </c>
      <c r="AS12" s="1"/>
      <c r="AT12" s="1"/>
      <c r="AU12" s="1"/>
      <c r="AV12" s="1"/>
      <c r="AW12" s="1"/>
      <c r="AX12" s="1" t="s">
        <v>9</v>
      </c>
      <c r="AY12" s="1" t="s">
        <v>11</v>
      </c>
      <c r="AZ12" s="1" t="s">
        <v>5</v>
      </c>
      <c r="BA12" s="1"/>
      <c r="BB12" s="1"/>
      <c r="BC12" s="1"/>
      <c r="BD12" s="1"/>
      <c r="BE12" s="1"/>
      <c r="BF12" s="1"/>
      <c r="BG12" s="1"/>
      <c r="BH12" s="1" t="s">
        <v>12</v>
      </c>
      <c r="BI12" s="1" t="s">
        <v>13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0</v>
      </c>
      <c r="BW12" s="1">
        <v>0</v>
      </c>
      <c r="BX12" s="1">
        <v>0</v>
      </c>
      <c r="BY12" s="1" t="s">
        <v>14</v>
      </c>
      <c r="BZ12" s="1" t="s">
        <v>15</v>
      </c>
      <c r="CA12" s="1" t="s">
        <v>16</v>
      </c>
      <c r="CB12" s="1" t="s">
        <v>16</v>
      </c>
      <c r="CC12" s="1" t="s">
        <v>16</v>
      </c>
      <c r="CD12" s="1" t="s">
        <v>16</v>
      </c>
      <c r="CE12" s="1" t="s">
        <v>17</v>
      </c>
      <c r="CF12" s="1">
        <v>0</v>
      </c>
      <c r="CG12" s="1">
        <v>0</v>
      </c>
      <c r="CH12" s="1">
        <v>8</v>
      </c>
      <c r="CI12" s="1" t="s">
        <v>5</v>
      </c>
      <c r="CJ12" s="1" t="s">
        <v>5</v>
      </c>
      <c r="CK12" s="1">
        <v>53</v>
      </c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5" spans="1:133" x14ac:dyDescent="0.2">
      <c r="A15" s="1">
        <v>15</v>
      </c>
      <c r="B15" s="1">
        <v>1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</row>
    <row r="18" spans="1:245" x14ac:dyDescent="0.2">
      <c r="A18" s="2">
        <v>52</v>
      </c>
      <c r="B18" s="2">
        <f t="shared" ref="B18:G18" si="0">B214</f>
        <v>250</v>
      </c>
      <c r="C18" s="2">
        <f t="shared" si="0"/>
        <v>1</v>
      </c>
      <c r="D18" s="2">
        <f t="shared" si="0"/>
        <v>12</v>
      </c>
      <c r="E18" s="2">
        <f t="shared" si="0"/>
        <v>0</v>
      </c>
      <c r="F18" s="2" t="str">
        <f t="shared" si="0"/>
        <v>50-2016-БО_(Копия)</v>
      </c>
      <c r="G18" s="2" t="str">
        <f t="shared" si="0"/>
        <v>Технологическое присоединение к электрической сети энергопринимающих устройств 20кВ ООО "Энергии Технологии" к КРУ 20 кВ ТЭС "Международная" ООО "Ситиэнерго" для электроснабжения энергопринимающих  устройств, по адресу: г.Москва, ул. Беговая, д.32</v>
      </c>
      <c r="H18" s="2"/>
      <c r="I18" s="2"/>
      <c r="J18" s="2"/>
      <c r="K18" s="2"/>
      <c r="L18" s="2"/>
      <c r="M18" s="2"/>
      <c r="N18" s="2"/>
      <c r="O18" s="2">
        <f t="shared" ref="O18:AT18" si="1">O214</f>
        <v>699829.06</v>
      </c>
      <c r="P18" s="2">
        <f t="shared" si="1"/>
        <v>466792.48</v>
      </c>
      <c r="Q18" s="2">
        <f t="shared" si="1"/>
        <v>127635.69</v>
      </c>
      <c r="R18" s="2">
        <f t="shared" si="1"/>
        <v>25201.9</v>
      </c>
      <c r="S18" s="2">
        <f t="shared" si="1"/>
        <v>105400.89</v>
      </c>
      <c r="T18" s="2">
        <f t="shared" si="1"/>
        <v>0</v>
      </c>
      <c r="U18" s="2">
        <f t="shared" si="1"/>
        <v>450.37135220819999</v>
      </c>
      <c r="V18" s="2">
        <f t="shared" si="1"/>
        <v>0</v>
      </c>
      <c r="W18" s="2">
        <f t="shared" si="1"/>
        <v>0</v>
      </c>
      <c r="X18" s="2">
        <f t="shared" si="1"/>
        <v>105999.26</v>
      </c>
      <c r="Y18" s="2">
        <f t="shared" si="1"/>
        <v>47203.98</v>
      </c>
      <c r="Z18" s="2">
        <f t="shared" si="1"/>
        <v>0</v>
      </c>
      <c r="AA18" s="2">
        <f t="shared" si="1"/>
        <v>0</v>
      </c>
      <c r="AB18" s="2">
        <f t="shared" si="1"/>
        <v>0</v>
      </c>
      <c r="AC18" s="2">
        <f t="shared" si="1"/>
        <v>0</v>
      </c>
      <c r="AD18" s="2">
        <f t="shared" si="1"/>
        <v>0</v>
      </c>
      <c r="AE18" s="2">
        <f t="shared" si="1"/>
        <v>0</v>
      </c>
      <c r="AF18" s="2">
        <f t="shared" si="1"/>
        <v>0</v>
      </c>
      <c r="AG18" s="2">
        <f t="shared" si="1"/>
        <v>0</v>
      </c>
      <c r="AH18" s="2">
        <f t="shared" si="1"/>
        <v>0</v>
      </c>
      <c r="AI18" s="2">
        <f t="shared" si="1"/>
        <v>0</v>
      </c>
      <c r="AJ18" s="2">
        <f t="shared" si="1"/>
        <v>0</v>
      </c>
      <c r="AK18" s="2">
        <f t="shared" si="1"/>
        <v>0</v>
      </c>
      <c r="AL18" s="2">
        <f t="shared" si="1"/>
        <v>0</v>
      </c>
      <c r="AM18" s="2">
        <f t="shared" si="1"/>
        <v>0</v>
      </c>
      <c r="AN18" s="2">
        <f t="shared" si="1"/>
        <v>0</v>
      </c>
      <c r="AO18" s="2">
        <f t="shared" si="1"/>
        <v>0</v>
      </c>
      <c r="AP18" s="2">
        <f t="shared" si="1"/>
        <v>0</v>
      </c>
      <c r="AQ18" s="2">
        <f t="shared" si="1"/>
        <v>0</v>
      </c>
      <c r="AR18" s="2">
        <f t="shared" si="1"/>
        <v>892599.31</v>
      </c>
      <c r="AS18" s="2">
        <f t="shared" si="1"/>
        <v>822023.56</v>
      </c>
      <c r="AT18" s="2">
        <f t="shared" si="1"/>
        <v>0</v>
      </c>
      <c r="AU18" s="2">
        <f t="shared" ref="AU18:BZ18" si="2">AU214</f>
        <v>70575.75</v>
      </c>
      <c r="AV18" s="2">
        <f t="shared" si="2"/>
        <v>466792.48</v>
      </c>
      <c r="AW18" s="2">
        <f t="shared" si="2"/>
        <v>466792.48</v>
      </c>
      <c r="AX18" s="2">
        <f t="shared" si="2"/>
        <v>0</v>
      </c>
      <c r="AY18" s="2">
        <f t="shared" si="2"/>
        <v>466792.48</v>
      </c>
      <c r="AZ18" s="2">
        <f t="shared" si="2"/>
        <v>0</v>
      </c>
      <c r="BA18" s="2">
        <f t="shared" si="2"/>
        <v>0</v>
      </c>
      <c r="BB18" s="2">
        <f t="shared" si="2"/>
        <v>0</v>
      </c>
      <c r="BC18" s="2">
        <f t="shared" si="2"/>
        <v>0</v>
      </c>
      <c r="BD18" s="2">
        <f t="shared" si="2"/>
        <v>0</v>
      </c>
      <c r="BE18" s="2">
        <f t="shared" si="2"/>
        <v>0</v>
      </c>
      <c r="BF18" s="2">
        <f t="shared" si="2"/>
        <v>0</v>
      </c>
      <c r="BG18" s="2">
        <f t="shared" si="2"/>
        <v>0</v>
      </c>
      <c r="BH18" s="2">
        <f t="shared" si="2"/>
        <v>0</v>
      </c>
      <c r="BI18" s="2">
        <f t="shared" si="2"/>
        <v>0</v>
      </c>
      <c r="BJ18" s="2">
        <f t="shared" si="2"/>
        <v>0</v>
      </c>
      <c r="BK18" s="2">
        <f t="shared" si="2"/>
        <v>0</v>
      </c>
      <c r="BL18" s="2">
        <f t="shared" si="2"/>
        <v>0</v>
      </c>
      <c r="BM18" s="2">
        <f t="shared" si="2"/>
        <v>0</v>
      </c>
      <c r="BN18" s="2">
        <f t="shared" si="2"/>
        <v>0</v>
      </c>
      <c r="BO18" s="2">
        <f t="shared" si="2"/>
        <v>0</v>
      </c>
      <c r="BP18" s="2">
        <f t="shared" si="2"/>
        <v>0</v>
      </c>
      <c r="BQ18" s="2">
        <f t="shared" si="2"/>
        <v>0</v>
      </c>
      <c r="BR18" s="2">
        <f t="shared" si="2"/>
        <v>0</v>
      </c>
      <c r="BS18" s="2">
        <f t="shared" si="2"/>
        <v>0</v>
      </c>
      <c r="BT18" s="2">
        <f t="shared" si="2"/>
        <v>0</v>
      </c>
      <c r="BU18" s="2">
        <f t="shared" si="2"/>
        <v>0</v>
      </c>
      <c r="BV18" s="2">
        <f t="shared" si="2"/>
        <v>0</v>
      </c>
      <c r="BW18" s="2">
        <f t="shared" si="2"/>
        <v>0</v>
      </c>
      <c r="BX18" s="2">
        <f t="shared" si="2"/>
        <v>0</v>
      </c>
      <c r="BY18" s="2">
        <f t="shared" si="2"/>
        <v>0</v>
      </c>
      <c r="BZ18" s="2">
        <f t="shared" si="2"/>
        <v>0</v>
      </c>
      <c r="CA18" s="2">
        <f t="shared" ref="CA18:DF18" si="3">CA214</f>
        <v>0</v>
      </c>
      <c r="CB18" s="2">
        <f t="shared" si="3"/>
        <v>0</v>
      </c>
      <c r="CC18" s="2">
        <f t="shared" si="3"/>
        <v>0</v>
      </c>
      <c r="CD18" s="2">
        <f t="shared" si="3"/>
        <v>0</v>
      </c>
      <c r="CE18" s="2">
        <f t="shared" si="3"/>
        <v>0</v>
      </c>
      <c r="CF18" s="2">
        <f t="shared" si="3"/>
        <v>0</v>
      </c>
      <c r="CG18" s="2">
        <f t="shared" si="3"/>
        <v>0</v>
      </c>
      <c r="CH18" s="2">
        <f t="shared" si="3"/>
        <v>0</v>
      </c>
      <c r="CI18" s="2">
        <f t="shared" si="3"/>
        <v>0</v>
      </c>
      <c r="CJ18" s="2">
        <f t="shared" si="3"/>
        <v>0</v>
      </c>
      <c r="CK18" s="2">
        <f t="shared" si="3"/>
        <v>0</v>
      </c>
      <c r="CL18" s="2">
        <f t="shared" si="3"/>
        <v>0</v>
      </c>
      <c r="CM18" s="2">
        <f t="shared" si="3"/>
        <v>0</v>
      </c>
      <c r="CN18" s="2">
        <f t="shared" si="3"/>
        <v>0</v>
      </c>
      <c r="CO18" s="2">
        <f t="shared" si="3"/>
        <v>0</v>
      </c>
      <c r="CP18" s="2">
        <f t="shared" si="3"/>
        <v>0</v>
      </c>
      <c r="CQ18" s="2">
        <f t="shared" si="3"/>
        <v>0</v>
      </c>
      <c r="CR18" s="2">
        <f t="shared" si="3"/>
        <v>0</v>
      </c>
      <c r="CS18" s="2">
        <f t="shared" si="3"/>
        <v>0</v>
      </c>
      <c r="CT18" s="2">
        <f t="shared" si="3"/>
        <v>0</v>
      </c>
      <c r="CU18" s="2">
        <f t="shared" si="3"/>
        <v>0</v>
      </c>
      <c r="CV18" s="2">
        <f t="shared" si="3"/>
        <v>0</v>
      </c>
      <c r="CW18" s="2">
        <f t="shared" si="3"/>
        <v>0</v>
      </c>
      <c r="CX18" s="2">
        <f t="shared" si="3"/>
        <v>0</v>
      </c>
      <c r="CY18" s="2">
        <f t="shared" si="3"/>
        <v>0</v>
      </c>
      <c r="CZ18" s="2">
        <f t="shared" si="3"/>
        <v>0</v>
      </c>
      <c r="DA18" s="2">
        <f t="shared" si="3"/>
        <v>0</v>
      </c>
      <c r="DB18" s="2">
        <f t="shared" si="3"/>
        <v>0</v>
      </c>
      <c r="DC18" s="2">
        <f t="shared" si="3"/>
        <v>0</v>
      </c>
      <c r="DD18" s="2">
        <f t="shared" si="3"/>
        <v>0</v>
      </c>
      <c r="DE18" s="2">
        <f t="shared" si="3"/>
        <v>0</v>
      </c>
      <c r="DF18" s="2">
        <f t="shared" si="3"/>
        <v>0</v>
      </c>
      <c r="DG18" s="3">
        <f t="shared" ref="DG18:EL18" si="4">DG214</f>
        <v>0</v>
      </c>
      <c r="DH18" s="3">
        <f t="shared" si="4"/>
        <v>0</v>
      </c>
      <c r="DI18" s="3">
        <f t="shared" si="4"/>
        <v>0</v>
      </c>
      <c r="DJ18" s="3">
        <f t="shared" si="4"/>
        <v>0</v>
      </c>
      <c r="DK18" s="3">
        <f t="shared" si="4"/>
        <v>0</v>
      </c>
      <c r="DL18" s="3">
        <f t="shared" si="4"/>
        <v>0</v>
      </c>
      <c r="DM18" s="3">
        <f t="shared" si="4"/>
        <v>0</v>
      </c>
      <c r="DN18" s="3">
        <f t="shared" si="4"/>
        <v>0</v>
      </c>
      <c r="DO18" s="3">
        <f t="shared" si="4"/>
        <v>0</v>
      </c>
      <c r="DP18" s="3">
        <f t="shared" si="4"/>
        <v>0</v>
      </c>
      <c r="DQ18" s="3">
        <f t="shared" si="4"/>
        <v>0</v>
      </c>
      <c r="DR18" s="3">
        <f t="shared" si="4"/>
        <v>0</v>
      </c>
      <c r="DS18" s="3">
        <f t="shared" si="4"/>
        <v>0</v>
      </c>
      <c r="DT18" s="3">
        <f t="shared" si="4"/>
        <v>0</v>
      </c>
      <c r="DU18" s="3">
        <f t="shared" si="4"/>
        <v>0</v>
      </c>
      <c r="DV18" s="3">
        <f t="shared" si="4"/>
        <v>0</v>
      </c>
      <c r="DW18" s="3">
        <f t="shared" si="4"/>
        <v>0</v>
      </c>
      <c r="DX18" s="3">
        <f t="shared" si="4"/>
        <v>0</v>
      </c>
      <c r="DY18" s="3">
        <f t="shared" si="4"/>
        <v>0</v>
      </c>
      <c r="DZ18" s="3">
        <f t="shared" si="4"/>
        <v>0</v>
      </c>
      <c r="EA18" s="3">
        <f t="shared" si="4"/>
        <v>0</v>
      </c>
      <c r="EB18" s="3">
        <f t="shared" si="4"/>
        <v>0</v>
      </c>
      <c r="EC18" s="3">
        <f t="shared" si="4"/>
        <v>0</v>
      </c>
      <c r="ED18" s="3">
        <f t="shared" si="4"/>
        <v>0</v>
      </c>
      <c r="EE18" s="3">
        <f t="shared" si="4"/>
        <v>0</v>
      </c>
      <c r="EF18" s="3">
        <f t="shared" si="4"/>
        <v>0</v>
      </c>
      <c r="EG18" s="3">
        <f t="shared" si="4"/>
        <v>0</v>
      </c>
      <c r="EH18" s="3">
        <f t="shared" si="4"/>
        <v>0</v>
      </c>
      <c r="EI18" s="3">
        <f t="shared" si="4"/>
        <v>0</v>
      </c>
      <c r="EJ18" s="3">
        <f t="shared" si="4"/>
        <v>0</v>
      </c>
      <c r="EK18" s="3">
        <f t="shared" si="4"/>
        <v>0</v>
      </c>
      <c r="EL18" s="3">
        <f t="shared" si="4"/>
        <v>0</v>
      </c>
      <c r="EM18" s="3">
        <f t="shared" ref="EM18:FR18" si="5">EM214</f>
        <v>0</v>
      </c>
      <c r="EN18" s="3">
        <f t="shared" si="5"/>
        <v>0</v>
      </c>
      <c r="EO18" s="3">
        <f t="shared" si="5"/>
        <v>0</v>
      </c>
      <c r="EP18" s="3">
        <f t="shared" si="5"/>
        <v>0</v>
      </c>
      <c r="EQ18" s="3">
        <f t="shared" si="5"/>
        <v>0</v>
      </c>
      <c r="ER18" s="3">
        <f t="shared" si="5"/>
        <v>0</v>
      </c>
      <c r="ES18" s="3">
        <f t="shared" si="5"/>
        <v>0</v>
      </c>
      <c r="ET18" s="3">
        <f t="shared" si="5"/>
        <v>0</v>
      </c>
      <c r="EU18" s="3">
        <f t="shared" si="5"/>
        <v>0</v>
      </c>
      <c r="EV18" s="3">
        <f t="shared" si="5"/>
        <v>0</v>
      </c>
      <c r="EW18" s="3">
        <f t="shared" si="5"/>
        <v>0</v>
      </c>
      <c r="EX18" s="3">
        <f t="shared" si="5"/>
        <v>0</v>
      </c>
      <c r="EY18" s="3">
        <f t="shared" si="5"/>
        <v>0</v>
      </c>
      <c r="EZ18" s="3">
        <f t="shared" si="5"/>
        <v>0</v>
      </c>
      <c r="FA18" s="3">
        <f t="shared" si="5"/>
        <v>0</v>
      </c>
      <c r="FB18" s="3">
        <f t="shared" si="5"/>
        <v>0</v>
      </c>
      <c r="FC18" s="3">
        <f t="shared" si="5"/>
        <v>0</v>
      </c>
      <c r="FD18" s="3">
        <f t="shared" si="5"/>
        <v>0</v>
      </c>
      <c r="FE18" s="3">
        <f t="shared" si="5"/>
        <v>0</v>
      </c>
      <c r="FF18" s="3">
        <f t="shared" si="5"/>
        <v>0</v>
      </c>
      <c r="FG18" s="3">
        <f t="shared" si="5"/>
        <v>0</v>
      </c>
      <c r="FH18" s="3">
        <f t="shared" si="5"/>
        <v>0</v>
      </c>
      <c r="FI18" s="3">
        <f t="shared" si="5"/>
        <v>0</v>
      </c>
      <c r="FJ18" s="3">
        <f t="shared" si="5"/>
        <v>0</v>
      </c>
      <c r="FK18" s="3">
        <f t="shared" si="5"/>
        <v>0</v>
      </c>
      <c r="FL18" s="3">
        <f t="shared" si="5"/>
        <v>0</v>
      </c>
      <c r="FM18" s="3">
        <f t="shared" si="5"/>
        <v>0</v>
      </c>
      <c r="FN18" s="3">
        <f t="shared" si="5"/>
        <v>0</v>
      </c>
      <c r="FO18" s="3">
        <f t="shared" si="5"/>
        <v>0</v>
      </c>
      <c r="FP18" s="3">
        <f t="shared" si="5"/>
        <v>0</v>
      </c>
      <c r="FQ18" s="3">
        <f t="shared" si="5"/>
        <v>0</v>
      </c>
      <c r="FR18" s="3">
        <f t="shared" si="5"/>
        <v>0</v>
      </c>
      <c r="FS18" s="3">
        <f t="shared" ref="FS18:GX18" si="6">FS214</f>
        <v>0</v>
      </c>
      <c r="FT18" s="3">
        <f t="shared" si="6"/>
        <v>0</v>
      </c>
      <c r="FU18" s="3">
        <f t="shared" si="6"/>
        <v>0</v>
      </c>
      <c r="FV18" s="3">
        <f t="shared" si="6"/>
        <v>0</v>
      </c>
      <c r="FW18" s="3">
        <f t="shared" si="6"/>
        <v>0</v>
      </c>
      <c r="FX18" s="3">
        <f t="shared" si="6"/>
        <v>0</v>
      </c>
      <c r="FY18" s="3">
        <f t="shared" si="6"/>
        <v>0</v>
      </c>
      <c r="FZ18" s="3">
        <f t="shared" si="6"/>
        <v>0</v>
      </c>
      <c r="GA18" s="3">
        <f t="shared" si="6"/>
        <v>0</v>
      </c>
      <c r="GB18" s="3">
        <f t="shared" si="6"/>
        <v>0</v>
      </c>
      <c r="GC18" s="3">
        <f t="shared" si="6"/>
        <v>0</v>
      </c>
      <c r="GD18" s="3">
        <f t="shared" si="6"/>
        <v>0</v>
      </c>
      <c r="GE18" s="3">
        <f t="shared" si="6"/>
        <v>0</v>
      </c>
      <c r="GF18" s="3">
        <f t="shared" si="6"/>
        <v>0</v>
      </c>
      <c r="GG18" s="3">
        <f t="shared" si="6"/>
        <v>0</v>
      </c>
      <c r="GH18" s="3">
        <f t="shared" si="6"/>
        <v>0</v>
      </c>
      <c r="GI18" s="3">
        <f t="shared" si="6"/>
        <v>0</v>
      </c>
      <c r="GJ18" s="3">
        <f t="shared" si="6"/>
        <v>0</v>
      </c>
      <c r="GK18" s="3">
        <f t="shared" si="6"/>
        <v>0</v>
      </c>
      <c r="GL18" s="3">
        <f t="shared" si="6"/>
        <v>0</v>
      </c>
      <c r="GM18" s="3">
        <f t="shared" si="6"/>
        <v>0</v>
      </c>
      <c r="GN18" s="3">
        <f t="shared" si="6"/>
        <v>0</v>
      </c>
      <c r="GO18" s="3">
        <f t="shared" si="6"/>
        <v>0</v>
      </c>
      <c r="GP18" s="3">
        <f t="shared" si="6"/>
        <v>0</v>
      </c>
      <c r="GQ18" s="3">
        <f t="shared" si="6"/>
        <v>0</v>
      </c>
      <c r="GR18" s="3">
        <f t="shared" si="6"/>
        <v>0</v>
      </c>
      <c r="GS18" s="3">
        <f t="shared" si="6"/>
        <v>0</v>
      </c>
      <c r="GT18" s="3">
        <f t="shared" si="6"/>
        <v>0</v>
      </c>
      <c r="GU18" s="3">
        <f t="shared" si="6"/>
        <v>0</v>
      </c>
      <c r="GV18" s="3">
        <f t="shared" si="6"/>
        <v>0</v>
      </c>
      <c r="GW18" s="3">
        <f t="shared" si="6"/>
        <v>0</v>
      </c>
      <c r="GX18" s="3">
        <f t="shared" si="6"/>
        <v>0</v>
      </c>
    </row>
    <row r="20" spans="1:245" x14ac:dyDescent="0.2">
      <c r="A20" s="1">
        <v>3</v>
      </c>
      <c r="B20" s="1">
        <v>1</v>
      </c>
      <c r="C20" s="1"/>
      <c r="D20" s="1">
        <f>ROW(A178)</f>
        <v>178</v>
      </c>
      <c r="E20" s="1"/>
      <c r="F20" s="1">
        <v>4</v>
      </c>
      <c r="G20" s="1" t="s">
        <v>19</v>
      </c>
      <c r="H20" s="1" t="s">
        <v>5</v>
      </c>
      <c r="I20" s="1">
        <v>0</v>
      </c>
      <c r="J20" s="1" t="s">
        <v>5</v>
      </c>
      <c r="K20" s="1">
        <v>-1</v>
      </c>
      <c r="L20" s="1" t="s">
        <v>5</v>
      </c>
      <c r="M20" s="1"/>
      <c r="N20" s="1"/>
      <c r="O20" s="1"/>
      <c r="P20" s="1"/>
      <c r="Q20" s="1"/>
      <c r="R20" s="1"/>
      <c r="S20" s="1"/>
      <c r="T20" s="1"/>
      <c r="U20" s="1" t="s">
        <v>5</v>
      </c>
      <c r="V20" s="1">
        <v>0</v>
      </c>
      <c r="W20" s="1"/>
      <c r="X20" s="1"/>
      <c r="Y20" s="1"/>
      <c r="Z20" s="1"/>
      <c r="AA20" s="1"/>
      <c r="AB20" s="1" t="s">
        <v>5</v>
      </c>
      <c r="AC20" s="1" t="s">
        <v>5</v>
      </c>
      <c r="AD20" s="1" t="s">
        <v>5</v>
      </c>
      <c r="AE20" s="1" t="s">
        <v>5</v>
      </c>
      <c r="AF20" s="1" t="s">
        <v>5</v>
      </c>
      <c r="AG20" s="1" t="s">
        <v>5</v>
      </c>
      <c r="AH20" s="1"/>
      <c r="AI20" s="1"/>
      <c r="AJ20" s="1"/>
      <c r="AK20" s="1"/>
      <c r="AL20" s="1"/>
      <c r="AM20" s="1"/>
      <c r="AN20" s="1"/>
      <c r="AO20" s="1"/>
      <c r="AP20" s="1" t="s">
        <v>5</v>
      </c>
      <c r="AQ20" s="1" t="s">
        <v>5</v>
      </c>
      <c r="AR20" s="1" t="s">
        <v>5</v>
      </c>
      <c r="AS20" s="1"/>
      <c r="AT20" s="1"/>
      <c r="AU20" s="1"/>
      <c r="AV20" s="1"/>
      <c r="AW20" s="1"/>
      <c r="AX20" s="1"/>
      <c r="AY20" s="1"/>
      <c r="AZ20" s="1" t="s">
        <v>5</v>
      </c>
      <c r="BA20" s="1"/>
      <c r="BB20" s="1" t="s">
        <v>5</v>
      </c>
      <c r="BC20" s="1" t="s">
        <v>5</v>
      </c>
      <c r="BD20" s="1" t="s">
        <v>5</v>
      </c>
      <c r="BE20" s="1" t="s">
        <v>5</v>
      </c>
      <c r="BF20" s="1" t="s">
        <v>5</v>
      </c>
      <c r="BG20" s="1" t="s">
        <v>5</v>
      </c>
      <c r="BH20" s="1" t="s">
        <v>5</v>
      </c>
      <c r="BI20" s="1" t="s">
        <v>5</v>
      </c>
      <c r="BJ20" s="1" t="s">
        <v>5</v>
      </c>
      <c r="BK20" s="1" t="s">
        <v>5</v>
      </c>
      <c r="BL20" s="1" t="s">
        <v>5</v>
      </c>
      <c r="BM20" s="1" t="s">
        <v>5</v>
      </c>
      <c r="BN20" s="1" t="s">
        <v>5</v>
      </c>
      <c r="BO20" s="1" t="s">
        <v>5</v>
      </c>
      <c r="BP20" s="1" t="s">
        <v>5</v>
      </c>
      <c r="BQ20" s="1"/>
      <c r="BR20" s="1"/>
      <c r="BS20" s="1"/>
      <c r="BT20" s="1"/>
      <c r="BU20" s="1"/>
      <c r="BV20" s="1"/>
      <c r="BW20" s="1"/>
      <c r="BX20" s="1">
        <v>0</v>
      </c>
      <c r="BY20" s="1"/>
      <c r="BZ20" s="1"/>
      <c r="CA20" s="1"/>
      <c r="CB20" s="1"/>
      <c r="CC20" s="1"/>
      <c r="CD20" s="1"/>
      <c r="CE20" s="1"/>
      <c r="CF20" s="1">
        <v>0</v>
      </c>
      <c r="CG20" s="1">
        <v>0</v>
      </c>
      <c r="CH20" s="1"/>
      <c r="CI20" s="1" t="s">
        <v>5</v>
      </c>
      <c r="CJ20" s="1" t="s">
        <v>5</v>
      </c>
      <c r="CK20" t="s">
        <v>5</v>
      </c>
      <c r="CL20" t="s">
        <v>5</v>
      </c>
      <c r="CM20" t="s">
        <v>5</v>
      </c>
      <c r="CN20" t="s">
        <v>5</v>
      </c>
      <c r="CO20" t="s">
        <v>5</v>
      </c>
      <c r="CP20" t="s">
        <v>5</v>
      </c>
    </row>
    <row r="22" spans="1:245" x14ac:dyDescent="0.2">
      <c r="A22" s="2">
        <v>52</v>
      </c>
      <c r="B22" s="2">
        <f t="shared" ref="B22:G22" si="7">B178</f>
        <v>1</v>
      </c>
      <c r="C22" s="2">
        <f t="shared" si="7"/>
        <v>3</v>
      </c>
      <c r="D22" s="2">
        <f t="shared" si="7"/>
        <v>20</v>
      </c>
      <c r="E22" s="2">
        <f t="shared" si="7"/>
        <v>0</v>
      </c>
      <c r="F22" s="2">
        <f t="shared" si="7"/>
        <v>4</v>
      </c>
      <c r="G22" s="2" t="str">
        <f t="shared" si="7"/>
        <v>Восстановление благоустройства</v>
      </c>
      <c r="H22" s="2"/>
      <c r="I22" s="2"/>
      <c r="J22" s="2"/>
      <c r="K22" s="2"/>
      <c r="L22" s="2"/>
      <c r="M22" s="2"/>
      <c r="N22" s="2"/>
      <c r="O22" s="2">
        <f t="shared" ref="O22:AT22" si="8">O178</f>
        <v>699829.06</v>
      </c>
      <c r="P22" s="2">
        <f t="shared" si="8"/>
        <v>466792.48</v>
      </c>
      <c r="Q22" s="2">
        <f t="shared" si="8"/>
        <v>127635.69</v>
      </c>
      <c r="R22" s="2">
        <f t="shared" si="8"/>
        <v>25201.9</v>
      </c>
      <c r="S22" s="2">
        <f t="shared" si="8"/>
        <v>105400.89</v>
      </c>
      <c r="T22" s="2">
        <f t="shared" si="8"/>
        <v>0</v>
      </c>
      <c r="U22" s="2">
        <f t="shared" si="8"/>
        <v>450.37135220819999</v>
      </c>
      <c r="V22" s="2">
        <f t="shared" si="8"/>
        <v>0</v>
      </c>
      <c r="W22" s="2">
        <f t="shared" si="8"/>
        <v>0</v>
      </c>
      <c r="X22" s="2">
        <f t="shared" si="8"/>
        <v>105999.26</v>
      </c>
      <c r="Y22" s="2">
        <f t="shared" si="8"/>
        <v>47203.98</v>
      </c>
      <c r="Z22" s="2">
        <f t="shared" si="8"/>
        <v>0</v>
      </c>
      <c r="AA22" s="2">
        <f t="shared" si="8"/>
        <v>0</v>
      </c>
      <c r="AB22" s="2">
        <f t="shared" si="8"/>
        <v>0</v>
      </c>
      <c r="AC22" s="2">
        <f t="shared" si="8"/>
        <v>0</v>
      </c>
      <c r="AD22" s="2">
        <f t="shared" si="8"/>
        <v>0</v>
      </c>
      <c r="AE22" s="2">
        <f t="shared" si="8"/>
        <v>0</v>
      </c>
      <c r="AF22" s="2">
        <f t="shared" si="8"/>
        <v>0</v>
      </c>
      <c r="AG22" s="2">
        <f t="shared" si="8"/>
        <v>0</v>
      </c>
      <c r="AH22" s="2">
        <f t="shared" si="8"/>
        <v>0</v>
      </c>
      <c r="AI22" s="2">
        <f t="shared" si="8"/>
        <v>0</v>
      </c>
      <c r="AJ22" s="2">
        <f t="shared" si="8"/>
        <v>0</v>
      </c>
      <c r="AK22" s="2">
        <f t="shared" si="8"/>
        <v>0</v>
      </c>
      <c r="AL22" s="2">
        <f t="shared" si="8"/>
        <v>0</v>
      </c>
      <c r="AM22" s="2">
        <f t="shared" si="8"/>
        <v>0</v>
      </c>
      <c r="AN22" s="2">
        <f t="shared" si="8"/>
        <v>0</v>
      </c>
      <c r="AO22" s="2">
        <f t="shared" si="8"/>
        <v>0</v>
      </c>
      <c r="AP22" s="2">
        <f t="shared" si="8"/>
        <v>0</v>
      </c>
      <c r="AQ22" s="2">
        <f t="shared" si="8"/>
        <v>0</v>
      </c>
      <c r="AR22" s="2">
        <f t="shared" si="8"/>
        <v>892599.31</v>
      </c>
      <c r="AS22" s="2">
        <f t="shared" si="8"/>
        <v>822023.56</v>
      </c>
      <c r="AT22" s="2">
        <f t="shared" si="8"/>
        <v>0</v>
      </c>
      <c r="AU22" s="2">
        <f t="shared" ref="AU22:BZ22" si="9">AU178</f>
        <v>70575.75</v>
      </c>
      <c r="AV22" s="2">
        <f t="shared" si="9"/>
        <v>466792.48</v>
      </c>
      <c r="AW22" s="2">
        <f t="shared" si="9"/>
        <v>466792.48</v>
      </c>
      <c r="AX22" s="2">
        <f t="shared" si="9"/>
        <v>0</v>
      </c>
      <c r="AY22" s="2">
        <f t="shared" si="9"/>
        <v>466792.48</v>
      </c>
      <c r="AZ22" s="2">
        <f t="shared" si="9"/>
        <v>0</v>
      </c>
      <c r="BA22" s="2">
        <f t="shared" si="9"/>
        <v>0</v>
      </c>
      <c r="BB22" s="2">
        <f t="shared" si="9"/>
        <v>0</v>
      </c>
      <c r="BC22" s="2">
        <f t="shared" si="9"/>
        <v>0</v>
      </c>
      <c r="BD22" s="2">
        <f t="shared" si="9"/>
        <v>0</v>
      </c>
      <c r="BE22" s="2">
        <f t="shared" si="9"/>
        <v>0</v>
      </c>
      <c r="BF22" s="2">
        <f t="shared" si="9"/>
        <v>0</v>
      </c>
      <c r="BG22" s="2">
        <f t="shared" si="9"/>
        <v>0</v>
      </c>
      <c r="BH22" s="2">
        <f t="shared" si="9"/>
        <v>0</v>
      </c>
      <c r="BI22" s="2">
        <f t="shared" si="9"/>
        <v>0</v>
      </c>
      <c r="BJ22" s="2">
        <f t="shared" si="9"/>
        <v>0</v>
      </c>
      <c r="BK22" s="2">
        <f t="shared" si="9"/>
        <v>0</v>
      </c>
      <c r="BL22" s="2">
        <f t="shared" si="9"/>
        <v>0</v>
      </c>
      <c r="BM22" s="2">
        <f t="shared" si="9"/>
        <v>0</v>
      </c>
      <c r="BN22" s="2">
        <f t="shared" si="9"/>
        <v>0</v>
      </c>
      <c r="BO22" s="2">
        <f t="shared" si="9"/>
        <v>0</v>
      </c>
      <c r="BP22" s="2">
        <f t="shared" si="9"/>
        <v>0</v>
      </c>
      <c r="BQ22" s="2">
        <f t="shared" si="9"/>
        <v>0</v>
      </c>
      <c r="BR22" s="2">
        <f t="shared" si="9"/>
        <v>0</v>
      </c>
      <c r="BS22" s="2">
        <f t="shared" si="9"/>
        <v>0</v>
      </c>
      <c r="BT22" s="2">
        <f t="shared" si="9"/>
        <v>0</v>
      </c>
      <c r="BU22" s="2">
        <f t="shared" si="9"/>
        <v>0</v>
      </c>
      <c r="BV22" s="2">
        <f t="shared" si="9"/>
        <v>0</v>
      </c>
      <c r="BW22" s="2">
        <f t="shared" si="9"/>
        <v>0</v>
      </c>
      <c r="BX22" s="2">
        <f t="shared" si="9"/>
        <v>0</v>
      </c>
      <c r="BY22" s="2">
        <f t="shared" si="9"/>
        <v>0</v>
      </c>
      <c r="BZ22" s="2">
        <f t="shared" si="9"/>
        <v>0</v>
      </c>
      <c r="CA22" s="2">
        <f t="shared" ref="CA22:DF22" si="10">CA178</f>
        <v>0</v>
      </c>
      <c r="CB22" s="2">
        <f t="shared" si="10"/>
        <v>0</v>
      </c>
      <c r="CC22" s="2">
        <f t="shared" si="10"/>
        <v>0</v>
      </c>
      <c r="CD22" s="2">
        <f t="shared" si="10"/>
        <v>0</v>
      </c>
      <c r="CE22" s="2">
        <f t="shared" si="10"/>
        <v>0</v>
      </c>
      <c r="CF22" s="2">
        <f t="shared" si="10"/>
        <v>0</v>
      </c>
      <c r="CG22" s="2">
        <f t="shared" si="10"/>
        <v>0</v>
      </c>
      <c r="CH22" s="2">
        <f t="shared" si="10"/>
        <v>0</v>
      </c>
      <c r="CI22" s="2">
        <f t="shared" si="10"/>
        <v>0</v>
      </c>
      <c r="CJ22" s="2">
        <f t="shared" si="10"/>
        <v>0</v>
      </c>
      <c r="CK22" s="2">
        <f t="shared" si="10"/>
        <v>0</v>
      </c>
      <c r="CL22" s="2">
        <f t="shared" si="10"/>
        <v>0</v>
      </c>
      <c r="CM22" s="2">
        <f t="shared" si="10"/>
        <v>0</v>
      </c>
      <c r="CN22" s="2">
        <f t="shared" si="10"/>
        <v>0</v>
      </c>
      <c r="CO22" s="2">
        <f t="shared" si="10"/>
        <v>0</v>
      </c>
      <c r="CP22" s="2">
        <f t="shared" si="10"/>
        <v>0</v>
      </c>
      <c r="CQ22" s="2">
        <f t="shared" si="10"/>
        <v>0</v>
      </c>
      <c r="CR22" s="2">
        <f t="shared" si="10"/>
        <v>0</v>
      </c>
      <c r="CS22" s="2">
        <f t="shared" si="10"/>
        <v>0</v>
      </c>
      <c r="CT22" s="2">
        <f t="shared" si="10"/>
        <v>0</v>
      </c>
      <c r="CU22" s="2">
        <f t="shared" si="10"/>
        <v>0</v>
      </c>
      <c r="CV22" s="2">
        <f t="shared" si="10"/>
        <v>0</v>
      </c>
      <c r="CW22" s="2">
        <f t="shared" si="10"/>
        <v>0</v>
      </c>
      <c r="CX22" s="2">
        <f t="shared" si="10"/>
        <v>0</v>
      </c>
      <c r="CY22" s="2">
        <f t="shared" si="10"/>
        <v>0</v>
      </c>
      <c r="CZ22" s="2">
        <f t="shared" si="10"/>
        <v>0</v>
      </c>
      <c r="DA22" s="2">
        <f t="shared" si="10"/>
        <v>0</v>
      </c>
      <c r="DB22" s="2">
        <f t="shared" si="10"/>
        <v>0</v>
      </c>
      <c r="DC22" s="2">
        <f t="shared" si="10"/>
        <v>0</v>
      </c>
      <c r="DD22" s="2">
        <f t="shared" si="10"/>
        <v>0</v>
      </c>
      <c r="DE22" s="2">
        <f t="shared" si="10"/>
        <v>0</v>
      </c>
      <c r="DF22" s="2">
        <f t="shared" si="10"/>
        <v>0</v>
      </c>
      <c r="DG22" s="3">
        <f t="shared" ref="DG22:EL22" si="11">DG178</f>
        <v>0</v>
      </c>
      <c r="DH22" s="3">
        <f t="shared" si="11"/>
        <v>0</v>
      </c>
      <c r="DI22" s="3">
        <f t="shared" si="11"/>
        <v>0</v>
      </c>
      <c r="DJ22" s="3">
        <f t="shared" si="11"/>
        <v>0</v>
      </c>
      <c r="DK22" s="3">
        <f t="shared" si="11"/>
        <v>0</v>
      </c>
      <c r="DL22" s="3">
        <f t="shared" si="11"/>
        <v>0</v>
      </c>
      <c r="DM22" s="3">
        <f t="shared" si="11"/>
        <v>0</v>
      </c>
      <c r="DN22" s="3">
        <f t="shared" si="11"/>
        <v>0</v>
      </c>
      <c r="DO22" s="3">
        <f t="shared" si="11"/>
        <v>0</v>
      </c>
      <c r="DP22" s="3">
        <f t="shared" si="11"/>
        <v>0</v>
      </c>
      <c r="DQ22" s="3">
        <f t="shared" si="11"/>
        <v>0</v>
      </c>
      <c r="DR22" s="3">
        <f t="shared" si="11"/>
        <v>0</v>
      </c>
      <c r="DS22" s="3">
        <f t="shared" si="11"/>
        <v>0</v>
      </c>
      <c r="DT22" s="3">
        <f t="shared" si="11"/>
        <v>0</v>
      </c>
      <c r="DU22" s="3">
        <f t="shared" si="11"/>
        <v>0</v>
      </c>
      <c r="DV22" s="3">
        <f t="shared" si="11"/>
        <v>0</v>
      </c>
      <c r="DW22" s="3">
        <f t="shared" si="11"/>
        <v>0</v>
      </c>
      <c r="DX22" s="3">
        <f t="shared" si="11"/>
        <v>0</v>
      </c>
      <c r="DY22" s="3">
        <f t="shared" si="11"/>
        <v>0</v>
      </c>
      <c r="DZ22" s="3">
        <f t="shared" si="11"/>
        <v>0</v>
      </c>
      <c r="EA22" s="3">
        <f t="shared" si="11"/>
        <v>0</v>
      </c>
      <c r="EB22" s="3">
        <f t="shared" si="11"/>
        <v>0</v>
      </c>
      <c r="EC22" s="3">
        <f t="shared" si="11"/>
        <v>0</v>
      </c>
      <c r="ED22" s="3">
        <f t="shared" si="11"/>
        <v>0</v>
      </c>
      <c r="EE22" s="3">
        <f t="shared" si="11"/>
        <v>0</v>
      </c>
      <c r="EF22" s="3">
        <f t="shared" si="11"/>
        <v>0</v>
      </c>
      <c r="EG22" s="3">
        <f t="shared" si="11"/>
        <v>0</v>
      </c>
      <c r="EH22" s="3">
        <f t="shared" si="11"/>
        <v>0</v>
      </c>
      <c r="EI22" s="3">
        <f t="shared" si="11"/>
        <v>0</v>
      </c>
      <c r="EJ22" s="3">
        <f t="shared" si="11"/>
        <v>0</v>
      </c>
      <c r="EK22" s="3">
        <f t="shared" si="11"/>
        <v>0</v>
      </c>
      <c r="EL22" s="3">
        <f t="shared" si="11"/>
        <v>0</v>
      </c>
      <c r="EM22" s="3">
        <f t="shared" ref="EM22:FR22" si="12">EM178</f>
        <v>0</v>
      </c>
      <c r="EN22" s="3">
        <f t="shared" si="12"/>
        <v>0</v>
      </c>
      <c r="EO22" s="3">
        <f t="shared" si="12"/>
        <v>0</v>
      </c>
      <c r="EP22" s="3">
        <f t="shared" si="12"/>
        <v>0</v>
      </c>
      <c r="EQ22" s="3">
        <f t="shared" si="12"/>
        <v>0</v>
      </c>
      <c r="ER22" s="3">
        <f t="shared" si="12"/>
        <v>0</v>
      </c>
      <c r="ES22" s="3">
        <f t="shared" si="12"/>
        <v>0</v>
      </c>
      <c r="ET22" s="3">
        <f t="shared" si="12"/>
        <v>0</v>
      </c>
      <c r="EU22" s="3">
        <f t="shared" si="12"/>
        <v>0</v>
      </c>
      <c r="EV22" s="3">
        <f t="shared" si="12"/>
        <v>0</v>
      </c>
      <c r="EW22" s="3">
        <f t="shared" si="12"/>
        <v>0</v>
      </c>
      <c r="EX22" s="3">
        <f t="shared" si="12"/>
        <v>0</v>
      </c>
      <c r="EY22" s="3">
        <f t="shared" si="12"/>
        <v>0</v>
      </c>
      <c r="EZ22" s="3">
        <f t="shared" si="12"/>
        <v>0</v>
      </c>
      <c r="FA22" s="3">
        <f t="shared" si="12"/>
        <v>0</v>
      </c>
      <c r="FB22" s="3">
        <f t="shared" si="12"/>
        <v>0</v>
      </c>
      <c r="FC22" s="3">
        <f t="shared" si="12"/>
        <v>0</v>
      </c>
      <c r="FD22" s="3">
        <f t="shared" si="12"/>
        <v>0</v>
      </c>
      <c r="FE22" s="3">
        <f t="shared" si="12"/>
        <v>0</v>
      </c>
      <c r="FF22" s="3">
        <f t="shared" si="12"/>
        <v>0</v>
      </c>
      <c r="FG22" s="3">
        <f t="shared" si="12"/>
        <v>0</v>
      </c>
      <c r="FH22" s="3">
        <f t="shared" si="12"/>
        <v>0</v>
      </c>
      <c r="FI22" s="3">
        <f t="shared" si="12"/>
        <v>0</v>
      </c>
      <c r="FJ22" s="3">
        <f t="shared" si="12"/>
        <v>0</v>
      </c>
      <c r="FK22" s="3">
        <f t="shared" si="12"/>
        <v>0</v>
      </c>
      <c r="FL22" s="3">
        <f t="shared" si="12"/>
        <v>0</v>
      </c>
      <c r="FM22" s="3">
        <f t="shared" si="12"/>
        <v>0</v>
      </c>
      <c r="FN22" s="3">
        <f t="shared" si="12"/>
        <v>0</v>
      </c>
      <c r="FO22" s="3">
        <f t="shared" si="12"/>
        <v>0</v>
      </c>
      <c r="FP22" s="3">
        <f t="shared" si="12"/>
        <v>0</v>
      </c>
      <c r="FQ22" s="3">
        <f t="shared" si="12"/>
        <v>0</v>
      </c>
      <c r="FR22" s="3">
        <f t="shared" si="12"/>
        <v>0</v>
      </c>
      <c r="FS22" s="3">
        <f t="shared" ref="FS22:GX22" si="13">FS178</f>
        <v>0</v>
      </c>
      <c r="FT22" s="3">
        <f t="shared" si="13"/>
        <v>0</v>
      </c>
      <c r="FU22" s="3">
        <f t="shared" si="13"/>
        <v>0</v>
      </c>
      <c r="FV22" s="3">
        <f t="shared" si="13"/>
        <v>0</v>
      </c>
      <c r="FW22" s="3">
        <f t="shared" si="13"/>
        <v>0</v>
      </c>
      <c r="FX22" s="3">
        <f t="shared" si="13"/>
        <v>0</v>
      </c>
      <c r="FY22" s="3">
        <f t="shared" si="13"/>
        <v>0</v>
      </c>
      <c r="FZ22" s="3">
        <f t="shared" si="13"/>
        <v>0</v>
      </c>
      <c r="GA22" s="3">
        <f t="shared" si="13"/>
        <v>0</v>
      </c>
      <c r="GB22" s="3">
        <f t="shared" si="13"/>
        <v>0</v>
      </c>
      <c r="GC22" s="3">
        <f t="shared" si="13"/>
        <v>0</v>
      </c>
      <c r="GD22" s="3">
        <f t="shared" si="13"/>
        <v>0</v>
      </c>
      <c r="GE22" s="3">
        <f t="shared" si="13"/>
        <v>0</v>
      </c>
      <c r="GF22" s="3">
        <f t="shared" si="13"/>
        <v>0</v>
      </c>
      <c r="GG22" s="3">
        <f t="shared" si="13"/>
        <v>0</v>
      </c>
      <c r="GH22" s="3">
        <f t="shared" si="13"/>
        <v>0</v>
      </c>
      <c r="GI22" s="3">
        <f t="shared" si="13"/>
        <v>0</v>
      </c>
      <c r="GJ22" s="3">
        <f t="shared" si="13"/>
        <v>0</v>
      </c>
      <c r="GK22" s="3">
        <f t="shared" si="13"/>
        <v>0</v>
      </c>
      <c r="GL22" s="3">
        <f t="shared" si="13"/>
        <v>0</v>
      </c>
      <c r="GM22" s="3">
        <f t="shared" si="13"/>
        <v>0</v>
      </c>
      <c r="GN22" s="3">
        <f t="shared" si="13"/>
        <v>0</v>
      </c>
      <c r="GO22" s="3">
        <f t="shared" si="13"/>
        <v>0</v>
      </c>
      <c r="GP22" s="3">
        <f t="shared" si="13"/>
        <v>0</v>
      </c>
      <c r="GQ22" s="3">
        <f t="shared" si="13"/>
        <v>0</v>
      </c>
      <c r="GR22" s="3">
        <f t="shared" si="13"/>
        <v>0</v>
      </c>
      <c r="GS22" s="3">
        <f t="shared" si="13"/>
        <v>0</v>
      </c>
      <c r="GT22" s="3">
        <f t="shared" si="13"/>
        <v>0</v>
      </c>
      <c r="GU22" s="3">
        <f t="shared" si="13"/>
        <v>0</v>
      </c>
      <c r="GV22" s="3">
        <f t="shared" si="13"/>
        <v>0</v>
      </c>
      <c r="GW22" s="3">
        <f t="shared" si="13"/>
        <v>0</v>
      </c>
      <c r="GX22" s="3">
        <f t="shared" si="13"/>
        <v>0</v>
      </c>
    </row>
    <row r="24" spans="1:245" x14ac:dyDescent="0.2">
      <c r="A24" s="1">
        <v>4</v>
      </c>
      <c r="B24" s="1">
        <v>1</v>
      </c>
      <c r="C24" s="1"/>
      <c r="D24" s="1">
        <f>ROW(A107)</f>
        <v>107</v>
      </c>
      <c r="E24" s="1"/>
      <c r="F24" s="1" t="s">
        <v>20</v>
      </c>
      <c r="G24" s="1" t="s">
        <v>21</v>
      </c>
      <c r="H24" s="1" t="s">
        <v>5</v>
      </c>
      <c r="I24" s="1">
        <v>0</v>
      </c>
      <c r="J24" s="1"/>
      <c r="K24" s="1">
        <v>0</v>
      </c>
      <c r="L24" s="1"/>
      <c r="M24" s="1"/>
      <c r="N24" s="1"/>
      <c r="O24" s="1"/>
      <c r="P24" s="1"/>
      <c r="Q24" s="1"/>
      <c r="R24" s="1"/>
      <c r="S24" s="1"/>
      <c r="T24" s="1"/>
      <c r="U24" s="1" t="s">
        <v>5</v>
      </c>
      <c r="V24" s="1">
        <v>0</v>
      </c>
      <c r="W24" s="1"/>
      <c r="X24" s="1"/>
      <c r="Y24" s="1"/>
      <c r="Z24" s="1"/>
      <c r="AA24" s="1"/>
      <c r="AB24" s="1" t="s">
        <v>5</v>
      </c>
      <c r="AC24" s="1" t="s">
        <v>5</v>
      </c>
      <c r="AD24" s="1" t="s">
        <v>5</v>
      </c>
      <c r="AE24" s="1" t="s">
        <v>5</v>
      </c>
      <c r="AF24" s="1" t="s">
        <v>5</v>
      </c>
      <c r="AG24" s="1" t="s">
        <v>5</v>
      </c>
      <c r="AH24" s="1"/>
      <c r="AI24" s="1"/>
      <c r="AJ24" s="1"/>
      <c r="AK24" s="1"/>
      <c r="AL24" s="1"/>
      <c r="AM24" s="1"/>
      <c r="AN24" s="1"/>
      <c r="AO24" s="1"/>
      <c r="AP24" s="1" t="s">
        <v>5</v>
      </c>
      <c r="AQ24" s="1" t="s">
        <v>5</v>
      </c>
      <c r="AR24" s="1" t="s">
        <v>5</v>
      </c>
      <c r="AS24" s="1"/>
      <c r="AT24" s="1"/>
      <c r="AU24" s="1"/>
      <c r="AV24" s="1"/>
      <c r="AW24" s="1"/>
      <c r="AX24" s="1"/>
      <c r="AY24" s="1"/>
      <c r="AZ24" s="1" t="s">
        <v>5</v>
      </c>
      <c r="BA24" s="1"/>
      <c r="BB24" s="1" t="s">
        <v>5</v>
      </c>
      <c r="BC24" s="1" t="s">
        <v>5</v>
      </c>
      <c r="BD24" s="1" t="s">
        <v>5</v>
      </c>
      <c r="BE24" s="1" t="s">
        <v>5</v>
      </c>
      <c r="BF24" s="1" t="s">
        <v>5</v>
      </c>
      <c r="BG24" s="1" t="s">
        <v>5</v>
      </c>
      <c r="BH24" s="1" t="s">
        <v>5</v>
      </c>
      <c r="BI24" s="1" t="s">
        <v>5</v>
      </c>
      <c r="BJ24" s="1" t="s">
        <v>5</v>
      </c>
      <c r="BK24" s="1" t="s">
        <v>5</v>
      </c>
      <c r="BL24" s="1" t="s">
        <v>5</v>
      </c>
      <c r="BM24" s="1" t="s">
        <v>5</v>
      </c>
      <c r="BN24" s="1" t="s">
        <v>5</v>
      </c>
      <c r="BO24" s="1" t="s">
        <v>5</v>
      </c>
      <c r="BP24" s="1" t="s">
        <v>5</v>
      </c>
      <c r="BQ24" s="1"/>
      <c r="BR24" s="1"/>
      <c r="BS24" s="1"/>
      <c r="BT24" s="1"/>
      <c r="BU24" s="1"/>
      <c r="BV24" s="1"/>
      <c r="BW24" s="1"/>
      <c r="BX24" s="1">
        <v>0</v>
      </c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>
        <v>0</v>
      </c>
    </row>
    <row r="26" spans="1:245" x14ac:dyDescent="0.2">
      <c r="A26" s="2">
        <v>52</v>
      </c>
      <c r="B26" s="2">
        <f t="shared" ref="B26:G26" si="14">B107</f>
        <v>1</v>
      </c>
      <c r="C26" s="2">
        <f t="shared" si="14"/>
        <v>4</v>
      </c>
      <c r="D26" s="2">
        <f t="shared" si="14"/>
        <v>24</v>
      </c>
      <c r="E26" s="2">
        <f t="shared" si="14"/>
        <v>0</v>
      </c>
      <c r="F26" s="2" t="str">
        <f t="shared" si="14"/>
        <v>Новый раздел</v>
      </c>
      <c r="G26" s="2" t="str">
        <f t="shared" si="14"/>
        <v>Строительные работы.</v>
      </c>
      <c r="H26" s="2"/>
      <c r="I26" s="2"/>
      <c r="J26" s="2"/>
      <c r="K26" s="2"/>
      <c r="L26" s="2"/>
      <c r="M26" s="2"/>
      <c r="N26" s="2"/>
      <c r="O26" s="2">
        <f t="shared" ref="O26:AT26" si="15">O107</f>
        <v>629253.31000000006</v>
      </c>
      <c r="P26" s="2">
        <f t="shared" si="15"/>
        <v>466792.48</v>
      </c>
      <c r="Q26" s="2">
        <f t="shared" si="15"/>
        <v>57059.94</v>
      </c>
      <c r="R26" s="2">
        <f t="shared" si="15"/>
        <v>25201.9</v>
      </c>
      <c r="S26" s="2">
        <f t="shared" si="15"/>
        <v>105400.89</v>
      </c>
      <c r="T26" s="2">
        <f t="shared" si="15"/>
        <v>0</v>
      </c>
      <c r="U26" s="2">
        <f t="shared" si="15"/>
        <v>450.37135220819999</v>
      </c>
      <c r="V26" s="2">
        <f t="shared" si="15"/>
        <v>0</v>
      </c>
      <c r="W26" s="2">
        <f t="shared" si="15"/>
        <v>0</v>
      </c>
      <c r="X26" s="2">
        <f t="shared" si="15"/>
        <v>105999.26</v>
      </c>
      <c r="Y26" s="2">
        <f t="shared" si="15"/>
        <v>47203.98</v>
      </c>
      <c r="Z26" s="2">
        <f t="shared" si="15"/>
        <v>0</v>
      </c>
      <c r="AA26" s="2">
        <f t="shared" si="15"/>
        <v>0</v>
      </c>
      <c r="AB26" s="2">
        <f t="shared" si="15"/>
        <v>629253.31000000006</v>
      </c>
      <c r="AC26" s="2">
        <f t="shared" si="15"/>
        <v>466792.48</v>
      </c>
      <c r="AD26" s="2">
        <f t="shared" si="15"/>
        <v>57059.94</v>
      </c>
      <c r="AE26" s="2">
        <f t="shared" si="15"/>
        <v>25201.9</v>
      </c>
      <c r="AF26" s="2">
        <f t="shared" si="15"/>
        <v>105400.89</v>
      </c>
      <c r="AG26" s="2">
        <f t="shared" si="15"/>
        <v>0</v>
      </c>
      <c r="AH26" s="2">
        <f t="shared" si="15"/>
        <v>450.37135220819999</v>
      </c>
      <c r="AI26" s="2">
        <f t="shared" si="15"/>
        <v>0</v>
      </c>
      <c r="AJ26" s="2">
        <f t="shared" si="15"/>
        <v>0</v>
      </c>
      <c r="AK26" s="2">
        <f t="shared" si="15"/>
        <v>105999.26</v>
      </c>
      <c r="AL26" s="2">
        <f t="shared" si="15"/>
        <v>47203.98</v>
      </c>
      <c r="AM26" s="2">
        <f t="shared" si="15"/>
        <v>0</v>
      </c>
      <c r="AN26" s="2">
        <f t="shared" si="15"/>
        <v>0</v>
      </c>
      <c r="AO26" s="2">
        <f t="shared" si="15"/>
        <v>0</v>
      </c>
      <c r="AP26" s="2">
        <f t="shared" si="15"/>
        <v>0</v>
      </c>
      <c r="AQ26" s="2">
        <f t="shared" si="15"/>
        <v>0</v>
      </c>
      <c r="AR26" s="2">
        <f t="shared" si="15"/>
        <v>822023.56</v>
      </c>
      <c r="AS26" s="2">
        <f t="shared" si="15"/>
        <v>822023.56</v>
      </c>
      <c r="AT26" s="2">
        <f t="shared" si="15"/>
        <v>0</v>
      </c>
      <c r="AU26" s="2">
        <f t="shared" ref="AU26:BZ26" si="16">AU107</f>
        <v>0</v>
      </c>
      <c r="AV26" s="2">
        <f t="shared" si="16"/>
        <v>466792.48</v>
      </c>
      <c r="AW26" s="2">
        <f t="shared" si="16"/>
        <v>466792.48</v>
      </c>
      <c r="AX26" s="2">
        <f t="shared" si="16"/>
        <v>0</v>
      </c>
      <c r="AY26" s="2">
        <f t="shared" si="16"/>
        <v>466792.48</v>
      </c>
      <c r="AZ26" s="2">
        <f t="shared" si="16"/>
        <v>0</v>
      </c>
      <c r="BA26" s="2">
        <f t="shared" si="16"/>
        <v>0</v>
      </c>
      <c r="BB26" s="2">
        <f t="shared" si="16"/>
        <v>0</v>
      </c>
      <c r="BC26" s="2">
        <f t="shared" si="16"/>
        <v>0</v>
      </c>
      <c r="BD26" s="2">
        <f t="shared" si="16"/>
        <v>0</v>
      </c>
      <c r="BE26" s="2">
        <f t="shared" si="16"/>
        <v>0</v>
      </c>
      <c r="BF26" s="2">
        <f t="shared" si="16"/>
        <v>0</v>
      </c>
      <c r="BG26" s="2">
        <f t="shared" si="16"/>
        <v>0</v>
      </c>
      <c r="BH26" s="2">
        <f t="shared" si="16"/>
        <v>0</v>
      </c>
      <c r="BI26" s="2">
        <f t="shared" si="16"/>
        <v>0</v>
      </c>
      <c r="BJ26" s="2">
        <f t="shared" si="16"/>
        <v>0</v>
      </c>
      <c r="BK26" s="2">
        <f t="shared" si="16"/>
        <v>0</v>
      </c>
      <c r="BL26" s="2">
        <f t="shared" si="16"/>
        <v>0</v>
      </c>
      <c r="BM26" s="2">
        <f t="shared" si="16"/>
        <v>0</v>
      </c>
      <c r="BN26" s="2">
        <f t="shared" si="16"/>
        <v>0</v>
      </c>
      <c r="BO26" s="2">
        <f t="shared" si="16"/>
        <v>0</v>
      </c>
      <c r="BP26" s="2">
        <f t="shared" si="16"/>
        <v>0</v>
      </c>
      <c r="BQ26" s="2">
        <f t="shared" si="16"/>
        <v>0</v>
      </c>
      <c r="BR26" s="2">
        <f t="shared" si="16"/>
        <v>0</v>
      </c>
      <c r="BS26" s="2">
        <f t="shared" si="16"/>
        <v>0</v>
      </c>
      <c r="BT26" s="2">
        <f t="shared" si="16"/>
        <v>0</v>
      </c>
      <c r="BU26" s="2">
        <f t="shared" si="16"/>
        <v>0</v>
      </c>
      <c r="BV26" s="2">
        <f t="shared" si="16"/>
        <v>0</v>
      </c>
      <c r="BW26" s="2">
        <f t="shared" si="16"/>
        <v>0</v>
      </c>
      <c r="BX26" s="2">
        <f t="shared" si="16"/>
        <v>0</v>
      </c>
      <c r="BY26" s="2">
        <f t="shared" si="16"/>
        <v>0</v>
      </c>
      <c r="BZ26" s="2">
        <f t="shared" si="16"/>
        <v>0</v>
      </c>
      <c r="CA26" s="2">
        <f t="shared" ref="CA26:DF26" si="17">CA107</f>
        <v>822023.56</v>
      </c>
      <c r="CB26" s="2">
        <f t="shared" si="17"/>
        <v>822023.56</v>
      </c>
      <c r="CC26" s="2">
        <f t="shared" si="17"/>
        <v>0</v>
      </c>
      <c r="CD26" s="2">
        <f t="shared" si="17"/>
        <v>0</v>
      </c>
      <c r="CE26" s="2">
        <f t="shared" si="17"/>
        <v>466792.48</v>
      </c>
      <c r="CF26" s="2">
        <f t="shared" si="17"/>
        <v>466792.48</v>
      </c>
      <c r="CG26" s="2">
        <f t="shared" si="17"/>
        <v>0</v>
      </c>
      <c r="CH26" s="2">
        <f t="shared" si="17"/>
        <v>466792.48</v>
      </c>
      <c r="CI26" s="2">
        <f t="shared" si="17"/>
        <v>0</v>
      </c>
      <c r="CJ26" s="2">
        <f t="shared" si="17"/>
        <v>0</v>
      </c>
      <c r="CK26" s="2">
        <f t="shared" si="17"/>
        <v>0</v>
      </c>
      <c r="CL26" s="2">
        <f t="shared" si="17"/>
        <v>0</v>
      </c>
      <c r="CM26" s="2">
        <f t="shared" si="17"/>
        <v>0</v>
      </c>
      <c r="CN26" s="2">
        <f t="shared" si="17"/>
        <v>0</v>
      </c>
      <c r="CO26" s="2">
        <f t="shared" si="17"/>
        <v>0</v>
      </c>
      <c r="CP26" s="2">
        <f t="shared" si="17"/>
        <v>0</v>
      </c>
      <c r="CQ26" s="2">
        <f t="shared" si="17"/>
        <v>0</v>
      </c>
      <c r="CR26" s="2">
        <f t="shared" si="17"/>
        <v>0</v>
      </c>
      <c r="CS26" s="2">
        <f t="shared" si="17"/>
        <v>0</v>
      </c>
      <c r="CT26" s="2">
        <f t="shared" si="17"/>
        <v>0</v>
      </c>
      <c r="CU26" s="2">
        <f t="shared" si="17"/>
        <v>0</v>
      </c>
      <c r="CV26" s="2">
        <f t="shared" si="17"/>
        <v>0</v>
      </c>
      <c r="CW26" s="2">
        <f t="shared" si="17"/>
        <v>0</v>
      </c>
      <c r="CX26" s="2">
        <f t="shared" si="17"/>
        <v>0</v>
      </c>
      <c r="CY26" s="2">
        <f t="shared" si="17"/>
        <v>0</v>
      </c>
      <c r="CZ26" s="2">
        <f t="shared" si="17"/>
        <v>0</v>
      </c>
      <c r="DA26" s="2">
        <f t="shared" si="17"/>
        <v>0</v>
      </c>
      <c r="DB26" s="2">
        <f t="shared" si="17"/>
        <v>0</v>
      </c>
      <c r="DC26" s="2">
        <f t="shared" si="17"/>
        <v>0</v>
      </c>
      <c r="DD26" s="2">
        <f t="shared" si="17"/>
        <v>0</v>
      </c>
      <c r="DE26" s="2">
        <f t="shared" si="17"/>
        <v>0</v>
      </c>
      <c r="DF26" s="2">
        <f t="shared" si="17"/>
        <v>0</v>
      </c>
      <c r="DG26" s="3">
        <f t="shared" ref="DG26:EL26" si="18">DG107</f>
        <v>0</v>
      </c>
      <c r="DH26" s="3">
        <f t="shared" si="18"/>
        <v>0</v>
      </c>
      <c r="DI26" s="3">
        <f t="shared" si="18"/>
        <v>0</v>
      </c>
      <c r="DJ26" s="3">
        <f t="shared" si="18"/>
        <v>0</v>
      </c>
      <c r="DK26" s="3">
        <f t="shared" si="18"/>
        <v>0</v>
      </c>
      <c r="DL26" s="3">
        <f t="shared" si="18"/>
        <v>0</v>
      </c>
      <c r="DM26" s="3">
        <f t="shared" si="18"/>
        <v>0</v>
      </c>
      <c r="DN26" s="3">
        <f t="shared" si="18"/>
        <v>0</v>
      </c>
      <c r="DO26" s="3">
        <f t="shared" si="18"/>
        <v>0</v>
      </c>
      <c r="DP26" s="3">
        <f t="shared" si="18"/>
        <v>0</v>
      </c>
      <c r="DQ26" s="3">
        <f t="shared" si="18"/>
        <v>0</v>
      </c>
      <c r="DR26" s="3">
        <f t="shared" si="18"/>
        <v>0</v>
      </c>
      <c r="DS26" s="3">
        <f t="shared" si="18"/>
        <v>0</v>
      </c>
      <c r="DT26" s="3">
        <f t="shared" si="18"/>
        <v>0</v>
      </c>
      <c r="DU26" s="3">
        <f t="shared" si="18"/>
        <v>0</v>
      </c>
      <c r="DV26" s="3">
        <f t="shared" si="18"/>
        <v>0</v>
      </c>
      <c r="DW26" s="3">
        <f t="shared" si="18"/>
        <v>0</v>
      </c>
      <c r="DX26" s="3">
        <f t="shared" si="18"/>
        <v>0</v>
      </c>
      <c r="DY26" s="3">
        <f t="shared" si="18"/>
        <v>0</v>
      </c>
      <c r="DZ26" s="3">
        <f t="shared" si="18"/>
        <v>0</v>
      </c>
      <c r="EA26" s="3">
        <f t="shared" si="18"/>
        <v>0</v>
      </c>
      <c r="EB26" s="3">
        <f t="shared" si="18"/>
        <v>0</v>
      </c>
      <c r="EC26" s="3">
        <f t="shared" si="18"/>
        <v>0</v>
      </c>
      <c r="ED26" s="3">
        <f t="shared" si="18"/>
        <v>0</v>
      </c>
      <c r="EE26" s="3">
        <f t="shared" si="18"/>
        <v>0</v>
      </c>
      <c r="EF26" s="3">
        <f t="shared" si="18"/>
        <v>0</v>
      </c>
      <c r="EG26" s="3">
        <f t="shared" si="18"/>
        <v>0</v>
      </c>
      <c r="EH26" s="3">
        <f t="shared" si="18"/>
        <v>0</v>
      </c>
      <c r="EI26" s="3">
        <f t="shared" si="18"/>
        <v>0</v>
      </c>
      <c r="EJ26" s="3">
        <f t="shared" si="18"/>
        <v>0</v>
      </c>
      <c r="EK26" s="3">
        <f t="shared" si="18"/>
        <v>0</v>
      </c>
      <c r="EL26" s="3">
        <f t="shared" si="18"/>
        <v>0</v>
      </c>
      <c r="EM26" s="3">
        <f t="shared" ref="EM26:FR26" si="19">EM107</f>
        <v>0</v>
      </c>
      <c r="EN26" s="3">
        <f t="shared" si="19"/>
        <v>0</v>
      </c>
      <c r="EO26" s="3">
        <f t="shared" si="19"/>
        <v>0</v>
      </c>
      <c r="EP26" s="3">
        <f t="shared" si="19"/>
        <v>0</v>
      </c>
      <c r="EQ26" s="3">
        <f t="shared" si="19"/>
        <v>0</v>
      </c>
      <c r="ER26" s="3">
        <f t="shared" si="19"/>
        <v>0</v>
      </c>
      <c r="ES26" s="3">
        <f t="shared" si="19"/>
        <v>0</v>
      </c>
      <c r="ET26" s="3">
        <f t="shared" si="19"/>
        <v>0</v>
      </c>
      <c r="EU26" s="3">
        <f t="shared" si="19"/>
        <v>0</v>
      </c>
      <c r="EV26" s="3">
        <f t="shared" si="19"/>
        <v>0</v>
      </c>
      <c r="EW26" s="3">
        <f t="shared" si="19"/>
        <v>0</v>
      </c>
      <c r="EX26" s="3">
        <f t="shared" si="19"/>
        <v>0</v>
      </c>
      <c r="EY26" s="3">
        <f t="shared" si="19"/>
        <v>0</v>
      </c>
      <c r="EZ26" s="3">
        <f t="shared" si="19"/>
        <v>0</v>
      </c>
      <c r="FA26" s="3">
        <f t="shared" si="19"/>
        <v>0</v>
      </c>
      <c r="FB26" s="3">
        <f t="shared" si="19"/>
        <v>0</v>
      </c>
      <c r="FC26" s="3">
        <f t="shared" si="19"/>
        <v>0</v>
      </c>
      <c r="FD26" s="3">
        <f t="shared" si="19"/>
        <v>0</v>
      </c>
      <c r="FE26" s="3">
        <f t="shared" si="19"/>
        <v>0</v>
      </c>
      <c r="FF26" s="3">
        <f t="shared" si="19"/>
        <v>0</v>
      </c>
      <c r="FG26" s="3">
        <f t="shared" si="19"/>
        <v>0</v>
      </c>
      <c r="FH26" s="3">
        <f t="shared" si="19"/>
        <v>0</v>
      </c>
      <c r="FI26" s="3">
        <f t="shared" si="19"/>
        <v>0</v>
      </c>
      <c r="FJ26" s="3">
        <f t="shared" si="19"/>
        <v>0</v>
      </c>
      <c r="FK26" s="3">
        <f t="shared" si="19"/>
        <v>0</v>
      </c>
      <c r="FL26" s="3">
        <f t="shared" si="19"/>
        <v>0</v>
      </c>
      <c r="FM26" s="3">
        <f t="shared" si="19"/>
        <v>0</v>
      </c>
      <c r="FN26" s="3">
        <f t="shared" si="19"/>
        <v>0</v>
      </c>
      <c r="FO26" s="3">
        <f t="shared" si="19"/>
        <v>0</v>
      </c>
      <c r="FP26" s="3">
        <f t="shared" si="19"/>
        <v>0</v>
      </c>
      <c r="FQ26" s="3">
        <f t="shared" si="19"/>
        <v>0</v>
      </c>
      <c r="FR26" s="3">
        <f t="shared" si="19"/>
        <v>0</v>
      </c>
      <c r="FS26" s="3">
        <f t="shared" ref="FS26:GX26" si="20">FS107</f>
        <v>0</v>
      </c>
      <c r="FT26" s="3">
        <f t="shared" si="20"/>
        <v>0</v>
      </c>
      <c r="FU26" s="3">
        <f t="shared" si="20"/>
        <v>0</v>
      </c>
      <c r="FV26" s="3">
        <f t="shared" si="20"/>
        <v>0</v>
      </c>
      <c r="FW26" s="3">
        <f t="shared" si="20"/>
        <v>0</v>
      </c>
      <c r="FX26" s="3">
        <f t="shared" si="20"/>
        <v>0</v>
      </c>
      <c r="FY26" s="3">
        <f t="shared" si="20"/>
        <v>0</v>
      </c>
      <c r="FZ26" s="3">
        <f t="shared" si="20"/>
        <v>0</v>
      </c>
      <c r="GA26" s="3">
        <f t="shared" si="20"/>
        <v>0</v>
      </c>
      <c r="GB26" s="3">
        <f t="shared" si="20"/>
        <v>0</v>
      </c>
      <c r="GC26" s="3">
        <f t="shared" si="20"/>
        <v>0</v>
      </c>
      <c r="GD26" s="3">
        <f t="shared" si="20"/>
        <v>0</v>
      </c>
      <c r="GE26" s="3">
        <f t="shared" si="20"/>
        <v>0</v>
      </c>
      <c r="GF26" s="3">
        <f t="shared" si="20"/>
        <v>0</v>
      </c>
      <c r="GG26" s="3">
        <f t="shared" si="20"/>
        <v>0</v>
      </c>
      <c r="GH26" s="3">
        <f t="shared" si="20"/>
        <v>0</v>
      </c>
      <c r="GI26" s="3">
        <f t="shared" si="20"/>
        <v>0</v>
      </c>
      <c r="GJ26" s="3">
        <f t="shared" si="20"/>
        <v>0</v>
      </c>
      <c r="GK26" s="3">
        <f t="shared" si="20"/>
        <v>0</v>
      </c>
      <c r="GL26" s="3">
        <f t="shared" si="20"/>
        <v>0</v>
      </c>
      <c r="GM26" s="3">
        <f t="shared" si="20"/>
        <v>0</v>
      </c>
      <c r="GN26" s="3">
        <f t="shared" si="20"/>
        <v>0</v>
      </c>
      <c r="GO26" s="3">
        <f t="shared" si="20"/>
        <v>0</v>
      </c>
      <c r="GP26" s="3">
        <f t="shared" si="20"/>
        <v>0</v>
      </c>
      <c r="GQ26" s="3">
        <f t="shared" si="20"/>
        <v>0</v>
      </c>
      <c r="GR26" s="3">
        <f t="shared" si="20"/>
        <v>0</v>
      </c>
      <c r="GS26" s="3">
        <f t="shared" si="20"/>
        <v>0</v>
      </c>
      <c r="GT26" s="3">
        <f t="shared" si="20"/>
        <v>0</v>
      </c>
      <c r="GU26" s="3">
        <f t="shared" si="20"/>
        <v>0</v>
      </c>
      <c r="GV26" s="3">
        <f t="shared" si="20"/>
        <v>0</v>
      </c>
      <c r="GW26" s="3">
        <f t="shared" si="20"/>
        <v>0</v>
      </c>
      <c r="GX26" s="3">
        <f t="shared" si="20"/>
        <v>0</v>
      </c>
    </row>
    <row r="28" spans="1:245" x14ac:dyDescent="0.2">
      <c r="A28">
        <v>19</v>
      </c>
      <c r="B28">
        <v>1</v>
      </c>
      <c r="F28" t="s">
        <v>5</v>
      </c>
      <c r="G28" t="s">
        <v>22</v>
      </c>
      <c r="H28" t="s">
        <v>5</v>
      </c>
      <c r="AA28">
        <v>1</v>
      </c>
      <c r="IK28">
        <v>0</v>
      </c>
    </row>
    <row r="29" spans="1:245" x14ac:dyDescent="0.2">
      <c r="A29">
        <v>17</v>
      </c>
      <c r="B29">
        <v>1</v>
      </c>
      <c r="C29">
        <f>ROW(SmtRes!A5)</f>
        <v>5</v>
      </c>
      <c r="D29">
        <f>ROW(EtalonRes!A5)</f>
        <v>5</v>
      </c>
      <c r="E29" t="s">
        <v>23</v>
      </c>
      <c r="F29" t="s">
        <v>24</v>
      </c>
      <c r="G29" t="s">
        <v>25</v>
      </c>
      <c r="H29" t="s">
        <v>26</v>
      </c>
      <c r="I29">
        <f>ROUND(((348.15)*0.04/100)*1,9)</f>
        <v>0.13925999999999999</v>
      </c>
      <c r="J29">
        <v>0</v>
      </c>
      <c r="O29">
        <f t="shared" ref="O29:O49" si="21">ROUND(CP29,2)</f>
        <v>9309.77</v>
      </c>
      <c r="P29">
        <f t="shared" ref="P29:P49" si="22">ROUND((ROUND((AC29*AW29*I29),2)*BC29),2)</f>
        <v>0</v>
      </c>
      <c r="Q29">
        <f t="shared" ref="Q29:Q41" si="23">(ROUND((ROUND(((ET29)*AV29*I29),2)*BB29),2)+ROUND((ROUND(((AE29-(EU29))*AV29*I29),2)*BS29),2))</f>
        <v>4035.63</v>
      </c>
      <c r="R29">
        <f t="shared" ref="R29:R49" si="24">ROUND((ROUND((AE29*AV29*I29),2)*BS29),2)</f>
        <v>2297.3000000000002</v>
      </c>
      <c r="S29">
        <f t="shared" ref="S29:S49" si="25">ROUND((ROUND((AF29*AV29*I29),2)*BA29),2)</f>
        <v>5274.14</v>
      </c>
      <c r="T29">
        <f t="shared" ref="T29:T49" si="26">ROUND(CU29*I29,2)</f>
        <v>0</v>
      </c>
      <c r="U29">
        <f t="shared" ref="U29:U49" si="27">CV29*I29</f>
        <v>22.599809099999998</v>
      </c>
      <c r="V29">
        <f t="shared" ref="V29:V49" si="28">CW29*I29</f>
        <v>0</v>
      </c>
      <c r="W29">
        <f t="shared" ref="W29:W49" si="29">ROUND(CX29*I29,2)</f>
        <v>0</v>
      </c>
      <c r="X29">
        <f t="shared" ref="X29:X49" si="30">ROUND(CY29,2)</f>
        <v>3586.42</v>
      </c>
      <c r="Y29">
        <f t="shared" ref="Y29:Y49" si="31">ROUND(CZ29,2)</f>
        <v>2162.4</v>
      </c>
      <c r="AA29">
        <v>44169784</v>
      </c>
      <c r="AB29">
        <f t="shared" ref="AB29:AB49" si="32">ROUND((AC29+AD29+AF29),6)</f>
        <v>4401.5</v>
      </c>
      <c r="AC29">
        <f t="shared" ref="AC29:AC49" si="33">ROUND((ES29),6)</f>
        <v>0</v>
      </c>
      <c r="AD29">
        <f t="shared" ref="AD29:AD41" si="34">ROUND((((ET29)-(EU29))+AE29),6)</f>
        <v>2713.55</v>
      </c>
      <c r="AE29">
        <f t="shared" ref="AE29:AE41" si="35">ROUND((EU29),6)</f>
        <v>735.23</v>
      </c>
      <c r="AF29">
        <f t="shared" ref="AF29:AF41" si="36">ROUND((EV29),6)</f>
        <v>1687.95</v>
      </c>
      <c r="AG29">
        <f t="shared" ref="AG29:AG49" si="37">ROUND((AP29),6)</f>
        <v>0</v>
      </c>
      <c r="AH29">
        <f t="shared" ref="AH29:AH41" si="38">(EW29)</f>
        <v>155</v>
      </c>
      <c r="AI29">
        <f t="shared" ref="AI29:AI41" si="39">(EX29)</f>
        <v>0</v>
      </c>
      <c r="AJ29">
        <f t="shared" ref="AJ29:AJ49" si="40">(AS29)</f>
        <v>0</v>
      </c>
      <c r="AK29">
        <v>4401.5</v>
      </c>
      <c r="AL29">
        <v>0</v>
      </c>
      <c r="AM29">
        <v>2713.55</v>
      </c>
      <c r="AN29">
        <v>735.23</v>
      </c>
      <c r="AO29">
        <v>1687.95</v>
      </c>
      <c r="AP29">
        <v>0</v>
      </c>
      <c r="AQ29">
        <v>155</v>
      </c>
      <c r="AR29">
        <v>0</v>
      </c>
      <c r="AS29">
        <v>0</v>
      </c>
      <c r="AT29">
        <v>68</v>
      </c>
      <c r="AU29">
        <v>41</v>
      </c>
      <c r="AV29">
        <v>1.0469999999999999</v>
      </c>
      <c r="AW29">
        <v>1</v>
      </c>
      <c r="AZ29">
        <v>1</v>
      </c>
      <c r="BA29">
        <v>21.43</v>
      </c>
      <c r="BB29">
        <v>10.199999999999999</v>
      </c>
      <c r="BC29">
        <v>1</v>
      </c>
      <c r="BD29" t="s">
        <v>5</v>
      </c>
      <c r="BE29" t="s">
        <v>5</v>
      </c>
      <c r="BF29" t="s">
        <v>5</v>
      </c>
      <c r="BG29" t="s">
        <v>5</v>
      </c>
      <c r="BH29">
        <v>0</v>
      </c>
      <c r="BI29">
        <v>1</v>
      </c>
      <c r="BJ29" t="s">
        <v>27</v>
      </c>
      <c r="BM29">
        <v>674</v>
      </c>
      <c r="BN29">
        <v>0</v>
      </c>
      <c r="BO29" t="s">
        <v>24</v>
      </c>
      <c r="BP29">
        <v>1</v>
      </c>
      <c r="BQ29">
        <v>60</v>
      </c>
      <c r="BR29">
        <v>0</v>
      </c>
      <c r="BS29">
        <v>21.43</v>
      </c>
      <c r="BT29">
        <v>1</v>
      </c>
      <c r="BU29">
        <v>1</v>
      </c>
      <c r="BV29">
        <v>1</v>
      </c>
      <c r="BW29">
        <v>1</v>
      </c>
      <c r="BX29">
        <v>1</v>
      </c>
      <c r="BY29" t="s">
        <v>5</v>
      </c>
      <c r="BZ29">
        <v>68</v>
      </c>
      <c r="CA29">
        <v>41</v>
      </c>
      <c r="CE29">
        <v>30</v>
      </c>
      <c r="CF29">
        <v>0</v>
      </c>
      <c r="CG29">
        <v>0</v>
      </c>
      <c r="CM29">
        <v>0</v>
      </c>
      <c r="CN29" t="s">
        <v>5</v>
      </c>
      <c r="CO29">
        <v>0</v>
      </c>
      <c r="CP29">
        <f t="shared" ref="CP29:CP49" si="41">(P29+Q29+S29)</f>
        <v>9309.77</v>
      </c>
      <c r="CQ29">
        <f t="shared" ref="CQ29:CQ49" si="42">ROUND((ROUND((AC29*AW29*1),2)*BC29),2)</f>
        <v>0</v>
      </c>
      <c r="CR29">
        <f t="shared" ref="CR29:CR41" si="43">(ROUND((ROUND(((ET29)*AV29*1),2)*BB29),2)+ROUND((ROUND(((AE29-(EU29))*AV29*1),2)*BS29),2))</f>
        <v>28979.119999999999</v>
      </c>
      <c r="CS29">
        <f t="shared" ref="CS29:CS49" si="44">ROUND((ROUND((AE29*AV29*1),2)*BS29),2)</f>
        <v>16496.599999999999</v>
      </c>
      <c r="CT29">
        <f t="shared" ref="CT29:CT49" si="45">ROUND((ROUND((AF29*AV29*1),2)*BA29),2)</f>
        <v>37872.81</v>
      </c>
      <c r="CU29">
        <f t="shared" ref="CU29:CU49" si="46">AG29</f>
        <v>0</v>
      </c>
      <c r="CV29">
        <f t="shared" ref="CV29:CV49" si="47">(AH29*AV29)</f>
        <v>162.285</v>
      </c>
      <c r="CW29">
        <f t="shared" ref="CW29:CW49" si="48">AI29</f>
        <v>0</v>
      </c>
      <c r="CX29">
        <f t="shared" ref="CX29:CX49" si="49">AJ29</f>
        <v>0</v>
      </c>
      <c r="CY29">
        <f t="shared" ref="CY29:CY49" si="50">S29*(BZ29/100)</f>
        <v>3586.4152000000004</v>
      </c>
      <c r="CZ29">
        <f t="shared" ref="CZ29:CZ49" si="51">S29*(CA29/100)</f>
        <v>2162.3973999999998</v>
      </c>
      <c r="DC29" t="s">
        <v>5</v>
      </c>
      <c r="DD29" t="s">
        <v>5</v>
      </c>
      <c r="DE29" t="s">
        <v>5</v>
      </c>
      <c r="DF29" t="s">
        <v>5</v>
      </c>
      <c r="DG29" t="s">
        <v>5</v>
      </c>
      <c r="DH29" t="s">
        <v>5</v>
      </c>
      <c r="DI29" t="s">
        <v>5</v>
      </c>
      <c r="DJ29" t="s">
        <v>5</v>
      </c>
      <c r="DK29" t="s">
        <v>5</v>
      </c>
      <c r="DL29" t="s">
        <v>5</v>
      </c>
      <c r="DM29" t="s">
        <v>5</v>
      </c>
      <c r="DN29">
        <v>80</v>
      </c>
      <c r="DO29">
        <v>55</v>
      </c>
      <c r="DP29">
        <v>1.0469999999999999</v>
      </c>
      <c r="DQ29">
        <v>1</v>
      </c>
      <c r="DU29">
        <v>1007</v>
      </c>
      <c r="DV29" t="s">
        <v>26</v>
      </c>
      <c r="DW29" t="s">
        <v>26</v>
      </c>
      <c r="DX29">
        <v>100</v>
      </c>
      <c r="EE29">
        <v>44064493</v>
      </c>
      <c r="EF29">
        <v>60</v>
      </c>
      <c r="EG29" t="s">
        <v>28</v>
      </c>
      <c r="EH29">
        <v>0</v>
      </c>
      <c r="EI29" t="s">
        <v>5</v>
      </c>
      <c r="EJ29">
        <v>1</v>
      </c>
      <c r="EK29">
        <v>674</v>
      </c>
      <c r="EL29" t="s">
        <v>29</v>
      </c>
      <c r="EM29" t="s">
        <v>30</v>
      </c>
      <c r="EO29" t="s">
        <v>5</v>
      </c>
      <c r="EQ29">
        <v>131072</v>
      </c>
      <c r="ER29">
        <v>4401.5</v>
      </c>
      <c r="ES29">
        <v>0</v>
      </c>
      <c r="ET29">
        <v>2713.55</v>
      </c>
      <c r="EU29">
        <v>735.23</v>
      </c>
      <c r="EV29">
        <v>1687.95</v>
      </c>
      <c r="EW29">
        <v>155</v>
      </c>
      <c r="EX29">
        <v>0</v>
      </c>
      <c r="EY29">
        <v>0</v>
      </c>
      <c r="FQ29">
        <v>0</v>
      </c>
      <c r="FR29">
        <f t="shared" ref="FR29:FR49" si="52">ROUND(IF(AND(BH29=3,BI29=3),P29,0),2)</f>
        <v>0</v>
      </c>
      <c r="FS29">
        <v>0</v>
      </c>
      <c r="FX29">
        <v>80</v>
      </c>
      <c r="FY29">
        <v>55</v>
      </c>
      <c r="GA29" t="s">
        <v>5</v>
      </c>
      <c r="GD29">
        <v>0</v>
      </c>
      <c r="GF29">
        <v>462798223</v>
      </c>
      <c r="GG29">
        <v>2</v>
      </c>
      <c r="GH29">
        <v>1</v>
      </c>
      <c r="GI29">
        <v>2</v>
      </c>
      <c r="GJ29">
        <v>0</v>
      </c>
      <c r="GK29">
        <f>ROUND(R29*(R12)/100,2)</f>
        <v>3606.76</v>
      </c>
      <c r="GL29">
        <f t="shared" ref="GL29:GL49" si="53">ROUND(IF(AND(BH29=3,BI29=3,FS29&lt;&gt;0),P29,0),2)</f>
        <v>0</v>
      </c>
      <c r="GM29">
        <f t="shared" ref="GM29:GM49" si="54">ROUND(O29+X29+Y29+GK29,2)+GX29</f>
        <v>18665.349999999999</v>
      </c>
      <c r="GN29">
        <f t="shared" ref="GN29:GN49" si="55">IF(OR(BI29=0,BI29=1),ROUND(O29+X29+Y29+GK29,2),0)</f>
        <v>18665.349999999999</v>
      </c>
      <c r="GO29">
        <f t="shared" ref="GO29:GO49" si="56">IF(BI29=2,ROUND(O29+X29+Y29+GK29,2),0)</f>
        <v>0</v>
      </c>
      <c r="GP29">
        <f t="shared" ref="GP29:GP49" si="57">IF(BI29=4,ROUND(O29+X29+Y29+GK29,2)+GX29,0)</f>
        <v>0</v>
      </c>
      <c r="GR29">
        <v>0</v>
      </c>
      <c r="GS29">
        <v>0</v>
      </c>
      <c r="GT29">
        <v>0</v>
      </c>
      <c r="GU29" t="s">
        <v>5</v>
      </c>
      <c r="GV29">
        <f t="shared" ref="GV29:GV49" si="58">ROUND((GT29),6)</f>
        <v>0</v>
      </c>
      <c r="GW29">
        <v>1</v>
      </c>
      <c r="GX29">
        <f t="shared" ref="GX29:GX49" si="59">ROUND(HC29*I29,2)</f>
        <v>0</v>
      </c>
      <c r="HA29">
        <v>0</v>
      </c>
      <c r="HB29">
        <v>0</v>
      </c>
      <c r="HC29">
        <f t="shared" ref="HC29:HC49" si="60">GV29*GW29</f>
        <v>0</v>
      </c>
      <c r="IK29">
        <v>0</v>
      </c>
    </row>
    <row r="30" spans="1:245" x14ac:dyDescent="0.2">
      <c r="A30">
        <v>17</v>
      </c>
      <c r="B30">
        <v>1</v>
      </c>
      <c r="C30">
        <f>ROW(SmtRes!A10)</f>
        <v>10</v>
      </c>
      <c r="D30">
        <f>ROW(EtalonRes!A10)</f>
        <v>10</v>
      </c>
      <c r="E30" t="s">
        <v>31</v>
      </c>
      <c r="F30" t="s">
        <v>24</v>
      </c>
      <c r="G30" t="s">
        <v>25</v>
      </c>
      <c r="H30" t="s">
        <v>26</v>
      </c>
      <c r="I30">
        <f>ROUND(((39.09*0.13)/100)*1,9)</f>
        <v>5.0817000000000001E-2</v>
      </c>
      <c r="J30">
        <v>0</v>
      </c>
      <c r="O30">
        <f t="shared" si="21"/>
        <v>3397.31</v>
      </c>
      <c r="P30">
        <f t="shared" si="22"/>
        <v>0</v>
      </c>
      <c r="Q30">
        <f t="shared" si="23"/>
        <v>1472.68</v>
      </c>
      <c r="R30">
        <f t="shared" si="24"/>
        <v>838.34</v>
      </c>
      <c r="S30">
        <f t="shared" si="25"/>
        <v>1924.63</v>
      </c>
      <c r="T30">
        <f t="shared" si="26"/>
        <v>0</v>
      </c>
      <c r="U30">
        <f t="shared" si="27"/>
        <v>8.2468368450000007</v>
      </c>
      <c r="V30">
        <f t="shared" si="28"/>
        <v>0</v>
      </c>
      <c r="W30">
        <f t="shared" si="29"/>
        <v>0</v>
      </c>
      <c r="X30">
        <f t="shared" si="30"/>
        <v>1308.75</v>
      </c>
      <c r="Y30">
        <f t="shared" si="31"/>
        <v>789.1</v>
      </c>
      <c r="AA30">
        <v>44169784</v>
      </c>
      <c r="AB30">
        <f t="shared" si="32"/>
        <v>4401.5</v>
      </c>
      <c r="AC30">
        <f t="shared" si="33"/>
        <v>0</v>
      </c>
      <c r="AD30">
        <f t="shared" si="34"/>
        <v>2713.55</v>
      </c>
      <c r="AE30">
        <f t="shared" si="35"/>
        <v>735.23</v>
      </c>
      <c r="AF30">
        <f t="shared" si="36"/>
        <v>1687.95</v>
      </c>
      <c r="AG30">
        <f t="shared" si="37"/>
        <v>0</v>
      </c>
      <c r="AH30">
        <f t="shared" si="38"/>
        <v>155</v>
      </c>
      <c r="AI30">
        <f t="shared" si="39"/>
        <v>0</v>
      </c>
      <c r="AJ30">
        <f t="shared" si="40"/>
        <v>0</v>
      </c>
      <c r="AK30">
        <v>4401.5</v>
      </c>
      <c r="AL30">
        <v>0</v>
      </c>
      <c r="AM30">
        <v>2713.55</v>
      </c>
      <c r="AN30">
        <v>735.23</v>
      </c>
      <c r="AO30">
        <v>1687.95</v>
      </c>
      <c r="AP30">
        <v>0</v>
      </c>
      <c r="AQ30">
        <v>155</v>
      </c>
      <c r="AR30">
        <v>0</v>
      </c>
      <c r="AS30">
        <v>0</v>
      </c>
      <c r="AT30">
        <v>68</v>
      </c>
      <c r="AU30">
        <v>41</v>
      </c>
      <c r="AV30">
        <v>1.0469999999999999</v>
      </c>
      <c r="AW30">
        <v>1</v>
      </c>
      <c r="AZ30">
        <v>1</v>
      </c>
      <c r="BA30">
        <v>21.43</v>
      </c>
      <c r="BB30">
        <v>10.199999999999999</v>
      </c>
      <c r="BC30">
        <v>1</v>
      </c>
      <c r="BD30" t="s">
        <v>5</v>
      </c>
      <c r="BE30" t="s">
        <v>5</v>
      </c>
      <c r="BF30" t="s">
        <v>5</v>
      </c>
      <c r="BG30" t="s">
        <v>5</v>
      </c>
      <c r="BH30">
        <v>0</v>
      </c>
      <c r="BI30">
        <v>1</v>
      </c>
      <c r="BJ30" t="s">
        <v>27</v>
      </c>
      <c r="BM30">
        <v>674</v>
      </c>
      <c r="BN30">
        <v>0</v>
      </c>
      <c r="BO30" t="s">
        <v>24</v>
      </c>
      <c r="BP30">
        <v>1</v>
      </c>
      <c r="BQ30">
        <v>60</v>
      </c>
      <c r="BR30">
        <v>0</v>
      </c>
      <c r="BS30">
        <v>21.43</v>
      </c>
      <c r="BT30">
        <v>1</v>
      </c>
      <c r="BU30">
        <v>1</v>
      </c>
      <c r="BV30">
        <v>1</v>
      </c>
      <c r="BW30">
        <v>1</v>
      </c>
      <c r="BX30">
        <v>1</v>
      </c>
      <c r="BY30" t="s">
        <v>5</v>
      </c>
      <c r="BZ30">
        <v>68</v>
      </c>
      <c r="CA30">
        <v>41</v>
      </c>
      <c r="CE30">
        <v>30</v>
      </c>
      <c r="CF30">
        <v>0</v>
      </c>
      <c r="CG30">
        <v>0</v>
      </c>
      <c r="CM30">
        <v>0</v>
      </c>
      <c r="CN30" t="s">
        <v>5</v>
      </c>
      <c r="CO30">
        <v>0</v>
      </c>
      <c r="CP30">
        <f t="shared" si="41"/>
        <v>3397.3100000000004</v>
      </c>
      <c r="CQ30">
        <f t="shared" si="42"/>
        <v>0</v>
      </c>
      <c r="CR30">
        <f t="shared" si="43"/>
        <v>28979.119999999999</v>
      </c>
      <c r="CS30">
        <f t="shared" si="44"/>
        <v>16496.599999999999</v>
      </c>
      <c r="CT30">
        <f t="shared" si="45"/>
        <v>37872.81</v>
      </c>
      <c r="CU30">
        <f t="shared" si="46"/>
        <v>0</v>
      </c>
      <c r="CV30">
        <f t="shared" si="47"/>
        <v>162.285</v>
      </c>
      <c r="CW30">
        <f t="shared" si="48"/>
        <v>0</v>
      </c>
      <c r="CX30">
        <f t="shared" si="49"/>
        <v>0</v>
      </c>
      <c r="CY30">
        <f t="shared" si="50"/>
        <v>1308.7484000000002</v>
      </c>
      <c r="CZ30">
        <f t="shared" si="51"/>
        <v>789.09829999999999</v>
      </c>
      <c r="DC30" t="s">
        <v>5</v>
      </c>
      <c r="DD30" t="s">
        <v>5</v>
      </c>
      <c r="DE30" t="s">
        <v>5</v>
      </c>
      <c r="DF30" t="s">
        <v>5</v>
      </c>
      <c r="DG30" t="s">
        <v>5</v>
      </c>
      <c r="DH30" t="s">
        <v>5</v>
      </c>
      <c r="DI30" t="s">
        <v>5</v>
      </c>
      <c r="DJ30" t="s">
        <v>5</v>
      </c>
      <c r="DK30" t="s">
        <v>5</v>
      </c>
      <c r="DL30" t="s">
        <v>5</v>
      </c>
      <c r="DM30" t="s">
        <v>5</v>
      </c>
      <c r="DN30">
        <v>80</v>
      </c>
      <c r="DO30">
        <v>55</v>
      </c>
      <c r="DP30">
        <v>1.0469999999999999</v>
      </c>
      <c r="DQ30">
        <v>1</v>
      </c>
      <c r="DU30">
        <v>1007</v>
      </c>
      <c r="DV30" t="s">
        <v>26</v>
      </c>
      <c r="DW30" t="s">
        <v>26</v>
      </c>
      <c r="DX30">
        <v>100</v>
      </c>
      <c r="EE30">
        <v>44064493</v>
      </c>
      <c r="EF30">
        <v>60</v>
      </c>
      <c r="EG30" t="s">
        <v>28</v>
      </c>
      <c r="EH30">
        <v>0</v>
      </c>
      <c r="EI30" t="s">
        <v>5</v>
      </c>
      <c r="EJ30">
        <v>1</v>
      </c>
      <c r="EK30">
        <v>674</v>
      </c>
      <c r="EL30" t="s">
        <v>29</v>
      </c>
      <c r="EM30" t="s">
        <v>30</v>
      </c>
      <c r="EO30" t="s">
        <v>5</v>
      </c>
      <c r="EQ30">
        <v>131072</v>
      </c>
      <c r="ER30">
        <v>4401.5</v>
      </c>
      <c r="ES30">
        <v>0</v>
      </c>
      <c r="ET30">
        <v>2713.55</v>
      </c>
      <c r="EU30">
        <v>735.23</v>
      </c>
      <c r="EV30">
        <v>1687.95</v>
      </c>
      <c r="EW30">
        <v>155</v>
      </c>
      <c r="EX30">
        <v>0</v>
      </c>
      <c r="EY30">
        <v>0</v>
      </c>
      <c r="FQ30">
        <v>0</v>
      </c>
      <c r="FR30">
        <f t="shared" si="52"/>
        <v>0</v>
      </c>
      <c r="FS30">
        <v>0</v>
      </c>
      <c r="FX30">
        <v>80</v>
      </c>
      <c r="FY30">
        <v>55</v>
      </c>
      <c r="GA30" t="s">
        <v>5</v>
      </c>
      <c r="GD30">
        <v>0</v>
      </c>
      <c r="GF30">
        <v>462798223</v>
      </c>
      <c r="GG30">
        <v>2</v>
      </c>
      <c r="GH30">
        <v>1</v>
      </c>
      <c r="GI30">
        <v>2</v>
      </c>
      <c r="GJ30">
        <v>0</v>
      </c>
      <c r="GK30">
        <f>ROUND(R30*(R12)/100,2)</f>
        <v>1316.19</v>
      </c>
      <c r="GL30">
        <f t="shared" si="53"/>
        <v>0</v>
      </c>
      <c r="GM30">
        <f t="shared" si="54"/>
        <v>6811.35</v>
      </c>
      <c r="GN30">
        <f t="shared" si="55"/>
        <v>6811.35</v>
      </c>
      <c r="GO30">
        <f t="shared" si="56"/>
        <v>0</v>
      </c>
      <c r="GP30">
        <f t="shared" si="57"/>
        <v>0</v>
      </c>
      <c r="GR30">
        <v>0</v>
      </c>
      <c r="GS30">
        <v>0</v>
      </c>
      <c r="GT30">
        <v>0</v>
      </c>
      <c r="GU30" t="s">
        <v>5</v>
      </c>
      <c r="GV30">
        <f t="shared" si="58"/>
        <v>0</v>
      </c>
      <c r="GW30">
        <v>1</v>
      </c>
      <c r="GX30">
        <f t="shared" si="59"/>
        <v>0</v>
      </c>
      <c r="HA30">
        <v>0</v>
      </c>
      <c r="HB30">
        <v>0</v>
      </c>
      <c r="HC30">
        <f t="shared" si="60"/>
        <v>0</v>
      </c>
      <c r="IK30">
        <v>0</v>
      </c>
    </row>
    <row r="31" spans="1:245" x14ac:dyDescent="0.2">
      <c r="A31">
        <v>17</v>
      </c>
      <c r="B31">
        <v>1</v>
      </c>
      <c r="C31">
        <f>ROW(SmtRes!A14)</f>
        <v>14</v>
      </c>
      <c r="D31">
        <f>ROW(EtalonRes!A14)</f>
        <v>14</v>
      </c>
      <c r="E31" t="s">
        <v>18</v>
      </c>
      <c r="F31" t="s">
        <v>32</v>
      </c>
      <c r="G31" t="s">
        <v>33</v>
      </c>
      <c r="H31" t="s">
        <v>26</v>
      </c>
      <c r="I31">
        <f>ROUND((39.09*0.17/100)*1,9)</f>
        <v>6.6452999999999998E-2</v>
      </c>
      <c r="J31">
        <v>0</v>
      </c>
      <c r="O31">
        <f t="shared" si="21"/>
        <v>1934.55</v>
      </c>
      <c r="P31">
        <f t="shared" si="22"/>
        <v>0</v>
      </c>
      <c r="Q31">
        <f t="shared" si="23"/>
        <v>1003.2</v>
      </c>
      <c r="R31">
        <f t="shared" si="24"/>
        <v>418.96</v>
      </c>
      <c r="S31">
        <f t="shared" si="25"/>
        <v>931.35</v>
      </c>
      <c r="T31">
        <f t="shared" si="26"/>
        <v>0</v>
      </c>
      <c r="U31">
        <f t="shared" si="27"/>
        <v>3.4440264044999997</v>
      </c>
      <c r="V31">
        <f t="shared" si="28"/>
        <v>0</v>
      </c>
      <c r="W31">
        <f t="shared" si="29"/>
        <v>0</v>
      </c>
      <c r="X31">
        <f t="shared" si="30"/>
        <v>633.32000000000005</v>
      </c>
      <c r="Y31">
        <f t="shared" si="31"/>
        <v>381.85</v>
      </c>
      <c r="AA31">
        <v>44169784</v>
      </c>
      <c r="AB31">
        <f t="shared" si="32"/>
        <v>2198.84</v>
      </c>
      <c r="AC31">
        <f t="shared" si="33"/>
        <v>0</v>
      </c>
      <c r="AD31">
        <f t="shared" si="34"/>
        <v>1574.15</v>
      </c>
      <c r="AE31">
        <f t="shared" si="35"/>
        <v>280.92</v>
      </c>
      <c r="AF31">
        <f t="shared" si="36"/>
        <v>624.69000000000005</v>
      </c>
      <c r="AG31">
        <f t="shared" si="37"/>
        <v>0</v>
      </c>
      <c r="AH31">
        <f t="shared" si="38"/>
        <v>49.5</v>
      </c>
      <c r="AI31">
        <f t="shared" si="39"/>
        <v>0</v>
      </c>
      <c r="AJ31">
        <f t="shared" si="40"/>
        <v>0</v>
      </c>
      <c r="AK31">
        <v>2198.84</v>
      </c>
      <c r="AL31">
        <v>0</v>
      </c>
      <c r="AM31">
        <v>1574.15</v>
      </c>
      <c r="AN31">
        <v>280.92</v>
      </c>
      <c r="AO31">
        <v>624.69000000000005</v>
      </c>
      <c r="AP31">
        <v>0</v>
      </c>
      <c r="AQ31">
        <v>49.5</v>
      </c>
      <c r="AR31">
        <v>0</v>
      </c>
      <c r="AS31">
        <v>0</v>
      </c>
      <c r="AT31">
        <v>68</v>
      </c>
      <c r="AU31">
        <v>41</v>
      </c>
      <c r="AV31">
        <v>1.0469999999999999</v>
      </c>
      <c r="AW31">
        <v>1</v>
      </c>
      <c r="AZ31">
        <v>1</v>
      </c>
      <c r="BA31">
        <v>21.43</v>
      </c>
      <c r="BB31">
        <v>9.16</v>
      </c>
      <c r="BC31">
        <v>1</v>
      </c>
      <c r="BD31" t="s">
        <v>5</v>
      </c>
      <c r="BE31" t="s">
        <v>5</v>
      </c>
      <c r="BF31" t="s">
        <v>5</v>
      </c>
      <c r="BG31" t="s">
        <v>5</v>
      </c>
      <c r="BH31">
        <v>0</v>
      </c>
      <c r="BI31">
        <v>1</v>
      </c>
      <c r="BJ31" t="s">
        <v>34</v>
      </c>
      <c r="BM31">
        <v>674</v>
      </c>
      <c r="BN31">
        <v>0</v>
      </c>
      <c r="BO31" t="s">
        <v>32</v>
      </c>
      <c r="BP31">
        <v>1</v>
      </c>
      <c r="BQ31">
        <v>60</v>
      </c>
      <c r="BR31">
        <v>0</v>
      </c>
      <c r="BS31">
        <v>21.43</v>
      </c>
      <c r="BT31">
        <v>1</v>
      </c>
      <c r="BU31">
        <v>1</v>
      </c>
      <c r="BV31">
        <v>1</v>
      </c>
      <c r="BW31">
        <v>1</v>
      </c>
      <c r="BX31">
        <v>1</v>
      </c>
      <c r="BY31" t="s">
        <v>5</v>
      </c>
      <c r="BZ31">
        <v>68</v>
      </c>
      <c r="CA31">
        <v>41</v>
      </c>
      <c r="CE31">
        <v>30</v>
      </c>
      <c r="CF31">
        <v>0</v>
      </c>
      <c r="CG31">
        <v>0</v>
      </c>
      <c r="CM31">
        <v>0</v>
      </c>
      <c r="CN31" t="s">
        <v>5</v>
      </c>
      <c r="CO31">
        <v>0</v>
      </c>
      <c r="CP31">
        <f t="shared" si="41"/>
        <v>1934.5500000000002</v>
      </c>
      <c r="CQ31">
        <f t="shared" si="42"/>
        <v>0</v>
      </c>
      <c r="CR31">
        <f t="shared" si="43"/>
        <v>15096.96</v>
      </c>
      <c r="CS31">
        <f t="shared" si="44"/>
        <v>6302.99</v>
      </c>
      <c r="CT31">
        <f t="shared" si="45"/>
        <v>14016.29</v>
      </c>
      <c r="CU31">
        <f t="shared" si="46"/>
        <v>0</v>
      </c>
      <c r="CV31">
        <f t="shared" si="47"/>
        <v>51.826499999999996</v>
      </c>
      <c r="CW31">
        <f t="shared" si="48"/>
        <v>0</v>
      </c>
      <c r="CX31">
        <f t="shared" si="49"/>
        <v>0</v>
      </c>
      <c r="CY31">
        <f t="shared" si="50"/>
        <v>633.3180000000001</v>
      </c>
      <c r="CZ31">
        <f t="shared" si="51"/>
        <v>381.8535</v>
      </c>
      <c r="DC31" t="s">
        <v>5</v>
      </c>
      <c r="DD31" t="s">
        <v>5</v>
      </c>
      <c r="DE31" t="s">
        <v>5</v>
      </c>
      <c r="DF31" t="s">
        <v>5</v>
      </c>
      <c r="DG31" t="s">
        <v>5</v>
      </c>
      <c r="DH31" t="s">
        <v>5</v>
      </c>
      <c r="DI31" t="s">
        <v>5</v>
      </c>
      <c r="DJ31" t="s">
        <v>5</v>
      </c>
      <c r="DK31" t="s">
        <v>5</v>
      </c>
      <c r="DL31" t="s">
        <v>5</v>
      </c>
      <c r="DM31" t="s">
        <v>5</v>
      </c>
      <c r="DN31">
        <v>80</v>
      </c>
      <c r="DO31">
        <v>55</v>
      </c>
      <c r="DP31">
        <v>1.0469999999999999</v>
      </c>
      <c r="DQ31">
        <v>1</v>
      </c>
      <c r="DU31">
        <v>1007</v>
      </c>
      <c r="DV31" t="s">
        <v>26</v>
      </c>
      <c r="DW31" t="s">
        <v>26</v>
      </c>
      <c r="DX31">
        <v>100</v>
      </c>
      <c r="EE31">
        <v>44064493</v>
      </c>
      <c r="EF31">
        <v>60</v>
      </c>
      <c r="EG31" t="s">
        <v>28</v>
      </c>
      <c r="EH31">
        <v>0</v>
      </c>
      <c r="EI31" t="s">
        <v>5</v>
      </c>
      <c r="EJ31">
        <v>1</v>
      </c>
      <c r="EK31">
        <v>674</v>
      </c>
      <c r="EL31" t="s">
        <v>29</v>
      </c>
      <c r="EM31" t="s">
        <v>30</v>
      </c>
      <c r="EO31" t="s">
        <v>5</v>
      </c>
      <c r="EQ31">
        <v>131072</v>
      </c>
      <c r="ER31">
        <v>2198.84</v>
      </c>
      <c r="ES31">
        <v>0</v>
      </c>
      <c r="ET31">
        <v>1574.15</v>
      </c>
      <c r="EU31">
        <v>280.92</v>
      </c>
      <c r="EV31">
        <v>624.69000000000005</v>
      </c>
      <c r="EW31">
        <v>49.5</v>
      </c>
      <c r="EX31">
        <v>0</v>
      </c>
      <c r="EY31">
        <v>0</v>
      </c>
      <c r="FQ31">
        <v>0</v>
      </c>
      <c r="FR31">
        <f t="shared" si="52"/>
        <v>0</v>
      </c>
      <c r="FS31">
        <v>0</v>
      </c>
      <c r="FX31">
        <v>80</v>
      </c>
      <c r="FY31">
        <v>55</v>
      </c>
      <c r="GA31" t="s">
        <v>5</v>
      </c>
      <c r="GD31">
        <v>0</v>
      </c>
      <c r="GF31">
        <v>-490378372</v>
      </c>
      <c r="GG31">
        <v>2</v>
      </c>
      <c r="GH31">
        <v>1</v>
      </c>
      <c r="GI31">
        <v>2</v>
      </c>
      <c r="GJ31">
        <v>0</v>
      </c>
      <c r="GK31">
        <f>ROUND(R31*(R12)/100,2)</f>
        <v>657.77</v>
      </c>
      <c r="GL31">
        <f t="shared" si="53"/>
        <v>0</v>
      </c>
      <c r="GM31">
        <f t="shared" si="54"/>
        <v>3607.49</v>
      </c>
      <c r="GN31">
        <f t="shared" si="55"/>
        <v>3607.49</v>
      </c>
      <c r="GO31">
        <f t="shared" si="56"/>
        <v>0</v>
      </c>
      <c r="GP31">
        <f t="shared" si="57"/>
        <v>0</v>
      </c>
      <c r="GR31">
        <v>0</v>
      </c>
      <c r="GS31">
        <v>0</v>
      </c>
      <c r="GT31">
        <v>0</v>
      </c>
      <c r="GU31" t="s">
        <v>5</v>
      </c>
      <c r="GV31">
        <f t="shared" si="58"/>
        <v>0</v>
      </c>
      <c r="GW31">
        <v>1</v>
      </c>
      <c r="GX31">
        <f t="shared" si="59"/>
        <v>0</v>
      </c>
      <c r="HA31">
        <v>0</v>
      </c>
      <c r="HB31">
        <v>0</v>
      </c>
      <c r="HC31">
        <f t="shared" si="60"/>
        <v>0</v>
      </c>
      <c r="IK31">
        <v>0</v>
      </c>
    </row>
    <row r="32" spans="1:245" x14ac:dyDescent="0.2">
      <c r="A32">
        <v>17</v>
      </c>
      <c r="B32">
        <v>1</v>
      </c>
      <c r="C32">
        <f>ROW(SmtRes!A16)</f>
        <v>16</v>
      </c>
      <c r="D32">
        <f>ROW(EtalonRes!A16)</f>
        <v>16</v>
      </c>
      <c r="E32" t="s">
        <v>35</v>
      </c>
      <c r="F32" t="s">
        <v>36</v>
      </c>
      <c r="G32" t="s">
        <v>37</v>
      </c>
      <c r="H32" t="s">
        <v>38</v>
      </c>
      <c r="I32">
        <f>ROUND(0,9)</f>
        <v>0</v>
      </c>
      <c r="J32">
        <v>0</v>
      </c>
      <c r="O32">
        <f t="shared" si="21"/>
        <v>0</v>
      </c>
      <c r="P32">
        <f t="shared" si="22"/>
        <v>0</v>
      </c>
      <c r="Q32">
        <f t="shared" si="23"/>
        <v>0</v>
      </c>
      <c r="R32">
        <f t="shared" si="24"/>
        <v>0</v>
      </c>
      <c r="S32">
        <f t="shared" si="25"/>
        <v>0</v>
      </c>
      <c r="T32">
        <f t="shared" si="26"/>
        <v>0</v>
      </c>
      <c r="U32">
        <f t="shared" si="27"/>
        <v>0</v>
      </c>
      <c r="V32">
        <f t="shared" si="28"/>
        <v>0</v>
      </c>
      <c r="W32">
        <f t="shared" si="29"/>
        <v>0</v>
      </c>
      <c r="X32">
        <f t="shared" si="30"/>
        <v>0</v>
      </c>
      <c r="Y32">
        <f t="shared" si="31"/>
        <v>0</v>
      </c>
      <c r="AA32">
        <v>44169784</v>
      </c>
      <c r="AB32">
        <f t="shared" si="32"/>
        <v>69.72</v>
      </c>
      <c r="AC32">
        <f t="shared" si="33"/>
        <v>0</v>
      </c>
      <c r="AD32">
        <f t="shared" si="34"/>
        <v>56.39</v>
      </c>
      <c r="AE32">
        <f t="shared" si="35"/>
        <v>14.68</v>
      </c>
      <c r="AF32">
        <f t="shared" si="36"/>
        <v>13.33</v>
      </c>
      <c r="AG32">
        <f t="shared" si="37"/>
        <v>0</v>
      </c>
      <c r="AH32">
        <f t="shared" si="38"/>
        <v>1.1200000000000001</v>
      </c>
      <c r="AI32">
        <f t="shared" si="39"/>
        <v>0</v>
      </c>
      <c r="AJ32">
        <f t="shared" si="40"/>
        <v>0</v>
      </c>
      <c r="AK32">
        <v>69.72</v>
      </c>
      <c r="AL32">
        <v>0</v>
      </c>
      <c r="AM32">
        <v>56.39</v>
      </c>
      <c r="AN32">
        <v>14.68</v>
      </c>
      <c r="AO32">
        <v>13.33</v>
      </c>
      <c r="AP32">
        <v>0</v>
      </c>
      <c r="AQ32">
        <v>1.1200000000000001</v>
      </c>
      <c r="AR32">
        <v>0</v>
      </c>
      <c r="AS32">
        <v>0</v>
      </c>
      <c r="AT32">
        <v>73</v>
      </c>
      <c r="AU32">
        <v>41</v>
      </c>
      <c r="AV32">
        <v>1.0469999999999999</v>
      </c>
      <c r="AW32">
        <v>1.002</v>
      </c>
      <c r="AZ32">
        <v>1</v>
      </c>
      <c r="BA32">
        <v>21.43</v>
      </c>
      <c r="BB32">
        <v>11.51</v>
      </c>
      <c r="BC32">
        <v>1</v>
      </c>
      <c r="BD32" t="s">
        <v>5</v>
      </c>
      <c r="BE32" t="s">
        <v>5</v>
      </c>
      <c r="BF32" t="s">
        <v>5</v>
      </c>
      <c r="BG32" t="s">
        <v>5</v>
      </c>
      <c r="BH32">
        <v>0</v>
      </c>
      <c r="BI32">
        <v>1</v>
      </c>
      <c r="BJ32" t="s">
        <v>39</v>
      </c>
      <c r="BM32">
        <v>644</v>
      </c>
      <c r="BN32">
        <v>0</v>
      </c>
      <c r="BO32" t="s">
        <v>36</v>
      </c>
      <c r="BP32">
        <v>1</v>
      </c>
      <c r="BQ32">
        <v>60</v>
      </c>
      <c r="BR32">
        <v>0</v>
      </c>
      <c r="BS32">
        <v>21.43</v>
      </c>
      <c r="BT32">
        <v>1</v>
      </c>
      <c r="BU32">
        <v>1</v>
      </c>
      <c r="BV32">
        <v>1</v>
      </c>
      <c r="BW32">
        <v>1</v>
      </c>
      <c r="BX32">
        <v>1</v>
      </c>
      <c r="BY32" t="s">
        <v>5</v>
      </c>
      <c r="BZ32">
        <v>73</v>
      </c>
      <c r="CA32">
        <v>41</v>
      </c>
      <c r="CE32">
        <v>30</v>
      </c>
      <c r="CF32">
        <v>0</v>
      </c>
      <c r="CG32">
        <v>0</v>
      </c>
      <c r="CM32">
        <v>0</v>
      </c>
      <c r="CN32" t="s">
        <v>5</v>
      </c>
      <c r="CO32">
        <v>0</v>
      </c>
      <c r="CP32">
        <f t="shared" si="41"/>
        <v>0</v>
      </c>
      <c r="CQ32">
        <f t="shared" si="42"/>
        <v>0</v>
      </c>
      <c r="CR32">
        <f t="shared" si="43"/>
        <v>679.55</v>
      </c>
      <c r="CS32">
        <f t="shared" si="44"/>
        <v>329.38</v>
      </c>
      <c r="CT32">
        <f t="shared" si="45"/>
        <v>299.16000000000003</v>
      </c>
      <c r="CU32">
        <f t="shared" si="46"/>
        <v>0</v>
      </c>
      <c r="CV32">
        <f t="shared" si="47"/>
        <v>1.1726400000000001</v>
      </c>
      <c r="CW32">
        <f t="shared" si="48"/>
        <v>0</v>
      </c>
      <c r="CX32">
        <f t="shared" si="49"/>
        <v>0</v>
      </c>
      <c r="CY32">
        <f t="shared" si="50"/>
        <v>0</v>
      </c>
      <c r="CZ32">
        <f t="shared" si="51"/>
        <v>0</v>
      </c>
      <c r="DC32" t="s">
        <v>5</v>
      </c>
      <c r="DD32" t="s">
        <v>5</v>
      </c>
      <c r="DE32" t="s">
        <v>5</v>
      </c>
      <c r="DF32" t="s">
        <v>5</v>
      </c>
      <c r="DG32" t="s">
        <v>5</v>
      </c>
      <c r="DH32" t="s">
        <v>5</v>
      </c>
      <c r="DI32" t="s">
        <v>5</v>
      </c>
      <c r="DJ32" t="s">
        <v>5</v>
      </c>
      <c r="DK32" t="s">
        <v>5</v>
      </c>
      <c r="DL32" t="s">
        <v>5</v>
      </c>
      <c r="DM32" t="s">
        <v>5</v>
      </c>
      <c r="DN32">
        <v>91</v>
      </c>
      <c r="DO32">
        <v>70</v>
      </c>
      <c r="DP32">
        <v>1.0469999999999999</v>
      </c>
      <c r="DQ32">
        <v>1.002</v>
      </c>
      <c r="DU32">
        <v>1013</v>
      </c>
      <c r="DV32" t="s">
        <v>38</v>
      </c>
      <c r="DW32" t="s">
        <v>38</v>
      </c>
      <c r="DX32">
        <v>1</v>
      </c>
      <c r="EE32">
        <v>44064463</v>
      </c>
      <c r="EF32">
        <v>60</v>
      </c>
      <c r="EG32" t="s">
        <v>28</v>
      </c>
      <c r="EH32">
        <v>0</v>
      </c>
      <c r="EI32" t="s">
        <v>5</v>
      </c>
      <c r="EJ32">
        <v>1</v>
      </c>
      <c r="EK32">
        <v>644</v>
      </c>
      <c r="EL32" t="s">
        <v>40</v>
      </c>
      <c r="EM32" t="s">
        <v>41</v>
      </c>
      <c r="EO32" t="s">
        <v>5</v>
      </c>
      <c r="EQ32">
        <v>131072</v>
      </c>
      <c r="ER32">
        <v>69.72</v>
      </c>
      <c r="ES32">
        <v>0</v>
      </c>
      <c r="ET32">
        <v>56.39</v>
      </c>
      <c r="EU32">
        <v>14.68</v>
      </c>
      <c r="EV32">
        <v>13.33</v>
      </c>
      <c r="EW32">
        <v>1.1200000000000001</v>
      </c>
      <c r="EX32">
        <v>0</v>
      </c>
      <c r="EY32">
        <v>0</v>
      </c>
      <c r="FQ32">
        <v>0</v>
      </c>
      <c r="FR32">
        <f t="shared" si="52"/>
        <v>0</v>
      </c>
      <c r="FS32">
        <v>0</v>
      </c>
      <c r="FX32">
        <v>91</v>
      </c>
      <c r="FY32">
        <v>70</v>
      </c>
      <c r="GA32" t="s">
        <v>5</v>
      </c>
      <c r="GD32">
        <v>0</v>
      </c>
      <c r="GF32">
        <v>1054247290</v>
      </c>
      <c r="GG32">
        <v>2</v>
      </c>
      <c r="GH32">
        <v>1</v>
      </c>
      <c r="GI32">
        <v>2</v>
      </c>
      <c r="GJ32">
        <v>0</v>
      </c>
      <c r="GK32">
        <f>ROUND(R32*(R12)/100,2)</f>
        <v>0</v>
      </c>
      <c r="GL32">
        <f t="shared" si="53"/>
        <v>0</v>
      </c>
      <c r="GM32">
        <f t="shared" si="54"/>
        <v>0</v>
      </c>
      <c r="GN32">
        <f t="shared" si="55"/>
        <v>0</v>
      </c>
      <c r="GO32">
        <f t="shared" si="56"/>
        <v>0</v>
      </c>
      <c r="GP32">
        <f t="shared" si="57"/>
        <v>0</v>
      </c>
      <c r="GR32">
        <v>0</v>
      </c>
      <c r="GS32">
        <v>0</v>
      </c>
      <c r="GT32">
        <v>0</v>
      </c>
      <c r="GU32" t="s">
        <v>5</v>
      </c>
      <c r="GV32">
        <f t="shared" si="58"/>
        <v>0</v>
      </c>
      <c r="GW32">
        <v>1</v>
      </c>
      <c r="GX32">
        <f t="shared" si="59"/>
        <v>0</v>
      </c>
      <c r="HA32">
        <v>0</v>
      </c>
      <c r="HB32">
        <v>0</v>
      </c>
      <c r="HC32">
        <f t="shared" si="60"/>
        <v>0</v>
      </c>
      <c r="IK32">
        <v>0</v>
      </c>
    </row>
    <row r="33" spans="1:245" x14ac:dyDescent="0.2">
      <c r="A33">
        <v>17</v>
      </c>
      <c r="B33">
        <v>1</v>
      </c>
      <c r="C33">
        <f>ROW(SmtRes!A17)</f>
        <v>17</v>
      </c>
      <c r="D33">
        <f>ROW(EtalonRes!A17)</f>
        <v>17</v>
      </c>
      <c r="E33" t="s">
        <v>42</v>
      </c>
      <c r="F33" t="s">
        <v>43</v>
      </c>
      <c r="G33" t="s">
        <v>44</v>
      </c>
      <c r="H33" t="s">
        <v>38</v>
      </c>
      <c r="I33">
        <f>ROUND((I29*2.4+I30*2.4+I31*2.2)*100,9)</f>
        <v>60.238140000000001</v>
      </c>
      <c r="J33">
        <v>0</v>
      </c>
      <c r="O33">
        <f t="shared" si="21"/>
        <v>4447.97</v>
      </c>
      <c r="P33">
        <f t="shared" si="22"/>
        <v>0</v>
      </c>
      <c r="Q33">
        <f t="shared" si="23"/>
        <v>4447.97</v>
      </c>
      <c r="R33">
        <f t="shared" si="24"/>
        <v>2000.28</v>
      </c>
      <c r="S33">
        <f t="shared" si="25"/>
        <v>0</v>
      </c>
      <c r="T33">
        <f t="shared" si="26"/>
        <v>0</v>
      </c>
      <c r="U33">
        <f t="shared" si="27"/>
        <v>0</v>
      </c>
      <c r="V33">
        <f t="shared" si="28"/>
        <v>0</v>
      </c>
      <c r="W33">
        <f t="shared" si="29"/>
        <v>0</v>
      </c>
      <c r="X33">
        <f t="shared" si="30"/>
        <v>0</v>
      </c>
      <c r="Y33">
        <f t="shared" si="31"/>
        <v>0</v>
      </c>
      <c r="AA33">
        <v>44169784</v>
      </c>
      <c r="AB33">
        <f t="shared" si="32"/>
        <v>8.86</v>
      </c>
      <c r="AC33">
        <f t="shared" si="33"/>
        <v>0</v>
      </c>
      <c r="AD33">
        <f t="shared" si="34"/>
        <v>8.86</v>
      </c>
      <c r="AE33">
        <f t="shared" si="35"/>
        <v>1.48</v>
      </c>
      <c r="AF33">
        <f t="shared" si="36"/>
        <v>0</v>
      </c>
      <c r="AG33">
        <f t="shared" si="37"/>
        <v>0</v>
      </c>
      <c r="AH33">
        <f t="shared" si="38"/>
        <v>0</v>
      </c>
      <c r="AI33">
        <f t="shared" si="39"/>
        <v>0</v>
      </c>
      <c r="AJ33">
        <f t="shared" si="40"/>
        <v>0</v>
      </c>
      <c r="AK33">
        <v>8.86</v>
      </c>
      <c r="AL33">
        <v>0</v>
      </c>
      <c r="AM33">
        <v>8.86</v>
      </c>
      <c r="AN33">
        <v>1.48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73</v>
      </c>
      <c r="AU33">
        <v>41</v>
      </c>
      <c r="AV33">
        <v>1.0469999999999999</v>
      </c>
      <c r="AW33">
        <v>1.002</v>
      </c>
      <c r="AZ33">
        <v>1</v>
      </c>
      <c r="BA33">
        <v>21.43</v>
      </c>
      <c r="BB33">
        <v>7.96</v>
      </c>
      <c r="BC33">
        <v>1</v>
      </c>
      <c r="BD33" t="s">
        <v>5</v>
      </c>
      <c r="BE33" t="s">
        <v>5</v>
      </c>
      <c r="BF33" t="s">
        <v>5</v>
      </c>
      <c r="BG33" t="s">
        <v>5</v>
      </c>
      <c r="BH33">
        <v>0</v>
      </c>
      <c r="BI33">
        <v>1</v>
      </c>
      <c r="BJ33" t="s">
        <v>45</v>
      </c>
      <c r="BM33">
        <v>658</v>
      </c>
      <c r="BN33">
        <v>0</v>
      </c>
      <c r="BO33" t="s">
        <v>43</v>
      </c>
      <c r="BP33">
        <v>1</v>
      </c>
      <c r="BQ33">
        <v>60</v>
      </c>
      <c r="BR33">
        <v>0</v>
      </c>
      <c r="BS33">
        <v>21.43</v>
      </c>
      <c r="BT33">
        <v>1</v>
      </c>
      <c r="BU33">
        <v>1</v>
      </c>
      <c r="BV33">
        <v>1</v>
      </c>
      <c r="BW33">
        <v>1</v>
      </c>
      <c r="BX33">
        <v>1</v>
      </c>
      <c r="BY33" t="s">
        <v>5</v>
      </c>
      <c r="BZ33">
        <v>73</v>
      </c>
      <c r="CA33">
        <v>41</v>
      </c>
      <c r="CE33">
        <v>30</v>
      </c>
      <c r="CF33">
        <v>0</v>
      </c>
      <c r="CG33">
        <v>0</v>
      </c>
      <c r="CM33">
        <v>0</v>
      </c>
      <c r="CN33" t="s">
        <v>5</v>
      </c>
      <c r="CO33">
        <v>0</v>
      </c>
      <c r="CP33">
        <f t="shared" si="41"/>
        <v>4447.97</v>
      </c>
      <c r="CQ33">
        <f t="shared" si="42"/>
        <v>0</v>
      </c>
      <c r="CR33">
        <f t="shared" si="43"/>
        <v>73.87</v>
      </c>
      <c r="CS33">
        <f t="shared" si="44"/>
        <v>33.22</v>
      </c>
      <c r="CT33">
        <f t="shared" si="45"/>
        <v>0</v>
      </c>
      <c r="CU33">
        <f t="shared" si="46"/>
        <v>0</v>
      </c>
      <c r="CV33">
        <f t="shared" si="47"/>
        <v>0</v>
      </c>
      <c r="CW33">
        <f t="shared" si="48"/>
        <v>0</v>
      </c>
      <c r="CX33">
        <f t="shared" si="49"/>
        <v>0</v>
      </c>
      <c r="CY33">
        <f t="shared" si="50"/>
        <v>0</v>
      </c>
      <c r="CZ33">
        <f t="shared" si="51"/>
        <v>0</v>
      </c>
      <c r="DC33" t="s">
        <v>5</v>
      </c>
      <c r="DD33" t="s">
        <v>5</v>
      </c>
      <c r="DE33" t="s">
        <v>5</v>
      </c>
      <c r="DF33" t="s">
        <v>5</v>
      </c>
      <c r="DG33" t="s">
        <v>5</v>
      </c>
      <c r="DH33" t="s">
        <v>5</v>
      </c>
      <c r="DI33" t="s">
        <v>5</v>
      </c>
      <c r="DJ33" t="s">
        <v>5</v>
      </c>
      <c r="DK33" t="s">
        <v>5</v>
      </c>
      <c r="DL33" t="s">
        <v>5</v>
      </c>
      <c r="DM33" t="s">
        <v>5</v>
      </c>
      <c r="DN33">
        <v>91</v>
      </c>
      <c r="DO33">
        <v>70</v>
      </c>
      <c r="DP33">
        <v>1.0469999999999999</v>
      </c>
      <c r="DQ33">
        <v>1.002</v>
      </c>
      <c r="DU33">
        <v>1013</v>
      </c>
      <c r="DV33" t="s">
        <v>38</v>
      </c>
      <c r="DW33" t="s">
        <v>38</v>
      </c>
      <c r="DX33">
        <v>1</v>
      </c>
      <c r="EE33">
        <v>44064477</v>
      </c>
      <c r="EF33">
        <v>60</v>
      </c>
      <c r="EG33" t="s">
        <v>28</v>
      </c>
      <c r="EH33">
        <v>0</v>
      </c>
      <c r="EI33" t="s">
        <v>5</v>
      </c>
      <c r="EJ33">
        <v>1</v>
      </c>
      <c r="EK33">
        <v>658</v>
      </c>
      <c r="EL33" t="s">
        <v>46</v>
      </c>
      <c r="EM33" t="s">
        <v>47</v>
      </c>
      <c r="EO33" t="s">
        <v>5</v>
      </c>
      <c r="EQ33">
        <v>131072</v>
      </c>
      <c r="ER33">
        <v>8.86</v>
      </c>
      <c r="ES33">
        <v>0</v>
      </c>
      <c r="ET33">
        <v>8.86</v>
      </c>
      <c r="EU33">
        <v>1.48</v>
      </c>
      <c r="EV33">
        <v>0</v>
      </c>
      <c r="EW33">
        <v>0</v>
      </c>
      <c r="EX33">
        <v>0</v>
      </c>
      <c r="EY33">
        <v>0</v>
      </c>
      <c r="FQ33">
        <v>0</v>
      </c>
      <c r="FR33">
        <f t="shared" si="52"/>
        <v>0</v>
      </c>
      <c r="FS33">
        <v>0</v>
      </c>
      <c r="FX33">
        <v>91</v>
      </c>
      <c r="FY33">
        <v>70</v>
      </c>
      <c r="GA33" t="s">
        <v>5</v>
      </c>
      <c r="GD33">
        <v>0</v>
      </c>
      <c r="GF33">
        <v>-1983005167</v>
      </c>
      <c r="GG33">
        <v>2</v>
      </c>
      <c r="GH33">
        <v>1</v>
      </c>
      <c r="GI33">
        <v>2</v>
      </c>
      <c r="GJ33">
        <v>0</v>
      </c>
      <c r="GK33">
        <f>ROUND(R33*(R12)/100,2)</f>
        <v>3140.44</v>
      </c>
      <c r="GL33">
        <f t="shared" si="53"/>
        <v>0</v>
      </c>
      <c r="GM33">
        <f t="shared" si="54"/>
        <v>7588.41</v>
      </c>
      <c r="GN33">
        <f t="shared" si="55"/>
        <v>7588.41</v>
      </c>
      <c r="GO33">
        <f t="shared" si="56"/>
        <v>0</v>
      </c>
      <c r="GP33">
        <f t="shared" si="57"/>
        <v>0</v>
      </c>
      <c r="GR33">
        <v>0</v>
      </c>
      <c r="GS33">
        <v>0</v>
      </c>
      <c r="GT33">
        <v>0</v>
      </c>
      <c r="GU33" t="s">
        <v>5</v>
      </c>
      <c r="GV33">
        <f t="shared" si="58"/>
        <v>0</v>
      </c>
      <c r="GW33">
        <v>1</v>
      </c>
      <c r="GX33">
        <f t="shared" si="59"/>
        <v>0</v>
      </c>
      <c r="HA33">
        <v>0</v>
      </c>
      <c r="HB33">
        <v>0</v>
      </c>
      <c r="HC33">
        <f t="shared" si="60"/>
        <v>0</v>
      </c>
      <c r="IK33">
        <v>0</v>
      </c>
    </row>
    <row r="34" spans="1:245" x14ac:dyDescent="0.2">
      <c r="A34">
        <v>17</v>
      </c>
      <c r="B34">
        <v>1</v>
      </c>
      <c r="C34">
        <f>ROW(SmtRes!A25)</f>
        <v>25</v>
      </c>
      <c r="D34">
        <f>ROW(EtalonRes!A25)</f>
        <v>25</v>
      </c>
      <c r="E34" t="s">
        <v>48</v>
      </c>
      <c r="F34" t="s">
        <v>49</v>
      </c>
      <c r="G34" t="s">
        <v>50</v>
      </c>
      <c r="H34" t="s">
        <v>51</v>
      </c>
      <c r="I34">
        <f>ROUND(39.09*0.35/100,9)</f>
        <v>0.13681499999999999</v>
      </c>
      <c r="J34">
        <v>0</v>
      </c>
      <c r="O34">
        <f t="shared" si="21"/>
        <v>1438.71</v>
      </c>
      <c r="P34">
        <f t="shared" si="22"/>
        <v>22.12</v>
      </c>
      <c r="Q34">
        <f t="shared" si="23"/>
        <v>951.56</v>
      </c>
      <c r="R34">
        <f t="shared" si="24"/>
        <v>365.38</v>
      </c>
      <c r="S34">
        <f t="shared" si="25"/>
        <v>465.03</v>
      </c>
      <c r="T34">
        <f t="shared" si="26"/>
        <v>0</v>
      </c>
      <c r="U34">
        <f t="shared" si="27"/>
        <v>2.0627323919999996</v>
      </c>
      <c r="V34">
        <f t="shared" si="28"/>
        <v>0</v>
      </c>
      <c r="W34">
        <f t="shared" si="29"/>
        <v>0</v>
      </c>
      <c r="X34">
        <f t="shared" si="30"/>
        <v>609.19000000000005</v>
      </c>
      <c r="Y34">
        <f t="shared" si="31"/>
        <v>251.12</v>
      </c>
      <c r="AA34">
        <v>44169784</v>
      </c>
      <c r="AB34">
        <f t="shared" si="32"/>
        <v>863.31</v>
      </c>
      <c r="AC34">
        <f t="shared" si="33"/>
        <v>35.35</v>
      </c>
      <c r="AD34">
        <f t="shared" si="34"/>
        <v>676.47</v>
      </c>
      <c r="AE34">
        <f t="shared" si="35"/>
        <v>119.05</v>
      </c>
      <c r="AF34">
        <f t="shared" si="36"/>
        <v>151.49</v>
      </c>
      <c r="AG34">
        <f t="shared" si="37"/>
        <v>0</v>
      </c>
      <c r="AH34">
        <f t="shared" si="38"/>
        <v>14.4</v>
      </c>
      <c r="AI34">
        <f t="shared" si="39"/>
        <v>0</v>
      </c>
      <c r="AJ34">
        <f t="shared" si="40"/>
        <v>0</v>
      </c>
      <c r="AK34">
        <v>863.31</v>
      </c>
      <c r="AL34">
        <v>35.35</v>
      </c>
      <c r="AM34">
        <v>676.47</v>
      </c>
      <c r="AN34">
        <v>119.05</v>
      </c>
      <c r="AO34">
        <v>151.49</v>
      </c>
      <c r="AP34">
        <v>0</v>
      </c>
      <c r="AQ34">
        <v>14.4</v>
      </c>
      <c r="AR34">
        <v>0</v>
      </c>
      <c r="AS34">
        <v>0</v>
      </c>
      <c r="AT34">
        <v>131</v>
      </c>
      <c r="AU34">
        <v>54</v>
      </c>
      <c r="AV34">
        <v>1.0469999999999999</v>
      </c>
      <c r="AW34">
        <v>1.002</v>
      </c>
      <c r="AZ34">
        <v>1</v>
      </c>
      <c r="BA34">
        <v>21.43</v>
      </c>
      <c r="BB34">
        <v>9.82</v>
      </c>
      <c r="BC34">
        <v>4.5599999999999996</v>
      </c>
      <c r="BD34" t="s">
        <v>5</v>
      </c>
      <c r="BE34" t="s">
        <v>5</v>
      </c>
      <c r="BF34" t="s">
        <v>5</v>
      </c>
      <c r="BG34" t="s">
        <v>5</v>
      </c>
      <c r="BH34">
        <v>0</v>
      </c>
      <c r="BI34">
        <v>1</v>
      </c>
      <c r="BJ34" t="s">
        <v>52</v>
      </c>
      <c r="BM34">
        <v>146</v>
      </c>
      <c r="BN34">
        <v>0</v>
      </c>
      <c r="BO34" t="s">
        <v>49</v>
      </c>
      <c r="BP34">
        <v>1</v>
      </c>
      <c r="BQ34">
        <v>30</v>
      </c>
      <c r="BR34">
        <v>0</v>
      </c>
      <c r="BS34">
        <v>21.43</v>
      </c>
      <c r="BT34">
        <v>1</v>
      </c>
      <c r="BU34">
        <v>1</v>
      </c>
      <c r="BV34">
        <v>1</v>
      </c>
      <c r="BW34">
        <v>1</v>
      </c>
      <c r="BX34">
        <v>1</v>
      </c>
      <c r="BY34" t="s">
        <v>5</v>
      </c>
      <c r="BZ34">
        <v>131</v>
      </c>
      <c r="CA34">
        <v>54</v>
      </c>
      <c r="CE34">
        <v>30</v>
      </c>
      <c r="CF34">
        <v>0</v>
      </c>
      <c r="CG34">
        <v>0</v>
      </c>
      <c r="CM34">
        <v>0</v>
      </c>
      <c r="CN34" t="s">
        <v>5</v>
      </c>
      <c r="CO34">
        <v>0</v>
      </c>
      <c r="CP34">
        <f t="shared" si="41"/>
        <v>1438.71</v>
      </c>
      <c r="CQ34">
        <f t="shared" si="42"/>
        <v>161.52000000000001</v>
      </c>
      <c r="CR34">
        <f t="shared" si="43"/>
        <v>6955.11</v>
      </c>
      <c r="CS34">
        <f t="shared" si="44"/>
        <v>2671.25</v>
      </c>
      <c r="CT34">
        <f t="shared" si="45"/>
        <v>3399.01</v>
      </c>
      <c r="CU34">
        <f t="shared" si="46"/>
        <v>0</v>
      </c>
      <c r="CV34">
        <f t="shared" si="47"/>
        <v>15.076799999999999</v>
      </c>
      <c r="CW34">
        <f t="shared" si="48"/>
        <v>0</v>
      </c>
      <c r="CX34">
        <f t="shared" si="49"/>
        <v>0</v>
      </c>
      <c r="CY34">
        <f t="shared" si="50"/>
        <v>609.1893</v>
      </c>
      <c r="CZ34">
        <f t="shared" si="51"/>
        <v>251.11619999999999</v>
      </c>
      <c r="DC34" t="s">
        <v>5</v>
      </c>
      <c r="DD34" t="s">
        <v>5</v>
      </c>
      <c r="DE34" t="s">
        <v>5</v>
      </c>
      <c r="DF34" t="s">
        <v>5</v>
      </c>
      <c r="DG34" t="s">
        <v>5</v>
      </c>
      <c r="DH34" t="s">
        <v>5</v>
      </c>
      <c r="DI34" t="s">
        <v>5</v>
      </c>
      <c r="DJ34" t="s">
        <v>5</v>
      </c>
      <c r="DK34" t="s">
        <v>5</v>
      </c>
      <c r="DL34" t="s">
        <v>5</v>
      </c>
      <c r="DM34" t="s">
        <v>5</v>
      </c>
      <c r="DN34">
        <v>161</v>
      </c>
      <c r="DO34">
        <v>107</v>
      </c>
      <c r="DP34">
        <v>1.0469999999999999</v>
      </c>
      <c r="DQ34">
        <v>1.002</v>
      </c>
      <c r="DU34">
        <v>1013</v>
      </c>
      <c r="DV34" t="s">
        <v>51</v>
      </c>
      <c r="DW34" t="s">
        <v>51</v>
      </c>
      <c r="DX34">
        <v>1</v>
      </c>
      <c r="EE34">
        <v>44063965</v>
      </c>
      <c r="EF34">
        <v>30</v>
      </c>
      <c r="EG34" t="s">
        <v>53</v>
      </c>
      <c r="EH34">
        <v>0</v>
      </c>
      <c r="EI34" t="s">
        <v>5</v>
      </c>
      <c r="EJ34">
        <v>1</v>
      </c>
      <c r="EK34">
        <v>146</v>
      </c>
      <c r="EL34" t="s">
        <v>54</v>
      </c>
      <c r="EM34" t="s">
        <v>55</v>
      </c>
      <c r="EO34" t="s">
        <v>5</v>
      </c>
      <c r="EQ34">
        <v>131072</v>
      </c>
      <c r="ER34">
        <v>863.31</v>
      </c>
      <c r="ES34">
        <v>35.35</v>
      </c>
      <c r="ET34">
        <v>676.47</v>
      </c>
      <c r="EU34">
        <v>119.05</v>
      </c>
      <c r="EV34">
        <v>151.49</v>
      </c>
      <c r="EW34">
        <v>14.4</v>
      </c>
      <c r="EX34">
        <v>0</v>
      </c>
      <c r="EY34">
        <v>0</v>
      </c>
      <c r="FQ34">
        <v>0</v>
      </c>
      <c r="FR34">
        <f t="shared" si="52"/>
        <v>0</v>
      </c>
      <c r="FS34">
        <v>0</v>
      </c>
      <c r="FX34">
        <v>161</v>
      </c>
      <c r="FY34">
        <v>107</v>
      </c>
      <c r="GA34" t="s">
        <v>5</v>
      </c>
      <c r="GD34">
        <v>0</v>
      </c>
      <c r="GF34">
        <v>-1939963274</v>
      </c>
      <c r="GG34">
        <v>2</v>
      </c>
      <c r="GH34">
        <v>1</v>
      </c>
      <c r="GI34">
        <v>2</v>
      </c>
      <c r="GJ34">
        <v>0</v>
      </c>
      <c r="GK34">
        <f>ROUND(R34*(R12)/100,2)</f>
        <v>573.65</v>
      </c>
      <c r="GL34">
        <f t="shared" si="53"/>
        <v>0</v>
      </c>
      <c r="GM34">
        <f t="shared" si="54"/>
        <v>2872.67</v>
      </c>
      <c r="GN34">
        <f t="shared" si="55"/>
        <v>2872.67</v>
      </c>
      <c r="GO34">
        <f t="shared" si="56"/>
        <v>0</v>
      </c>
      <c r="GP34">
        <f t="shared" si="57"/>
        <v>0</v>
      </c>
      <c r="GR34">
        <v>0</v>
      </c>
      <c r="GS34">
        <v>0</v>
      </c>
      <c r="GT34">
        <v>0</v>
      </c>
      <c r="GU34" t="s">
        <v>5</v>
      </c>
      <c r="GV34">
        <f t="shared" si="58"/>
        <v>0</v>
      </c>
      <c r="GW34">
        <v>1</v>
      </c>
      <c r="GX34">
        <f t="shared" si="59"/>
        <v>0</v>
      </c>
      <c r="HA34">
        <v>0</v>
      </c>
      <c r="HB34">
        <v>0</v>
      </c>
      <c r="HC34">
        <f t="shared" si="60"/>
        <v>0</v>
      </c>
      <c r="IK34">
        <v>0</v>
      </c>
    </row>
    <row r="35" spans="1:245" x14ac:dyDescent="0.2">
      <c r="A35">
        <v>18</v>
      </c>
      <c r="B35">
        <v>1</v>
      </c>
      <c r="C35">
        <v>25</v>
      </c>
      <c r="E35" t="s">
        <v>56</v>
      </c>
      <c r="F35" t="s">
        <v>57</v>
      </c>
      <c r="G35" t="s">
        <v>58</v>
      </c>
      <c r="H35" t="s">
        <v>59</v>
      </c>
      <c r="I35">
        <f>I34*J35</f>
        <v>15.04965</v>
      </c>
      <c r="J35">
        <v>110</v>
      </c>
      <c r="O35">
        <f t="shared" si="21"/>
        <v>8311.91</v>
      </c>
      <c r="P35">
        <f t="shared" si="22"/>
        <v>8311.91</v>
      </c>
      <c r="Q35">
        <f t="shared" si="23"/>
        <v>0</v>
      </c>
      <c r="R35">
        <f t="shared" si="24"/>
        <v>0</v>
      </c>
      <c r="S35">
        <f t="shared" si="25"/>
        <v>0</v>
      </c>
      <c r="T35">
        <f t="shared" si="26"/>
        <v>0</v>
      </c>
      <c r="U35">
        <f t="shared" si="27"/>
        <v>0</v>
      </c>
      <c r="V35">
        <f t="shared" si="28"/>
        <v>0</v>
      </c>
      <c r="W35">
        <f t="shared" si="29"/>
        <v>0</v>
      </c>
      <c r="X35">
        <f t="shared" si="30"/>
        <v>0</v>
      </c>
      <c r="Y35">
        <f t="shared" si="31"/>
        <v>0</v>
      </c>
      <c r="AA35">
        <v>44169784</v>
      </c>
      <c r="AB35">
        <f t="shared" si="32"/>
        <v>104.99</v>
      </c>
      <c r="AC35">
        <f t="shared" si="33"/>
        <v>104.99</v>
      </c>
      <c r="AD35">
        <f t="shared" si="34"/>
        <v>0</v>
      </c>
      <c r="AE35">
        <f t="shared" si="35"/>
        <v>0</v>
      </c>
      <c r="AF35">
        <f t="shared" si="36"/>
        <v>0</v>
      </c>
      <c r="AG35">
        <f t="shared" si="37"/>
        <v>0</v>
      </c>
      <c r="AH35">
        <f t="shared" si="38"/>
        <v>0</v>
      </c>
      <c r="AI35">
        <f t="shared" si="39"/>
        <v>0</v>
      </c>
      <c r="AJ35">
        <f t="shared" si="40"/>
        <v>0</v>
      </c>
      <c r="AK35">
        <v>104.99</v>
      </c>
      <c r="AL35">
        <v>104.99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1</v>
      </c>
      <c r="AW35">
        <v>1.002</v>
      </c>
      <c r="AZ35">
        <v>1</v>
      </c>
      <c r="BA35">
        <v>1</v>
      </c>
      <c r="BB35">
        <v>1</v>
      </c>
      <c r="BC35">
        <v>5.25</v>
      </c>
      <c r="BD35" t="s">
        <v>5</v>
      </c>
      <c r="BE35" t="s">
        <v>5</v>
      </c>
      <c r="BF35" t="s">
        <v>5</v>
      </c>
      <c r="BG35" t="s">
        <v>5</v>
      </c>
      <c r="BH35">
        <v>3</v>
      </c>
      <c r="BI35">
        <v>1</v>
      </c>
      <c r="BJ35" t="s">
        <v>60</v>
      </c>
      <c r="BM35">
        <v>146</v>
      </c>
      <c r="BN35">
        <v>0</v>
      </c>
      <c r="BO35" t="s">
        <v>57</v>
      </c>
      <c r="BP35">
        <v>1</v>
      </c>
      <c r="BQ35">
        <v>30</v>
      </c>
      <c r="BR35">
        <v>0</v>
      </c>
      <c r="BS35">
        <v>1</v>
      </c>
      <c r="BT35">
        <v>1</v>
      </c>
      <c r="BU35">
        <v>1</v>
      </c>
      <c r="BV35">
        <v>1</v>
      </c>
      <c r="BW35">
        <v>1</v>
      </c>
      <c r="BX35">
        <v>1</v>
      </c>
      <c r="BY35" t="s">
        <v>5</v>
      </c>
      <c r="BZ35">
        <v>0</v>
      </c>
      <c r="CA35">
        <v>0</v>
      </c>
      <c r="CE35">
        <v>30</v>
      </c>
      <c r="CF35">
        <v>0</v>
      </c>
      <c r="CG35">
        <v>0</v>
      </c>
      <c r="CM35">
        <v>0</v>
      </c>
      <c r="CN35" t="s">
        <v>5</v>
      </c>
      <c r="CO35">
        <v>0</v>
      </c>
      <c r="CP35">
        <f t="shared" si="41"/>
        <v>8311.91</v>
      </c>
      <c r="CQ35">
        <f t="shared" si="42"/>
        <v>552.29999999999995</v>
      </c>
      <c r="CR35">
        <f t="shared" si="43"/>
        <v>0</v>
      </c>
      <c r="CS35">
        <f t="shared" si="44"/>
        <v>0</v>
      </c>
      <c r="CT35">
        <f t="shared" si="45"/>
        <v>0</v>
      </c>
      <c r="CU35">
        <f t="shared" si="46"/>
        <v>0</v>
      </c>
      <c r="CV35">
        <f t="shared" si="47"/>
        <v>0</v>
      </c>
      <c r="CW35">
        <f t="shared" si="48"/>
        <v>0</v>
      </c>
      <c r="CX35">
        <f t="shared" si="49"/>
        <v>0</v>
      </c>
      <c r="CY35">
        <f t="shared" si="50"/>
        <v>0</v>
      </c>
      <c r="CZ35">
        <f t="shared" si="51"/>
        <v>0</v>
      </c>
      <c r="DC35" t="s">
        <v>5</v>
      </c>
      <c r="DD35" t="s">
        <v>5</v>
      </c>
      <c r="DE35" t="s">
        <v>5</v>
      </c>
      <c r="DF35" t="s">
        <v>5</v>
      </c>
      <c r="DG35" t="s">
        <v>5</v>
      </c>
      <c r="DH35" t="s">
        <v>5</v>
      </c>
      <c r="DI35" t="s">
        <v>5</v>
      </c>
      <c r="DJ35" t="s">
        <v>5</v>
      </c>
      <c r="DK35" t="s">
        <v>5</v>
      </c>
      <c r="DL35" t="s">
        <v>5</v>
      </c>
      <c r="DM35" t="s">
        <v>5</v>
      </c>
      <c r="DN35">
        <v>161</v>
      </c>
      <c r="DO35">
        <v>107</v>
      </c>
      <c r="DP35">
        <v>1.0469999999999999</v>
      </c>
      <c r="DQ35">
        <v>1.002</v>
      </c>
      <c r="DU35">
        <v>1007</v>
      </c>
      <c r="DV35" t="s">
        <v>59</v>
      </c>
      <c r="DW35" t="s">
        <v>59</v>
      </c>
      <c r="DX35">
        <v>1</v>
      </c>
      <c r="EE35">
        <v>44063965</v>
      </c>
      <c r="EF35">
        <v>30</v>
      </c>
      <c r="EG35" t="s">
        <v>53</v>
      </c>
      <c r="EH35">
        <v>0</v>
      </c>
      <c r="EI35" t="s">
        <v>5</v>
      </c>
      <c r="EJ35">
        <v>1</v>
      </c>
      <c r="EK35">
        <v>146</v>
      </c>
      <c r="EL35" t="s">
        <v>54</v>
      </c>
      <c r="EM35" t="s">
        <v>55</v>
      </c>
      <c r="EO35" t="s">
        <v>5</v>
      </c>
      <c r="EQ35">
        <v>0</v>
      </c>
      <c r="ER35">
        <v>104.99</v>
      </c>
      <c r="ES35">
        <v>104.99</v>
      </c>
      <c r="ET35">
        <v>0</v>
      </c>
      <c r="EU35">
        <v>0</v>
      </c>
      <c r="EV35">
        <v>0</v>
      </c>
      <c r="EW35">
        <v>0</v>
      </c>
      <c r="EX35">
        <v>0</v>
      </c>
      <c r="FQ35">
        <v>0</v>
      </c>
      <c r="FR35">
        <f t="shared" si="52"/>
        <v>0</v>
      </c>
      <c r="FS35">
        <v>0</v>
      </c>
      <c r="FX35">
        <v>161</v>
      </c>
      <c r="FY35">
        <v>107</v>
      </c>
      <c r="GA35" t="s">
        <v>5</v>
      </c>
      <c r="GD35">
        <v>0</v>
      </c>
      <c r="GF35">
        <v>2069056849</v>
      </c>
      <c r="GG35">
        <v>2</v>
      </c>
      <c r="GH35">
        <v>1</v>
      </c>
      <c r="GI35">
        <v>2</v>
      </c>
      <c r="GJ35">
        <v>0</v>
      </c>
      <c r="GK35">
        <f>ROUND(R35*(R12)/100,2)</f>
        <v>0</v>
      </c>
      <c r="GL35">
        <f t="shared" si="53"/>
        <v>0</v>
      </c>
      <c r="GM35">
        <f t="shared" si="54"/>
        <v>8311.91</v>
      </c>
      <c r="GN35">
        <f t="shared" si="55"/>
        <v>8311.91</v>
      </c>
      <c r="GO35">
        <f t="shared" si="56"/>
        <v>0</v>
      </c>
      <c r="GP35">
        <f t="shared" si="57"/>
        <v>0</v>
      </c>
      <c r="GR35">
        <v>0</v>
      </c>
      <c r="GS35">
        <v>3</v>
      </c>
      <c r="GT35">
        <v>0</v>
      </c>
      <c r="GU35" t="s">
        <v>5</v>
      </c>
      <c r="GV35">
        <f t="shared" si="58"/>
        <v>0</v>
      </c>
      <c r="GW35">
        <v>1</v>
      </c>
      <c r="GX35">
        <f t="shared" si="59"/>
        <v>0</v>
      </c>
      <c r="HA35">
        <v>0</v>
      </c>
      <c r="HB35">
        <v>0</v>
      </c>
      <c r="HC35">
        <f t="shared" si="60"/>
        <v>0</v>
      </c>
      <c r="IK35">
        <v>0</v>
      </c>
    </row>
    <row r="36" spans="1:245" x14ac:dyDescent="0.2">
      <c r="A36">
        <v>17</v>
      </c>
      <c r="B36">
        <v>1</v>
      </c>
      <c r="C36">
        <f>ROW(SmtRes!A35)</f>
        <v>35</v>
      </c>
      <c r="D36">
        <f>ROW(EtalonRes!A35)</f>
        <v>35</v>
      </c>
      <c r="E36" t="s">
        <v>61</v>
      </c>
      <c r="F36" t="s">
        <v>62</v>
      </c>
      <c r="G36" t="s">
        <v>63</v>
      </c>
      <c r="H36" t="s">
        <v>64</v>
      </c>
      <c r="I36">
        <f>ROUND((39.09)/1000,9)</f>
        <v>3.909E-2</v>
      </c>
      <c r="J36">
        <v>0</v>
      </c>
      <c r="O36">
        <f t="shared" si="21"/>
        <v>4916.08</v>
      </c>
      <c r="P36">
        <f t="shared" si="22"/>
        <v>1276.1600000000001</v>
      </c>
      <c r="Q36">
        <f t="shared" si="23"/>
        <v>953.88</v>
      </c>
      <c r="R36">
        <f t="shared" si="24"/>
        <v>313.74</v>
      </c>
      <c r="S36">
        <f t="shared" si="25"/>
        <v>2686.04</v>
      </c>
      <c r="T36">
        <f t="shared" si="26"/>
        <v>0</v>
      </c>
      <c r="U36">
        <f t="shared" si="27"/>
        <v>10.92757041</v>
      </c>
      <c r="V36">
        <f t="shared" si="28"/>
        <v>0</v>
      </c>
      <c r="W36">
        <f t="shared" si="29"/>
        <v>0</v>
      </c>
      <c r="X36">
        <f t="shared" si="30"/>
        <v>3518.71</v>
      </c>
      <c r="Y36">
        <f t="shared" si="31"/>
        <v>1450.46</v>
      </c>
      <c r="AA36">
        <v>44169784</v>
      </c>
      <c r="AB36">
        <f t="shared" si="32"/>
        <v>11728.36</v>
      </c>
      <c r="AC36">
        <f t="shared" si="33"/>
        <v>6731.62</v>
      </c>
      <c r="AD36">
        <f t="shared" si="34"/>
        <v>1934.25</v>
      </c>
      <c r="AE36">
        <f t="shared" si="35"/>
        <v>357.6</v>
      </c>
      <c r="AF36">
        <f t="shared" si="36"/>
        <v>3062.49</v>
      </c>
      <c r="AG36">
        <f t="shared" si="37"/>
        <v>0</v>
      </c>
      <c r="AH36">
        <f t="shared" si="38"/>
        <v>267</v>
      </c>
      <c r="AI36">
        <f t="shared" si="39"/>
        <v>0</v>
      </c>
      <c r="AJ36">
        <f t="shared" si="40"/>
        <v>0</v>
      </c>
      <c r="AK36">
        <v>11728.36</v>
      </c>
      <c r="AL36">
        <v>6731.62</v>
      </c>
      <c r="AM36">
        <v>1934.25</v>
      </c>
      <c r="AN36">
        <v>357.6</v>
      </c>
      <c r="AO36">
        <v>3062.49</v>
      </c>
      <c r="AP36">
        <v>0</v>
      </c>
      <c r="AQ36">
        <v>267</v>
      </c>
      <c r="AR36">
        <v>0</v>
      </c>
      <c r="AS36">
        <v>0</v>
      </c>
      <c r="AT36">
        <v>131</v>
      </c>
      <c r="AU36">
        <v>54</v>
      </c>
      <c r="AV36">
        <v>1.0469999999999999</v>
      </c>
      <c r="AW36">
        <v>1.002</v>
      </c>
      <c r="AZ36">
        <v>1</v>
      </c>
      <c r="BA36">
        <v>21.43</v>
      </c>
      <c r="BB36">
        <v>12.05</v>
      </c>
      <c r="BC36">
        <v>4.84</v>
      </c>
      <c r="BD36" t="s">
        <v>5</v>
      </c>
      <c r="BE36" t="s">
        <v>5</v>
      </c>
      <c r="BF36" t="s">
        <v>5</v>
      </c>
      <c r="BG36" t="s">
        <v>5</v>
      </c>
      <c r="BH36">
        <v>0</v>
      </c>
      <c r="BI36">
        <v>1</v>
      </c>
      <c r="BJ36" t="s">
        <v>65</v>
      </c>
      <c r="BM36">
        <v>152</v>
      </c>
      <c r="BN36">
        <v>0</v>
      </c>
      <c r="BO36" t="s">
        <v>62</v>
      </c>
      <c r="BP36">
        <v>1</v>
      </c>
      <c r="BQ36">
        <v>30</v>
      </c>
      <c r="BR36">
        <v>0</v>
      </c>
      <c r="BS36">
        <v>21.43</v>
      </c>
      <c r="BT36">
        <v>1</v>
      </c>
      <c r="BU36">
        <v>1</v>
      </c>
      <c r="BV36">
        <v>1</v>
      </c>
      <c r="BW36">
        <v>1</v>
      </c>
      <c r="BX36">
        <v>1</v>
      </c>
      <c r="BY36" t="s">
        <v>5</v>
      </c>
      <c r="BZ36">
        <v>131</v>
      </c>
      <c r="CA36">
        <v>54</v>
      </c>
      <c r="CE36">
        <v>30</v>
      </c>
      <c r="CF36">
        <v>0</v>
      </c>
      <c r="CG36">
        <v>0</v>
      </c>
      <c r="CM36">
        <v>0</v>
      </c>
      <c r="CN36" t="s">
        <v>5</v>
      </c>
      <c r="CO36">
        <v>0</v>
      </c>
      <c r="CP36">
        <f t="shared" si="41"/>
        <v>4916.08</v>
      </c>
      <c r="CQ36">
        <f t="shared" si="42"/>
        <v>32646.19</v>
      </c>
      <c r="CR36">
        <f t="shared" si="43"/>
        <v>24403.18</v>
      </c>
      <c r="CS36">
        <f t="shared" si="44"/>
        <v>8023.61</v>
      </c>
      <c r="CT36">
        <f t="shared" si="45"/>
        <v>68713.789999999994</v>
      </c>
      <c r="CU36">
        <f t="shared" si="46"/>
        <v>0</v>
      </c>
      <c r="CV36">
        <f t="shared" si="47"/>
        <v>279.54899999999998</v>
      </c>
      <c r="CW36">
        <f t="shared" si="48"/>
        <v>0</v>
      </c>
      <c r="CX36">
        <f t="shared" si="49"/>
        <v>0</v>
      </c>
      <c r="CY36">
        <f t="shared" si="50"/>
        <v>3518.7123999999999</v>
      </c>
      <c r="CZ36">
        <f t="shared" si="51"/>
        <v>1450.4616000000001</v>
      </c>
      <c r="DC36" t="s">
        <v>5</v>
      </c>
      <c r="DD36" t="s">
        <v>5</v>
      </c>
      <c r="DE36" t="s">
        <v>5</v>
      </c>
      <c r="DF36" t="s">
        <v>5</v>
      </c>
      <c r="DG36" t="s">
        <v>5</v>
      </c>
      <c r="DH36" t="s">
        <v>5</v>
      </c>
      <c r="DI36" t="s">
        <v>5</v>
      </c>
      <c r="DJ36" t="s">
        <v>5</v>
      </c>
      <c r="DK36" t="s">
        <v>5</v>
      </c>
      <c r="DL36" t="s">
        <v>5</v>
      </c>
      <c r="DM36" t="s">
        <v>5</v>
      </c>
      <c r="DN36">
        <v>161</v>
      </c>
      <c r="DO36">
        <v>107</v>
      </c>
      <c r="DP36">
        <v>1.0469999999999999</v>
      </c>
      <c r="DQ36">
        <v>1.002</v>
      </c>
      <c r="DU36">
        <v>1013</v>
      </c>
      <c r="DV36" t="s">
        <v>64</v>
      </c>
      <c r="DW36" t="s">
        <v>64</v>
      </c>
      <c r="DX36">
        <v>1</v>
      </c>
      <c r="EE36">
        <v>44063971</v>
      </c>
      <c r="EF36">
        <v>30</v>
      </c>
      <c r="EG36" t="s">
        <v>53</v>
      </c>
      <c r="EH36">
        <v>0</v>
      </c>
      <c r="EI36" t="s">
        <v>5</v>
      </c>
      <c r="EJ36">
        <v>1</v>
      </c>
      <c r="EK36">
        <v>152</v>
      </c>
      <c r="EL36" t="s">
        <v>66</v>
      </c>
      <c r="EM36" t="s">
        <v>67</v>
      </c>
      <c r="EO36" t="s">
        <v>5</v>
      </c>
      <c r="EQ36">
        <v>131072</v>
      </c>
      <c r="ER36">
        <v>11728.36</v>
      </c>
      <c r="ES36">
        <v>6731.62</v>
      </c>
      <c r="ET36">
        <v>1934.25</v>
      </c>
      <c r="EU36">
        <v>357.6</v>
      </c>
      <c r="EV36">
        <v>3062.49</v>
      </c>
      <c r="EW36">
        <v>267</v>
      </c>
      <c r="EX36">
        <v>0</v>
      </c>
      <c r="EY36">
        <v>0</v>
      </c>
      <c r="FQ36">
        <v>0</v>
      </c>
      <c r="FR36">
        <f t="shared" si="52"/>
        <v>0</v>
      </c>
      <c r="FS36">
        <v>0</v>
      </c>
      <c r="FX36">
        <v>161</v>
      </c>
      <c r="FY36">
        <v>107</v>
      </c>
      <c r="GA36" t="s">
        <v>5</v>
      </c>
      <c r="GD36">
        <v>0</v>
      </c>
      <c r="GF36">
        <v>931145273</v>
      </c>
      <c r="GG36">
        <v>2</v>
      </c>
      <c r="GH36">
        <v>1</v>
      </c>
      <c r="GI36">
        <v>2</v>
      </c>
      <c r="GJ36">
        <v>0</v>
      </c>
      <c r="GK36">
        <f>ROUND(R36*(R12)/100,2)</f>
        <v>492.57</v>
      </c>
      <c r="GL36">
        <f t="shared" si="53"/>
        <v>0</v>
      </c>
      <c r="GM36">
        <f t="shared" si="54"/>
        <v>10377.82</v>
      </c>
      <c r="GN36">
        <f t="shared" si="55"/>
        <v>10377.82</v>
      </c>
      <c r="GO36">
        <f t="shared" si="56"/>
        <v>0</v>
      </c>
      <c r="GP36">
        <f t="shared" si="57"/>
        <v>0</v>
      </c>
      <c r="GR36">
        <v>0</v>
      </c>
      <c r="GS36">
        <v>0</v>
      </c>
      <c r="GT36">
        <v>0</v>
      </c>
      <c r="GU36" t="s">
        <v>5</v>
      </c>
      <c r="GV36">
        <f t="shared" si="58"/>
        <v>0</v>
      </c>
      <c r="GW36">
        <v>1</v>
      </c>
      <c r="GX36">
        <f t="shared" si="59"/>
        <v>0</v>
      </c>
      <c r="HA36">
        <v>0</v>
      </c>
      <c r="HB36">
        <v>0</v>
      </c>
      <c r="HC36">
        <f t="shared" si="60"/>
        <v>0</v>
      </c>
      <c r="IK36">
        <v>0</v>
      </c>
    </row>
    <row r="37" spans="1:245" x14ac:dyDescent="0.2">
      <c r="A37">
        <v>18</v>
      </c>
      <c r="B37">
        <v>1</v>
      </c>
      <c r="C37">
        <v>34</v>
      </c>
      <c r="E37" t="s">
        <v>68</v>
      </c>
      <c r="F37" t="s">
        <v>69</v>
      </c>
      <c r="G37" t="s">
        <v>70</v>
      </c>
      <c r="H37" t="s">
        <v>59</v>
      </c>
      <c r="I37">
        <f>I36*J37</f>
        <v>6.3325800000000001</v>
      </c>
      <c r="J37">
        <v>162</v>
      </c>
      <c r="O37">
        <f t="shared" si="21"/>
        <v>24446.28</v>
      </c>
      <c r="P37">
        <f t="shared" si="22"/>
        <v>24446.28</v>
      </c>
      <c r="Q37">
        <f t="shared" si="23"/>
        <v>0</v>
      </c>
      <c r="R37">
        <f t="shared" si="24"/>
        <v>0</v>
      </c>
      <c r="S37">
        <f t="shared" si="25"/>
        <v>0</v>
      </c>
      <c r="T37">
        <f t="shared" si="26"/>
        <v>0</v>
      </c>
      <c r="U37">
        <f t="shared" si="27"/>
        <v>0</v>
      </c>
      <c r="V37">
        <f t="shared" si="28"/>
        <v>0</v>
      </c>
      <c r="W37">
        <f t="shared" si="29"/>
        <v>0</v>
      </c>
      <c r="X37">
        <f t="shared" si="30"/>
        <v>0</v>
      </c>
      <c r="Y37">
        <f t="shared" si="31"/>
        <v>0</v>
      </c>
      <c r="AA37">
        <v>44169784</v>
      </c>
      <c r="AB37">
        <f t="shared" si="32"/>
        <v>517.14</v>
      </c>
      <c r="AC37">
        <f t="shared" si="33"/>
        <v>517.14</v>
      </c>
      <c r="AD37">
        <f t="shared" si="34"/>
        <v>0</v>
      </c>
      <c r="AE37">
        <f t="shared" si="35"/>
        <v>0</v>
      </c>
      <c r="AF37">
        <f t="shared" si="36"/>
        <v>0</v>
      </c>
      <c r="AG37">
        <f t="shared" si="37"/>
        <v>0</v>
      </c>
      <c r="AH37">
        <f t="shared" si="38"/>
        <v>0</v>
      </c>
      <c r="AI37">
        <f t="shared" si="39"/>
        <v>0</v>
      </c>
      <c r="AJ37">
        <f t="shared" si="40"/>
        <v>0</v>
      </c>
      <c r="AK37">
        <v>517.14</v>
      </c>
      <c r="AL37">
        <v>517.14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1</v>
      </c>
      <c r="AW37">
        <v>1.002</v>
      </c>
      <c r="AZ37">
        <v>1</v>
      </c>
      <c r="BA37">
        <v>1</v>
      </c>
      <c r="BB37">
        <v>1</v>
      </c>
      <c r="BC37">
        <v>7.45</v>
      </c>
      <c r="BD37" t="s">
        <v>5</v>
      </c>
      <c r="BE37" t="s">
        <v>5</v>
      </c>
      <c r="BF37" t="s">
        <v>5</v>
      </c>
      <c r="BG37" t="s">
        <v>5</v>
      </c>
      <c r="BH37">
        <v>3</v>
      </c>
      <c r="BI37">
        <v>1</v>
      </c>
      <c r="BJ37" t="s">
        <v>71</v>
      </c>
      <c r="BM37">
        <v>152</v>
      </c>
      <c r="BN37">
        <v>0</v>
      </c>
      <c r="BO37" t="s">
        <v>69</v>
      </c>
      <c r="BP37">
        <v>1</v>
      </c>
      <c r="BQ37">
        <v>30</v>
      </c>
      <c r="BR37">
        <v>0</v>
      </c>
      <c r="BS37">
        <v>1</v>
      </c>
      <c r="BT37">
        <v>1</v>
      </c>
      <c r="BU37">
        <v>1</v>
      </c>
      <c r="BV37">
        <v>1</v>
      </c>
      <c r="BW37">
        <v>1</v>
      </c>
      <c r="BX37">
        <v>1</v>
      </c>
      <c r="BY37" t="s">
        <v>5</v>
      </c>
      <c r="BZ37">
        <v>0</v>
      </c>
      <c r="CA37">
        <v>0</v>
      </c>
      <c r="CE37">
        <v>30</v>
      </c>
      <c r="CF37">
        <v>0</v>
      </c>
      <c r="CG37">
        <v>0</v>
      </c>
      <c r="CM37">
        <v>0</v>
      </c>
      <c r="CN37" t="s">
        <v>5</v>
      </c>
      <c r="CO37">
        <v>0</v>
      </c>
      <c r="CP37">
        <f t="shared" si="41"/>
        <v>24446.28</v>
      </c>
      <c r="CQ37">
        <f t="shared" si="42"/>
        <v>3860.37</v>
      </c>
      <c r="CR37">
        <f t="shared" si="43"/>
        <v>0</v>
      </c>
      <c r="CS37">
        <f t="shared" si="44"/>
        <v>0</v>
      </c>
      <c r="CT37">
        <f t="shared" si="45"/>
        <v>0</v>
      </c>
      <c r="CU37">
        <f t="shared" si="46"/>
        <v>0</v>
      </c>
      <c r="CV37">
        <f t="shared" si="47"/>
        <v>0</v>
      </c>
      <c r="CW37">
        <f t="shared" si="48"/>
        <v>0</v>
      </c>
      <c r="CX37">
        <f t="shared" si="49"/>
        <v>0</v>
      </c>
      <c r="CY37">
        <f t="shared" si="50"/>
        <v>0</v>
      </c>
      <c r="CZ37">
        <f t="shared" si="51"/>
        <v>0</v>
      </c>
      <c r="DC37" t="s">
        <v>5</v>
      </c>
      <c r="DD37" t="s">
        <v>5</v>
      </c>
      <c r="DE37" t="s">
        <v>5</v>
      </c>
      <c r="DF37" t="s">
        <v>5</v>
      </c>
      <c r="DG37" t="s">
        <v>5</v>
      </c>
      <c r="DH37" t="s">
        <v>5</v>
      </c>
      <c r="DI37" t="s">
        <v>5</v>
      </c>
      <c r="DJ37" t="s">
        <v>5</v>
      </c>
      <c r="DK37" t="s">
        <v>5</v>
      </c>
      <c r="DL37" t="s">
        <v>5</v>
      </c>
      <c r="DM37" t="s">
        <v>5</v>
      </c>
      <c r="DN37">
        <v>161</v>
      </c>
      <c r="DO37">
        <v>107</v>
      </c>
      <c r="DP37">
        <v>1.0469999999999999</v>
      </c>
      <c r="DQ37">
        <v>1.002</v>
      </c>
      <c r="DU37">
        <v>1007</v>
      </c>
      <c r="DV37" t="s">
        <v>59</v>
      </c>
      <c r="DW37" t="s">
        <v>59</v>
      </c>
      <c r="DX37">
        <v>1</v>
      </c>
      <c r="EE37">
        <v>44063971</v>
      </c>
      <c r="EF37">
        <v>30</v>
      </c>
      <c r="EG37" t="s">
        <v>53</v>
      </c>
      <c r="EH37">
        <v>0</v>
      </c>
      <c r="EI37" t="s">
        <v>5</v>
      </c>
      <c r="EJ37">
        <v>1</v>
      </c>
      <c r="EK37">
        <v>152</v>
      </c>
      <c r="EL37" t="s">
        <v>66</v>
      </c>
      <c r="EM37" t="s">
        <v>67</v>
      </c>
      <c r="EO37" t="s">
        <v>5</v>
      </c>
      <c r="EQ37">
        <v>0</v>
      </c>
      <c r="ER37">
        <v>517.14</v>
      </c>
      <c r="ES37">
        <v>517.14</v>
      </c>
      <c r="ET37">
        <v>0</v>
      </c>
      <c r="EU37">
        <v>0</v>
      </c>
      <c r="EV37">
        <v>0</v>
      </c>
      <c r="EW37">
        <v>0</v>
      </c>
      <c r="EX37">
        <v>0</v>
      </c>
      <c r="FQ37">
        <v>0</v>
      </c>
      <c r="FR37">
        <f t="shared" si="52"/>
        <v>0</v>
      </c>
      <c r="FS37">
        <v>0</v>
      </c>
      <c r="FX37">
        <v>161</v>
      </c>
      <c r="FY37">
        <v>107</v>
      </c>
      <c r="GA37" t="s">
        <v>5</v>
      </c>
      <c r="GD37">
        <v>0</v>
      </c>
      <c r="GF37">
        <v>412444006</v>
      </c>
      <c r="GG37">
        <v>2</v>
      </c>
      <c r="GH37">
        <v>1</v>
      </c>
      <c r="GI37">
        <v>2</v>
      </c>
      <c r="GJ37">
        <v>0</v>
      </c>
      <c r="GK37">
        <f>ROUND(R37*(R12)/100,2)</f>
        <v>0</v>
      </c>
      <c r="GL37">
        <f t="shared" si="53"/>
        <v>0</v>
      </c>
      <c r="GM37">
        <f t="shared" si="54"/>
        <v>24446.28</v>
      </c>
      <c r="GN37">
        <f t="shared" si="55"/>
        <v>24446.28</v>
      </c>
      <c r="GO37">
        <f t="shared" si="56"/>
        <v>0</v>
      </c>
      <c r="GP37">
        <f t="shared" si="57"/>
        <v>0</v>
      </c>
      <c r="GR37">
        <v>0</v>
      </c>
      <c r="GS37">
        <v>3</v>
      </c>
      <c r="GT37">
        <v>0</v>
      </c>
      <c r="GU37" t="s">
        <v>5</v>
      </c>
      <c r="GV37">
        <f t="shared" si="58"/>
        <v>0</v>
      </c>
      <c r="GW37">
        <v>1</v>
      </c>
      <c r="GX37">
        <f t="shared" si="59"/>
        <v>0</v>
      </c>
      <c r="HA37">
        <v>0</v>
      </c>
      <c r="HB37">
        <v>0</v>
      </c>
      <c r="HC37">
        <f t="shared" si="60"/>
        <v>0</v>
      </c>
      <c r="IK37">
        <v>0</v>
      </c>
    </row>
    <row r="38" spans="1:245" x14ac:dyDescent="0.2">
      <c r="A38">
        <v>17</v>
      </c>
      <c r="B38">
        <v>1</v>
      </c>
      <c r="C38">
        <f>ROW(SmtRes!A38)</f>
        <v>38</v>
      </c>
      <c r="D38">
        <f>ROW(EtalonRes!A38)</f>
        <v>38</v>
      </c>
      <c r="E38" t="s">
        <v>72</v>
      </c>
      <c r="F38" t="s">
        <v>73</v>
      </c>
      <c r="G38" t="s">
        <v>74</v>
      </c>
      <c r="H38" t="s">
        <v>64</v>
      </c>
      <c r="I38">
        <f>ROUND(I36,9)</f>
        <v>3.909E-2</v>
      </c>
      <c r="J38">
        <v>0</v>
      </c>
      <c r="O38">
        <f t="shared" si="21"/>
        <v>60.33</v>
      </c>
      <c r="P38">
        <f t="shared" si="22"/>
        <v>8.26</v>
      </c>
      <c r="Q38">
        <f t="shared" si="23"/>
        <v>0</v>
      </c>
      <c r="R38">
        <f t="shared" si="24"/>
        <v>0</v>
      </c>
      <c r="S38">
        <f t="shared" si="25"/>
        <v>52.07</v>
      </c>
      <c r="T38">
        <f t="shared" si="26"/>
        <v>0</v>
      </c>
      <c r="U38">
        <f t="shared" si="27"/>
        <v>0.21159377909999999</v>
      </c>
      <c r="V38">
        <f t="shared" si="28"/>
        <v>0</v>
      </c>
      <c r="W38">
        <f t="shared" si="29"/>
        <v>0</v>
      </c>
      <c r="X38">
        <f t="shared" si="30"/>
        <v>68.209999999999994</v>
      </c>
      <c r="Y38">
        <f t="shared" si="31"/>
        <v>28.12</v>
      </c>
      <c r="AA38">
        <v>44169784</v>
      </c>
      <c r="AB38">
        <f t="shared" si="32"/>
        <v>117.9</v>
      </c>
      <c r="AC38">
        <f t="shared" si="33"/>
        <v>58.6</v>
      </c>
      <c r="AD38">
        <f t="shared" si="34"/>
        <v>0</v>
      </c>
      <c r="AE38">
        <f t="shared" si="35"/>
        <v>0</v>
      </c>
      <c r="AF38">
        <f t="shared" si="36"/>
        <v>59.3</v>
      </c>
      <c r="AG38">
        <f t="shared" si="37"/>
        <v>0</v>
      </c>
      <c r="AH38">
        <f t="shared" si="38"/>
        <v>5.17</v>
      </c>
      <c r="AI38">
        <f t="shared" si="39"/>
        <v>0</v>
      </c>
      <c r="AJ38">
        <f t="shared" si="40"/>
        <v>0</v>
      </c>
      <c r="AK38">
        <v>117.9</v>
      </c>
      <c r="AL38">
        <v>58.6</v>
      </c>
      <c r="AM38">
        <v>0</v>
      </c>
      <c r="AN38">
        <v>0</v>
      </c>
      <c r="AO38">
        <v>59.3</v>
      </c>
      <c r="AP38">
        <v>0</v>
      </c>
      <c r="AQ38">
        <v>5.17</v>
      </c>
      <c r="AR38">
        <v>0</v>
      </c>
      <c r="AS38">
        <v>0</v>
      </c>
      <c r="AT38">
        <v>131</v>
      </c>
      <c r="AU38">
        <v>54</v>
      </c>
      <c r="AV38">
        <v>1.0469999999999999</v>
      </c>
      <c r="AW38">
        <v>1.002</v>
      </c>
      <c r="AZ38">
        <v>1</v>
      </c>
      <c r="BA38">
        <v>21.43</v>
      </c>
      <c r="BB38">
        <v>1</v>
      </c>
      <c r="BC38">
        <v>3.59</v>
      </c>
      <c r="BD38" t="s">
        <v>5</v>
      </c>
      <c r="BE38" t="s">
        <v>5</v>
      </c>
      <c r="BF38" t="s">
        <v>5</v>
      </c>
      <c r="BG38" t="s">
        <v>5</v>
      </c>
      <c r="BH38">
        <v>0</v>
      </c>
      <c r="BI38">
        <v>1</v>
      </c>
      <c r="BJ38" t="s">
        <v>75</v>
      </c>
      <c r="BM38">
        <v>152</v>
      </c>
      <c r="BN38">
        <v>0</v>
      </c>
      <c r="BO38" t="s">
        <v>73</v>
      </c>
      <c r="BP38">
        <v>1</v>
      </c>
      <c r="BQ38">
        <v>30</v>
      </c>
      <c r="BR38">
        <v>0</v>
      </c>
      <c r="BS38">
        <v>21.43</v>
      </c>
      <c r="BT38">
        <v>1</v>
      </c>
      <c r="BU38">
        <v>1</v>
      </c>
      <c r="BV38">
        <v>1</v>
      </c>
      <c r="BW38">
        <v>1</v>
      </c>
      <c r="BX38">
        <v>1</v>
      </c>
      <c r="BY38" t="s">
        <v>5</v>
      </c>
      <c r="BZ38">
        <v>131</v>
      </c>
      <c r="CA38">
        <v>54</v>
      </c>
      <c r="CE38">
        <v>30</v>
      </c>
      <c r="CF38">
        <v>0</v>
      </c>
      <c r="CG38">
        <v>0</v>
      </c>
      <c r="CM38">
        <v>0</v>
      </c>
      <c r="CN38" t="s">
        <v>5</v>
      </c>
      <c r="CO38">
        <v>0</v>
      </c>
      <c r="CP38">
        <f t="shared" si="41"/>
        <v>60.33</v>
      </c>
      <c r="CQ38">
        <f t="shared" si="42"/>
        <v>210.8</v>
      </c>
      <c r="CR38">
        <f t="shared" si="43"/>
        <v>0</v>
      </c>
      <c r="CS38">
        <f t="shared" si="44"/>
        <v>0</v>
      </c>
      <c r="CT38">
        <f t="shared" si="45"/>
        <v>1330.59</v>
      </c>
      <c r="CU38">
        <f t="shared" si="46"/>
        <v>0</v>
      </c>
      <c r="CV38">
        <f t="shared" si="47"/>
        <v>5.4129899999999997</v>
      </c>
      <c r="CW38">
        <f t="shared" si="48"/>
        <v>0</v>
      </c>
      <c r="CX38">
        <f t="shared" si="49"/>
        <v>0</v>
      </c>
      <c r="CY38">
        <f t="shared" si="50"/>
        <v>68.211700000000008</v>
      </c>
      <c r="CZ38">
        <f t="shared" si="51"/>
        <v>28.117800000000003</v>
      </c>
      <c r="DC38" t="s">
        <v>5</v>
      </c>
      <c r="DD38" t="s">
        <v>5</v>
      </c>
      <c r="DE38" t="s">
        <v>5</v>
      </c>
      <c r="DF38" t="s">
        <v>5</v>
      </c>
      <c r="DG38" t="s">
        <v>5</v>
      </c>
      <c r="DH38" t="s">
        <v>5</v>
      </c>
      <c r="DI38" t="s">
        <v>5</v>
      </c>
      <c r="DJ38" t="s">
        <v>5</v>
      </c>
      <c r="DK38" t="s">
        <v>5</v>
      </c>
      <c r="DL38" t="s">
        <v>5</v>
      </c>
      <c r="DM38" t="s">
        <v>5</v>
      </c>
      <c r="DN38">
        <v>161</v>
      </c>
      <c r="DO38">
        <v>107</v>
      </c>
      <c r="DP38">
        <v>1.0469999999999999</v>
      </c>
      <c r="DQ38">
        <v>1.002</v>
      </c>
      <c r="DU38">
        <v>1013</v>
      </c>
      <c r="DV38" t="s">
        <v>64</v>
      </c>
      <c r="DW38" t="s">
        <v>64</v>
      </c>
      <c r="DX38">
        <v>1</v>
      </c>
      <c r="EE38">
        <v>44063971</v>
      </c>
      <c r="EF38">
        <v>30</v>
      </c>
      <c r="EG38" t="s">
        <v>53</v>
      </c>
      <c r="EH38">
        <v>0</v>
      </c>
      <c r="EI38" t="s">
        <v>5</v>
      </c>
      <c r="EJ38">
        <v>1</v>
      </c>
      <c r="EK38">
        <v>152</v>
      </c>
      <c r="EL38" t="s">
        <v>66</v>
      </c>
      <c r="EM38" t="s">
        <v>67</v>
      </c>
      <c r="EO38" t="s">
        <v>5</v>
      </c>
      <c r="EQ38">
        <v>131072</v>
      </c>
      <c r="ER38">
        <v>117.9</v>
      </c>
      <c r="ES38">
        <v>58.6</v>
      </c>
      <c r="ET38">
        <v>0</v>
      </c>
      <c r="EU38">
        <v>0</v>
      </c>
      <c r="EV38">
        <v>59.3</v>
      </c>
      <c r="EW38">
        <v>5.17</v>
      </c>
      <c r="EX38">
        <v>0</v>
      </c>
      <c r="EY38">
        <v>0</v>
      </c>
      <c r="FQ38">
        <v>0</v>
      </c>
      <c r="FR38">
        <f t="shared" si="52"/>
        <v>0</v>
      </c>
      <c r="FS38">
        <v>0</v>
      </c>
      <c r="FX38">
        <v>161</v>
      </c>
      <c r="FY38">
        <v>107</v>
      </c>
      <c r="GA38" t="s">
        <v>5</v>
      </c>
      <c r="GD38">
        <v>0</v>
      </c>
      <c r="GF38">
        <v>1470043862</v>
      </c>
      <c r="GG38">
        <v>2</v>
      </c>
      <c r="GH38">
        <v>1</v>
      </c>
      <c r="GI38">
        <v>2</v>
      </c>
      <c r="GJ38">
        <v>0</v>
      </c>
      <c r="GK38">
        <f>ROUND(R38*(R12)/100,2)</f>
        <v>0</v>
      </c>
      <c r="GL38">
        <f t="shared" si="53"/>
        <v>0</v>
      </c>
      <c r="GM38">
        <f t="shared" si="54"/>
        <v>156.66</v>
      </c>
      <c r="GN38">
        <f t="shared" si="55"/>
        <v>156.66</v>
      </c>
      <c r="GO38">
        <f t="shared" si="56"/>
        <v>0</v>
      </c>
      <c r="GP38">
        <f t="shared" si="57"/>
        <v>0</v>
      </c>
      <c r="GR38">
        <v>0</v>
      </c>
      <c r="GS38">
        <v>0</v>
      </c>
      <c r="GT38">
        <v>0</v>
      </c>
      <c r="GU38" t="s">
        <v>5</v>
      </c>
      <c r="GV38">
        <f t="shared" si="58"/>
        <v>0</v>
      </c>
      <c r="GW38">
        <v>1</v>
      </c>
      <c r="GX38">
        <f t="shared" si="59"/>
        <v>0</v>
      </c>
      <c r="HA38">
        <v>0</v>
      </c>
      <c r="HB38">
        <v>0</v>
      </c>
      <c r="HC38">
        <f t="shared" si="60"/>
        <v>0</v>
      </c>
      <c r="IK38">
        <v>0</v>
      </c>
    </row>
    <row r="39" spans="1:245" x14ac:dyDescent="0.2">
      <c r="A39">
        <v>18</v>
      </c>
      <c r="B39">
        <v>1</v>
      </c>
      <c r="C39">
        <v>37</v>
      </c>
      <c r="E39" t="s">
        <v>76</v>
      </c>
      <c r="F39" t="s">
        <v>69</v>
      </c>
      <c r="G39" t="s">
        <v>70</v>
      </c>
      <c r="H39" t="s">
        <v>59</v>
      </c>
      <c r="I39">
        <f>I38*J39</f>
        <v>0.39871800000000002</v>
      </c>
      <c r="J39">
        <v>10.200000000000001</v>
      </c>
      <c r="O39">
        <f t="shared" si="21"/>
        <v>1539.24</v>
      </c>
      <c r="P39">
        <f t="shared" si="22"/>
        <v>1539.24</v>
      </c>
      <c r="Q39">
        <f t="shared" si="23"/>
        <v>0</v>
      </c>
      <c r="R39">
        <f t="shared" si="24"/>
        <v>0</v>
      </c>
      <c r="S39">
        <f t="shared" si="25"/>
        <v>0</v>
      </c>
      <c r="T39">
        <f t="shared" si="26"/>
        <v>0</v>
      </c>
      <c r="U39">
        <f t="shared" si="27"/>
        <v>0</v>
      </c>
      <c r="V39">
        <f t="shared" si="28"/>
        <v>0</v>
      </c>
      <c r="W39">
        <f t="shared" si="29"/>
        <v>0</v>
      </c>
      <c r="X39">
        <f t="shared" si="30"/>
        <v>0</v>
      </c>
      <c r="Y39">
        <f t="shared" si="31"/>
        <v>0</v>
      </c>
      <c r="AA39">
        <v>44169784</v>
      </c>
      <c r="AB39">
        <f t="shared" si="32"/>
        <v>517.14</v>
      </c>
      <c r="AC39">
        <f t="shared" si="33"/>
        <v>517.14</v>
      </c>
      <c r="AD39">
        <f t="shared" si="34"/>
        <v>0</v>
      </c>
      <c r="AE39">
        <f t="shared" si="35"/>
        <v>0</v>
      </c>
      <c r="AF39">
        <f t="shared" si="36"/>
        <v>0</v>
      </c>
      <c r="AG39">
        <f t="shared" si="37"/>
        <v>0</v>
      </c>
      <c r="AH39">
        <f t="shared" si="38"/>
        <v>0</v>
      </c>
      <c r="AI39">
        <f t="shared" si="39"/>
        <v>0</v>
      </c>
      <c r="AJ39">
        <f t="shared" si="40"/>
        <v>0</v>
      </c>
      <c r="AK39">
        <v>517.14</v>
      </c>
      <c r="AL39">
        <v>517.14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1</v>
      </c>
      <c r="AW39">
        <v>1.002</v>
      </c>
      <c r="AZ39">
        <v>1</v>
      </c>
      <c r="BA39">
        <v>1</v>
      </c>
      <c r="BB39">
        <v>1</v>
      </c>
      <c r="BC39">
        <v>7.45</v>
      </c>
      <c r="BD39" t="s">
        <v>5</v>
      </c>
      <c r="BE39" t="s">
        <v>5</v>
      </c>
      <c r="BF39" t="s">
        <v>5</v>
      </c>
      <c r="BG39" t="s">
        <v>5</v>
      </c>
      <c r="BH39">
        <v>3</v>
      </c>
      <c r="BI39">
        <v>1</v>
      </c>
      <c r="BJ39" t="s">
        <v>71</v>
      </c>
      <c r="BM39">
        <v>152</v>
      </c>
      <c r="BN39">
        <v>0</v>
      </c>
      <c r="BO39" t="s">
        <v>69</v>
      </c>
      <c r="BP39">
        <v>1</v>
      </c>
      <c r="BQ39">
        <v>30</v>
      </c>
      <c r="BR39">
        <v>0</v>
      </c>
      <c r="BS39">
        <v>1</v>
      </c>
      <c r="BT39">
        <v>1</v>
      </c>
      <c r="BU39">
        <v>1</v>
      </c>
      <c r="BV39">
        <v>1</v>
      </c>
      <c r="BW39">
        <v>1</v>
      </c>
      <c r="BX39">
        <v>1</v>
      </c>
      <c r="BY39" t="s">
        <v>5</v>
      </c>
      <c r="BZ39">
        <v>0</v>
      </c>
      <c r="CA39">
        <v>0</v>
      </c>
      <c r="CE39">
        <v>30</v>
      </c>
      <c r="CF39">
        <v>0</v>
      </c>
      <c r="CG39">
        <v>0</v>
      </c>
      <c r="CM39">
        <v>0</v>
      </c>
      <c r="CN39" t="s">
        <v>5</v>
      </c>
      <c r="CO39">
        <v>0</v>
      </c>
      <c r="CP39">
        <f t="shared" si="41"/>
        <v>1539.24</v>
      </c>
      <c r="CQ39">
        <f t="shared" si="42"/>
        <v>3860.37</v>
      </c>
      <c r="CR39">
        <f t="shared" si="43"/>
        <v>0</v>
      </c>
      <c r="CS39">
        <f t="shared" si="44"/>
        <v>0</v>
      </c>
      <c r="CT39">
        <f t="shared" si="45"/>
        <v>0</v>
      </c>
      <c r="CU39">
        <f t="shared" si="46"/>
        <v>0</v>
      </c>
      <c r="CV39">
        <f t="shared" si="47"/>
        <v>0</v>
      </c>
      <c r="CW39">
        <f t="shared" si="48"/>
        <v>0</v>
      </c>
      <c r="CX39">
        <f t="shared" si="49"/>
        <v>0</v>
      </c>
      <c r="CY39">
        <f t="shared" si="50"/>
        <v>0</v>
      </c>
      <c r="CZ39">
        <f t="shared" si="51"/>
        <v>0</v>
      </c>
      <c r="DC39" t="s">
        <v>5</v>
      </c>
      <c r="DD39" t="s">
        <v>5</v>
      </c>
      <c r="DE39" t="s">
        <v>5</v>
      </c>
      <c r="DF39" t="s">
        <v>5</v>
      </c>
      <c r="DG39" t="s">
        <v>5</v>
      </c>
      <c r="DH39" t="s">
        <v>5</v>
      </c>
      <c r="DI39" t="s">
        <v>5</v>
      </c>
      <c r="DJ39" t="s">
        <v>5</v>
      </c>
      <c r="DK39" t="s">
        <v>5</v>
      </c>
      <c r="DL39" t="s">
        <v>5</v>
      </c>
      <c r="DM39" t="s">
        <v>5</v>
      </c>
      <c r="DN39">
        <v>161</v>
      </c>
      <c r="DO39">
        <v>107</v>
      </c>
      <c r="DP39">
        <v>1.0469999999999999</v>
      </c>
      <c r="DQ39">
        <v>1.002</v>
      </c>
      <c r="DU39">
        <v>1007</v>
      </c>
      <c r="DV39" t="s">
        <v>59</v>
      </c>
      <c r="DW39" t="s">
        <v>59</v>
      </c>
      <c r="DX39">
        <v>1</v>
      </c>
      <c r="EE39">
        <v>44063971</v>
      </c>
      <c r="EF39">
        <v>30</v>
      </c>
      <c r="EG39" t="s">
        <v>53</v>
      </c>
      <c r="EH39">
        <v>0</v>
      </c>
      <c r="EI39" t="s">
        <v>5</v>
      </c>
      <c r="EJ39">
        <v>1</v>
      </c>
      <c r="EK39">
        <v>152</v>
      </c>
      <c r="EL39" t="s">
        <v>66</v>
      </c>
      <c r="EM39" t="s">
        <v>67</v>
      </c>
      <c r="EO39" t="s">
        <v>5</v>
      </c>
      <c r="EQ39">
        <v>0</v>
      </c>
      <c r="ER39">
        <v>517.14</v>
      </c>
      <c r="ES39">
        <v>517.14</v>
      </c>
      <c r="ET39">
        <v>0</v>
      </c>
      <c r="EU39">
        <v>0</v>
      </c>
      <c r="EV39">
        <v>0</v>
      </c>
      <c r="EW39">
        <v>0</v>
      </c>
      <c r="EX39">
        <v>0</v>
      </c>
      <c r="FQ39">
        <v>0</v>
      </c>
      <c r="FR39">
        <f t="shared" si="52"/>
        <v>0</v>
      </c>
      <c r="FS39">
        <v>0</v>
      </c>
      <c r="FX39">
        <v>161</v>
      </c>
      <c r="FY39">
        <v>107</v>
      </c>
      <c r="GA39" t="s">
        <v>5</v>
      </c>
      <c r="GD39">
        <v>0</v>
      </c>
      <c r="GF39">
        <v>412444006</v>
      </c>
      <c r="GG39">
        <v>2</v>
      </c>
      <c r="GH39">
        <v>1</v>
      </c>
      <c r="GI39">
        <v>2</v>
      </c>
      <c r="GJ39">
        <v>0</v>
      </c>
      <c r="GK39">
        <f>ROUND(R39*(R12)/100,2)</f>
        <v>0</v>
      </c>
      <c r="GL39">
        <f t="shared" si="53"/>
        <v>0</v>
      </c>
      <c r="GM39">
        <f t="shared" si="54"/>
        <v>1539.24</v>
      </c>
      <c r="GN39">
        <f t="shared" si="55"/>
        <v>1539.24</v>
      </c>
      <c r="GO39">
        <f t="shared" si="56"/>
        <v>0</v>
      </c>
      <c r="GP39">
        <f t="shared" si="57"/>
        <v>0</v>
      </c>
      <c r="GR39">
        <v>0</v>
      </c>
      <c r="GS39">
        <v>3</v>
      </c>
      <c r="GT39">
        <v>0</v>
      </c>
      <c r="GU39" t="s">
        <v>5</v>
      </c>
      <c r="GV39">
        <f t="shared" si="58"/>
        <v>0</v>
      </c>
      <c r="GW39">
        <v>1</v>
      </c>
      <c r="GX39">
        <f t="shared" si="59"/>
        <v>0</v>
      </c>
      <c r="HA39">
        <v>0</v>
      </c>
      <c r="HB39">
        <v>0</v>
      </c>
      <c r="HC39">
        <f t="shared" si="60"/>
        <v>0</v>
      </c>
      <c r="IK39">
        <v>0</v>
      </c>
    </row>
    <row r="40" spans="1:245" x14ac:dyDescent="0.2">
      <c r="A40">
        <v>17</v>
      </c>
      <c r="B40">
        <v>1</v>
      </c>
      <c r="C40">
        <f>ROW(SmtRes!A49)</f>
        <v>49</v>
      </c>
      <c r="D40">
        <f>ROW(EtalonRes!A49)</f>
        <v>49</v>
      </c>
      <c r="E40" t="s">
        <v>77</v>
      </c>
      <c r="F40" t="s">
        <v>78</v>
      </c>
      <c r="G40" t="s">
        <v>79</v>
      </c>
      <c r="H40" t="s">
        <v>80</v>
      </c>
      <c r="I40">
        <f>ROUND(I36*10,9)</f>
        <v>0.39090000000000003</v>
      </c>
      <c r="J40">
        <v>0</v>
      </c>
      <c r="O40">
        <f t="shared" si="21"/>
        <v>2440.62</v>
      </c>
      <c r="P40">
        <f t="shared" si="22"/>
        <v>205.52</v>
      </c>
      <c r="Q40">
        <f t="shared" si="23"/>
        <v>1777.57</v>
      </c>
      <c r="R40">
        <f t="shared" si="24"/>
        <v>668.4</v>
      </c>
      <c r="S40">
        <f t="shared" si="25"/>
        <v>457.53</v>
      </c>
      <c r="T40">
        <f t="shared" si="26"/>
        <v>0</v>
      </c>
      <c r="U40">
        <f t="shared" si="27"/>
        <v>1.7557781670000001</v>
      </c>
      <c r="V40">
        <f t="shared" si="28"/>
        <v>0</v>
      </c>
      <c r="W40">
        <f t="shared" si="29"/>
        <v>0</v>
      </c>
      <c r="X40">
        <f t="shared" si="30"/>
        <v>599.36</v>
      </c>
      <c r="Y40">
        <f t="shared" si="31"/>
        <v>247.07</v>
      </c>
      <c r="AA40">
        <v>44169784</v>
      </c>
      <c r="AB40">
        <f t="shared" si="32"/>
        <v>529.23</v>
      </c>
      <c r="AC40">
        <f t="shared" si="33"/>
        <v>57.83</v>
      </c>
      <c r="AD40">
        <f t="shared" si="34"/>
        <v>419.23</v>
      </c>
      <c r="AE40">
        <f t="shared" si="35"/>
        <v>76.22</v>
      </c>
      <c r="AF40">
        <f t="shared" si="36"/>
        <v>52.17</v>
      </c>
      <c r="AG40">
        <f t="shared" si="37"/>
        <v>0</v>
      </c>
      <c r="AH40">
        <f t="shared" si="38"/>
        <v>4.29</v>
      </c>
      <c r="AI40">
        <f t="shared" si="39"/>
        <v>0</v>
      </c>
      <c r="AJ40">
        <f t="shared" si="40"/>
        <v>0</v>
      </c>
      <c r="AK40">
        <v>529.23</v>
      </c>
      <c r="AL40">
        <v>57.83</v>
      </c>
      <c r="AM40">
        <v>419.23</v>
      </c>
      <c r="AN40">
        <v>76.22</v>
      </c>
      <c r="AO40">
        <v>52.17</v>
      </c>
      <c r="AP40">
        <v>0</v>
      </c>
      <c r="AQ40">
        <v>4.29</v>
      </c>
      <c r="AR40">
        <v>0</v>
      </c>
      <c r="AS40">
        <v>0</v>
      </c>
      <c r="AT40">
        <v>131</v>
      </c>
      <c r="AU40">
        <v>54</v>
      </c>
      <c r="AV40">
        <v>1.0469999999999999</v>
      </c>
      <c r="AW40">
        <v>1</v>
      </c>
      <c r="AZ40">
        <v>1</v>
      </c>
      <c r="BA40">
        <v>21.43</v>
      </c>
      <c r="BB40">
        <v>10.36</v>
      </c>
      <c r="BC40">
        <v>9.09</v>
      </c>
      <c r="BD40" t="s">
        <v>5</v>
      </c>
      <c r="BE40" t="s">
        <v>5</v>
      </c>
      <c r="BF40" t="s">
        <v>5</v>
      </c>
      <c r="BG40" t="s">
        <v>5</v>
      </c>
      <c r="BH40">
        <v>0</v>
      </c>
      <c r="BI40">
        <v>1</v>
      </c>
      <c r="BJ40" t="s">
        <v>81</v>
      </c>
      <c r="BM40">
        <v>158</v>
      </c>
      <c r="BN40">
        <v>0</v>
      </c>
      <c r="BO40" t="s">
        <v>78</v>
      </c>
      <c r="BP40">
        <v>1</v>
      </c>
      <c r="BQ40">
        <v>30</v>
      </c>
      <c r="BR40">
        <v>0</v>
      </c>
      <c r="BS40">
        <v>21.43</v>
      </c>
      <c r="BT40">
        <v>1</v>
      </c>
      <c r="BU40">
        <v>1</v>
      </c>
      <c r="BV40">
        <v>1</v>
      </c>
      <c r="BW40">
        <v>1</v>
      </c>
      <c r="BX40">
        <v>1</v>
      </c>
      <c r="BY40" t="s">
        <v>5</v>
      </c>
      <c r="BZ40">
        <v>131</v>
      </c>
      <c r="CA40">
        <v>54</v>
      </c>
      <c r="CE40">
        <v>30</v>
      </c>
      <c r="CF40">
        <v>0</v>
      </c>
      <c r="CG40">
        <v>0</v>
      </c>
      <c r="CM40">
        <v>0</v>
      </c>
      <c r="CN40" t="s">
        <v>5</v>
      </c>
      <c r="CO40">
        <v>0</v>
      </c>
      <c r="CP40">
        <f t="shared" si="41"/>
        <v>2440.62</v>
      </c>
      <c r="CQ40">
        <f t="shared" si="42"/>
        <v>525.66999999999996</v>
      </c>
      <c r="CR40">
        <f t="shared" si="43"/>
        <v>4547.3100000000004</v>
      </c>
      <c r="CS40">
        <f t="shared" si="44"/>
        <v>1710.11</v>
      </c>
      <c r="CT40">
        <f t="shared" si="45"/>
        <v>1170.51</v>
      </c>
      <c r="CU40">
        <f t="shared" si="46"/>
        <v>0</v>
      </c>
      <c r="CV40">
        <f t="shared" si="47"/>
        <v>4.4916299999999998</v>
      </c>
      <c r="CW40">
        <f t="shared" si="48"/>
        <v>0</v>
      </c>
      <c r="CX40">
        <f t="shared" si="49"/>
        <v>0</v>
      </c>
      <c r="CY40">
        <f t="shared" si="50"/>
        <v>599.36429999999996</v>
      </c>
      <c r="CZ40">
        <f t="shared" si="51"/>
        <v>247.06620000000001</v>
      </c>
      <c r="DC40" t="s">
        <v>5</v>
      </c>
      <c r="DD40" t="s">
        <v>5</v>
      </c>
      <c r="DE40" t="s">
        <v>5</v>
      </c>
      <c r="DF40" t="s">
        <v>5</v>
      </c>
      <c r="DG40" t="s">
        <v>5</v>
      </c>
      <c r="DH40" t="s">
        <v>5</v>
      </c>
      <c r="DI40" t="s">
        <v>5</v>
      </c>
      <c r="DJ40" t="s">
        <v>5</v>
      </c>
      <c r="DK40" t="s">
        <v>5</v>
      </c>
      <c r="DL40" t="s">
        <v>5</v>
      </c>
      <c r="DM40" t="s">
        <v>5</v>
      </c>
      <c r="DN40">
        <v>161</v>
      </c>
      <c r="DO40">
        <v>107</v>
      </c>
      <c r="DP40">
        <v>1.0469999999999999</v>
      </c>
      <c r="DQ40">
        <v>1</v>
      </c>
      <c r="DU40">
        <v>1013</v>
      </c>
      <c r="DV40" t="s">
        <v>80</v>
      </c>
      <c r="DW40" t="s">
        <v>80</v>
      </c>
      <c r="DX40">
        <v>1</v>
      </c>
      <c r="EE40">
        <v>44063977</v>
      </c>
      <c r="EF40">
        <v>30</v>
      </c>
      <c r="EG40" t="s">
        <v>53</v>
      </c>
      <c r="EH40">
        <v>0</v>
      </c>
      <c r="EI40" t="s">
        <v>5</v>
      </c>
      <c r="EJ40">
        <v>1</v>
      </c>
      <c r="EK40">
        <v>158</v>
      </c>
      <c r="EL40" t="s">
        <v>82</v>
      </c>
      <c r="EM40" t="s">
        <v>83</v>
      </c>
      <c r="EO40" t="s">
        <v>5</v>
      </c>
      <c r="EQ40">
        <v>131072</v>
      </c>
      <c r="ER40">
        <v>529.23</v>
      </c>
      <c r="ES40">
        <v>57.83</v>
      </c>
      <c r="ET40">
        <v>419.23</v>
      </c>
      <c r="EU40">
        <v>76.22</v>
      </c>
      <c r="EV40">
        <v>52.17</v>
      </c>
      <c r="EW40">
        <v>4.29</v>
      </c>
      <c r="EX40">
        <v>0</v>
      </c>
      <c r="EY40">
        <v>0</v>
      </c>
      <c r="FQ40">
        <v>0</v>
      </c>
      <c r="FR40">
        <f t="shared" si="52"/>
        <v>0</v>
      </c>
      <c r="FS40">
        <v>0</v>
      </c>
      <c r="FX40">
        <v>161</v>
      </c>
      <c r="FY40">
        <v>107</v>
      </c>
      <c r="GA40" t="s">
        <v>5</v>
      </c>
      <c r="GD40">
        <v>0</v>
      </c>
      <c r="GF40">
        <v>432644731</v>
      </c>
      <c r="GG40">
        <v>2</v>
      </c>
      <c r="GH40">
        <v>1</v>
      </c>
      <c r="GI40">
        <v>2</v>
      </c>
      <c r="GJ40">
        <v>0</v>
      </c>
      <c r="GK40">
        <f>ROUND(R40*(R12)/100,2)</f>
        <v>1049.3900000000001</v>
      </c>
      <c r="GL40">
        <f t="shared" si="53"/>
        <v>0</v>
      </c>
      <c r="GM40">
        <f t="shared" si="54"/>
        <v>4336.4399999999996</v>
      </c>
      <c r="GN40">
        <f t="shared" si="55"/>
        <v>4336.4399999999996</v>
      </c>
      <c r="GO40">
        <f t="shared" si="56"/>
        <v>0</v>
      </c>
      <c r="GP40">
        <f t="shared" si="57"/>
        <v>0</v>
      </c>
      <c r="GR40">
        <v>0</v>
      </c>
      <c r="GS40">
        <v>0</v>
      </c>
      <c r="GT40">
        <v>0</v>
      </c>
      <c r="GU40" t="s">
        <v>5</v>
      </c>
      <c r="GV40">
        <f t="shared" si="58"/>
        <v>0</v>
      </c>
      <c r="GW40">
        <v>1</v>
      </c>
      <c r="GX40">
        <f t="shared" si="59"/>
        <v>0</v>
      </c>
      <c r="HA40">
        <v>0</v>
      </c>
      <c r="HB40">
        <v>0</v>
      </c>
      <c r="HC40">
        <f t="shared" si="60"/>
        <v>0</v>
      </c>
      <c r="IK40">
        <v>0</v>
      </c>
    </row>
    <row r="41" spans="1:245" x14ac:dyDescent="0.2">
      <c r="A41">
        <v>18</v>
      </c>
      <c r="B41">
        <v>1</v>
      </c>
      <c r="C41">
        <v>49</v>
      </c>
      <c r="E41" t="s">
        <v>84</v>
      </c>
      <c r="F41" t="s">
        <v>85</v>
      </c>
      <c r="G41" t="s">
        <v>86</v>
      </c>
      <c r="H41" t="s">
        <v>87</v>
      </c>
      <c r="I41">
        <f>I40*J41</f>
        <v>3.7448220000000001</v>
      </c>
      <c r="J41">
        <v>9.58</v>
      </c>
      <c r="O41">
        <f t="shared" si="21"/>
        <v>10366.469999999999</v>
      </c>
      <c r="P41">
        <f t="shared" si="22"/>
        <v>10366.469999999999</v>
      </c>
      <c r="Q41">
        <f t="shared" si="23"/>
        <v>0</v>
      </c>
      <c r="R41">
        <f t="shared" si="24"/>
        <v>0</v>
      </c>
      <c r="S41">
        <f t="shared" si="25"/>
        <v>0</v>
      </c>
      <c r="T41">
        <f t="shared" si="26"/>
        <v>0</v>
      </c>
      <c r="U41">
        <f t="shared" si="27"/>
        <v>0</v>
      </c>
      <c r="V41">
        <f t="shared" si="28"/>
        <v>0</v>
      </c>
      <c r="W41">
        <f t="shared" si="29"/>
        <v>0</v>
      </c>
      <c r="X41">
        <f t="shared" si="30"/>
        <v>0</v>
      </c>
      <c r="Y41">
        <f t="shared" si="31"/>
        <v>0</v>
      </c>
      <c r="AA41">
        <v>44169784</v>
      </c>
      <c r="AB41">
        <f t="shared" si="32"/>
        <v>296.7</v>
      </c>
      <c r="AC41">
        <f t="shared" si="33"/>
        <v>296.7</v>
      </c>
      <c r="AD41">
        <f t="shared" si="34"/>
        <v>0</v>
      </c>
      <c r="AE41">
        <f t="shared" si="35"/>
        <v>0</v>
      </c>
      <c r="AF41">
        <f t="shared" si="36"/>
        <v>0</v>
      </c>
      <c r="AG41">
        <f t="shared" si="37"/>
        <v>0</v>
      </c>
      <c r="AH41">
        <f t="shared" si="38"/>
        <v>0</v>
      </c>
      <c r="AI41">
        <f t="shared" si="39"/>
        <v>0</v>
      </c>
      <c r="AJ41">
        <f t="shared" si="40"/>
        <v>0</v>
      </c>
      <c r="AK41">
        <v>296.7</v>
      </c>
      <c r="AL41">
        <v>296.7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1</v>
      </c>
      <c r="AW41">
        <v>1</v>
      </c>
      <c r="AZ41">
        <v>1</v>
      </c>
      <c r="BA41">
        <v>1</v>
      </c>
      <c r="BB41">
        <v>1</v>
      </c>
      <c r="BC41">
        <v>9.33</v>
      </c>
      <c r="BD41" t="s">
        <v>5</v>
      </c>
      <c r="BE41" t="s">
        <v>5</v>
      </c>
      <c r="BF41" t="s">
        <v>5</v>
      </c>
      <c r="BG41" t="s">
        <v>5</v>
      </c>
      <c r="BH41">
        <v>3</v>
      </c>
      <c r="BI41">
        <v>1</v>
      </c>
      <c r="BJ41" t="s">
        <v>88</v>
      </c>
      <c r="BM41">
        <v>158</v>
      </c>
      <c r="BN41">
        <v>0</v>
      </c>
      <c r="BO41" t="s">
        <v>85</v>
      </c>
      <c r="BP41">
        <v>1</v>
      </c>
      <c r="BQ41">
        <v>30</v>
      </c>
      <c r="BR41">
        <v>0</v>
      </c>
      <c r="BS41">
        <v>1</v>
      </c>
      <c r="BT41">
        <v>1</v>
      </c>
      <c r="BU41">
        <v>1</v>
      </c>
      <c r="BV41">
        <v>1</v>
      </c>
      <c r="BW41">
        <v>1</v>
      </c>
      <c r="BX41">
        <v>1</v>
      </c>
      <c r="BY41" t="s">
        <v>5</v>
      </c>
      <c r="BZ41">
        <v>0</v>
      </c>
      <c r="CA41">
        <v>0</v>
      </c>
      <c r="CE41">
        <v>30</v>
      </c>
      <c r="CF41">
        <v>0</v>
      </c>
      <c r="CG41">
        <v>0</v>
      </c>
      <c r="CM41">
        <v>0</v>
      </c>
      <c r="CN41" t="s">
        <v>5</v>
      </c>
      <c r="CO41">
        <v>0</v>
      </c>
      <c r="CP41">
        <f t="shared" si="41"/>
        <v>10366.469999999999</v>
      </c>
      <c r="CQ41">
        <f t="shared" si="42"/>
        <v>2768.21</v>
      </c>
      <c r="CR41">
        <f t="shared" si="43"/>
        <v>0</v>
      </c>
      <c r="CS41">
        <f t="shared" si="44"/>
        <v>0</v>
      </c>
      <c r="CT41">
        <f t="shared" si="45"/>
        <v>0</v>
      </c>
      <c r="CU41">
        <f t="shared" si="46"/>
        <v>0</v>
      </c>
      <c r="CV41">
        <f t="shared" si="47"/>
        <v>0</v>
      </c>
      <c r="CW41">
        <f t="shared" si="48"/>
        <v>0</v>
      </c>
      <c r="CX41">
        <f t="shared" si="49"/>
        <v>0</v>
      </c>
      <c r="CY41">
        <f t="shared" si="50"/>
        <v>0</v>
      </c>
      <c r="CZ41">
        <f t="shared" si="51"/>
        <v>0</v>
      </c>
      <c r="DC41" t="s">
        <v>5</v>
      </c>
      <c r="DD41" t="s">
        <v>5</v>
      </c>
      <c r="DE41" t="s">
        <v>5</v>
      </c>
      <c r="DF41" t="s">
        <v>5</v>
      </c>
      <c r="DG41" t="s">
        <v>5</v>
      </c>
      <c r="DH41" t="s">
        <v>5</v>
      </c>
      <c r="DI41" t="s">
        <v>5</v>
      </c>
      <c r="DJ41" t="s">
        <v>5</v>
      </c>
      <c r="DK41" t="s">
        <v>5</v>
      </c>
      <c r="DL41" t="s">
        <v>5</v>
      </c>
      <c r="DM41" t="s">
        <v>5</v>
      </c>
      <c r="DN41">
        <v>161</v>
      </c>
      <c r="DO41">
        <v>107</v>
      </c>
      <c r="DP41">
        <v>1.0469999999999999</v>
      </c>
      <c r="DQ41">
        <v>1</v>
      </c>
      <c r="DU41">
        <v>1009</v>
      </c>
      <c r="DV41" t="s">
        <v>87</v>
      </c>
      <c r="DW41" t="s">
        <v>87</v>
      </c>
      <c r="DX41">
        <v>1000</v>
      </c>
      <c r="EE41">
        <v>44063977</v>
      </c>
      <c r="EF41">
        <v>30</v>
      </c>
      <c r="EG41" t="s">
        <v>53</v>
      </c>
      <c r="EH41">
        <v>0</v>
      </c>
      <c r="EI41" t="s">
        <v>5</v>
      </c>
      <c r="EJ41">
        <v>1</v>
      </c>
      <c r="EK41">
        <v>158</v>
      </c>
      <c r="EL41" t="s">
        <v>82</v>
      </c>
      <c r="EM41" t="s">
        <v>83</v>
      </c>
      <c r="EO41" t="s">
        <v>5</v>
      </c>
      <c r="EQ41">
        <v>0</v>
      </c>
      <c r="ER41">
        <v>296.7</v>
      </c>
      <c r="ES41">
        <v>296.7</v>
      </c>
      <c r="ET41">
        <v>0</v>
      </c>
      <c r="EU41">
        <v>0</v>
      </c>
      <c r="EV41">
        <v>0</v>
      </c>
      <c r="EW41">
        <v>0</v>
      </c>
      <c r="EX41">
        <v>0</v>
      </c>
      <c r="FQ41">
        <v>0</v>
      </c>
      <c r="FR41">
        <f t="shared" si="52"/>
        <v>0</v>
      </c>
      <c r="FS41">
        <v>0</v>
      </c>
      <c r="FX41">
        <v>161</v>
      </c>
      <c r="FY41">
        <v>107</v>
      </c>
      <c r="GA41" t="s">
        <v>5</v>
      </c>
      <c r="GD41">
        <v>0</v>
      </c>
      <c r="GF41">
        <v>-2026741202</v>
      </c>
      <c r="GG41">
        <v>2</v>
      </c>
      <c r="GH41">
        <v>1</v>
      </c>
      <c r="GI41">
        <v>2</v>
      </c>
      <c r="GJ41">
        <v>0</v>
      </c>
      <c r="GK41">
        <f>ROUND(R41*(R12)/100,2)</f>
        <v>0</v>
      </c>
      <c r="GL41">
        <f t="shared" si="53"/>
        <v>0</v>
      </c>
      <c r="GM41">
        <f t="shared" si="54"/>
        <v>10366.469999999999</v>
      </c>
      <c r="GN41">
        <f t="shared" si="55"/>
        <v>10366.469999999999</v>
      </c>
      <c r="GO41">
        <f t="shared" si="56"/>
        <v>0</v>
      </c>
      <c r="GP41">
        <f t="shared" si="57"/>
        <v>0</v>
      </c>
      <c r="GR41">
        <v>0</v>
      </c>
      <c r="GS41">
        <v>3</v>
      </c>
      <c r="GT41">
        <v>0</v>
      </c>
      <c r="GU41" t="s">
        <v>5</v>
      </c>
      <c r="GV41">
        <f t="shared" si="58"/>
        <v>0</v>
      </c>
      <c r="GW41">
        <v>1</v>
      </c>
      <c r="GX41">
        <f t="shared" si="59"/>
        <v>0</v>
      </c>
      <c r="HA41">
        <v>0</v>
      </c>
      <c r="HB41">
        <v>0</v>
      </c>
      <c r="HC41">
        <f t="shared" si="60"/>
        <v>0</v>
      </c>
      <c r="IK41">
        <v>0</v>
      </c>
    </row>
    <row r="42" spans="1:245" x14ac:dyDescent="0.2">
      <c r="A42">
        <v>17</v>
      </c>
      <c r="B42">
        <v>1</v>
      </c>
      <c r="C42">
        <f>ROW(SmtRes!A53)</f>
        <v>53</v>
      </c>
      <c r="D42">
        <f>ROW(EtalonRes!A53)</f>
        <v>53</v>
      </c>
      <c r="E42" t="s">
        <v>89</v>
      </c>
      <c r="F42" t="s">
        <v>90</v>
      </c>
      <c r="G42" t="s">
        <v>91</v>
      </c>
      <c r="H42" t="s">
        <v>80</v>
      </c>
      <c r="I42">
        <f>ROUND(I40,9)</f>
        <v>0.39090000000000003</v>
      </c>
      <c r="J42">
        <v>0</v>
      </c>
      <c r="O42">
        <f t="shared" si="21"/>
        <v>380.03</v>
      </c>
      <c r="P42">
        <f t="shared" si="22"/>
        <v>0</v>
      </c>
      <c r="Q42">
        <f>(ROUND((ROUND((((ET42*3))*AV42*I42),2)*BB42),2)+ROUND((ROUND(((AE42-((EU42*3)))*AV42*I42),2)*BS42),2))</f>
        <v>197.66</v>
      </c>
      <c r="R42">
        <f t="shared" si="24"/>
        <v>93.86</v>
      </c>
      <c r="S42">
        <f t="shared" si="25"/>
        <v>182.37</v>
      </c>
      <c r="T42">
        <f t="shared" si="26"/>
        <v>0</v>
      </c>
      <c r="U42">
        <f t="shared" si="27"/>
        <v>0.65074295700000007</v>
      </c>
      <c r="V42">
        <f t="shared" si="28"/>
        <v>0</v>
      </c>
      <c r="W42">
        <f t="shared" si="29"/>
        <v>0</v>
      </c>
      <c r="X42">
        <f t="shared" si="30"/>
        <v>238.9</v>
      </c>
      <c r="Y42">
        <f t="shared" si="31"/>
        <v>98.48</v>
      </c>
      <c r="AA42">
        <v>44169784</v>
      </c>
      <c r="AB42">
        <f t="shared" si="32"/>
        <v>72.84</v>
      </c>
      <c r="AC42">
        <f t="shared" si="33"/>
        <v>0</v>
      </c>
      <c r="AD42">
        <f>ROUND(((((ET42*3))-((EU42*3)))+AE42),6)</f>
        <v>52.05</v>
      </c>
      <c r="AE42">
        <f>ROUND(((EU42*3)),6)</f>
        <v>10.71</v>
      </c>
      <c r="AF42">
        <f>ROUND(((EV42*3)),6)</f>
        <v>20.79</v>
      </c>
      <c r="AG42">
        <f t="shared" si="37"/>
        <v>0</v>
      </c>
      <c r="AH42">
        <f>((EW42*3))</f>
        <v>1.59</v>
      </c>
      <c r="AI42">
        <f>((EX42*3))</f>
        <v>0</v>
      </c>
      <c r="AJ42">
        <f t="shared" si="40"/>
        <v>0</v>
      </c>
      <c r="AK42">
        <v>24.28</v>
      </c>
      <c r="AL42">
        <v>0</v>
      </c>
      <c r="AM42">
        <v>17.350000000000001</v>
      </c>
      <c r="AN42">
        <v>3.57</v>
      </c>
      <c r="AO42">
        <v>6.93</v>
      </c>
      <c r="AP42">
        <v>0</v>
      </c>
      <c r="AQ42">
        <v>0.53</v>
      </c>
      <c r="AR42">
        <v>0</v>
      </c>
      <c r="AS42">
        <v>0</v>
      </c>
      <c r="AT42">
        <v>131</v>
      </c>
      <c r="AU42">
        <v>54</v>
      </c>
      <c r="AV42">
        <v>1.0469999999999999</v>
      </c>
      <c r="AW42">
        <v>1</v>
      </c>
      <c r="AZ42">
        <v>1</v>
      </c>
      <c r="BA42">
        <v>21.43</v>
      </c>
      <c r="BB42">
        <v>9.2799999999999994</v>
      </c>
      <c r="BC42">
        <v>1</v>
      </c>
      <c r="BD42" t="s">
        <v>5</v>
      </c>
      <c r="BE42" t="s">
        <v>5</v>
      </c>
      <c r="BF42" t="s">
        <v>5</v>
      </c>
      <c r="BG42" t="s">
        <v>5</v>
      </c>
      <c r="BH42">
        <v>0</v>
      </c>
      <c r="BI42">
        <v>1</v>
      </c>
      <c r="BJ42" t="s">
        <v>92</v>
      </c>
      <c r="BM42">
        <v>158</v>
      </c>
      <c r="BN42">
        <v>0</v>
      </c>
      <c r="BO42" t="s">
        <v>90</v>
      </c>
      <c r="BP42">
        <v>1</v>
      </c>
      <c r="BQ42">
        <v>30</v>
      </c>
      <c r="BR42">
        <v>0</v>
      </c>
      <c r="BS42">
        <v>21.43</v>
      </c>
      <c r="BT42">
        <v>1</v>
      </c>
      <c r="BU42">
        <v>1</v>
      </c>
      <c r="BV42">
        <v>1</v>
      </c>
      <c r="BW42">
        <v>1</v>
      </c>
      <c r="BX42">
        <v>1</v>
      </c>
      <c r="BY42" t="s">
        <v>5</v>
      </c>
      <c r="BZ42">
        <v>131</v>
      </c>
      <c r="CA42">
        <v>54</v>
      </c>
      <c r="CE42">
        <v>30</v>
      </c>
      <c r="CF42">
        <v>0</v>
      </c>
      <c r="CG42">
        <v>0</v>
      </c>
      <c r="CM42">
        <v>0</v>
      </c>
      <c r="CN42" t="s">
        <v>5</v>
      </c>
      <c r="CO42">
        <v>0</v>
      </c>
      <c r="CP42">
        <f t="shared" si="41"/>
        <v>380.03</v>
      </c>
      <c r="CQ42">
        <f t="shared" si="42"/>
        <v>0</v>
      </c>
      <c r="CR42">
        <f>(ROUND((ROUND((((ET42*3))*AV42*1),2)*BB42),2)+ROUND((ROUND(((AE42-((EU42*3)))*AV42*1),2)*BS42),2))</f>
        <v>505.76</v>
      </c>
      <c r="CS42">
        <f t="shared" si="44"/>
        <v>240.23</v>
      </c>
      <c r="CT42">
        <f t="shared" si="45"/>
        <v>466.53</v>
      </c>
      <c r="CU42">
        <f t="shared" si="46"/>
        <v>0</v>
      </c>
      <c r="CV42">
        <f t="shared" si="47"/>
        <v>1.66473</v>
      </c>
      <c r="CW42">
        <f t="shared" si="48"/>
        <v>0</v>
      </c>
      <c r="CX42">
        <f t="shared" si="49"/>
        <v>0</v>
      </c>
      <c r="CY42">
        <f t="shared" si="50"/>
        <v>238.90470000000002</v>
      </c>
      <c r="CZ42">
        <f t="shared" si="51"/>
        <v>98.479800000000012</v>
      </c>
      <c r="DC42" t="s">
        <v>5</v>
      </c>
      <c r="DD42" t="s">
        <v>5</v>
      </c>
      <c r="DE42" t="s">
        <v>93</v>
      </c>
      <c r="DF42" t="s">
        <v>93</v>
      </c>
      <c r="DG42" t="s">
        <v>93</v>
      </c>
      <c r="DH42" t="s">
        <v>5</v>
      </c>
      <c r="DI42" t="s">
        <v>93</v>
      </c>
      <c r="DJ42" t="s">
        <v>93</v>
      </c>
      <c r="DK42" t="s">
        <v>5</v>
      </c>
      <c r="DL42" t="s">
        <v>5</v>
      </c>
      <c r="DM42" t="s">
        <v>5</v>
      </c>
      <c r="DN42">
        <v>161</v>
      </c>
      <c r="DO42">
        <v>107</v>
      </c>
      <c r="DP42">
        <v>1.0469999999999999</v>
      </c>
      <c r="DQ42">
        <v>1</v>
      </c>
      <c r="DU42">
        <v>1013</v>
      </c>
      <c r="DV42" t="s">
        <v>80</v>
      </c>
      <c r="DW42" t="s">
        <v>80</v>
      </c>
      <c r="DX42">
        <v>1</v>
      </c>
      <c r="EE42">
        <v>44063977</v>
      </c>
      <c r="EF42">
        <v>30</v>
      </c>
      <c r="EG42" t="s">
        <v>53</v>
      </c>
      <c r="EH42">
        <v>0</v>
      </c>
      <c r="EI42" t="s">
        <v>5</v>
      </c>
      <c r="EJ42">
        <v>1</v>
      </c>
      <c r="EK42">
        <v>158</v>
      </c>
      <c r="EL42" t="s">
        <v>82</v>
      </c>
      <c r="EM42" t="s">
        <v>83</v>
      </c>
      <c r="EO42" t="s">
        <v>5</v>
      </c>
      <c r="EQ42">
        <v>131072</v>
      </c>
      <c r="ER42">
        <v>24.28</v>
      </c>
      <c r="ES42">
        <v>0</v>
      </c>
      <c r="ET42">
        <v>17.350000000000001</v>
      </c>
      <c r="EU42">
        <v>3.57</v>
      </c>
      <c r="EV42">
        <v>6.93</v>
      </c>
      <c r="EW42">
        <v>0.53</v>
      </c>
      <c r="EX42">
        <v>0</v>
      </c>
      <c r="EY42">
        <v>0</v>
      </c>
      <c r="FQ42">
        <v>0</v>
      </c>
      <c r="FR42">
        <f t="shared" si="52"/>
        <v>0</v>
      </c>
      <c r="FS42">
        <v>0</v>
      </c>
      <c r="FX42">
        <v>161</v>
      </c>
      <c r="FY42">
        <v>107</v>
      </c>
      <c r="GA42" t="s">
        <v>5</v>
      </c>
      <c r="GD42">
        <v>0</v>
      </c>
      <c r="GF42">
        <v>-1638021445</v>
      </c>
      <c r="GG42">
        <v>2</v>
      </c>
      <c r="GH42">
        <v>1</v>
      </c>
      <c r="GI42">
        <v>2</v>
      </c>
      <c r="GJ42">
        <v>0</v>
      </c>
      <c r="GK42">
        <f>ROUND(R42*(R12)/100,2)</f>
        <v>147.36000000000001</v>
      </c>
      <c r="GL42">
        <f t="shared" si="53"/>
        <v>0</v>
      </c>
      <c r="GM42">
        <f t="shared" si="54"/>
        <v>864.77</v>
      </c>
      <c r="GN42">
        <f t="shared" si="55"/>
        <v>864.77</v>
      </c>
      <c r="GO42">
        <f t="shared" si="56"/>
        <v>0</v>
      </c>
      <c r="GP42">
        <f t="shared" si="57"/>
        <v>0</v>
      </c>
      <c r="GR42">
        <v>0</v>
      </c>
      <c r="GS42">
        <v>0</v>
      </c>
      <c r="GT42">
        <v>0</v>
      </c>
      <c r="GU42" t="s">
        <v>5</v>
      </c>
      <c r="GV42">
        <f t="shared" si="58"/>
        <v>0</v>
      </c>
      <c r="GW42">
        <v>1</v>
      </c>
      <c r="GX42">
        <f t="shared" si="59"/>
        <v>0</v>
      </c>
      <c r="HA42">
        <v>0</v>
      </c>
      <c r="HB42">
        <v>0</v>
      </c>
      <c r="HC42">
        <f t="shared" si="60"/>
        <v>0</v>
      </c>
      <c r="IK42">
        <v>0</v>
      </c>
    </row>
    <row r="43" spans="1:245" x14ac:dyDescent="0.2">
      <c r="A43">
        <v>18</v>
      </c>
      <c r="B43">
        <v>1</v>
      </c>
      <c r="C43">
        <v>53</v>
      </c>
      <c r="E43" t="s">
        <v>94</v>
      </c>
      <c r="F43" t="s">
        <v>85</v>
      </c>
      <c r="G43" t="s">
        <v>86</v>
      </c>
      <c r="H43" t="s">
        <v>87</v>
      </c>
      <c r="I43">
        <f>I42*J43</f>
        <v>2.8144800000000001</v>
      </c>
      <c r="J43">
        <v>7.2</v>
      </c>
      <c r="O43">
        <f t="shared" si="21"/>
        <v>7791.11</v>
      </c>
      <c r="P43">
        <f t="shared" si="22"/>
        <v>7791.11</v>
      </c>
      <c r="Q43">
        <f>(ROUND((ROUND(((ET43)*AV43*I43),2)*BB43),2)+ROUND((ROUND(((AE43-(EU43))*AV43*I43),2)*BS43),2))</f>
        <v>0</v>
      </c>
      <c r="R43">
        <f t="shared" si="24"/>
        <v>0</v>
      </c>
      <c r="S43">
        <f t="shared" si="25"/>
        <v>0</v>
      </c>
      <c r="T43">
        <f t="shared" si="26"/>
        <v>0</v>
      </c>
      <c r="U43">
        <f t="shared" si="27"/>
        <v>0</v>
      </c>
      <c r="V43">
        <f t="shared" si="28"/>
        <v>0</v>
      </c>
      <c r="W43">
        <f t="shared" si="29"/>
        <v>0</v>
      </c>
      <c r="X43">
        <f t="shared" si="30"/>
        <v>0</v>
      </c>
      <c r="Y43">
        <f t="shared" si="31"/>
        <v>0</v>
      </c>
      <c r="AA43">
        <v>44169784</v>
      </c>
      <c r="AB43">
        <f t="shared" si="32"/>
        <v>296.7</v>
      </c>
      <c r="AC43">
        <f t="shared" si="33"/>
        <v>296.7</v>
      </c>
      <c r="AD43">
        <f>ROUND((((ET43)-(EU43))+AE43),6)</f>
        <v>0</v>
      </c>
      <c r="AE43">
        <f t="shared" ref="AE43:AF45" si="61">ROUND((EU43),6)</f>
        <v>0</v>
      </c>
      <c r="AF43">
        <f t="shared" si="61"/>
        <v>0</v>
      </c>
      <c r="AG43">
        <f t="shared" si="37"/>
        <v>0</v>
      </c>
      <c r="AH43">
        <f t="shared" ref="AH43:AI45" si="62">(EW43)</f>
        <v>0</v>
      </c>
      <c r="AI43">
        <f t="shared" si="62"/>
        <v>0</v>
      </c>
      <c r="AJ43">
        <f t="shared" si="40"/>
        <v>0</v>
      </c>
      <c r="AK43">
        <v>296.7</v>
      </c>
      <c r="AL43">
        <v>296.7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1</v>
      </c>
      <c r="AW43">
        <v>1</v>
      </c>
      <c r="AZ43">
        <v>1</v>
      </c>
      <c r="BA43">
        <v>1</v>
      </c>
      <c r="BB43">
        <v>1</v>
      </c>
      <c r="BC43">
        <v>9.33</v>
      </c>
      <c r="BD43" t="s">
        <v>5</v>
      </c>
      <c r="BE43" t="s">
        <v>5</v>
      </c>
      <c r="BF43" t="s">
        <v>5</v>
      </c>
      <c r="BG43" t="s">
        <v>5</v>
      </c>
      <c r="BH43">
        <v>3</v>
      </c>
      <c r="BI43">
        <v>1</v>
      </c>
      <c r="BJ43" t="s">
        <v>88</v>
      </c>
      <c r="BM43">
        <v>158</v>
      </c>
      <c r="BN43">
        <v>0</v>
      </c>
      <c r="BO43" t="s">
        <v>85</v>
      </c>
      <c r="BP43">
        <v>1</v>
      </c>
      <c r="BQ43">
        <v>30</v>
      </c>
      <c r="BR43">
        <v>0</v>
      </c>
      <c r="BS43">
        <v>1</v>
      </c>
      <c r="BT43">
        <v>1</v>
      </c>
      <c r="BU43">
        <v>1</v>
      </c>
      <c r="BV43">
        <v>1</v>
      </c>
      <c r="BW43">
        <v>1</v>
      </c>
      <c r="BX43">
        <v>1</v>
      </c>
      <c r="BY43" t="s">
        <v>5</v>
      </c>
      <c r="BZ43">
        <v>0</v>
      </c>
      <c r="CA43">
        <v>0</v>
      </c>
      <c r="CE43">
        <v>30</v>
      </c>
      <c r="CF43">
        <v>0</v>
      </c>
      <c r="CG43">
        <v>0</v>
      </c>
      <c r="CM43">
        <v>0</v>
      </c>
      <c r="CN43" t="s">
        <v>5</v>
      </c>
      <c r="CO43">
        <v>0</v>
      </c>
      <c r="CP43">
        <f t="shared" si="41"/>
        <v>7791.11</v>
      </c>
      <c r="CQ43">
        <f t="shared" si="42"/>
        <v>2768.21</v>
      </c>
      <c r="CR43">
        <f>(ROUND((ROUND(((ET43)*AV43*1),2)*BB43),2)+ROUND((ROUND(((AE43-(EU43))*AV43*1),2)*BS43),2))</f>
        <v>0</v>
      </c>
      <c r="CS43">
        <f t="shared" si="44"/>
        <v>0</v>
      </c>
      <c r="CT43">
        <f t="shared" si="45"/>
        <v>0</v>
      </c>
      <c r="CU43">
        <f t="shared" si="46"/>
        <v>0</v>
      </c>
      <c r="CV43">
        <f t="shared" si="47"/>
        <v>0</v>
      </c>
      <c r="CW43">
        <f t="shared" si="48"/>
        <v>0</v>
      </c>
      <c r="CX43">
        <f t="shared" si="49"/>
        <v>0</v>
      </c>
      <c r="CY43">
        <f t="shared" si="50"/>
        <v>0</v>
      </c>
      <c r="CZ43">
        <f t="shared" si="51"/>
        <v>0</v>
      </c>
      <c r="DC43" t="s">
        <v>5</v>
      </c>
      <c r="DD43" t="s">
        <v>5</v>
      </c>
      <c r="DE43" t="s">
        <v>5</v>
      </c>
      <c r="DF43" t="s">
        <v>5</v>
      </c>
      <c r="DG43" t="s">
        <v>5</v>
      </c>
      <c r="DH43" t="s">
        <v>5</v>
      </c>
      <c r="DI43" t="s">
        <v>5</v>
      </c>
      <c r="DJ43" t="s">
        <v>5</v>
      </c>
      <c r="DK43" t="s">
        <v>5</v>
      </c>
      <c r="DL43" t="s">
        <v>5</v>
      </c>
      <c r="DM43" t="s">
        <v>5</v>
      </c>
      <c r="DN43">
        <v>161</v>
      </c>
      <c r="DO43">
        <v>107</v>
      </c>
      <c r="DP43">
        <v>1.0469999999999999</v>
      </c>
      <c r="DQ43">
        <v>1</v>
      </c>
      <c r="DU43">
        <v>1009</v>
      </c>
      <c r="DV43" t="s">
        <v>87</v>
      </c>
      <c r="DW43" t="s">
        <v>87</v>
      </c>
      <c r="DX43">
        <v>1000</v>
      </c>
      <c r="EE43">
        <v>44063977</v>
      </c>
      <c r="EF43">
        <v>30</v>
      </c>
      <c r="EG43" t="s">
        <v>53</v>
      </c>
      <c r="EH43">
        <v>0</v>
      </c>
      <c r="EI43" t="s">
        <v>5</v>
      </c>
      <c r="EJ43">
        <v>1</v>
      </c>
      <c r="EK43">
        <v>158</v>
      </c>
      <c r="EL43" t="s">
        <v>82</v>
      </c>
      <c r="EM43" t="s">
        <v>83</v>
      </c>
      <c r="EO43" t="s">
        <v>5</v>
      </c>
      <c r="EQ43">
        <v>0</v>
      </c>
      <c r="ER43">
        <v>296.7</v>
      </c>
      <c r="ES43">
        <v>296.7</v>
      </c>
      <c r="ET43">
        <v>0</v>
      </c>
      <c r="EU43">
        <v>0</v>
      </c>
      <c r="EV43">
        <v>0</v>
      </c>
      <c r="EW43">
        <v>0</v>
      </c>
      <c r="EX43">
        <v>0</v>
      </c>
      <c r="FQ43">
        <v>0</v>
      </c>
      <c r="FR43">
        <f t="shared" si="52"/>
        <v>0</v>
      </c>
      <c r="FS43">
        <v>0</v>
      </c>
      <c r="FX43">
        <v>161</v>
      </c>
      <c r="FY43">
        <v>107</v>
      </c>
      <c r="GA43" t="s">
        <v>5</v>
      </c>
      <c r="GD43">
        <v>0</v>
      </c>
      <c r="GF43">
        <v>-2026741202</v>
      </c>
      <c r="GG43">
        <v>2</v>
      </c>
      <c r="GH43">
        <v>1</v>
      </c>
      <c r="GI43">
        <v>2</v>
      </c>
      <c r="GJ43">
        <v>0</v>
      </c>
      <c r="GK43">
        <f>ROUND(R43*(R12)/100,2)</f>
        <v>0</v>
      </c>
      <c r="GL43">
        <f t="shared" si="53"/>
        <v>0</v>
      </c>
      <c r="GM43">
        <f t="shared" si="54"/>
        <v>7791.11</v>
      </c>
      <c r="GN43">
        <f t="shared" si="55"/>
        <v>7791.11</v>
      </c>
      <c r="GO43">
        <f t="shared" si="56"/>
        <v>0</v>
      </c>
      <c r="GP43">
        <f t="shared" si="57"/>
        <v>0</v>
      </c>
      <c r="GR43">
        <v>0</v>
      </c>
      <c r="GS43">
        <v>3</v>
      </c>
      <c r="GT43">
        <v>0</v>
      </c>
      <c r="GU43" t="s">
        <v>5</v>
      </c>
      <c r="GV43">
        <f t="shared" si="58"/>
        <v>0</v>
      </c>
      <c r="GW43">
        <v>1</v>
      </c>
      <c r="GX43">
        <f t="shared" si="59"/>
        <v>0</v>
      </c>
      <c r="HA43">
        <v>0</v>
      </c>
      <c r="HB43">
        <v>0</v>
      </c>
      <c r="HC43">
        <f t="shared" si="60"/>
        <v>0</v>
      </c>
      <c r="IK43">
        <v>0</v>
      </c>
    </row>
    <row r="44" spans="1:245" x14ac:dyDescent="0.2">
      <c r="A44">
        <v>17</v>
      </c>
      <c r="B44">
        <v>1</v>
      </c>
      <c r="C44">
        <f>ROW(SmtRes!A64)</f>
        <v>64</v>
      </c>
      <c r="D44">
        <f>ROW(EtalonRes!A64)</f>
        <v>64</v>
      </c>
      <c r="E44" t="s">
        <v>95</v>
      </c>
      <c r="F44" t="s">
        <v>78</v>
      </c>
      <c r="G44" t="s">
        <v>79</v>
      </c>
      <c r="H44" t="s">
        <v>80</v>
      </c>
      <c r="I44">
        <f>ROUND(I42,9)</f>
        <v>0.39090000000000003</v>
      </c>
      <c r="J44">
        <v>0</v>
      </c>
      <c r="O44">
        <f t="shared" si="21"/>
        <v>2440.62</v>
      </c>
      <c r="P44">
        <f t="shared" si="22"/>
        <v>205.52</v>
      </c>
      <c r="Q44">
        <f>(ROUND((ROUND(((ET44)*AV44*I44),2)*BB44),2)+ROUND((ROUND(((AE44-(EU44))*AV44*I44),2)*BS44),2))</f>
        <v>1777.57</v>
      </c>
      <c r="R44">
        <f t="shared" si="24"/>
        <v>668.4</v>
      </c>
      <c r="S44">
        <f t="shared" si="25"/>
        <v>457.53</v>
      </c>
      <c r="T44">
        <f t="shared" si="26"/>
        <v>0</v>
      </c>
      <c r="U44">
        <f t="shared" si="27"/>
        <v>1.7557781670000001</v>
      </c>
      <c r="V44">
        <f t="shared" si="28"/>
        <v>0</v>
      </c>
      <c r="W44">
        <f t="shared" si="29"/>
        <v>0</v>
      </c>
      <c r="X44">
        <f t="shared" si="30"/>
        <v>599.36</v>
      </c>
      <c r="Y44">
        <f t="shared" si="31"/>
        <v>247.07</v>
      </c>
      <c r="AA44">
        <v>44169784</v>
      </c>
      <c r="AB44">
        <f t="shared" si="32"/>
        <v>529.23</v>
      </c>
      <c r="AC44">
        <f t="shared" si="33"/>
        <v>57.83</v>
      </c>
      <c r="AD44">
        <f>ROUND((((ET44)-(EU44))+AE44),6)</f>
        <v>419.23</v>
      </c>
      <c r="AE44">
        <f t="shared" si="61"/>
        <v>76.22</v>
      </c>
      <c r="AF44">
        <f t="shared" si="61"/>
        <v>52.17</v>
      </c>
      <c r="AG44">
        <f t="shared" si="37"/>
        <v>0</v>
      </c>
      <c r="AH44">
        <f t="shared" si="62"/>
        <v>4.29</v>
      </c>
      <c r="AI44">
        <f t="shared" si="62"/>
        <v>0</v>
      </c>
      <c r="AJ44">
        <f t="shared" si="40"/>
        <v>0</v>
      </c>
      <c r="AK44">
        <v>529.23</v>
      </c>
      <c r="AL44">
        <v>57.83</v>
      </c>
      <c r="AM44">
        <v>419.23</v>
      </c>
      <c r="AN44">
        <v>76.22</v>
      </c>
      <c r="AO44">
        <v>52.17</v>
      </c>
      <c r="AP44">
        <v>0</v>
      </c>
      <c r="AQ44">
        <v>4.29</v>
      </c>
      <c r="AR44">
        <v>0</v>
      </c>
      <c r="AS44">
        <v>0</v>
      </c>
      <c r="AT44">
        <v>131</v>
      </c>
      <c r="AU44">
        <v>54</v>
      </c>
      <c r="AV44">
        <v>1.0469999999999999</v>
      </c>
      <c r="AW44">
        <v>1</v>
      </c>
      <c r="AZ44">
        <v>1</v>
      </c>
      <c r="BA44">
        <v>21.43</v>
      </c>
      <c r="BB44">
        <v>10.36</v>
      </c>
      <c r="BC44">
        <v>9.09</v>
      </c>
      <c r="BD44" t="s">
        <v>5</v>
      </c>
      <c r="BE44" t="s">
        <v>5</v>
      </c>
      <c r="BF44" t="s">
        <v>5</v>
      </c>
      <c r="BG44" t="s">
        <v>5</v>
      </c>
      <c r="BH44">
        <v>0</v>
      </c>
      <c r="BI44">
        <v>1</v>
      </c>
      <c r="BJ44" t="s">
        <v>81</v>
      </c>
      <c r="BM44">
        <v>158</v>
      </c>
      <c r="BN44">
        <v>0</v>
      </c>
      <c r="BO44" t="s">
        <v>78</v>
      </c>
      <c r="BP44">
        <v>1</v>
      </c>
      <c r="BQ44">
        <v>30</v>
      </c>
      <c r="BR44">
        <v>0</v>
      </c>
      <c r="BS44">
        <v>21.43</v>
      </c>
      <c r="BT44">
        <v>1</v>
      </c>
      <c r="BU44">
        <v>1</v>
      </c>
      <c r="BV44">
        <v>1</v>
      </c>
      <c r="BW44">
        <v>1</v>
      </c>
      <c r="BX44">
        <v>1</v>
      </c>
      <c r="BY44" t="s">
        <v>5</v>
      </c>
      <c r="BZ44">
        <v>131</v>
      </c>
      <c r="CA44">
        <v>54</v>
      </c>
      <c r="CE44">
        <v>30</v>
      </c>
      <c r="CF44">
        <v>0</v>
      </c>
      <c r="CG44">
        <v>0</v>
      </c>
      <c r="CM44">
        <v>0</v>
      </c>
      <c r="CN44" t="s">
        <v>5</v>
      </c>
      <c r="CO44">
        <v>0</v>
      </c>
      <c r="CP44">
        <f t="shared" si="41"/>
        <v>2440.62</v>
      </c>
      <c r="CQ44">
        <f t="shared" si="42"/>
        <v>525.66999999999996</v>
      </c>
      <c r="CR44">
        <f>(ROUND((ROUND(((ET44)*AV44*1),2)*BB44),2)+ROUND((ROUND(((AE44-(EU44))*AV44*1),2)*BS44),2))</f>
        <v>4547.3100000000004</v>
      </c>
      <c r="CS44">
        <f t="shared" si="44"/>
        <v>1710.11</v>
      </c>
      <c r="CT44">
        <f t="shared" si="45"/>
        <v>1170.51</v>
      </c>
      <c r="CU44">
        <f t="shared" si="46"/>
        <v>0</v>
      </c>
      <c r="CV44">
        <f t="shared" si="47"/>
        <v>4.4916299999999998</v>
      </c>
      <c r="CW44">
        <f t="shared" si="48"/>
        <v>0</v>
      </c>
      <c r="CX44">
        <f t="shared" si="49"/>
        <v>0</v>
      </c>
      <c r="CY44">
        <f t="shared" si="50"/>
        <v>599.36429999999996</v>
      </c>
      <c r="CZ44">
        <f t="shared" si="51"/>
        <v>247.06620000000001</v>
      </c>
      <c r="DC44" t="s">
        <v>5</v>
      </c>
      <c r="DD44" t="s">
        <v>5</v>
      </c>
      <c r="DE44" t="s">
        <v>5</v>
      </c>
      <c r="DF44" t="s">
        <v>5</v>
      </c>
      <c r="DG44" t="s">
        <v>5</v>
      </c>
      <c r="DH44" t="s">
        <v>5</v>
      </c>
      <c r="DI44" t="s">
        <v>5</v>
      </c>
      <c r="DJ44" t="s">
        <v>5</v>
      </c>
      <c r="DK44" t="s">
        <v>5</v>
      </c>
      <c r="DL44" t="s">
        <v>5</v>
      </c>
      <c r="DM44" t="s">
        <v>5</v>
      </c>
      <c r="DN44">
        <v>161</v>
      </c>
      <c r="DO44">
        <v>107</v>
      </c>
      <c r="DP44">
        <v>1.0469999999999999</v>
      </c>
      <c r="DQ44">
        <v>1</v>
      </c>
      <c r="DU44">
        <v>1013</v>
      </c>
      <c r="DV44" t="s">
        <v>80</v>
      </c>
      <c r="DW44" t="s">
        <v>80</v>
      </c>
      <c r="DX44">
        <v>1</v>
      </c>
      <c r="EE44">
        <v>44063977</v>
      </c>
      <c r="EF44">
        <v>30</v>
      </c>
      <c r="EG44" t="s">
        <v>53</v>
      </c>
      <c r="EH44">
        <v>0</v>
      </c>
      <c r="EI44" t="s">
        <v>5</v>
      </c>
      <c r="EJ44">
        <v>1</v>
      </c>
      <c r="EK44">
        <v>158</v>
      </c>
      <c r="EL44" t="s">
        <v>82</v>
      </c>
      <c r="EM44" t="s">
        <v>83</v>
      </c>
      <c r="EO44" t="s">
        <v>5</v>
      </c>
      <c r="EQ44">
        <v>131072</v>
      </c>
      <c r="ER44">
        <v>529.23</v>
      </c>
      <c r="ES44">
        <v>57.83</v>
      </c>
      <c r="ET44">
        <v>419.23</v>
      </c>
      <c r="EU44">
        <v>76.22</v>
      </c>
      <c r="EV44">
        <v>52.17</v>
      </c>
      <c r="EW44">
        <v>4.29</v>
      </c>
      <c r="EX44">
        <v>0</v>
      </c>
      <c r="EY44">
        <v>0</v>
      </c>
      <c r="FQ44">
        <v>0</v>
      </c>
      <c r="FR44">
        <f t="shared" si="52"/>
        <v>0</v>
      </c>
      <c r="FS44">
        <v>0</v>
      </c>
      <c r="FX44">
        <v>161</v>
      </c>
      <c r="FY44">
        <v>107</v>
      </c>
      <c r="GA44" t="s">
        <v>5</v>
      </c>
      <c r="GD44">
        <v>0</v>
      </c>
      <c r="GF44">
        <v>432644731</v>
      </c>
      <c r="GG44">
        <v>2</v>
      </c>
      <c r="GH44">
        <v>1</v>
      </c>
      <c r="GI44">
        <v>2</v>
      </c>
      <c r="GJ44">
        <v>0</v>
      </c>
      <c r="GK44">
        <f>ROUND(R44*(R12)/100,2)</f>
        <v>1049.3900000000001</v>
      </c>
      <c r="GL44">
        <f t="shared" si="53"/>
        <v>0</v>
      </c>
      <c r="GM44">
        <f t="shared" si="54"/>
        <v>4336.4399999999996</v>
      </c>
      <c r="GN44">
        <f t="shared" si="55"/>
        <v>4336.4399999999996</v>
      </c>
      <c r="GO44">
        <f t="shared" si="56"/>
        <v>0</v>
      </c>
      <c r="GP44">
        <f t="shared" si="57"/>
        <v>0</v>
      </c>
      <c r="GR44">
        <v>0</v>
      </c>
      <c r="GS44">
        <v>0</v>
      </c>
      <c r="GT44">
        <v>0</v>
      </c>
      <c r="GU44" t="s">
        <v>5</v>
      </c>
      <c r="GV44">
        <f t="shared" si="58"/>
        <v>0</v>
      </c>
      <c r="GW44">
        <v>1</v>
      </c>
      <c r="GX44">
        <f t="shared" si="59"/>
        <v>0</v>
      </c>
      <c r="HA44">
        <v>0</v>
      </c>
      <c r="HB44">
        <v>0</v>
      </c>
      <c r="HC44">
        <f t="shared" si="60"/>
        <v>0</v>
      </c>
      <c r="IK44">
        <v>0</v>
      </c>
    </row>
    <row r="45" spans="1:245" x14ac:dyDescent="0.2">
      <c r="A45">
        <v>18</v>
      </c>
      <c r="B45">
        <v>1</v>
      </c>
      <c r="C45">
        <v>64</v>
      </c>
      <c r="E45" t="s">
        <v>96</v>
      </c>
      <c r="F45" t="s">
        <v>85</v>
      </c>
      <c r="G45" t="s">
        <v>86</v>
      </c>
      <c r="H45" t="s">
        <v>87</v>
      </c>
      <c r="I45">
        <f>I44*J45</f>
        <v>3.7448220000000001</v>
      </c>
      <c r="J45">
        <v>9.58</v>
      </c>
      <c r="O45">
        <f t="shared" si="21"/>
        <v>10366.469999999999</v>
      </c>
      <c r="P45">
        <f t="shared" si="22"/>
        <v>10366.469999999999</v>
      </c>
      <c r="Q45">
        <f>(ROUND((ROUND(((ET45)*AV45*I45),2)*BB45),2)+ROUND((ROUND(((AE45-(EU45))*AV45*I45),2)*BS45),2))</f>
        <v>0</v>
      </c>
      <c r="R45">
        <f t="shared" si="24"/>
        <v>0</v>
      </c>
      <c r="S45">
        <f t="shared" si="25"/>
        <v>0</v>
      </c>
      <c r="T45">
        <f t="shared" si="26"/>
        <v>0</v>
      </c>
      <c r="U45">
        <f t="shared" si="27"/>
        <v>0</v>
      </c>
      <c r="V45">
        <f t="shared" si="28"/>
        <v>0</v>
      </c>
      <c r="W45">
        <f t="shared" si="29"/>
        <v>0</v>
      </c>
      <c r="X45">
        <f t="shared" si="30"/>
        <v>0</v>
      </c>
      <c r="Y45">
        <f t="shared" si="31"/>
        <v>0</v>
      </c>
      <c r="AA45">
        <v>44169784</v>
      </c>
      <c r="AB45">
        <f t="shared" si="32"/>
        <v>296.7</v>
      </c>
      <c r="AC45">
        <f t="shared" si="33"/>
        <v>296.7</v>
      </c>
      <c r="AD45">
        <f>ROUND((((ET45)-(EU45))+AE45),6)</f>
        <v>0</v>
      </c>
      <c r="AE45">
        <f t="shared" si="61"/>
        <v>0</v>
      </c>
      <c r="AF45">
        <f t="shared" si="61"/>
        <v>0</v>
      </c>
      <c r="AG45">
        <f t="shared" si="37"/>
        <v>0</v>
      </c>
      <c r="AH45">
        <f t="shared" si="62"/>
        <v>0</v>
      </c>
      <c r="AI45">
        <f t="shared" si="62"/>
        <v>0</v>
      </c>
      <c r="AJ45">
        <f t="shared" si="40"/>
        <v>0</v>
      </c>
      <c r="AK45">
        <v>296.7</v>
      </c>
      <c r="AL45">
        <v>296.7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1</v>
      </c>
      <c r="AW45">
        <v>1</v>
      </c>
      <c r="AZ45">
        <v>1</v>
      </c>
      <c r="BA45">
        <v>1</v>
      </c>
      <c r="BB45">
        <v>1</v>
      </c>
      <c r="BC45">
        <v>9.33</v>
      </c>
      <c r="BD45" t="s">
        <v>5</v>
      </c>
      <c r="BE45" t="s">
        <v>5</v>
      </c>
      <c r="BF45" t="s">
        <v>5</v>
      </c>
      <c r="BG45" t="s">
        <v>5</v>
      </c>
      <c r="BH45">
        <v>3</v>
      </c>
      <c r="BI45">
        <v>1</v>
      </c>
      <c r="BJ45" t="s">
        <v>88</v>
      </c>
      <c r="BM45">
        <v>158</v>
      </c>
      <c r="BN45">
        <v>0</v>
      </c>
      <c r="BO45" t="s">
        <v>85</v>
      </c>
      <c r="BP45">
        <v>1</v>
      </c>
      <c r="BQ45">
        <v>30</v>
      </c>
      <c r="BR45">
        <v>0</v>
      </c>
      <c r="BS45">
        <v>1</v>
      </c>
      <c r="BT45">
        <v>1</v>
      </c>
      <c r="BU45">
        <v>1</v>
      </c>
      <c r="BV45">
        <v>1</v>
      </c>
      <c r="BW45">
        <v>1</v>
      </c>
      <c r="BX45">
        <v>1</v>
      </c>
      <c r="BY45" t="s">
        <v>5</v>
      </c>
      <c r="BZ45">
        <v>0</v>
      </c>
      <c r="CA45">
        <v>0</v>
      </c>
      <c r="CE45">
        <v>30</v>
      </c>
      <c r="CF45">
        <v>0</v>
      </c>
      <c r="CG45">
        <v>0</v>
      </c>
      <c r="CM45">
        <v>0</v>
      </c>
      <c r="CN45" t="s">
        <v>5</v>
      </c>
      <c r="CO45">
        <v>0</v>
      </c>
      <c r="CP45">
        <f t="shared" si="41"/>
        <v>10366.469999999999</v>
      </c>
      <c r="CQ45">
        <f t="shared" si="42"/>
        <v>2768.21</v>
      </c>
      <c r="CR45">
        <f>(ROUND((ROUND(((ET45)*AV45*1),2)*BB45),2)+ROUND((ROUND(((AE45-(EU45))*AV45*1),2)*BS45),2))</f>
        <v>0</v>
      </c>
      <c r="CS45">
        <f t="shared" si="44"/>
        <v>0</v>
      </c>
      <c r="CT45">
        <f t="shared" si="45"/>
        <v>0</v>
      </c>
      <c r="CU45">
        <f t="shared" si="46"/>
        <v>0</v>
      </c>
      <c r="CV45">
        <f t="shared" si="47"/>
        <v>0</v>
      </c>
      <c r="CW45">
        <f t="shared" si="48"/>
        <v>0</v>
      </c>
      <c r="CX45">
        <f t="shared" si="49"/>
        <v>0</v>
      </c>
      <c r="CY45">
        <f t="shared" si="50"/>
        <v>0</v>
      </c>
      <c r="CZ45">
        <f t="shared" si="51"/>
        <v>0</v>
      </c>
      <c r="DC45" t="s">
        <v>5</v>
      </c>
      <c r="DD45" t="s">
        <v>5</v>
      </c>
      <c r="DE45" t="s">
        <v>5</v>
      </c>
      <c r="DF45" t="s">
        <v>5</v>
      </c>
      <c r="DG45" t="s">
        <v>5</v>
      </c>
      <c r="DH45" t="s">
        <v>5</v>
      </c>
      <c r="DI45" t="s">
        <v>5</v>
      </c>
      <c r="DJ45" t="s">
        <v>5</v>
      </c>
      <c r="DK45" t="s">
        <v>5</v>
      </c>
      <c r="DL45" t="s">
        <v>5</v>
      </c>
      <c r="DM45" t="s">
        <v>5</v>
      </c>
      <c r="DN45">
        <v>161</v>
      </c>
      <c r="DO45">
        <v>107</v>
      </c>
      <c r="DP45">
        <v>1.0469999999999999</v>
      </c>
      <c r="DQ45">
        <v>1</v>
      </c>
      <c r="DU45">
        <v>1009</v>
      </c>
      <c r="DV45" t="s">
        <v>87</v>
      </c>
      <c r="DW45" t="s">
        <v>87</v>
      </c>
      <c r="DX45">
        <v>1000</v>
      </c>
      <c r="EE45">
        <v>44063977</v>
      </c>
      <c r="EF45">
        <v>30</v>
      </c>
      <c r="EG45" t="s">
        <v>53</v>
      </c>
      <c r="EH45">
        <v>0</v>
      </c>
      <c r="EI45" t="s">
        <v>5</v>
      </c>
      <c r="EJ45">
        <v>1</v>
      </c>
      <c r="EK45">
        <v>158</v>
      </c>
      <c r="EL45" t="s">
        <v>82</v>
      </c>
      <c r="EM45" t="s">
        <v>83</v>
      </c>
      <c r="EO45" t="s">
        <v>5</v>
      </c>
      <c r="EQ45">
        <v>0</v>
      </c>
      <c r="ER45">
        <v>296.7</v>
      </c>
      <c r="ES45">
        <v>296.7</v>
      </c>
      <c r="ET45">
        <v>0</v>
      </c>
      <c r="EU45">
        <v>0</v>
      </c>
      <c r="EV45">
        <v>0</v>
      </c>
      <c r="EW45">
        <v>0</v>
      </c>
      <c r="EX45">
        <v>0</v>
      </c>
      <c r="FQ45">
        <v>0</v>
      </c>
      <c r="FR45">
        <f t="shared" si="52"/>
        <v>0</v>
      </c>
      <c r="FS45">
        <v>0</v>
      </c>
      <c r="FX45">
        <v>161</v>
      </c>
      <c r="FY45">
        <v>107</v>
      </c>
      <c r="GA45" t="s">
        <v>5</v>
      </c>
      <c r="GD45">
        <v>0</v>
      </c>
      <c r="GF45">
        <v>-2026741202</v>
      </c>
      <c r="GG45">
        <v>2</v>
      </c>
      <c r="GH45">
        <v>1</v>
      </c>
      <c r="GI45">
        <v>2</v>
      </c>
      <c r="GJ45">
        <v>0</v>
      </c>
      <c r="GK45">
        <f>ROUND(R45*(R12)/100,2)</f>
        <v>0</v>
      </c>
      <c r="GL45">
        <f t="shared" si="53"/>
        <v>0</v>
      </c>
      <c r="GM45">
        <f t="shared" si="54"/>
        <v>10366.469999999999</v>
      </c>
      <c r="GN45">
        <f t="shared" si="55"/>
        <v>10366.469999999999</v>
      </c>
      <c r="GO45">
        <f t="shared" si="56"/>
        <v>0</v>
      </c>
      <c r="GP45">
        <f t="shared" si="57"/>
        <v>0</v>
      </c>
      <c r="GR45">
        <v>0</v>
      </c>
      <c r="GS45">
        <v>3</v>
      </c>
      <c r="GT45">
        <v>0</v>
      </c>
      <c r="GU45" t="s">
        <v>5</v>
      </c>
      <c r="GV45">
        <f t="shared" si="58"/>
        <v>0</v>
      </c>
      <c r="GW45">
        <v>1</v>
      </c>
      <c r="GX45">
        <f t="shared" si="59"/>
        <v>0</v>
      </c>
      <c r="HA45">
        <v>0</v>
      </c>
      <c r="HB45">
        <v>0</v>
      </c>
      <c r="HC45">
        <f t="shared" si="60"/>
        <v>0</v>
      </c>
      <c r="IK45">
        <v>0</v>
      </c>
    </row>
    <row r="46" spans="1:245" x14ac:dyDescent="0.2">
      <c r="A46">
        <v>17</v>
      </c>
      <c r="B46">
        <v>1</v>
      </c>
      <c r="C46">
        <f>ROW(SmtRes!A68)</f>
        <v>68</v>
      </c>
      <c r="D46">
        <f>ROW(EtalonRes!A68)</f>
        <v>68</v>
      </c>
      <c r="E46" t="s">
        <v>97</v>
      </c>
      <c r="F46" t="s">
        <v>90</v>
      </c>
      <c r="G46" t="s">
        <v>91</v>
      </c>
      <c r="H46" t="s">
        <v>80</v>
      </c>
      <c r="I46">
        <f>ROUND(I44,9)</f>
        <v>0.39090000000000003</v>
      </c>
      <c r="J46">
        <v>0</v>
      </c>
      <c r="O46">
        <f t="shared" si="21"/>
        <v>253.29</v>
      </c>
      <c r="P46">
        <f t="shared" si="22"/>
        <v>0</v>
      </c>
      <c r="Q46">
        <f>(ROUND((ROUND((((ET46*2))*AV46*I46),2)*BB46),2)+ROUND((ROUND(((AE46-((EU46*2)))*AV46*I46),2)*BS46),2))</f>
        <v>131.78</v>
      </c>
      <c r="R46">
        <f t="shared" si="24"/>
        <v>62.58</v>
      </c>
      <c r="S46">
        <f t="shared" si="25"/>
        <v>121.51</v>
      </c>
      <c r="T46">
        <f t="shared" si="26"/>
        <v>0</v>
      </c>
      <c r="U46">
        <f t="shared" si="27"/>
        <v>0.43382863800000004</v>
      </c>
      <c r="V46">
        <f t="shared" si="28"/>
        <v>0</v>
      </c>
      <c r="W46">
        <f t="shared" si="29"/>
        <v>0</v>
      </c>
      <c r="X46">
        <f t="shared" si="30"/>
        <v>159.18</v>
      </c>
      <c r="Y46">
        <f t="shared" si="31"/>
        <v>65.62</v>
      </c>
      <c r="AA46">
        <v>44169784</v>
      </c>
      <c r="AB46">
        <f t="shared" si="32"/>
        <v>48.56</v>
      </c>
      <c r="AC46">
        <f t="shared" si="33"/>
        <v>0</v>
      </c>
      <c r="AD46">
        <f>ROUND(((((ET46*2))-((EU46*2)))+AE46),6)</f>
        <v>34.700000000000003</v>
      </c>
      <c r="AE46">
        <f>ROUND(((EU46*2)),6)</f>
        <v>7.14</v>
      </c>
      <c r="AF46">
        <f>ROUND(((EV46*2)),6)</f>
        <v>13.86</v>
      </c>
      <c r="AG46">
        <f t="shared" si="37"/>
        <v>0</v>
      </c>
      <c r="AH46">
        <f>((EW46*2))</f>
        <v>1.06</v>
      </c>
      <c r="AI46">
        <f>((EX46*2))</f>
        <v>0</v>
      </c>
      <c r="AJ46">
        <f t="shared" si="40"/>
        <v>0</v>
      </c>
      <c r="AK46">
        <v>24.28</v>
      </c>
      <c r="AL46">
        <v>0</v>
      </c>
      <c r="AM46">
        <v>17.350000000000001</v>
      </c>
      <c r="AN46">
        <v>3.57</v>
      </c>
      <c r="AO46">
        <v>6.93</v>
      </c>
      <c r="AP46">
        <v>0</v>
      </c>
      <c r="AQ46">
        <v>0.53</v>
      </c>
      <c r="AR46">
        <v>0</v>
      </c>
      <c r="AS46">
        <v>0</v>
      </c>
      <c r="AT46">
        <v>131</v>
      </c>
      <c r="AU46">
        <v>54</v>
      </c>
      <c r="AV46">
        <v>1.0469999999999999</v>
      </c>
      <c r="AW46">
        <v>1</v>
      </c>
      <c r="AZ46">
        <v>1</v>
      </c>
      <c r="BA46">
        <v>21.43</v>
      </c>
      <c r="BB46">
        <v>9.2799999999999994</v>
      </c>
      <c r="BC46">
        <v>1</v>
      </c>
      <c r="BD46" t="s">
        <v>5</v>
      </c>
      <c r="BE46" t="s">
        <v>5</v>
      </c>
      <c r="BF46" t="s">
        <v>5</v>
      </c>
      <c r="BG46" t="s">
        <v>5</v>
      </c>
      <c r="BH46">
        <v>0</v>
      </c>
      <c r="BI46">
        <v>1</v>
      </c>
      <c r="BJ46" t="s">
        <v>92</v>
      </c>
      <c r="BM46">
        <v>158</v>
      </c>
      <c r="BN46">
        <v>0</v>
      </c>
      <c r="BO46" t="s">
        <v>90</v>
      </c>
      <c r="BP46">
        <v>1</v>
      </c>
      <c r="BQ46">
        <v>30</v>
      </c>
      <c r="BR46">
        <v>0</v>
      </c>
      <c r="BS46">
        <v>21.43</v>
      </c>
      <c r="BT46">
        <v>1</v>
      </c>
      <c r="BU46">
        <v>1</v>
      </c>
      <c r="BV46">
        <v>1</v>
      </c>
      <c r="BW46">
        <v>1</v>
      </c>
      <c r="BX46">
        <v>1</v>
      </c>
      <c r="BY46" t="s">
        <v>5</v>
      </c>
      <c r="BZ46">
        <v>131</v>
      </c>
      <c r="CA46">
        <v>54</v>
      </c>
      <c r="CE46">
        <v>30</v>
      </c>
      <c r="CF46">
        <v>0</v>
      </c>
      <c r="CG46">
        <v>0</v>
      </c>
      <c r="CM46">
        <v>0</v>
      </c>
      <c r="CN46" t="s">
        <v>98</v>
      </c>
      <c r="CO46">
        <v>0</v>
      </c>
      <c r="CP46">
        <f t="shared" si="41"/>
        <v>253.29000000000002</v>
      </c>
      <c r="CQ46">
        <f t="shared" si="42"/>
        <v>0</v>
      </c>
      <c r="CR46">
        <f>(ROUND((ROUND((((ET46*2))*AV46*1),2)*BB46),2)+ROUND((ROUND(((AE46-((EU46*2)))*AV46*1),2)*BS46),2))</f>
        <v>337.14</v>
      </c>
      <c r="CS46">
        <f t="shared" si="44"/>
        <v>160.30000000000001</v>
      </c>
      <c r="CT46">
        <f t="shared" si="45"/>
        <v>310.95</v>
      </c>
      <c r="CU46">
        <f t="shared" si="46"/>
        <v>0</v>
      </c>
      <c r="CV46">
        <f t="shared" si="47"/>
        <v>1.10982</v>
      </c>
      <c r="CW46">
        <f t="shared" si="48"/>
        <v>0</v>
      </c>
      <c r="CX46">
        <f t="shared" si="49"/>
        <v>0</v>
      </c>
      <c r="CY46">
        <f t="shared" si="50"/>
        <v>159.1781</v>
      </c>
      <c r="CZ46">
        <f t="shared" si="51"/>
        <v>65.615400000000008</v>
      </c>
      <c r="DC46" t="s">
        <v>5</v>
      </c>
      <c r="DD46" t="s">
        <v>5</v>
      </c>
      <c r="DE46" t="s">
        <v>99</v>
      </c>
      <c r="DF46" t="s">
        <v>99</v>
      </c>
      <c r="DG46" t="s">
        <v>99</v>
      </c>
      <c r="DH46" t="s">
        <v>5</v>
      </c>
      <c r="DI46" t="s">
        <v>99</v>
      </c>
      <c r="DJ46" t="s">
        <v>99</v>
      </c>
      <c r="DK46" t="s">
        <v>5</v>
      </c>
      <c r="DL46" t="s">
        <v>5</v>
      </c>
      <c r="DM46" t="s">
        <v>5</v>
      </c>
      <c r="DN46">
        <v>161</v>
      </c>
      <c r="DO46">
        <v>107</v>
      </c>
      <c r="DP46">
        <v>1.0469999999999999</v>
      </c>
      <c r="DQ46">
        <v>1</v>
      </c>
      <c r="DU46">
        <v>1013</v>
      </c>
      <c r="DV46" t="s">
        <v>80</v>
      </c>
      <c r="DW46" t="s">
        <v>80</v>
      </c>
      <c r="DX46">
        <v>1</v>
      </c>
      <c r="EE46">
        <v>44063977</v>
      </c>
      <c r="EF46">
        <v>30</v>
      </c>
      <c r="EG46" t="s">
        <v>53</v>
      </c>
      <c r="EH46">
        <v>0</v>
      </c>
      <c r="EI46" t="s">
        <v>5</v>
      </c>
      <c r="EJ46">
        <v>1</v>
      </c>
      <c r="EK46">
        <v>158</v>
      </c>
      <c r="EL46" t="s">
        <v>82</v>
      </c>
      <c r="EM46" t="s">
        <v>83</v>
      </c>
      <c r="EO46" t="s">
        <v>100</v>
      </c>
      <c r="EQ46">
        <v>131072</v>
      </c>
      <c r="ER46">
        <v>24.28</v>
      </c>
      <c r="ES46">
        <v>0</v>
      </c>
      <c r="ET46">
        <v>17.350000000000001</v>
      </c>
      <c r="EU46">
        <v>3.57</v>
      </c>
      <c r="EV46">
        <v>6.93</v>
      </c>
      <c r="EW46">
        <v>0.53</v>
      </c>
      <c r="EX46">
        <v>0</v>
      </c>
      <c r="EY46">
        <v>0</v>
      </c>
      <c r="FQ46">
        <v>0</v>
      </c>
      <c r="FR46">
        <f t="shared" si="52"/>
        <v>0</v>
      </c>
      <c r="FS46">
        <v>0</v>
      </c>
      <c r="FX46">
        <v>161</v>
      </c>
      <c r="FY46">
        <v>107</v>
      </c>
      <c r="GA46" t="s">
        <v>5</v>
      </c>
      <c r="GD46">
        <v>0</v>
      </c>
      <c r="GF46">
        <v>-1638021445</v>
      </c>
      <c r="GG46">
        <v>2</v>
      </c>
      <c r="GH46">
        <v>1</v>
      </c>
      <c r="GI46">
        <v>2</v>
      </c>
      <c r="GJ46">
        <v>0</v>
      </c>
      <c r="GK46">
        <f>ROUND(R46*(R12)/100,2)</f>
        <v>98.25</v>
      </c>
      <c r="GL46">
        <f t="shared" si="53"/>
        <v>0</v>
      </c>
      <c r="GM46">
        <f t="shared" si="54"/>
        <v>576.34</v>
      </c>
      <c r="GN46">
        <f t="shared" si="55"/>
        <v>576.34</v>
      </c>
      <c r="GO46">
        <f t="shared" si="56"/>
        <v>0</v>
      </c>
      <c r="GP46">
        <f t="shared" si="57"/>
        <v>0</v>
      </c>
      <c r="GR46">
        <v>0</v>
      </c>
      <c r="GS46">
        <v>0</v>
      </c>
      <c r="GT46">
        <v>0</v>
      </c>
      <c r="GU46" t="s">
        <v>5</v>
      </c>
      <c r="GV46">
        <f t="shared" si="58"/>
        <v>0</v>
      </c>
      <c r="GW46">
        <v>1</v>
      </c>
      <c r="GX46">
        <f t="shared" si="59"/>
        <v>0</v>
      </c>
      <c r="HA46">
        <v>0</v>
      </c>
      <c r="HB46">
        <v>0</v>
      </c>
      <c r="HC46">
        <f t="shared" si="60"/>
        <v>0</v>
      </c>
      <c r="IK46">
        <v>0</v>
      </c>
    </row>
    <row r="47" spans="1:245" x14ac:dyDescent="0.2">
      <c r="A47">
        <v>18</v>
      </c>
      <c r="B47">
        <v>1</v>
      </c>
      <c r="C47">
        <v>68</v>
      </c>
      <c r="E47" t="s">
        <v>101</v>
      </c>
      <c r="F47" t="s">
        <v>85</v>
      </c>
      <c r="G47" t="s">
        <v>86</v>
      </c>
      <c r="H47" t="s">
        <v>87</v>
      </c>
      <c r="I47">
        <f>I46*J47</f>
        <v>1.87632</v>
      </c>
      <c r="J47">
        <v>4.8</v>
      </c>
      <c r="O47">
        <f t="shared" si="21"/>
        <v>5194.01</v>
      </c>
      <c r="P47">
        <f t="shared" si="22"/>
        <v>5194.01</v>
      </c>
      <c r="Q47">
        <f>(ROUND((ROUND(((ET47)*AV47*I47),2)*BB47),2)+ROUND((ROUND(((AE47-(EU47))*AV47*I47),2)*BS47),2))</f>
        <v>0</v>
      </c>
      <c r="R47">
        <f t="shared" si="24"/>
        <v>0</v>
      </c>
      <c r="S47">
        <f t="shared" si="25"/>
        <v>0</v>
      </c>
      <c r="T47">
        <f t="shared" si="26"/>
        <v>0</v>
      </c>
      <c r="U47">
        <f t="shared" si="27"/>
        <v>0</v>
      </c>
      <c r="V47">
        <f t="shared" si="28"/>
        <v>0</v>
      </c>
      <c r="W47">
        <f t="shared" si="29"/>
        <v>0</v>
      </c>
      <c r="X47">
        <f t="shared" si="30"/>
        <v>0</v>
      </c>
      <c r="Y47">
        <f t="shared" si="31"/>
        <v>0</v>
      </c>
      <c r="AA47">
        <v>44169784</v>
      </c>
      <c r="AB47">
        <f t="shared" si="32"/>
        <v>296.7</v>
      </c>
      <c r="AC47">
        <f t="shared" si="33"/>
        <v>296.7</v>
      </c>
      <c r="AD47">
        <f>ROUND((((ET47)-(EU47))+AE47),6)</f>
        <v>0</v>
      </c>
      <c r="AE47">
        <f t="shared" ref="AE47:AF49" si="63">ROUND((EU47),6)</f>
        <v>0</v>
      </c>
      <c r="AF47">
        <f t="shared" si="63"/>
        <v>0</v>
      </c>
      <c r="AG47">
        <f t="shared" si="37"/>
        <v>0</v>
      </c>
      <c r="AH47">
        <f t="shared" ref="AH47:AI49" si="64">(EW47)</f>
        <v>0</v>
      </c>
      <c r="AI47">
        <f t="shared" si="64"/>
        <v>0</v>
      </c>
      <c r="AJ47">
        <f t="shared" si="40"/>
        <v>0</v>
      </c>
      <c r="AK47">
        <v>296.7</v>
      </c>
      <c r="AL47">
        <v>296.7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1</v>
      </c>
      <c r="AW47">
        <v>1</v>
      </c>
      <c r="AZ47">
        <v>1</v>
      </c>
      <c r="BA47">
        <v>1</v>
      </c>
      <c r="BB47">
        <v>1</v>
      </c>
      <c r="BC47">
        <v>9.33</v>
      </c>
      <c r="BD47" t="s">
        <v>5</v>
      </c>
      <c r="BE47" t="s">
        <v>5</v>
      </c>
      <c r="BF47" t="s">
        <v>5</v>
      </c>
      <c r="BG47" t="s">
        <v>5</v>
      </c>
      <c r="BH47">
        <v>3</v>
      </c>
      <c r="BI47">
        <v>1</v>
      </c>
      <c r="BJ47" t="s">
        <v>88</v>
      </c>
      <c r="BM47">
        <v>158</v>
      </c>
      <c r="BN47">
        <v>0</v>
      </c>
      <c r="BO47" t="s">
        <v>85</v>
      </c>
      <c r="BP47">
        <v>1</v>
      </c>
      <c r="BQ47">
        <v>30</v>
      </c>
      <c r="BR47">
        <v>0</v>
      </c>
      <c r="BS47">
        <v>1</v>
      </c>
      <c r="BT47">
        <v>1</v>
      </c>
      <c r="BU47">
        <v>1</v>
      </c>
      <c r="BV47">
        <v>1</v>
      </c>
      <c r="BW47">
        <v>1</v>
      </c>
      <c r="BX47">
        <v>1</v>
      </c>
      <c r="BY47" t="s">
        <v>5</v>
      </c>
      <c r="BZ47">
        <v>0</v>
      </c>
      <c r="CA47">
        <v>0</v>
      </c>
      <c r="CE47">
        <v>30</v>
      </c>
      <c r="CF47">
        <v>0</v>
      </c>
      <c r="CG47">
        <v>0</v>
      </c>
      <c r="CM47">
        <v>0</v>
      </c>
      <c r="CN47" t="s">
        <v>98</v>
      </c>
      <c r="CO47">
        <v>0</v>
      </c>
      <c r="CP47">
        <f t="shared" si="41"/>
        <v>5194.01</v>
      </c>
      <c r="CQ47">
        <f t="shared" si="42"/>
        <v>2768.21</v>
      </c>
      <c r="CR47">
        <f>(ROUND((ROUND(((ET47)*AV47*1),2)*BB47),2)+ROUND((ROUND(((AE47-(EU47))*AV47*1),2)*BS47),2))</f>
        <v>0</v>
      </c>
      <c r="CS47">
        <f t="shared" si="44"/>
        <v>0</v>
      </c>
      <c r="CT47">
        <f t="shared" si="45"/>
        <v>0</v>
      </c>
      <c r="CU47">
        <f t="shared" si="46"/>
        <v>0</v>
      </c>
      <c r="CV47">
        <f t="shared" si="47"/>
        <v>0</v>
      </c>
      <c r="CW47">
        <f t="shared" si="48"/>
        <v>0</v>
      </c>
      <c r="CX47">
        <f t="shared" si="49"/>
        <v>0</v>
      </c>
      <c r="CY47">
        <f t="shared" si="50"/>
        <v>0</v>
      </c>
      <c r="CZ47">
        <f t="shared" si="51"/>
        <v>0</v>
      </c>
      <c r="DC47" t="s">
        <v>5</v>
      </c>
      <c r="DD47" t="s">
        <v>5</v>
      </c>
      <c r="DE47" t="s">
        <v>5</v>
      </c>
      <c r="DF47" t="s">
        <v>5</v>
      </c>
      <c r="DG47" t="s">
        <v>5</v>
      </c>
      <c r="DH47" t="s">
        <v>5</v>
      </c>
      <c r="DI47" t="s">
        <v>5</v>
      </c>
      <c r="DJ47" t="s">
        <v>5</v>
      </c>
      <c r="DK47" t="s">
        <v>5</v>
      </c>
      <c r="DL47" t="s">
        <v>5</v>
      </c>
      <c r="DM47" t="s">
        <v>5</v>
      </c>
      <c r="DN47">
        <v>161</v>
      </c>
      <c r="DO47">
        <v>107</v>
      </c>
      <c r="DP47">
        <v>1.0469999999999999</v>
      </c>
      <c r="DQ47">
        <v>1</v>
      </c>
      <c r="DU47">
        <v>1009</v>
      </c>
      <c r="DV47" t="s">
        <v>87</v>
      </c>
      <c r="DW47" t="s">
        <v>87</v>
      </c>
      <c r="DX47">
        <v>1000</v>
      </c>
      <c r="EE47">
        <v>44063977</v>
      </c>
      <c r="EF47">
        <v>30</v>
      </c>
      <c r="EG47" t="s">
        <v>53</v>
      </c>
      <c r="EH47">
        <v>0</v>
      </c>
      <c r="EI47" t="s">
        <v>5</v>
      </c>
      <c r="EJ47">
        <v>1</v>
      </c>
      <c r="EK47">
        <v>158</v>
      </c>
      <c r="EL47" t="s">
        <v>82</v>
      </c>
      <c r="EM47" t="s">
        <v>83</v>
      </c>
      <c r="EO47" t="s">
        <v>100</v>
      </c>
      <c r="EQ47">
        <v>0</v>
      </c>
      <c r="ER47">
        <v>296.7</v>
      </c>
      <c r="ES47">
        <v>296.7</v>
      </c>
      <c r="ET47">
        <v>0</v>
      </c>
      <c r="EU47">
        <v>0</v>
      </c>
      <c r="EV47">
        <v>0</v>
      </c>
      <c r="EW47">
        <v>0</v>
      </c>
      <c r="EX47">
        <v>0</v>
      </c>
      <c r="FQ47">
        <v>0</v>
      </c>
      <c r="FR47">
        <f t="shared" si="52"/>
        <v>0</v>
      </c>
      <c r="FS47">
        <v>0</v>
      </c>
      <c r="FX47">
        <v>161</v>
      </c>
      <c r="FY47">
        <v>107</v>
      </c>
      <c r="GA47" t="s">
        <v>5</v>
      </c>
      <c r="GD47">
        <v>0</v>
      </c>
      <c r="GF47">
        <v>-2026741202</v>
      </c>
      <c r="GG47">
        <v>2</v>
      </c>
      <c r="GH47">
        <v>1</v>
      </c>
      <c r="GI47">
        <v>2</v>
      </c>
      <c r="GJ47">
        <v>0</v>
      </c>
      <c r="GK47">
        <f>ROUND(R47*(R12)/100,2)</f>
        <v>0</v>
      </c>
      <c r="GL47">
        <f t="shared" si="53"/>
        <v>0</v>
      </c>
      <c r="GM47">
        <f t="shared" si="54"/>
        <v>5194.01</v>
      </c>
      <c r="GN47">
        <f t="shared" si="55"/>
        <v>5194.01</v>
      </c>
      <c r="GO47">
        <f t="shared" si="56"/>
        <v>0</v>
      </c>
      <c r="GP47">
        <f t="shared" si="57"/>
        <v>0</v>
      </c>
      <c r="GR47">
        <v>0</v>
      </c>
      <c r="GS47">
        <v>3</v>
      </c>
      <c r="GT47">
        <v>0</v>
      </c>
      <c r="GU47" t="s">
        <v>5</v>
      </c>
      <c r="GV47">
        <f t="shared" si="58"/>
        <v>0</v>
      </c>
      <c r="GW47">
        <v>1</v>
      </c>
      <c r="GX47">
        <f t="shared" si="59"/>
        <v>0</v>
      </c>
      <c r="HA47">
        <v>0</v>
      </c>
      <c r="HB47">
        <v>0</v>
      </c>
      <c r="HC47">
        <f t="shared" si="60"/>
        <v>0</v>
      </c>
      <c r="IK47">
        <v>0</v>
      </c>
    </row>
    <row r="48" spans="1:245" x14ac:dyDescent="0.2">
      <c r="A48">
        <v>17</v>
      </c>
      <c r="B48">
        <v>1</v>
      </c>
      <c r="C48">
        <f>ROW(SmtRes!A79)</f>
        <v>79</v>
      </c>
      <c r="D48">
        <f>ROW(EtalonRes!A79)</f>
        <v>79</v>
      </c>
      <c r="E48" t="s">
        <v>102</v>
      </c>
      <c r="F48" t="s">
        <v>78</v>
      </c>
      <c r="G48" t="s">
        <v>79</v>
      </c>
      <c r="H48" t="s">
        <v>80</v>
      </c>
      <c r="I48">
        <f>ROUND(348.15/100,9)</f>
        <v>3.4815</v>
      </c>
      <c r="J48">
        <v>0</v>
      </c>
      <c r="O48">
        <f t="shared" si="21"/>
        <v>21737.15</v>
      </c>
      <c r="P48">
        <f t="shared" si="22"/>
        <v>1830.18</v>
      </c>
      <c r="Q48">
        <f>(ROUND((ROUND(((ET48)*AV48*I48),2)*BB48),2)+ROUND((ROUND(((AE48-(EU48))*AV48*I48),2)*BS48),2))</f>
        <v>15831.63</v>
      </c>
      <c r="R48">
        <f t="shared" si="24"/>
        <v>5953.9</v>
      </c>
      <c r="S48">
        <f t="shared" si="25"/>
        <v>4075.34</v>
      </c>
      <c r="T48">
        <f t="shared" si="26"/>
        <v>0</v>
      </c>
      <c r="U48">
        <f t="shared" si="27"/>
        <v>15.637609845</v>
      </c>
      <c r="V48">
        <f t="shared" si="28"/>
        <v>0</v>
      </c>
      <c r="W48">
        <f t="shared" si="29"/>
        <v>0</v>
      </c>
      <c r="X48">
        <f t="shared" si="30"/>
        <v>5338.7</v>
      </c>
      <c r="Y48">
        <f t="shared" si="31"/>
        <v>2200.6799999999998</v>
      </c>
      <c r="AA48">
        <v>44169784</v>
      </c>
      <c r="AB48">
        <f t="shared" si="32"/>
        <v>529.23</v>
      </c>
      <c r="AC48">
        <f t="shared" si="33"/>
        <v>57.83</v>
      </c>
      <c r="AD48">
        <f>ROUND((((ET48)-(EU48))+AE48),6)</f>
        <v>419.23</v>
      </c>
      <c r="AE48">
        <f t="shared" si="63"/>
        <v>76.22</v>
      </c>
      <c r="AF48">
        <f t="shared" si="63"/>
        <v>52.17</v>
      </c>
      <c r="AG48">
        <f t="shared" si="37"/>
        <v>0</v>
      </c>
      <c r="AH48">
        <f t="shared" si="64"/>
        <v>4.29</v>
      </c>
      <c r="AI48">
        <f t="shared" si="64"/>
        <v>0</v>
      </c>
      <c r="AJ48">
        <f t="shared" si="40"/>
        <v>0</v>
      </c>
      <c r="AK48">
        <v>529.23</v>
      </c>
      <c r="AL48">
        <v>57.83</v>
      </c>
      <c r="AM48">
        <v>419.23</v>
      </c>
      <c r="AN48">
        <v>76.22</v>
      </c>
      <c r="AO48">
        <v>52.17</v>
      </c>
      <c r="AP48">
        <v>0</v>
      </c>
      <c r="AQ48">
        <v>4.29</v>
      </c>
      <c r="AR48">
        <v>0</v>
      </c>
      <c r="AS48">
        <v>0</v>
      </c>
      <c r="AT48">
        <v>131</v>
      </c>
      <c r="AU48">
        <v>54</v>
      </c>
      <c r="AV48">
        <v>1.0469999999999999</v>
      </c>
      <c r="AW48">
        <v>1</v>
      </c>
      <c r="AZ48">
        <v>1</v>
      </c>
      <c r="BA48">
        <v>21.43</v>
      </c>
      <c r="BB48">
        <v>10.36</v>
      </c>
      <c r="BC48">
        <v>9.09</v>
      </c>
      <c r="BD48" t="s">
        <v>5</v>
      </c>
      <c r="BE48" t="s">
        <v>5</v>
      </c>
      <c r="BF48" t="s">
        <v>5</v>
      </c>
      <c r="BG48" t="s">
        <v>5</v>
      </c>
      <c r="BH48">
        <v>0</v>
      </c>
      <c r="BI48">
        <v>1</v>
      </c>
      <c r="BJ48" t="s">
        <v>81</v>
      </c>
      <c r="BM48">
        <v>158</v>
      </c>
      <c r="BN48">
        <v>0</v>
      </c>
      <c r="BO48" t="s">
        <v>78</v>
      </c>
      <c r="BP48">
        <v>1</v>
      </c>
      <c r="BQ48">
        <v>30</v>
      </c>
      <c r="BR48">
        <v>0</v>
      </c>
      <c r="BS48">
        <v>21.43</v>
      </c>
      <c r="BT48">
        <v>1</v>
      </c>
      <c r="BU48">
        <v>1</v>
      </c>
      <c r="BV48">
        <v>1</v>
      </c>
      <c r="BW48">
        <v>1</v>
      </c>
      <c r="BX48">
        <v>1</v>
      </c>
      <c r="BY48" t="s">
        <v>5</v>
      </c>
      <c r="BZ48">
        <v>131</v>
      </c>
      <c r="CA48">
        <v>54</v>
      </c>
      <c r="CE48">
        <v>30</v>
      </c>
      <c r="CF48">
        <v>0</v>
      </c>
      <c r="CG48">
        <v>0</v>
      </c>
      <c r="CM48">
        <v>0</v>
      </c>
      <c r="CN48" t="s">
        <v>5</v>
      </c>
      <c r="CO48">
        <v>0</v>
      </c>
      <c r="CP48">
        <f t="shared" si="41"/>
        <v>21737.149999999998</v>
      </c>
      <c r="CQ48">
        <f t="shared" si="42"/>
        <v>525.66999999999996</v>
      </c>
      <c r="CR48">
        <f>(ROUND((ROUND(((ET48)*AV48*1),2)*BB48),2)+ROUND((ROUND(((AE48-(EU48))*AV48*1),2)*BS48),2))</f>
        <v>4547.3100000000004</v>
      </c>
      <c r="CS48">
        <f t="shared" si="44"/>
        <v>1710.11</v>
      </c>
      <c r="CT48">
        <f t="shared" si="45"/>
        <v>1170.51</v>
      </c>
      <c r="CU48">
        <f t="shared" si="46"/>
        <v>0</v>
      </c>
      <c r="CV48">
        <f t="shared" si="47"/>
        <v>4.4916299999999998</v>
      </c>
      <c r="CW48">
        <f t="shared" si="48"/>
        <v>0</v>
      </c>
      <c r="CX48">
        <f t="shared" si="49"/>
        <v>0</v>
      </c>
      <c r="CY48">
        <f t="shared" si="50"/>
        <v>5338.6954000000005</v>
      </c>
      <c r="CZ48">
        <f t="shared" si="51"/>
        <v>2200.6836000000003</v>
      </c>
      <c r="DC48" t="s">
        <v>5</v>
      </c>
      <c r="DD48" t="s">
        <v>5</v>
      </c>
      <c r="DE48" t="s">
        <v>5</v>
      </c>
      <c r="DF48" t="s">
        <v>5</v>
      </c>
      <c r="DG48" t="s">
        <v>5</v>
      </c>
      <c r="DH48" t="s">
        <v>5</v>
      </c>
      <c r="DI48" t="s">
        <v>5</v>
      </c>
      <c r="DJ48" t="s">
        <v>5</v>
      </c>
      <c r="DK48" t="s">
        <v>5</v>
      </c>
      <c r="DL48" t="s">
        <v>5</v>
      </c>
      <c r="DM48" t="s">
        <v>5</v>
      </c>
      <c r="DN48">
        <v>161</v>
      </c>
      <c r="DO48">
        <v>107</v>
      </c>
      <c r="DP48">
        <v>1.0469999999999999</v>
      </c>
      <c r="DQ48">
        <v>1</v>
      </c>
      <c r="DU48">
        <v>1013</v>
      </c>
      <c r="DV48" t="s">
        <v>80</v>
      </c>
      <c r="DW48" t="s">
        <v>80</v>
      </c>
      <c r="DX48">
        <v>1</v>
      </c>
      <c r="EE48">
        <v>44063977</v>
      </c>
      <c r="EF48">
        <v>30</v>
      </c>
      <c r="EG48" t="s">
        <v>53</v>
      </c>
      <c r="EH48">
        <v>0</v>
      </c>
      <c r="EI48" t="s">
        <v>5</v>
      </c>
      <c r="EJ48">
        <v>1</v>
      </c>
      <c r="EK48">
        <v>158</v>
      </c>
      <c r="EL48" t="s">
        <v>82</v>
      </c>
      <c r="EM48" t="s">
        <v>83</v>
      </c>
      <c r="EO48" t="s">
        <v>5</v>
      </c>
      <c r="EQ48">
        <v>131072</v>
      </c>
      <c r="ER48">
        <v>529.23</v>
      </c>
      <c r="ES48">
        <v>57.83</v>
      </c>
      <c r="ET48">
        <v>419.23</v>
      </c>
      <c r="EU48">
        <v>76.22</v>
      </c>
      <c r="EV48">
        <v>52.17</v>
      </c>
      <c r="EW48">
        <v>4.29</v>
      </c>
      <c r="EX48">
        <v>0</v>
      </c>
      <c r="EY48">
        <v>0</v>
      </c>
      <c r="FQ48">
        <v>0</v>
      </c>
      <c r="FR48">
        <f t="shared" si="52"/>
        <v>0</v>
      </c>
      <c r="FS48">
        <v>0</v>
      </c>
      <c r="FX48">
        <v>161</v>
      </c>
      <c r="FY48">
        <v>107</v>
      </c>
      <c r="GA48" t="s">
        <v>5</v>
      </c>
      <c r="GD48">
        <v>0</v>
      </c>
      <c r="GF48">
        <v>432644731</v>
      </c>
      <c r="GG48">
        <v>2</v>
      </c>
      <c r="GH48">
        <v>1</v>
      </c>
      <c r="GI48">
        <v>2</v>
      </c>
      <c r="GJ48">
        <v>0</v>
      </c>
      <c r="GK48">
        <f>ROUND(R48*(R12)/100,2)</f>
        <v>9347.6200000000008</v>
      </c>
      <c r="GL48">
        <f t="shared" si="53"/>
        <v>0</v>
      </c>
      <c r="GM48">
        <f t="shared" si="54"/>
        <v>38624.15</v>
      </c>
      <c r="GN48">
        <f t="shared" si="55"/>
        <v>38624.15</v>
      </c>
      <c r="GO48">
        <f t="shared" si="56"/>
        <v>0</v>
      </c>
      <c r="GP48">
        <f t="shared" si="57"/>
        <v>0</v>
      </c>
      <c r="GR48">
        <v>0</v>
      </c>
      <c r="GS48">
        <v>0</v>
      </c>
      <c r="GT48">
        <v>0</v>
      </c>
      <c r="GU48" t="s">
        <v>5</v>
      </c>
      <c r="GV48">
        <f t="shared" si="58"/>
        <v>0</v>
      </c>
      <c r="GW48">
        <v>1</v>
      </c>
      <c r="GX48">
        <f t="shared" si="59"/>
        <v>0</v>
      </c>
      <c r="HA48">
        <v>0</v>
      </c>
      <c r="HB48">
        <v>0</v>
      </c>
      <c r="HC48">
        <f t="shared" si="60"/>
        <v>0</v>
      </c>
      <c r="IK48">
        <v>0</v>
      </c>
    </row>
    <row r="49" spans="1:245" x14ac:dyDescent="0.2">
      <c r="A49">
        <v>18</v>
      </c>
      <c r="B49">
        <v>1</v>
      </c>
      <c r="C49">
        <v>79</v>
      </c>
      <c r="E49" t="s">
        <v>103</v>
      </c>
      <c r="F49" t="s">
        <v>104</v>
      </c>
      <c r="G49" t="s">
        <v>105</v>
      </c>
      <c r="H49" t="s">
        <v>87</v>
      </c>
      <c r="I49">
        <f>I48*J49</f>
        <v>33.63129</v>
      </c>
      <c r="J49">
        <v>9.66</v>
      </c>
      <c r="O49">
        <f t="shared" si="21"/>
        <v>93101.85</v>
      </c>
      <c r="P49">
        <f t="shared" si="22"/>
        <v>93101.85</v>
      </c>
      <c r="Q49">
        <f>(ROUND((ROUND(((ET49)*AV49*I49),2)*BB49),2)+ROUND((ROUND(((AE49-(EU49))*AV49*I49),2)*BS49),2))</f>
        <v>0</v>
      </c>
      <c r="R49">
        <f t="shared" si="24"/>
        <v>0</v>
      </c>
      <c r="S49">
        <f t="shared" si="25"/>
        <v>0</v>
      </c>
      <c r="T49">
        <f t="shared" si="26"/>
        <v>0</v>
      </c>
      <c r="U49">
        <f t="shared" si="27"/>
        <v>0</v>
      </c>
      <c r="V49">
        <f t="shared" si="28"/>
        <v>0</v>
      </c>
      <c r="W49">
        <f t="shared" si="29"/>
        <v>0</v>
      </c>
      <c r="X49">
        <f t="shared" si="30"/>
        <v>0</v>
      </c>
      <c r="Y49">
        <f t="shared" si="31"/>
        <v>0</v>
      </c>
      <c r="AA49">
        <v>44169784</v>
      </c>
      <c r="AB49">
        <f t="shared" si="32"/>
        <v>307.58999999999997</v>
      </c>
      <c r="AC49">
        <f t="shared" si="33"/>
        <v>307.58999999999997</v>
      </c>
      <c r="AD49">
        <f>ROUND((((ET49)-(EU49))+AE49),6)</f>
        <v>0</v>
      </c>
      <c r="AE49">
        <f t="shared" si="63"/>
        <v>0</v>
      </c>
      <c r="AF49">
        <f t="shared" si="63"/>
        <v>0</v>
      </c>
      <c r="AG49">
        <f t="shared" si="37"/>
        <v>0</v>
      </c>
      <c r="AH49">
        <f t="shared" si="64"/>
        <v>0</v>
      </c>
      <c r="AI49">
        <f t="shared" si="64"/>
        <v>0</v>
      </c>
      <c r="AJ49">
        <f t="shared" si="40"/>
        <v>0</v>
      </c>
      <c r="AK49">
        <v>307.58999999999997</v>
      </c>
      <c r="AL49">
        <v>307.58999999999997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1</v>
      </c>
      <c r="AW49">
        <v>1</v>
      </c>
      <c r="AZ49">
        <v>1</v>
      </c>
      <c r="BA49">
        <v>1</v>
      </c>
      <c r="BB49">
        <v>1</v>
      </c>
      <c r="BC49">
        <v>9</v>
      </c>
      <c r="BD49" t="s">
        <v>5</v>
      </c>
      <c r="BE49" t="s">
        <v>5</v>
      </c>
      <c r="BF49" t="s">
        <v>5</v>
      </c>
      <c r="BG49" t="s">
        <v>5</v>
      </c>
      <c r="BH49">
        <v>3</v>
      </c>
      <c r="BI49">
        <v>1</v>
      </c>
      <c r="BJ49" t="s">
        <v>106</v>
      </c>
      <c r="BM49">
        <v>158</v>
      </c>
      <c r="BN49">
        <v>0</v>
      </c>
      <c r="BO49" t="s">
        <v>104</v>
      </c>
      <c r="BP49">
        <v>1</v>
      </c>
      <c r="BQ49">
        <v>30</v>
      </c>
      <c r="BR49">
        <v>0</v>
      </c>
      <c r="BS49">
        <v>1</v>
      </c>
      <c r="BT49">
        <v>1</v>
      </c>
      <c r="BU49">
        <v>1</v>
      </c>
      <c r="BV49">
        <v>1</v>
      </c>
      <c r="BW49">
        <v>1</v>
      </c>
      <c r="BX49">
        <v>1</v>
      </c>
      <c r="BY49" t="s">
        <v>5</v>
      </c>
      <c r="BZ49">
        <v>0</v>
      </c>
      <c r="CA49">
        <v>0</v>
      </c>
      <c r="CE49">
        <v>30</v>
      </c>
      <c r="CF49">
        <v>0</v>
      </c>
      <c r="CG49">
        <v>0</v>
      </c>
      <c r="CM49">
        <v>0</v>
      </c>
      <c r="CN49" t="s">
        <v>5</v>
      </c>
      <c r="CO49">
        <v>0</v>
      </c>
      <c r="CP49">
        <f t="shared" si="41"/>
        <v>93101.85</v>
      </c>
      <c r="CQ49">
        <f t="shared" si="42"/>
        <v>2768.31</v>
      </c>
      <c r="CR49">
        <f>(ROUND((ROUND(((ET49)*AV49*1),2)*BB49),2)+ROUND((ROUND(((AE49-(EU49))*AV49*1),2)*BS49),2))</f>
        <v>0</v>
      </c>
      <c r="CS49">
        <f t="shared" si="44"/>
        <v>0</v>
      </c>
      <c r="CT49">
        <f t="shared" si="45"/>
        <v>0</v>
      </c>
      <c r="CU49">
        <f t="shared" si="46"/>
        <v>0</v>
      </c>
      <c r="CV49">
        <f t="shared" si="47"/>
        <v>0</v>
      </c>
      <c r="CW49">
        <f t="shared" si="48"/>
        <v>0</v>
      </c>
      <c r="CX49">
        <f t="shared" si="49"/>
        <v>0</v>
      </c>
      <c r="CY49">
        <f t="shared" si="50"/>
        <v>0</v>
      </c>
      <c r="CZ49">
        <f t="shared" si="51"/>
        <v>0</v>
      </c>
      <c r="DC49" t="s">
        <v>5</v>
      </c>
      <c r="DD49" t="s">
        <v>5</v>
      </c>
      <c r="DE49" t="s">
        <v>5</v>
      </c>
      <c r="DF49" t="s">
        <v>5</v>
      </c>
      <c r="DG49" t="s">
        <v>5</v>
      </c>
      <c r="DH49" t="s">
        <v>5</v>
      </c>
      <c r="DI49" t="s">
        <v>5</v>
      </c>
      <c r="DJ49" t="s">
        <v>5</v>
      </c>
      <c r="DK49" t="s">
        <v>5</v>
      </c>
      <c r="DL49" t="s">
        <v>5</v>
      </c>
      <c r="DM49" t="s">
        <v>5</v>
      </c>
      <c r="DN49">
        <v>161</v>
      </c>
      <c r="DO49">
        <v>107</v>
      </c>
      <c r="DP49">
        <v>1.0469999999999999</v>
      </c>
      <c r="DQ49">
        <v>1</v>
      </c>
      <c r="DU49">
        <v>1009</v>
      </c>
      <c r="DV49" t="s">
        <v>87</v>
      </c>
      <c r="DW49" t="s">
        <v>87</v>
      </c>
      <c r="DX49">
        <v>1000</v>
      </c>
      <c r="EE49">
        <v>44063977</v>
      </c>
      <c r="EF49">
        <v>30</v>
      </c>
      <c r="EG49" t="s">
        <v>53</v>
      </c>
      <c r="EH49">
        <v>0</v>
      </c>
      <c r="EI49" t="s">
        <v>5</v>
      </c>
      <c r="EJ49">
        <v>1</v>
      </c>
      <c r="EK49">
        <v>158</v>
      </c>
      <c r="EL49" t="s">
        <v>82</v>
      </c>
      <c r="EM49" t="s">
        <v>83</v>
      </c>
      <c r="EO49" t="s">
        <v>5</v>
      </c>
      <c r="EQ49">
        <v>0</v>
      </c>
      <c r="ER49">
        <v>307.58999999999997</v>
      </c>
      <c r="ES49">
        <v>307.58999999999997</v>
      </c>
      <c r="ET49">
        <v>0</v>
      </c>
      <c r="EU49">
        <v>0</v>
      </c>
      <c r="EV49">
        <v>0</v>
      </c>
      <c r="EW49">
        <v>0</v>
      </c>
      <c r="EX49">
        <v>0</v>
      </c>
      <c r="FQ49">
        <v>0</v>
      </c>
      <c r="FR49">
        <f t="shared" si="52"/>
        <v>0</v>
      </c>
      <c r="FS49">
        <v>0</v>
      </c>
      <c r="FX49">
        <v>161</v>
      </c>
      <c r="FY49">
        <v>107</v>
      </c>
      <c r="GA49" t="s">
        <v>5</v>
      </c>
      <c r="GD49">
        <v>0</v>
      </c>
      <c r="GF49">
        <v>-951986387</v>
      </c>
      <c r="GG49">
        <v>2</v>
      </c>
      <c r="GH49">
        <v>1</v>
      </c>
      <c r="GI49">
        <v>2</v>
      </c>
      <c r="GJ49">
        <v>0</v>
      </c>
      <c r="GK49">
        <f>ROUND(R49*(R12)/100,2)</f>
        <v>0</v>
      </c>
      <c r="GL49">
        <f t="shared" si="53"/>
        <v>0</v>
      </c>
      <c r="GM49">
        <f t="shared" si="54"/>
        <v>93101.85</v>
      </c>
      <c r="GN49">
        <f t="shared" si="55"/>
        <v>93101.85</v>
      </c>
      <c r="GO49">
        <f t="shared" si="56"/>
        <v>0</v>
      </c>
      <c r="GP49">
        <f t="shared" si="57"/>
        <v>0</v>
      </c>
      <c r="GR49">
        <v>0</v>
      </c>
      <c r="GS49">
        <v>3</v>
      </c>
      <c r="GT49">
        <v>0</v>
      </c>
      <c r="GU49" t="s">
        <v>5</v>
      </c>
      <c r="GV49">
        <f t="shared" si="58"/>
        <v>0</v>
      </c>
      <c r="GW49">
        <v>1</v>
      </c>
      <c r="GX49">
        <f t="shared" si="59"/>
        <v>0</v>
      </c>
      <c r="HA49">
        <v>0</v>
      </c>
      <c r="HB49">
        <v>0</v>
      </c>
      <c r="HC49">
        <f t="shared" si="60"/>
        <v>0</v>
      </c>
      <c r="IK49">
        <v>0</v>
      </c>
    </row>
    <row r="50" spans="1:245" x14ac:dyDescent="0.2">
      <c r="A50">
        <v>19</v>
      </c>
      <c r="B50">
        <v>1</v>
      </c>
      <c r="F50" t="s">
        <v>5</v>
      </c>
      <c r="G50" t="s">
        <v>107</v>
      </c>
      <c r="H50" t="s">
        <v>5</v>
      </c>
      <c r="AA50">
        <v>1</v>
      </c>
      <c r="IK50">
        <v>0</v>
      </c>
    </row>
    <row r="51" spans="1:245" x14ac:dyDescent="0.2">
      <c r="A51">
        <v>17</v>
      </c>
      <c r="B51">
        <v>1</v>
      </c>
      <c r="C51">
        <f>ROW(SmtRes!A84)</f>
        <v>84</v>
      </c>
      <c r="D51">
        <f>ROW(EtalonRes!A84)</f>
        <v>84</v>
      </c>
      <c r="E51" t="s">
        <v>108</v>
      </c>
      <c r="F51" t="s">
        <v>24</v>
      </c>
      <c r="G51" t="s">
        <v>25</v>
      </c>
      <c r="H51" t="s">
        <v>26</v>
      </c>
      <c r="I51">
        <f>ROUND(((510.09)*0.04/100)*1,9)</f>
        <v>0.204036</v>
      </c>
      <c r="J51">
        <v>0</v>
      </c>
      <c r="O51">
        <f t="shared" ref="O51:O70" si="65">ROUND(CP51,2)</f>
        <v>13640.18</v>
      </c>
      <c r="P51">
        <f t="shared" ref="P51:P70" si="66">ROUND((ROUND((AC51*AW51*I51),2)*BC51),2)</f>
        <v>0</v>
      </c>
      <c r="Q51">
        <f t="shared" ref="Q51:Q60" si="67">(ROUND((ROUND(((ET51)*AV51*I51),2)*BB51),2)+ROUND((ROUND(((AE51-(EU51))*AV51*I51),2)*BS51),2))</f>
        <v>5912.74</v>
      </c>
      <c r="R51">
        <f t="shared" ref="R51:R70" si="68">ROUND((ROUND((AE51*AV51*I51),2)*BS51),2)</f>
        <v>3365.8</v>
      </c>
      <c r="S51">
        <f t="shared" ref="S51:S70" si="69">ROUND((ROUND((AF51*AV51*I51),2)*BA51),2)</f>
        <v>7727.44</v>
      </c>
      <c r="T51">
        <f t="shared" ref="T51:T70" si="70">ROUND(CU51*I51,2)</f>
        <v>0</v>
      </c>
      <c r="U51">
        <f t="shared" ref="U51:U70" si="71">CV51*I51</f>
        <v>33.111982259999998</v>
      </c>
      <c r="V51">
        <f t="shared" ref="V51:V70" si="72">CW51*I51</f>
        <v>0</v>
      </c>
      <c r="W51">
        <f t="shared" ref="W51:W70" si="73">ROUND(CX51*I51,2)</f>
        <v>0</v>
      </c>
      <c r="X51">
        <f t="shared" ref="X51:X70" si="74">ROUND(CY51,2)</f>
        <v>5254.66</v>
      </c>
      <c r="Y51">
        <f t="shared" ref="Y51:Y70" si="75">ROUND(CZ51,2)</f>
        <v>3168.25</v>
      </c>
      <c r="AA51">
        <v>44169784</v>
      </c>
      <c r="AB51">
        <f t="shared" ref="AB51:AB70" si="76">ROUND((AC51+AD51+AF51),6)</f>
        <v>4401.5</v>
      </c>
      <c r="AC51">
        <f t="shared" ref="AC51:AC60" si="77">ROUND((ES51),6)</f>
        <v>0</v>
      </c>
      <c r="AD51">
        <f t="shared" ref="AD51:AD60" si="78">ROUND((((ET51)-(EU51))+AE51),6)</f>
        <v>2713.55</v>
      </c>
      <c r="AE51">
        <f t="shared" ref="AE51:AE60" si="79">ROUND((EU51),6)</f>
        <v>735.23</v>
      </c>
      <c r="AF51">
        <f t="shared" ref="AF51:AF60" si="80">ROUND((EV51),6)</f>
        <v>1687.95</v>
      </c>
      <c r="AG51">
        <f t="shared" ref="AG51:AG70" si="81">ROUND((AP51),6)</f>
        <v>0</v>
      </c>
      <c r="AH51">
        <f t="shared" ref="AH51:AH60" si="82">(EW51)</f>
        <v>155</v>
      </c>
      <c r="AI51">
        <f t="shared" ref="AI51:AI60" si="83">(EX51)</f>
        <v>0</v>
      </c>
      <c r="AJ51">
        <f t="shared" ref="AJ51:AJ70" si="84">(AS51)</f>
        <v>0</v>
      </c>
      <c r="AK51">
        <v>4401.5</v>
      </c>
      <c r="AL51">
        <v>0</v>
      </c>
      <c r="AM51">
        <v>2713.55</v>
      </c>
      <c r="AN51">
        <v>735.23</v>
      </c>
      <c r="AO51">
        <v>1687.95</v>
      </c>
      <c r="AP51">
        <v>0</v>
      </c>
      <c r="AQ51">
        <v>155</v>
      </c>
      <c r="AR51">
        <v>0</v>
      </c>
      <c r="AS51">
        <v>0</v>
      </c>
      <c r="AT51">
        <v>68</v>
      </c>
      <c r="AU51">
        <v>41</v>
      </c>
      <c r="AV51">
        <v>1.0469999999999999</v>
      </c>
      <c r="AW51">
        <v>1</v>
      </c>
      <c r="AZ51">
        <v>1</v>
      </c>
      <c r="BA51">
        <v>21.43</v>
      </c>
      <c r="BB51">
        <v>10.199999999999999</v>
      </c>
      <c r="BC51">
        <v>1</v>
      </c>
      <c r="BD51" t="s">
        <v>5</v>
      </c>
      <c r="BE51" t="s">
        <v>5</v>
      </c>
      <c r="BF51" t="s">
        <v>5</v>
      </c>
      <c r="BG51" t="s">
        <v>5</v>
      </c>
      <c r="BH51">
        <v>0</v>
      </c>
      <c r="BI51">
        <v>1</v>
      </c>
      <c r="BJ51" t="s">
        <v>27</v>
      </c>
      <c r="BM51">
        <v>674</v>
      </c>
      <c r="BN51">
        <v>0</v>
      </c>
      <c r="BO51" t="s">
        <v>24</v>
      </c>
      <c r="BP51">
        <v>1</v>
      </c>
      <c r="BQ51">
        <v>60</v>
      </c>
      <c r="BR51">
        <v>0</v>
      </c>
      <c r="BS51">
        <v>21.43</v>
      </c>
      <c r="BT51">
        <v>1</v>
      </c>
      <c r="BU51">
        <v>1</v>
      </c>
      <c r="BV51">
        <v>1</v>
      </c>
      <c r="BW51">
        <v>1</v>
      </c>
      <c r="BX51">
        <v>1</v>
      </c>
      <c r="BY51" t="s">
        <v>5</v>
      </c>
      <c r="BZ51">
        <v>68</v>
      </c>
      <c r="CA51">
        <v>41</v>
      </c>
      <c r="CE51">
        <v>30</v>
      </c>
      <c r="CF51">
        <v>0</v>
      </c>
      <c r="CG51">
        <v>0</v>
      </c>
      <c r="CM51">
        <v>0</v>
      </c>
      <c r="CN51" t="s">
        <v>5</v>
      </c>
      <c r="CO51">
        <v>0</v>
      </c>
      <c r="CP51">
        <f t="shared" ref="CP51:CP70" si="85">(P51+Q51+S51)</f>
        <v>13640.18</v>
      </c>
      <c r="CQ51">
        <f t="shared" ref="CQ51:CQ70" si="86">ROUND((ROUND((AC51*AW51*1),2)*BC51),2)</f>
        <v>0</v>
      </c>
      <c r="CR51">
        <f t="shared" ref="CR51:CR60" si="87">(ROUND((ROUND(((ET51)*AV51*1),2)*BB51),2)+ROUND((ROUND(((AE51-(EU51))*AV51*1),2)*BS51),2))</f>
        <v>28979.119999999999</v>
      </c>
      <c r="CS51">
        <f t="shared" ref="CS51:CS70" si="88">ROUND((ROUND((AE51*AV51*1),2)*BS51),2)</f>
        <v>16496.599999999999</v>
      </c>
      <c r="CT51">
        <f t="shared" ref="CT51:CT70" si="89">ROUND((ROUND((AF51*AV51*1),2)*BA51),2)</f>
        <v>37872.81</v>
      </c>
      <c r="CU51">
        <f t="shared" ref="CU51:CU70" si="90">AG51</f>
        <v>0</v>
      </c>
      <c r="CV51">
        <f t="shared" ref="CV51:CV70" si="91">(AH51*AV51)</f>
        <v>162.285</v>
      </c>
      <c r="CW51">
        <f t="shared" ref="CW51:CW70" si="92">AI51</f>
        <v>0</v>
      </c>
      <c r="CX51">
        <f t="shared" ref="CX51:CX70" si="93">AJ51</f>
        <v>0</v>
      </c>
      <c r="CY51">
        <f t="shared" ref="CY51:CY70" si="94">S51*(BZ51/100)</f>
        <v>5254.6592000000001</v>
      </c>
      <c r="CZ51">
        <f t="shared" ref="CZ51:CZ70" si="95">S51*(CA51/100)</f>
        <v>3168.2503999999994</v>
      </c>
      <c r="DC51" t="s">
        <v>5</v>
      </c>
      <c r="DD51" t="s">
        <v>5</v>
      </c>
      <c r="DE51" t="s">
        <v>5</v>
      </c>
      <c r="DF51" t="s">
        <v>5</v>
      </c>
      <c r="DG51" t="s">
        <v>5</v>
      </c>
      <c r="DH51" t="s">
        <v>5</v>
      </c>
      <c r="DI51" t="s">
        <v>5</v>
      </c>
      <c r="DJ51" t="s">
        <v>5</v>
      </c>
      <c r="DK51" t="s">
        <v>5</v>
      </c>
      <c r="DL51" t="s">
        <v>5</v>
      </c>
      <c r="DM51" t="s">
        <v>5</v>
      </c>
      <c r="DN51">
        <v>80</v>
      </c>
      <c r="DO51">
        <v>55</v>
      </c>
      <c r="DP51">
        <v>1.0469999999999999</v>
      </c>
      <c r="DQ51">
        <v>1</v>
      </c>
      <c r="DU51">
        <v>1007</v>
      </c>
      <c r="DV51" t="s">
        <v>26</v>
      </c>
      <c r="DW51" t="s">
        <v>26</v>
      </c>
      <c r="DX51">
        <v>100</v>
      </c>
      <c r="EE51">
        <v>44064493</v>
      </c>
      <c r="EF51">
        <v>60</v>
      </c>
      <c r="EG51" t="s">
        <v>28</v>
      </c>
      <c r="EH51">
        <v>0</v>
      </c>
      <c r="EI51" t="s">
        <v>5</v>
      </c>
      <c r="EJ51">
        <v>1</v>
      </c>
      <c r="EK51">
        <v>674</v>
      </c>
      <c r="EL51" t="s">
        <v>29</v>
      </c>
      <c r="EM51" t="s">
        <v>30</v>
      </c>
      <c r="EO51" t="s">
        <v>5</v>
      </c>
      <c r="EQ51">
        <v>131072</v>
      </c>
      <c r="ER51">
        <v>4401.5</v>
      </c>
      <c r="ES51">
        <v>0</v>
      </c>
      <c r="ET51">
        <v>2713.55</v>
      </c>
      <c r="EU51">
        <v>735.23</v>
      </c>
      <c r="EV51">
        <v>1687.95</v>
      </c>
      <c r="EW51">
        <v>155</v>
      </c>
      <c r="EX51">
        <v>0</v>
      </c>
      <c r="EY51">
        <v>0</v>
      </c>
      <c r="FQ51">
        <v>0</v>
      </c>
      <c r="FR51">
        <f t="shared" ref="FR51:FR70" si="96">ROUND(IF(AND(BH51=3,BI51=3),P51,0),2)</f>
        <v>0</v>
      </c>
      <c r="FS51">
        <v>0</v>
      </c>
      <c r="FX51">
        <v>80</v>
      </c>
      <c r="FY51">
        <v>55</v>
      </c>
      <c r="GA51" t="s">
        <v>5</v>
      </c>
      <c r="GD51">
        <v>0</v>
      </c>
      <c r="GF51">
        <v>462798223</v>
      </c>
      <c r="GG51">
        <v>2</v>
      </c>
      <c r="GH51">
        <v>1</v>
      </c>
      <c r="GI51">
        <v>2</v>
      </c>
      <c r="GJ51">
        <v>0</v>
      </c>
      <c r="GK51">
        <f>ROUND(R51*(R12)/100,2)</f>
        <v>5284.31</v>
      </c>
      <c r="GL51">
        <f t="shared" ref="GL51:GL70" si="97">ROUND(IF(AND(BH51=3,BI51=3,FS51&lt;&gt;0),P51,0),2)</f>
        <v>0</v>
      </c>
      <c r="GM51">
        <f t="shared" ref="GM51:GM70" si="98">ROUND(O51+X51+Y51+GK51,2)+GX51</f>
        <v>27347.4</v>
      </c>
      <c r="GN51">
        <f t="shared" ref="GN51:GN70" si="99">IF(OR(BI51=0,BI51=1),ROUND(O51+X51+Y51+GK51,2),0)</f>
        <v>27347.4</v>
      </c>
      <c r="GO51">
        <f t="shared" ref="GO51:GO70" si="100">IF(BI51=2,ROUND(O51+X51+Y51+GK51,2),0)</f>
        <v>0</v>
      </c>
      <c r="GP51">
        <f t="shared" ref="GP51:GP70" si="101">IF(BI51=4,ROUND(O51+X51+Y51+GK51,2)+GX51,0)</f>
        <v>0</v>
      </c>
      <c r="GR51">
        <v>0</v>
      </c>
      <c r="GS51">
        <v>0</v>
      </c>
      <c r="GT51">
        <v>0</v>
      </c>
      <c r="GU51" t="s">
        <v>5</v>
      </c>
      <c r="GV51">
        <f t="shared" ref="GV51:GV70" si="102">ROUND((GT51),6)</f>
        <v>0</v>
      </c>
      <c r="GW51">
        <v>1</v>
      </c>
      <c r="GX51">
        <f t="shared" ref="GX51:GX70" si="103">ROUND(HC51*I51,2)</f>
        <v>0</v>
      </c>
      <c r="HA51">
        <v>0</v>
      </c>
      <c r="HB51">
        <v>0</v>
      </c>
      <c r="HC51">
        <f t="shared" ref="HC51:HC70" si="104">GV51*GW51</f>
        <v>0</v>
      </c>
      <c r="IK51">
        <v>0</v>
      </c>
    </row>
    <row r="52" spans="1:245" x14ac:dyDescent="0.2">
      <c r="A52">
        <v>17</v>
      </c>
      <c r="B52">
        <v>1</v>
      </c>
      <c r="C52">
        <f>ROW(SmtRes!A89)</f>
        <v>89</v>
      </c>
      <c r="D52">
        <f>ROW(EtalonRes!A89)</f>
        <v>89</v>
      </c>
      <c r="E52" t="s">
        <v>109</v>
      </c>
      <c r="F52" t="s">
        <v>24</v>
      </c>
      <c r="G52" t="s">
        <v>25</v>
      </c>
      <c r="H52" t="s">
        <v>26</v>
      </c>
      <c r="I52">
        <f>ROUND((82.45)*0.06/100,9)</f>
        <v>4.947E-2</v>
      </c>
      <c r="J52">
        <v>0</v>
      </c>
      <c r="O52">
        <f t="shared" si="65"/>
        <v>3307.23</v>
      </c>
      <c r="P52">
        <f t="shared" si="66"/>
        <v>0</v>
      </c>
      <c r="Q52">
        <f t="shared" si="67"/>
        <v>1433.61</v>
      </c>
      <c r="R52">
        <f t="shared" si="68"/>
        <v>816.05</v>
      </c>
      <c r="S52">
        <f t="shared" si="69"/>
        <v>1873.62</v>
      </c>
      <c r="T52">
        <f t="shared" si="70"/>
        <v>0</v>
      </c>
      <c r="U52">
        <f t="shared" si="71"/>
        <v>8.0282389500000004</v>
      </c>
      <c r="V52">
        <f t="shared" si="72"/>
        <v>0</v>
      </c>
      <c r="W52">
        <f t="shared" si="73"/>
        <v>0</v>
      </c>
      <c r="X52">
        <f t="shared" si="74"/>
        <v>1274.06</v>
      </c>
      <c r="Y52">
        <f t="shared" si="75"/>
        <v>768.18</v>
      </c>
      <c r="AA52">
        <v>44169784</v>
      </c>
      <c r="AB52">
        <f t="shared" si="76"/>
        <v>4401.5</v>
      </c>
      <c r="AC52">
        <f t="shared" si="77"/>
        <v>0</v>
      </c>
      <c r="AD52">
        <f t="shared" si="78"/>
        <v>2713.55</v>
      </c>
      <c r="AE52">
        <f t="shared" si="79"/>
        <v>735.23</v>
      </c>
      <c r="AF52">
        <f t="shared" si="80"/>
        <v>1687.95</v>
      </c>
      <c r="AG52">
        <f t="shared" si="81"/>
        <v>0</v>
      </c>
      <c r="AH52">
        <f t="shared" si="82"/>
        <v>155</v>
      </c>
      <c r="AI52">
        <f t="shared" si="83"/>
        <v>0</v>
      </c>
      <c r="AJ52">
        <f t="shared" si="84"/>
        <v>0</v>
      </c>
      <c r="AK52">
        <v>4401.5</v>
      </c>
      <c r="AL52">
        <v>0</v>
      </c>
      <c r="AM52">
        <v>2713.55</v>
      </c>
      <c r="AN52">
        <v>735.23</v>
      </c>
      <c r="AO52">
        <v>1687.95</v>
      </c>
      <c r="AP52">
        <v>0</v>
      </c>
      <c r="AQ52">
        <v>155</v>
      </c>
      <c r="AR52">
        <v>0</v>
      </c>
      <c r="AS52">
        <v>0</v>
      </c>
      <c r="AT52">
        <v>68</v>
      </c>
      <c r="AU52">
        <v>41</v>
      </c>
      <c r="AV52">
        <v>1.0469999999999999</v>
      </c>
      <c r="AW52">
        <v>1</v>
      </c>
      <c r="AZ52">
        <v>1</v>
      </c>
      <c r="BA52">
        <v>21.43</v>
      </c>
      <c r="BB52">
        <v>10.199999999999999</v>
      </c>
      <c r="BC52">
        <v>1</v>
      </c>
      <c r="BD52" t="s">
        <v>5</v>
      </c>
      <c r="BE52" t="s">
        <v>5</v>
      </c>
      <c r="BF52" t="s">
        <v>5</v>
      </c>
      <c r="BG52" t="s">
        <v>5</v>
      </c>
      <c r="BH52">
        <v>0</v>
      </c>
      <c r="BI52">
        <v>1</v>
      </c>
      <c r="BJ52" t="s">
        <v>27</v>
      </c>
      <c r="BM52">
        <v>674</v>
      </c>
      <c r="BN52">
        <v>0</v>
      </c>
      <c r="BO52" t="s">
        <v>24</v>
      </c>
      <c r="BP52">
        <v>1</v>
      </c>
      <c r="BQ52">
        <v>60</v>
      </c>
      <c r="BR52">
        <v>0</v>
      </c>
      <c r="BS52">
        <v>21.43</v>
      </c>
      <c r="BT52">
        <v>1</v>
      </c>
      <c r="BU52">
        <v>1</v>
      </c>
      <c r="BV52">
        <v>1</v>
      </c>
      <c r="BW52">
        <v>1</v>
      </c>
      <c r="BX52">
        <v>1</v>
      </c>
      <c r="BY52" t="s">
        <v>5</v>
      </c>
      <c r="BZ52">
        <v>68</v>
      </c>
      <c r="CA52">
        <v>41</v>
      </c>
      <c r="CE52">
        <v>30</v>
      </c>
      <c r="CF52">
        <v>0</v>
      </c>
      <c r="CG52">
        <v>0</v>
      </c>
      <c r="CM52">
        <v>0</v>
      </c>
      <c r="CN52" t="s">
        <v>5</v>
      </c>
      <c r="CO52">
        <v>0</v>
      </c>
      <c r="CP52">
        <f t="shared" si="85"/>
        <v>3307.2299999999996</v>
      </c>
      <c r="CQ52">
        <f t="shared" si="86"/>
        <v>0</v>
      </c>
      <c r="CR52">
        <f t="shared" si="87"/>
        <v>28979.119999999999</v>
      </c>
      <c r="CS52">
        <f t="shared" si="88"/>
        <v>16496.599999999999</v>
      </c>
      <c r="CT52">
        <f t="shared" si="89"/>
        <v>37872.81</v>
      </c>
      <c r="CU52">
        <f t="shared" si="90"/>
        <v>0</v>
      </c>
      <c r="CV52">
        <f t="shared" si="91"/>
        <v>162.285</v>
      </c>
      <c r="CW52">
        <f t="shared" si="92"/>
        <v>0</v>
      </c>
      <c r="CX52">
        <f t="shared" si="93"/>
        <v>0</v>
      </c>
      <c r="CY52">
        <f t="shared" si="94"/>
        <v>1274.0616</v>
      </c>
      <c r="CZ52">
        <f t="shared" si="95"/>
        <v>768.18419999999992</v>
      </c>
      <c r="DC52" t="s">
        <v>5</v>
      </c>
      <c r="DD52" t="s">
        <v>5</v>
      </c>
      <c r="DE52" t="s">
        <v>5</v>
      </c>
      <c r="DF52" t="s">
        <v>5</v>
      </c>
      <c r="DG52" t="s">
        <v>5</v>
      </c>
      <c r="DH52" t="s">
        <v>5</v>
      </c>
      <c r="DI52" t="s">
        <v>5</v>
      </c>
      <c r="DJ52" t="s">
        <v>5</v>
      </c>
      <c r="DK52" t="s">
        <v>5</v>
      </c>
      <c r="DL52" t="s">
        <v>5</v>
      </c>
      <c r="DM52" t="s">
        <v>5</v>
      </c>
      <c r="DN52">
        <v>80</v>
      </c>
      <c r="DO52">
        <v>55</v>
      </c>
      <c r="DP52">
        <v>1.0469999999999999</v>
      </c>
      <c r="DQ52">
        <v>1</v>
      </c>
      <c r="DU52">
        <v>1007</v>
      </c>
      <c r="DV52" t="s">
        <v>26</v>
      </c>
      <c r="DW52" t="s">
        <v>26</v>
      </c>
      <c r="DX52">
        <v>100</v>
      </c>
      <c r="EE52">
        <v>44064493</v>
      </c>
      <c r="EF52">
        <v>60</v>
      </c>
      <c r="EG52" t="s">
        <v>28</v>
      </c>
      <c r="EH52">
        <v>0</v>
      </c>
      <c r="EI52" t="s">
        <v>5</v>
      </c>
      <c r="EJ52">
        <v>1</v>
      </c>
      <c r="EK52">
        <v>674</v>
      </c>
      <c r="EL52" t="s">
        <v>29</v>
      </c>
      <c r="EM52" t="s">
        <v>30</v>
      </c>
      <c r="EO52" t="s">
        <v>5</v>
      </c>
      <c r="EQ52">
        <v>131072</v>
      </c>
      <c r="ER52">
        <v>4401.5</v>
      </c>
      <c r="ES52">
        <v>0</v>
      </c>
      <c r="ET52">
        <v>2713.55</v>
      </c>
      <c r="EU52">
        <v>735.23</v>
      </c>
      <c r="EV52">
        <v>1687.95</v>
      </c>
      <c r="EW52">
        <v>155</v>
      </c>
      <c r="EX52">
        <v>0</v>
      </c>
      <c r="EY52">
        <v>0</v>
      </c>
      <c r="FQ52">
        <v>0</v>
      </c>
      <c r="FR52">
        <f t="shared" si="96"/>
        <v>0</v>
      </c>
      <c r="FS52">
        <v>0</v>
      </c>
      <c r="FX52">
        <v>80</v>
      </c>
      <c r="FY52">
        <v>55</v>
      </c>
      <c r="GA52" t="s">
        <v>5</v>
      </c>
      <c r="GD52">
        <v>0</v>
      </c>
      <c r="GF52">
        <v>462798223</v>
      </c>
      <c r="GG52">
        <v>2</v>
      </c>
      <c r="GH52">
        <v>1</v>
      </c>
      <c r="GI52">
        <v>2</v>
      </c>
      <c r="GJ52">
        <v>0</v>
      </c>
      <c r="GK52">
        <f>ROUND(R52*(R12)/100,2)</f>
        <v>1281.2</v>
      </c>
      <c r="GL52">
        <f t="shared" si="97"/>
        <v>0</v>
      </c>
      <c r="GM52">
        <f t="shared" si="98"/>
        <v>6630.67</v>
      </c>
      <c r="GN52">
        <f t="shared" si="99"/>
        <v>6630.67</v>
      </c>
      <c r="GO52">
        <f t="shared" si="100"/>
        <v>0</v>
      </c>
      <c r="GP52">
        <f t="shared" si="101"/>
        <v>0</v>
      </c>
      <c r="GR52">
        <v>0</v>
      </c>
      <c r="GS52">
        <v>0</v>
      </c>
      <c r="GT52">
        <v>0</v>
      </c>
      <c r="GU52" t="s">
        <v>5</v>
      </c>
      <c r="GV52">
        <f t="shared" si="102"/>
        <v>0</v>
      </c>
      <c r="GW52">
        <v>1</v>
      </c>
      <c r="GX52">
        <f t="shared" si="103"/>
        <v>0</v>
      </c>
      <c r="HA52">
        <v>0</v>
      </c>
      <c r="HB52">
        <v>0</v>
      </c>
      <c r="HC52">
        <f t="shared" si="104"/>
        <v>0</v>
      </c>
      <c r="IK52">
        <v>0</v>
      </c>
    </row>
    <row r="53" spans="1:245" x14ac:dyDescent="0.2">
      <c r="A53">
        <v>17</v>
      </c>
      <c r="B53">
        <v>1</v>
      </c>
      <c r="C53">
        <f>ROW(SmtRes!A93)</f>
        <v>93</v>
      </c>
      <c r="D53">
        <f>ROW(EtalonRes!A93)</f>
        <v>93</v>
      </c>
      <c r="E53" t="s">
        <v>110</v>
      </c>
      <c r="F53" t="s">
        <v>111</v>
      </c>
      <c r="G53" t="s">
        <v>112</v>
      </c>
      <c r="H53" t="s">
        <v>26</v>
      </c>
      <c r="I53">
        <f>ROUND(((82.45)*0.12/100)*1,9)</f>
        <v>9.894E-2</v>
      </c>
      <c r="J53">
        <v>0</v>
      </c>
      <c r="O53">
        <f t="shared" si="65"/>
        <v>669.34</v>
      </c>
      <c r="P53">
        <f t="shared" si="66"/>
        <v>0</v>
      </c>
      <c r="Q53">
        <f t="shared" si="67"/>
        <v>424.4</v>
      </c>
      <c r="R53">
        <f t="shared" si="68"/>
        <v>181.08</v>
      </c>
      <c r="S53">
        <f t="shared" si="69"/>
        <v>244.94</v>
      </c>
      <c r="T53">
        <f t="shared" si="70"/>
        <v>0</v>
      </c>
      <c r="U53">
        <f t="shared" si="71"/>
        <v>1.2120051059999999</v>
      </c>
      <c r="V53">
        <f t="shared" si="72"/>
        <v>0</v>
      </c>
      <c r="W53">
        <f t="shared" si="73"/>
        <v>0</v>
      </c>
      <c r="X53">
        <f t="shared" si="74"/>
        <v>166.56</v>
      </c>
      <c r="Y53">
        <f t="shared" si="75"/>
        <v>100.43</v>
      </c>
      <c r="AA53">
        <v>44169784</v>
      </c>
      <c r="AB53">
        <f t="shared" si="76"/>
        <v>512.76</v>
      </c>
      <c r="AC53">
        <f t="shared" si="77"/>
        <v>0</v>
      </c>
      <c r="AD53">
        <f t="shared" si="78"/>
        <v>402.43</v>
      </c>
      <c r="AE53">
        <f t="shared" si="79"/>
        <v>81.58</v>
      </c>
      <c r="AF53">
        <f t="shared" si="80"/>
        <v>110.33</v>
      </c>
      <c r="AG53">
        <f t="shared" si="81"/>
        <v>0</v>
      </c>
      <c r="AH53">
        <f t="shared" si="82"/>
        <v>11.7</v>
      </c>
      <c r="AI53">
        <f t="shared" si="83"/>
        <v>0</v>
      </c>
      <c r="AJ53">
        <f t="shared" si="84"/>
        <v>0</v>
      </c>
      <c r="AK53">
        <v>512.76</v>
      </c>
      <c r="AL53">
        <v>0</v>
      </c>
      <c r="AM53">
        <v>402.43</v>
      </c>
      <c r="AN53">
        <v>81.58</v>
      </c>
      <c r="AO53">
        <v>110.33</v>
      </c>
      <c r="AP53">
        <v>0</v>
      </c>
      <c r="AQ53">
        <v>11.7</v>
      </c>
      <c r="AR53">
        <v>0</v>
      </c>
      <c r="AS53">
        <v>0</v>
      </c>
      <c r="AT53">
        <v>68</v>
      </c>
      <c r="AU53">
        <v>41</v>
      </c>
      <c r="AV53">
        <v>1.0469999999999999</v>
      </c>
      <c r="AW53">
        <v>1</v>
      </c>
      <c r="AZ53">
        <v>1</v>
      </c>
      <c r="BA53">
        <v>21.43</v>
      </c>
      <c r="BB53">
        <v>10.18</v>
      </c>
      <c r="BC53">
        <v>1</v>
      </c>
      <c r="BD53" t="s">
        <v>5</v>
      </c>
      <c r="BE53" t="s">
        <v>5</v>
      </c>
      <c r="BF53" t="s">
        <v>5</v>
      </c>
      <c r="BG53" t="s">
        <v>5</v>
      </c>
      <c r="BH53">
        <v>0</v>
      </c>
      <c r="BI53">
        <v>1</v>
      </c>
      <c r="BJ53" t="s">
        <v>113</v>
      </c>
      <c r="BM53">
        <v>674</v>
      </c>
      <c r="BN53">
        <v>0</v>
      </c>
      <c r="BO53" t="s">
        <v>111</v>
      </c>
      <c r="BP53">
        <v>1</v>
      </c>
      <c r="BQ53">
        <v>60</v>
      </c>
      <c r="BR53">
        <v>0</v>
      </c>
      <c r="BS53">
        <v>21.43</v>
      </c>
      <c r="BT53">
        <v>1</v>
      </c>
      <c r="BU53">
        <v>1</v>
      </c>
      <c r="BV53">
        <v>1</v>
      </c>
      <c r="BW53">
        <v>1</v>
      </c>
      <c r="BX53">
        <v>1</v>
      </c>
      <c r="BY53" t="s">
        <v>5</v>
      </c>
      <c r="BZ53">
        <v>68</v>
      </c>
      <c r="CA53">
        <v>41</v>
      </c>
      <c r="CE53">
        <v>30</v>
      </c>
      <c r="CF53">
        <v>0</v>
      </c>
      <c r="CG53">
        <v>0</v>
      </c>
      <c r="CM53">
        <v>0</v>
      </c>
      <c r="CN53" t="s">
        <v>5</v>
      </c>
      <c r="CO53">
        <v>0</v>
      </c>
      <c r="CP53">
        <f t="shared" si="85"/>
        <v>669.33999999999992</v>
      </c>
      <c r="CQ53">
        <f t="shared" si="86"/>
        <v>0</v>
      </c>
      <c r="CR53">
        <f t="shared" si="87"/>
        <v>4289.24</v>
      </c>
      <c r="CS53">
        <f t="shared" si="88"/>
        <v>1830.34</v>
      </c>
      <c r="CT53">
        <f t="shared" si="89"/>
        <v>2475.59</v>
      </c>
      <c r="CU53">
        <f t="shared" si="90"/>
        <v>0</v>
      </c>
      <c r="CV53">
        <f t="shared" si="91"/>
        <v>12.249899999999998</v>
      </c>
      <c r="CW53">
        <f t="shared" si="92"/>
        <v>0</v>
      </c>
      <c r="CX53">
        <f t="shared" si="93"/>
        <v>0</v>
      </c>
      <c r="CY53">
        <f t="shared" si="94"/>
        <v>166.5592</v>
      </c>
      <c r="CZ53">
        <f t="shared" si="95"/>
        <v>100.4254</v>
      </c>
      <c r="DC53" t="s">
        <v>5</v>
      </c>
      <c r="DD53" t="s">
        <v>5</v>
      </c>
      <c r="DE53" t="s">
        <v>5</v>
      </c>
      <c r="DF53" t="s">
        <v>5</v>
      </c>
      <c r="DG53" t="s">
        <v>5</v>
      </c>
      <c r="DH53" t="s">
        <v>5</v>
      </c>
      <c r="DI53" t="s">
        <v>5</v>
      </c>
      <c r="DJ53" t="s">
        <v>5</v>
      </c>
      <c r="DK53" t="s">
        <v>5</v>
      </c>
      <c r="DL53" t="s">
        <v>5</v>
      </c>
      <c r="DM53" t="s">
        <v>5</v>
      </c>
      <c r="DN53">
        <v>80</v>
      </c>
      <c r="DO53">
        <v>55</v>
      </c>
      <c r="DP53">
        <v>1.0469999999999999</v>
      </c>
      <c r="DQ53">
        <v>1</v>
      </c>
      <c r="DU53">
        <v>1007</v>
      </c>
      <c r="DV53" t="s">
        <v>26</v>
      </c>
      <c r="DW53" t="s">
        <v>26</v>
      </c>
      <c r="DX53">
        <v>100</v>
      </c>
      <c r="EE53">
        <v>44064493</v>
      </c>
      <c r="EF53">
        <v>60</v>
      </c>
      <c r="EG53" t="s">
        <v>28</v>
      </c>
      <c r="EH53">
        <v>0</v>
      </c>
      <c r="EI53" t="s">
        <v>5</v>
      </c>
      <c r="EJ53">
        <v>1</v>
      </c>
      <c r="EK53">
        <v>674</v>
      </c>
      <c r="EL53" t="s">
        <v>29</v>
      </c>
      <c r="EM53" t="s">
        <v>30</v>
      </c>
      <c r="EO53" t="s">
        <v>5</v>
      </c>
      <c r="EQ53">
        <v>131072</v>
      </c>
      <c r="ER53">
        <v>512.76</v>
      </c>
      <c r="ES53">
        <v>0</v>
      </c>
      <c r="ET53">
        <v>402.43</v>
      </c>
      <c r="EU53">
        <v>81.58</v>
      </c>
      <c r="EV53">
        <v>110.33</v>
      </c>
      <c r="EW53">
        <v>11.7</v>
      </c>
      <c r="EX53">
        <v>0</v>
      </c>
      <c r="EY53">
        <v>0</v>
      </c>
      <c r="FQ53">
        <v>0</v>
      </c>
      <c r="FR53">
        <f t="shared" si="96"/>
        <v>0</v>
      </c>
      <c r="FS53">
        <v>0</v>
      </c>
      <c r="FX53">
        <v>80</v>
      </c>
      <c r="FY53">
        <v>55</v>
      </c>
      <c r="GA53" t="s">
        <v>5</v>
      </c>
      <c r="GD53">
        <v>0</v>
      </c>
      <c r="GF53">
        <v>-1972224145</v>
      </c>
      <c r="GG53">
        <v>2</v>
      </c>
      <c r="GH53">
        <v>1</v>
      </c>
      <c r="GI53">
        <v>2</v>
      </c>
      <c r="GJ53">
        <v>0</v>
      </c>
      <c r="GK53">
        <f>ROUND(R53*(R12)/100,2)</f>
        <v>284.3</v>
      </c>
      <c r="GL53">
        <f t="shared" si="97"/>
        <v>0</v>
      </c>
      <c r="GM53">
        <f t="shared" si="98"/>
        <v>1220.6300000000001</v>
      </c>
      <c r="GN53">
        <f t="shared" si="99"/>
        <v>1220.6300000000001</v>
      </c>
      <c r="GO53">
        <f t="shared" si="100"/>
        <v>0</v>
      </c>
      <c r="GP53">
        <f t="shared" si="101"/>
        <v>0</v>
      </c>
      <c r="GR53">
        <v>0</v>
      </c>
      <c r="GS53">
        <v>3</v>
      </c>
      <c r="GT53">
        <v>0</v>
      </c>
      <c r="GU53" t="s">
        <v>5</v>
      </c>
      <c r="GV53">
        <f t="shared" si="102"/>
        <v>0</v>
      </c>
      <c r="GW53">
        <v>1</v>
      </c>
      <c r="GX53">
        <f t="shared" si="103"/>
        <v>0</v>
      </c>
      <c r="HA53">
        <v>0</v>
      </c>
      <c r="HB53">
        <v>0</v>
      </c>
      <c r="HC53">
        <f t="shared" si="104"/>
        <v>0</v>
      </c>
      <c r="IK53">
        <v>0</v>
      </c>
    </row>
    <row r="54" spans="1:245" x14ac:dyDescent="0.2">
      <c r="A54">
        <v>17</v>
      </c>
      <c r="B54">
        <v>1</v>
      </c>
      <c r="C54">
        <f>ROW(SmtRes!A94)</f>
        <v>94</v>
      </c>
      <c r="D54">
        <f>ROW(EtalonRes!A94)</f>
        <v>94</v>
      </c>
      <c r="E54" t="s">
        <v>114</v>
      </c>
      <c r="F54" t="s">
        <v>115</v>
      </c>
      <c r="G54" t="s">
        <v>116</v>
      </c>
      <c r="H54" t="s">
        <v>117</v>
      </c>
      <c r="I54">
        <v>0</v>
      </c>
      <c r="J54">
        <v>0</v>
      </c>
      <c r="O54">
        <f t="shared" si="65"/>
        <v>0</v>
      </c>
      <c r="P54">
        <f t="shared" si="66"/>
        <v>0</v>
      </c>
      <c r="Q54">
        <f t="shared" si="67"/>
        <v>0</v>
      </c>
      <c r="R54">
        <f t="shared" si="68"/>
        <v>0</v>
      </c>
      <c r="S54">
        <f t="shared" si="69"/>
        <v>0</v>
      </c>
      <c r="T54">
        <f t="shared" si="70"/>
        <v>0</v>
      </c>
      <c r="U54">
        <f t="shared" si="71"/>
        <v>0</v>
      </c>
      <c r="V54">
        <f t="shared" si="72"/>
        <v>0</v>
      </c>
      <c r="W54">
        <f t="shared" si="73"/>
        <v>0</v>
      </c>
      <c r="X54">
        <f t="shared" si="74"/>
        <v>0</v>
      </c>
      <c r="Y54">
        <f t="shared" si="75"/>
        <v>0</v>
      </c>
      <c r="AA54">
        <v>44169784</v>
      </c>
      <c r="AB54">
        <f t="shared" si="76"/>
        <v>857.51</v>
      </c>
      <c r="AC54">
        <f t="shared" si="77"/>
        <v>0</v>
      </c>
      <c r="AD54">
        <f t="shared" si="78"/>
        <v>0</v>
      </c>
      <c r="AE54">
        <f t="shared" si="79"/>
        <v>0</v>
      </c>
      <c r="AF54">
        <f t="shared" si="80"/>
        <v>857.51</v>
      </c>
      <c r="AG54">
        <f t="shared" si="81"/>
        <v>0</v>
      </c>
      <c r="AH54">
        <f t="shared" si="82"/>
        <v>76.7</v>
      </c>
      <c r="AI54">
        <f t="shared" si="83"/>
        <v>0</v>
      </c>
      <c r="AJ54">
        <f t="shared" si="84"/>
        <v>0</v>
      </c>
      <c r="AK54">
        <v>857.51</v>
      </c>
      <c r="AL54">
        <v>0</v>
      </c>
      <c r="AM54">
        <v>0</v>
      </c>
      <c r="AN54">
        <v>0</v>
      </c>
      <c r="AO54">
        <v>857.51</v>
      </c>
      <c r="AP54">
        <v>0</v>
      </c>
      <c r="AQ54">
        <v>76.7</v>
      </c>
      <c r="AR54">
        <v>0</v>
      </c>
      <c r="AS54">
        <v>0</v>
      </c>
      <c r="AT54">
        <v>68</v>
      </c>
      <c r="AU54">
        <v>41</v>
      </c>
      <c r="AV54">
        <v>1.0469999999999999</v>
      </c>
      <c r="AW54">
        <v>1</v>
      </c>
      <c r="AZ54">
        <v>1</v>
      </c>
      <c r="BA54">
        <v>21.43</v>
      </c>
      <c r="BB54">
        <v>1</v>
      </c>
      <c r="BC54">
        <v>1</v>
      </c>
      <c r="BD54" t="s">
        <v>5</v>
      </c>
      <c r="BE54" t="s">
        <v>5</v>
      </c>
      <c r="BF54" t="s">
        <v>5</v>
      </c>
      <c r="BG54" t="s">
        <v>5</v>
      </c>
      <c r="BH54">
        <v>0</v>
      </c>
      <c r="BI54">
        <v>1</v>
      </c>
      <c r="BJ54" t="s">
        <v>118</v>
      </c>
      <c r="BM54">
        <v>674</v>
      </c>
      <c r="BN54">
        <v>0</v>
      </c>
      <c r="BO54" t="s">
        <v>115</v>
      </c>
      <c r="BP54">
        <v>1</v>
      </c>
      <c r="BQ54">
        <v>60</v>
      </c>
      <c r="BR54">
        <v>0</v>
      </c>
      <c r="BS54">
        <v>21.43</v>
      </c>
      <c r="BT54">
        <v>1</v>
      </c>
      <c r="BU54">
        <v>1</v>
      </c>
      <c r="BV54">
        <v>1</v>
      </c>
      <c r="BW54">
        <v>1</v>
      </c>
      <c r="BX54">
        <v>1</v>
      </c>
      <c r="BY54" t="s">
        <v>5</v>
      </c>
      <c r="BZ54">
        <v>68</v>
      </c>
      <c r="CA54">
        <v>41</v>
      </c>
      <c r="CE54">
        <v>30</v>
      </c>
      <c r="CF54">
        <v>0</v>
      </c>
      <c r="CG54">
        <v>0</v>
      </c>
      <c r="CM54">
        <v>0</v>
      </c>
      <c r="CN54" t="s">
        <v>5</v>
      </c>
      <c r="CO54">
        <v>0</v>
      </c>
      <c r="CP54">
        <f t="shared" si="85"/>
        <v>0</v>
      </c>
      <c r="CQ54">
        <f t="shared" si="86"/>
        <v>0</v>
      </c>
      <c r="CR54">
        <f t="shared" si="87"/>
        <v>0</v>
      </c>
      <c r="CS54">
        <f t="shared" si="88"/>
        <v>0</v>
      </c>
      <c r="CT54">
        <f t="shared" si="89"/>
        <v>19240.07</v>
      </c>
      <c r="CU54">
        <f t="shared" si="90"/>
        <v>0</v>
      </c>
      <c r="CV54">
        <f t="shared" si="91"/>
        <v>80.304900000000004</v>
      </c>
      <c r="CW54">
        <f t="shared" si="92"/>
        <v>0</v>
      </c>
      <c r="CX54">
        <f t="shared" si="93"/>
        <v>0</v>
      </c>
      <c r="CY54">
        <f t="shared" si="94"/>
        <v>0</v>
      </c>
      <c r="CZ54">
        <f t="shared" si="95"/>
        <v>0</v>
      </c>
      <c r="DC54" t="s">
        <v>5</v>
      </c>
      <c r="DD54" t="s">
        <v>5</v>
      </c>
      <c r="DE54" t="s">
        <v>5</v>
      </c>
      <c r="DF54" t="s">
        <v>5</v>
      </c>
      <c r="DG54" t="s">
        <v>5</v>
      </c>
      <c r="DH54" t="s">
        <v>5</v>
      </c>
      <c r="DI54" t="s">
        <v>5</v>
      </c>
      <c r="DJ54" t="s">
        <v>5</v>
      </c>
      <c r="DK54" t="s">
        <v>5</v>
      </c>
      <c r="DL54" t="s">
        <v>5</v>
      </c>
      <c r="DM54" t="s">
        <v>5</v>
      </c>
      <c r="DN54">
        <v>80</v>
      </c>
      <c r="DO54">
        <v>55</v>
      </c>
      <c r="DP54">
        <v>1.0469999999999999</v>
      </c>
      <c r="DQ54">
        <v>1</v>
      </c>
      <c r="DU54">
        <v>1003</v>
      </c>
      <c r="DV54" t="s">
        <v>117</v>
      </c>
      <c r="DW54" t="s">
        <v>117</v>
      </c>
      <c r="DX54">
        <v>100</v>
      </c>
      <c r="EE54">
        <v>44064493</v>
      </c>
      <c r="EF54">
        <v>60</v>
      </c>
      <c r="EG54" t="s">
        <v>28</v>
      </c>
      <c r="EH54">
        <v>0</v>
      </c>
      <c r="EI54" t="s">
        <v>5</v>
      </c>
      <c r="EJ54">
        <v>1</v>
      </c>
      <c r="EK54">
        <v>674</v>
      </c>
      <c r="EL54" t="s">
        <v>29</v>
      </c>
      <c r="EM54" t="s">
        <v>30</v>
      </c>
      <c r="EO54" t="s">
        <v>5</v>
      </c>
      <c r="EQ54">
        <v>131072</v>
      </c>
      <c r="ER54">
        <v>857.51</v>
      </c>
      <c r="ES54">
        <v>0</v>
      </c>
      <c r="ET54">
        <v>0</v>
      </c>
      <c r="EU54">
        <v>0</v>
      </c>
      <c r="EV54">
        <v>857.51</v>
      </c>
      <c r="EW54">
        <v>76.7</v>
      </c>
      <c r="EX54">
        <v>0</v>
      </c>
      <c r="EY54">
        <v>0</v>
      </c>
      <c r="FQ54">
        <v>0</v>
      </c>
      <c r="FR54">
        <f t="shared" si="96"/>
        <v>0</v>
      </c>
      <c r="FS54">
        <v>0</v>
      </c>
      <c r="FX54">
        <v>80</v>
      </c>
      <c r="FY54">
        <v>55</v>
      </c>
      <c r="GA54" t="s">
        <v>5</v>
      </c>
      <c r="GD54">
        <v>0</v>
      </c>
      <c r="GF54">
        <v>-306614759</v>
      </c>
      <c r="GG54">
        <v>2</v>
      </c>
      <c r="GH54">
        <v>1</v>
      </c>
      <c r="GI54">
        <v>2</v>
      </c>
      <c r="GJ54">
        <v>0</v>
      </c>
      <c r="GK54">
        <f>ROUND(R54*(R12)/100,2)</f>
        <v>0</v>
      </c>
      <c r="GL54">
        <f t="shared" si="97"/>
        <v>0</v>
      </c>
      <c r="GM54">
        <f t="shared" si="98"/>
        <v>0</v>
      </c>
      <c r="GN54">
        <f t="shared" si="99"/>
        <v>0</v>
      </c>
      <c r="GO54">
        <f t="shared" si="100"/>
        <v>0</v>
      </c>
      <c r="GP54">
        <f t="shared" si="101"/>
        <v>0</v>
      </c>
      <c r="GR54">
        <v>0</v>
      </c>
      <c r="GS54">
        <v>0</v>
      </c>
      <c r="GT54">
        <v>0</v>
      </c>
      <c r="GU54" t="s">
        <v>5</v>
      </c>
      <c r="GV54">
        <f t="shared" si="102"/>
        <v>0</v>
      </c>
      <c r="GW54">
        <v>1</v>
      </c>
      <c r="GX54">
        <f t="shared" si="103"/>
        <v>0</v>
      </c>
      <c r="HA54">
        <v>0</v>
      </c>
      <c r="HB54">
        <v>0</v>
      </c>
      <c r="HC54">
        <f t="shared" si="104"/>
        <v>0</v>
      </c>
      <c r="IK54">
        <v>0</v>
      </c>
    </row>
    <row r="55" spans="1:245" x14ac:dyDescent="0.2">
      <c r="A55">
        <v>17</v>
      </c>
      <c r="B55">
        <v>1</v>
      </c>
      <c r="C55">
        <f>ROW(SmtRes!A96)</f>
        <v>96</v>
      </c>
      <c r="D55">
        <f>ROW(EtalonRes!A96)</f>
        <v>96</v>
      </c>
      <c r="E55" t="s">
        <v>119</v>
      </c>
      <c r="F55" t="s">
        <v>36</v>
      </c>
      <c r="G55" t="s">
        <v>37</v>
      </c>
      <c r="H55" t="s">
        <v>38</v>
      </c>
      <c r="I55">
        <v>0</v>
      </c>
      <c r="J55">
        <v>0</v>
      </c>
      <c r="O55">
        <f t="shared" si="65"/>
        <v>0</v>
      </c>
      <c r="P55">
        <f t="shared" si="66"/>
        <v>0</v>
      </c>
      <c r="Q55">
        <f t="shared" si="67"/>
        <v>0</v>
      </c>
      <c r="R55">
        <f t="shared" si="68"/>
        <v>0</v>
      </c>
      <c r="S55">
        <f t="shared" si="69"/>
        <v>0</v>
      </c>
      <c r="T55">
        <f t="shared" si="70"/>
        <v>0</v>
      </c>
      <c r="U55">
        <f t="shared" si="71"/>
        <v>0</v>
      </c>
      <c r="V55">
        <f t="shared" si="72"/>
        <v>0</v>
      </c>
      <c r="W55">
        <f t="shared" si="73"/>
        <v>0</v>
      </c>
      <c r="X55">
        <f t="shared" si="74"/>
        <v>0</v>
      </c>
      <c r="Y55">
        <f t="shared" si="75"/>
        <v>0</v>
      </c>
      <c r="AA55">
        <v>44169784</v>
      </c>
      <c r="AB55">
        <f t="shared" si="76"/>
        <v>69.72</v>
      </c>
      <c r="AC55">
        <f t="shared" si="77"/>
        <v>0</v>
      </c>
      <c r="AD55">
        <f t="shared" si="78"/>
        <v>56.39</v>
      </c>
      <c r="AE55">
        <f t="shared" si="79"/>
        <v>14.68</v>
      </c>
      <c r="AF55">
        <f t="shared" si="80"/>
        <v>13.33</v>
      </c>
      <c r="AG55">
        <f t="shared" si="81"/>
        <v>0</v>
      </c>
      <c r="AH55">
        <f t="shared" si="82"/>
        <v>1.1200000000000001</v>
      </c>
      <c r="AI55">
        <f t="shared" si="83"/>
        <v>0</v>
      </c>
      <c r="AJ55">
        <f t="shared" si="84"/>
        <v>0</v>
      </c>
      <c r="AK55">
        <v>69.72</v>
      </c>
      <c r="AL55">
        <v>0</v>
      </c>
      <c r="AM55">
        <v>56.39</v>
      </c>
      <c r="AN55">
        <v>14.68</v>
      </c>
      <c r="AO55">
        <v>13.33</v>
      </c>
      <c r="AP55">
        <v>0</v>
      </c>
      <c r="AQ55">
        <v>1.1200000000000001</v>
      </c>
      <c r="AR55">
        <v>0</v>
      </c>
      <c r="AS55">
        <v>0</v>
      </c>
      <c r="AT55">
        <v>73</v>
      </c>
      <c r="AU55">
        <v>41</v>
      </c>
      <c r="AV55">
        <v>1.0469999999999999</v>
      </c>
      <c r="AW55">
        <v>1.002</v>
      </c>
      <c r="AZ55">
        <v>1</v>
      </c>
      <c r="BA55">
        <v>21.43</v>
      </c>
      <c r="BB55">
        <v>11.51</v>
      </c>
      <c r="BC55">
        <v>1</v>
      </c>
      <c r="BD55" t="s">
        <v>5</v>
      </c>
      <c r="BE55" t="s">
        <v>5</v>
      </c>
      <c r="BF55" t="s">
        <v>5</v>
      </c>
      <c r="BG55" t="s">
        <v>5</v>
      </c>
      <c r="BH55">
        <v>0</v>
      </c>
      <c r="BI55">
        <v>1</v>
      </c>
      <c r="BJ55" t="s">
        <v>39</v>
      </c>
      <c r="BM55">
        <v>644</v>
      </c>
      <c r="BN55">
        <v>0</v>
      </c>
      <c r="BO55" t="s">
        <v>36</v>
      </c>
      <c r="BP55">
        <v>1</v>
      </c>
      <c r="BQ55">
        <v>60</v>
      </c>
      <c r="BR55">
        <v>0</v>
      </c>
      <c r="BS55">
        <v>21.43</v>
      </c>
      <c r="BT55">
        <v>1</v>
      </c>
      <c r="BU55">
        <v>1</v>
      </c>
      <c r="BV55">
        <v>1</v>
      </c>
      <c r="BW55">
        <v>1</v>
      </c>
      <c r="BX55">
        <v>1</v>
      </c>
      <c r="BY55" t="s">
        <v>5</v>
      </c>
      <c r="BZ55">
        <v>73</v>
      </c>
      <c r="CA55">
        <v>41</v>
      </c>
      <c r="CE55">
        <v>30</v>
      </c>
      <c r="CF55">
        <v>0</v>
      </c>
      <c r="CG55">
        <v>0</v>
      </c>
      <c r="CM55">
        <v>0</v>
      </c>
      <c r="CN55" t="s">
        <v>5</v>
      </c>
      <c r="CO55">
        <v>0</v>
      </c>
      <c r="CP55">
        <f t="shared" si="85"/>
        <v>0</v>
      </c>
      <c r="CQ55">
        <f t="shared" si="86"/>
        <v>0</v>
      </c>
      <c r="CR55">
        <f t="shared" si="87"/>
        <v>679.55</v>
      </c>
      <c r="CS55">
        <f t="shared" si="88"/>
        <v>329.38</v>
      </c>
      <c r="CT55">
        <f t="shared" si="89"/>
        <v>299.16000000000003</v>
      </c>
      <c r="CU55">
        <f t="shared" si="90"/>
        <v>0</v>
      </c>
      <c r="CV55">
        <f t="shared" si="91"/>
        <v>1.1726400000000001</v>
      </c>
      <c r="CW55">
        <f t="shared" si="92"/>
        <v>0</v>
      </c>
      <c r="CX55">
        <f t="shared" si="93"/>
        <v>0</v>
      </c>
      <c r="CY55">
        <f t="shared" si="94"/>
        <v>0</v>
      </c>
      <c r="CZ55">
        <f t="shared" si="95"/>
        <v>0</v>
      </c>
      <c r="DC55" t="s">
        <v>5</v>
      </c>
      <c r="DD55" t="s">
        <v>5</v>
      </c>
      <c r="DE55" t="s">
        <v>5</v>
      </c>
      <c r="DF55" t="s">
        <v>5</v>
      </c>
      <c r="DG55" t="s">
        <v>5</v>
      </c>
      <c r="DH55" t="s">
        <v>5</v>
      </c>
      <c r="DI55" t="s">
        <v>5</v>
      </c>
      <c r="DJ55" t="s">
        <v>5</v>
      </c>
      <c r="DK55" t="s">
        <v>5</v>
      </c>
      <c r="DL55" t="s">
        <v>5</v>
      </c>
      <c r="DM55" t="s">
        <v>5</v>
      </c>
      <c r="DN55">
        <v>91</v>
      </c>
      <c r="DO55">
        <v>70</v>
      </c>
      <c r="DP55">
        <v>1.0469999999999999</v>
      </c>
      <c r="DQ55">
        <v>1.002</v>
      </c>
      <c r="DU55">
        <v>1013</v>
      </c>
      <c r="DV55" t="s">
        <v>38</v>
      </c>
      <c r="DW55" t="s">
        <v>38</v>
      </c>
      <c r="DX55">
        <v>1</v>
      </c>
      <c r="EE55">
        <v>44064463</v>
      </c>
      <c r="EF55">
        <v>60</v>
      </c>
      <c r="EG55" t="s">
        <v>28</v>
      </c>
      <c r="EH55">
        <v>0</v>
      </c>
      <c r="EI55" t="s">
        <v>5</v>
      </c>
      <c r="EJ55">
        <v>1</v>
      </c>
      <c r="EK55">
        <v>644</v>
      </c>
      <c r="EL55" t="s">
        <v>40</v>
      </c>
      <c r="EM55" t="s">
        <v>41</v>
      </c>
      <c r="EO55" t="s">
        <v>5</v>
      </c>
      <c r="EQ55">
        <v>131072</v>
      </c>
      <c r="ER55">
        <v>69.72</v>
      </c>
      <c r="ES55">
        <v>0</v>
      </c>
      <c r="ET55">
        <v>56.39</v>
      </c>
      <c r="EU55">
        <v>14.68</v>
      </c>
      <c r="EV55">
        <v>13.33</v>
      </c>
      <c r="EW55">
        <v>1.1200000000000001</v>
      </c>
      <c r="EX55">
        <v>0</v>
      </c>
      <c r="EY55">
        <v>0</v>
      </c>
      <c r="FQ55">
        <v>0</v>
      </c>
      <c r="FR55">
        <f t="shared" si="96"/>
        <v>0</v>
      </c>
      <c r="FS55">
        <v>0</v>
      </c>
      <c r="FX55">
        <v>91</v>
      </c>
      <c r="FY55">
        <v>70</v>
      </c>
      <c r="GA55" t="s">
        <v>5</v>
      </c>
      <c r="GD55">
        <v>0</v>
      </c>
      <c r="GF55">
        <v>1054247290</v>
      </c>
      <c r="GG55">
        <v>2</v>
      </c>
      <c r="GH55">
        <v>1</v>
      </c>
      <c r="GI55">
        <v>2</v>
      </c>
      <c r="GJ55">
        <v>0</v>
      </c>
      <c r="GK55">
        <f>ROUND(R55*(R12)/100,2)</f>
        <v>0</v>
      </c>
      <c r="GL55">
        <f t="shared" si="97"/>
        <v>0</v>
      </c>
      <c r="GM55">
        <f t="shared" si="98"/>
        <v>0</v>
      </c>
      <c r="GN55">
        <f t="shared" si="99"/>
        <v>0</v>
      </c>
      <c r="GO55">
        <f t="shared" si="100"/>
        <v>0</v>
      </c>
      <c r="GP55">
        <f t="shared" si="101"/>
        <v>0</v>
      </c>
      <c r="GR55">
        <v>0</v>
      </c>
      <c r="GS55">
        <v>0</v>
      </c>
      <c r="GT55">
        <v>0</v>
      </c>
      <c r="GU55" t="s">
        <v>5</v>
      </c>
      <c r="GV55">
        <f t="shared" si="102"/>
        <v>0</v>
      </c>
      <c r="GW55">
        <v>1</v>
      </c>
      <c r="GX55">
        <f t="shared" si="103"/>
        <v>0</v>
      </c>
      <c r="HA55">
        <v>0</v>
      </c>
      <c r="HB55">
        <v>0</v>
      </c>
      <c r="HC55">
        <f t="shared" si="104"/>
        <v>0</v>
      </c>
      <c r="IK55">
        <v>0</v>
      </c>
    </row>
    <row r="56" spans="1:245" x14ac:dyDescent="0.2">
      <c r="A56">
        <v>17</v>
      </c>
      <c r="B56">
        <v>1</v>
      </c>
      <c r="C56">
        <f>ROW(SmtRes!A97)</f>
        <v>97</v>
      </c>
      <c r="D56">
        <f>ROW(EtalonRes!A97)</f>
        <v>97</v>
      </c>
      <c r="E56" t="s">
        <v>120</v>
      </c>
      <c r="F56" t="s">
        <v>43</v>
      </c>
      <c r="G56" t="s">
        <v>44</v>
      </c>
      <c r="H56" t="s">
        <v>38</v>
      </c>
      <c r="I56">
        <f>ROUND((I51*2.4+I52*2.4+I53*1.4)*100,9)</f>
        <v>74.693039999999996</v>
      </c>
      <c r="J56">
        <v>0</v>
      </c>
      <c r="O56">
        <f t="shared" si="65"/>
        <v>5515.32</v>
      </c>
      <c r="P56">
        <f t="shared" si="66"/>
        <v>0</v>
      </c>
      <c r="Q56">
        <f t="shared" si="67"/>
        <v>5515.32</v>
      </c>
      <c r="R56">
        <f t="shared" si="68"/>
        <v>2480.31</v>
      </c>
      <c r="S56">
        <f t="shared" si="69"/>
        <v>0</v>
      </c>
      <c r="T56">
        <f t="shared" si="70"/>
        <v>0</v>
      </c>
      <c r="U56">
        <f t="shared" si="71"/>
        <v>0</v>
      </c>
      <c r="V56">
        <f t="shared" si="72"/>
        <v>0</v>
      </c>
      <c r="W56">
        <f t="shared" si="73"/>
        <v>0</v>
      </c>
      <c r="X56">
        <f t="shared" si="74"/>
        <v>0</v>
      </c>
      <c r="Y56">
        <f t="shared" si="75"/>
        <v>0</v>
      </c>
      <c r="AA56">
        <v>44169784</v>
      </c>
      <c r="AB56">
        <f t="shared" si="76"/>
        <v>8.86</v>
      </c>
      <c r="AC56">
        <f t="shared" si="77"/>
        <v>0</v>
      </c>
      <c r="AD56">
        <f t="shared" si="78"/>
        <v>8.86</v>
      </c>
      <c r="AE56">
        <f t="shared" si="79"/>
        <v>1.48</v>
      </c>
      <c r="AF56">
        <f t="shared" si="80"/>
        <v>0</v>
      </c>
      <c r="AG56">
        <f t="shared" si="81"/>
        <v>0</v>
      </c>
      <c r="AH56">
        <f t="shared" si="82"/>
        <v>0</v>
      </c>
      <c r="AI56">
        <f t="shared" si="83"/>
        <v>0</v>
      </c>
      <c r="AJ56">
        <f t="shared" si="84"/>
        <v>0</v>
      </c>
      <c r="AK56">
        <v>8.86</v>
      </c>
      <c r="AL56">
        <v>0</v>
      </c>
      <c r="AM56">
        <v>8.86</v>
      </c>
      <c r="AN56">
        <v>1.48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73</v>
      </c>
      <c r="AU56">
        <v>41</v>
      </c>
      <c r="AV56">
        <v>1.0469999999999999</v>
      </c>
      <c r="AW56">
        <v>1.002</v>
      </c>
      <c r="AZ56">
        <v>1</v>
      </c>
      <c r="BA56">
        <v>21.43</v>
      </c>
      <c r="BB56">
        <v>7.96</v>
      </c>
      <c r="BC56">
        <v>1</v>
      </c>
      <c r="BD56" t="s">
        <v>5</v>
      </c>
      <c r="BE56" t="s">
        <v>5</v>
      </c>
      <c r="BF56" t="s">
        <v>5</v>
      </c>
      <c r="BG56" t="s">
        <v>5</v>
      </c>
      <c r="BH56">
        <v>0</v>
      </c>
      <c r="BI56">
        <v>1</v>
      </c>
      <c r="BJ56" t="s">
        <v>45</v>
      </c>
      <c r="BM56">
        <v>658</v>
      </c>
      <c r="BN56">
        <v>0</v>
      </c>
      <c r="BO56" t="s">
        <v>43</v>
      </c>
      <c r="BP56">
        <v>1</v>
      </c>
      <c r="BQ56">
        <v>60</v>
      </c>
      <c r="BR56">
        <v>0</v>
      </c>
      <c r="BS56">
        <v>21.43</v>
      </c>
      <c r="BT56">
        <v>1</v>
      </c>
      <c r="BU56">
        <v>1</v>
      </c>
      <c r="BV56">
        <v>1</v>
      </c>
      <c r="BW56">
        <v>1</v>
      </c>
      <c r="BX56">
        <v>1</v>
      </c>
      <c r="BY56" t="s">
        <v>5</v>
      </c>
      <c r="BZ56">
        <v>73</v>
      </c>
      <c r="CA56">
        <v>41</v>
      </c>
      <c r="CE56">
        <v>30</v>
      </c>
      <c r="CF56">
        <v>0</v>
      </c>
      <c r="CG56">
        <v>0</v>
      </c>
      <c r="CM56">
        <v>0</v>
      </c>
      <c r="CN56" t="s">
        <v>5</v>
      </c>
      <c r="CO56">
        <v>0</v>
      </c>
      <c r="CP56">
        <f t="shared" si="85"/>
        <v>5515.32</v>
      </c>
      <c r="CQ56">
        <f t="shared" si="86"/>
        <v>0</v>
      </c>
      <c r="CR56">
        <f t="shared" si="87"/>
        <v>73.87</v>
      </c>
      <c r="CS56">
        <f t="shared" si="88"/>
        <v>33.22</v>
      </c>
      <c r="CT56">
        <f t="shared" si="89"/>
        <v>0</v>
      </c>
      <c r="CU56">
        <f t="shared" si="90"/>
        <v>0</v>
      </c>
      <c r="CV56">
        <f t="shared" si="91"/>
        <v>0</v>
      </c>
      <c r="CW56">
        <f t="shared" si="92"/>
        <v>0</v>
      </c>
      <c r="CX56">
        <f t="shared" si="93"/>
        <v>0</v>
      </c>
      <c r="CY56">
        <f t="shared" si="94"/>
        <v>0</v>
      </c>
      <c r="CZ56">
        <f t="shared" si="95"/>
        <v>0</v>
      </c>
      <c r="DC56" t="s">
        <v>5</v>
      </c>
      <c r="DD56" t="s">
        <v>5</v>
      </c>
      <c r="DE56" t="s">
        <v>5</v>
      </c>
      <c r="DF56" t="s">
        <v>5</v>
      </c>
      <c r="DG56" t="s">
        <v>5</v>
      </c>
      <c r="DH56" t="s">
        <v>5</v>
      </c>
      <c r="DI56" t="s">
        <v>5</v>
      </c>
      <c r="DJ56" t="s">
        <v>5</v>
      </c>
      <c r="DK56" t="s">
        <v>5</v>
      </c>
      <c r="DL56" t="s">
        <v>5</v>
      </c>
      <c r="DM56" t="s">
        <v>5</v>
      </c>
      <c r="DN56">
        <v>91</v>
      </c>
      <c r="DO56">
        <v>70</v>
      </c>
      <c r="DP56">
        <v>1.0469999999999999</v>
      </c>
      <c r="DQ56">
        <v>1.002</v>
      </c>
      <c r="DU56">
        <v>1013</v>
      </c>
      <c r="DV56" t="s">
        <v>38</v>
      </c>
      <c r="DW56" t="s">
        <v>38</v>
      </c>
      <c r="DX56">
        <v>1</v>
      </c>
      <c r="EE56">
        <v>44064477</v>
      </c>
      <c r="EF56">
        <v>60</v>
      </c>
      <c r="EG56" t="s">
        <v>28</v>
      </c>
      <c r="EH56">
        <v>0</v>
      </c>
      <c r="EI56" t="s">
        <v>5</v>
      </c>
      <c r="EJ56">
        <v>1</v>
      </c>
      <c r="EK56">
        <v>658</v>
      </c>
      <c r="EL56" t="s">
        <v>46</v>
      </c>
      <c r="EM56" t="s">
        <v>47</v>
      </c>
      <c r="EO56" t="s">
        <v>5</v>
      </c>
      <c r="EQ56">
        <v>131072</v>
      </c>
      <c r="ER56">
        <v>8.86</v>
      </c>
      <c r="ES56">
        <v>0</v>
      </c>
      <c r="ET56">
        <v>8.86</v>
      </c>
      <c r="EU56">
        <v>1.48</v>
      </c>
      <c r="EV56">
        <v>0</v>
      </c>
      <c r="EW56">
        <v>0</v>
      </c>
      <c r="EX56">
        <v>0</v>
      </c>
      <c r="EY56">
        <v>0</v>
      </c>
      <c r="FQ56">
        <v>0</v>
      </c>
      <c r="FR56">
        <f t="shared" si="96"/>
        <v>0</v>
      </c>
      <c r="FS56">
        <v>0</v>
      </c>
      <c r="FX56">
        <v>91</v>
      </c>
      <c r="FY56">
        <v>70</v>
      </c>
      <c r="GA56" t="s">
        <v>5</v>
      </c>
      <c r="GD56">
        <v>0</v>
      </c>
      <c r="GF56">
        <v>-1983005167</v>
      </c>
      <c r="GG56">
        <v>2</v>
      </c>
      <c r="GH56">
        <v>1</v>
      </c>
      <c r="GI56">
        <v>2</v>
      </c>
      <c r="GJ56">
        <v>0</v>
      </c>
      <c r="GK56">
        <f>ROUND(R56*(R12)/100,2)</f>
        <v>3894.09</v>
      </c>
      <c r="GL56">
        <f t="shared" si="97"/>
        <v>0</v>
      </c>
      <c r="GM56">
        <f t="shared" si="98"/>
        <v>9409.41</v>
      </c>
      <c r="GN56">
        <f t="shared" si="99"/>
        <v>9409.41</v>
      </c>
      <c r="GO56">
        <f t="shared" si="100"/>
        <v>0</v>
      </c>
      <c r="GP56">
        <f t="shared" si="101"/>
        <v>0</v>
      </c>
      <c r="GR56">
        <v>0</v>
      </c>
      <c r="GS56">
        <v>0</v>
      </c>
      <c r="GT56">
        <v>0</v>
      </c>
      <c r="GU56" t="s">
        <v>5</v>
      </c>
      <c r="GV56">
        <f t="shared" si="102"/>
        <v>0</v>
      </c>
      <c r="GW56">
        <v>1</v>
      </c>
      <c r="GX56">
        <f t="shared" si="103"/>
        <v>0</v>
      </c>
      <c r="HA56">
        <v>0</v>
      </c>
      <c r="HB56">
        <v>0</v>
      </c>
      <c r="HC56">
        <f t="shared" si="104"/>
        <v>0</v>
      </c>
      <c r="IK56">
        <v>0</v>
      </c>
    </row>
    <row r="57" spans="1:245" x14ac:dyDescent="0.2">
      <c r="A57">
        <v>17</v>
      </c>
      <c r="B57">
        <v>1</v>
      </c>
      <c r="C57">
        <f>ROW(SmtRes!A105)</f>
        <v>105</v>
      </c>
      <c r="D57">
        <f>ROW(EtalonRes!A105)</f>
        <v>105</v>
      </c>
      <c r="E57" t="s">
        <v>121</v>
      </c>
      <c r="F57" t="s">
        <v>49</v>
      </c>
      <c r="G57" t="s">
        <v>50</v>
      </c>
      <c r="H57" t="s">
        <v>51</v>
      </c>
      <c r="I57">
        <f>ROUND((82.45)*0.25/100,9)</f>
        <v>0.206125</v>
      </c>
      <c r="J57">
        <v>0</v>
      </c>
      <c r="O57">
        <f t="shared" si="65"/>
        <v>2167.46</v>
      </c>
      <c r="P57">
        <f t="shared" si="66"/>
        <v>33.29</v>
      </c>
      <c r="Q57">
        <f t="shared" si="67"/>
        <v>1433.62</v>
      </c>
      <c r="R57">
        <f t="shared" si="68"/>
        <v>550.54</v>
      </c>
      <c r="S57">
        <f t="shared" si="69"/>
        <v>700.55</v>
      </c>
      <c r="T57">
        <f t="shared" si="70"/>
        <v>0</v>
      </c>
      <c r="U57">
        <f t="shared" si="71"/>
        <v>3.1077054</v>
      </c>
      <c r="V57">
        <f t="shared" si="72"/>
        <v>0</v>
      </c>
      <c r="W57">
        <f t="shared" si="73"/>
        <v>0</v>
      </c>
      <c r="X57">
        <f t="shared" si="74"/>
        <v>917.72</v>
      </c>
      <c r="Y57">
        <f t="shared" si="75"/>
        <v>378.3</v>
      </c>
      <c r="AA57">
        <v>44169784</v>
      </c>
      <c r="AB57">
        <f t="shared" si="76"/>
        <v>863.31</v>
      </c>
      <c r="AC57">
        <f t="shared" si="77"/>
        <v>35.35</v>
      </c>
      <c r="AD57">
        <f t="shared" si="78"/>
        <v>676.47</v>
      </c>
      <c r="AE57">
        <f t="shared" si="79"/>
        <v>119.05</v>
      </c>
      <c r="AF57">
        <f t="shared" si="80"/>
        <v>151.49</v>
      </c>
      <c r="AG57">
        <f t="shared" si="81"/>
        <v>0</v>
      </c>
      <c r="AH57">
        <f t="shared" si="82"/>
        <v>14.4</v>
      </c>
      <c r="AI57">
        <f t="shared" si="83"/>
        <v>0</v>
      </c>
      <c r="AJ57">
        <f t="shared" si="84"/>
        <v>0</v>
      </c>
      <c r="AK57">
        <v>863.31</v>
      </c>
      <c r="AL57">
        <v>35.35</v>
      </c>
      <c r="AM57">
        <v>676.47</v>
      </c>
      <c r="AN57">
        <v>119.05</v>
      </c>
      <c r="AO57">
        <v>151.49</v>
      </c>
      <c r="AP57">
        <v>0</v>
      </c>
      <c r="AQ57">
        <v>14.4</v>
      </c>
      <c r="AR57">
        <v>0</v>
      </c>
      <c r="AS57">
        <v>0</v>
      </c>
      <c r="AT57">
        <v>131</v>
      </c>
      <c r="AU57">
        <v>54</v>
      </c>
      <c r="AV57">
        <v>1.0469999999999999</v>
      </c>
      <c r="AW57">
        <v>1.002</v>
      </c>
      <c r="AZ57">
        <v>1</v>
      </c>
      <c r="BA57">
        <v>21.43</v>
      </c>
      <c r="BB57">
        <v>9.82</v>
      </c>
      <c r="BC57">
        <v>4.5599999999999996</v>
      </c>
      <c r="BD57" t="s">
        <v>5</v>
      </c>
      <c r="BE57" t="s">
        <v>5</v>
      </c>
      <c r="BF57" t="s">
        <v>5</v>
      </c>
      <c r="BG57" t="s">
        <v>5</v>
      </c>
      <c r="BH57">
        <v>0</v>
      </c>
      <c r="BI57">
        <v>1</v>
      </c>
      <c r="BJ57" t="s">
        <v>52</v>
      </c>
      <c r="BM57">
        <v>146</v>
      </c>
      <c r="BN57">
        <v>0</v>
      </c>
      <c r="BO57" t="s">
        <v>49</v>
      </c>
      <c r="BP57">
        <v>1</v>
      </c>
      <c r="BQ57">
        <v>30</v>
      </c>
      <c r="BR57">
        <v>0</v>
      </c>
      <c r="BS57">
        <v>21.43</v>
      </c>
      <c r="BT57">
        <v>1</v>
      </c>
      <c r="BU57">
        <v>1</v>
      </c>
      <c r="BV57">
        <v>1</v>
      </c>
      <c r="BW57">
        <v>1</v>
      </c>
      <c r="BX57">
        <v>1</v>
      </c>
      <c r="BY57" t="s">
        <v>5</v>
      </c>
      <c r="BZ57">
        <v>131</v>
      </c>
      <c r="CA57">
        <v>54</v>
      </c>
      <c r="CE57">
        <v>30</v>
      </c>
      <c r="CF57">
        <v>0</v>
      </c>
      <c r="CG57">
        <v>0</v>
      </c>
      <c r="CM57">
        <v>0</v>
      </c>
      <c r="CN57" t="s">
        <v>5</v>
      </c>
      <c r="CO57">
        <v>0</v>
      </c>
      <c r="CP57">
        <f t="shared" si="85"/>
        <v>2167.46</v>
      </c>
      <c r="CQ57">
        <f t="shared" si="86"/>
        <v>161.52000000000001</v>
      </c>
      <c r="CR57">
        <f t="shared" si="87"/>
        <v>6955.11</v>
      </c>
      <c r="CS57">
        <f t="shared" si="88"/>
        <v>2671.25</v>
      </c>
      <c r="CT57">
        <f t="shared" si="89"/>
        <v>3399.01</v>
      </c>
      <c r="CU57">
        <f t="shared" si="90"/>
        <v>0</v>
      </c>
      <c r="CV57">
        <f t="shared" si="91"/>
        <v>15.076799999999999</v>
      </c>
      <c r="CW57">
        <f t="shared" si="92"/>
        <v>0</v>
      </c>
      <c r="CX57">
        <f t="shared" si="93"/>
        <v>0</v>
      </c>
      <c r="CY57">
        <f t="shared" si="94"/>
        <v>917.72050000000002</v>
      </c>
      <c r="CZ57">
        <f t="shared" si="95"/>
        <v>378.29700000000003</v>
      </c>
      <c r="DC57" t="s">
        <v>5</v>
      </c>
      <c r="DD57" t="s">
        <v>5</v>
      </c>
      <c r="DE57" t="s">
        <v>5</v>
      </c>
      <c r="DF57" t="s">
        <v>5</v>
      </c>
      <c r="DG57" t="s">
        <v>5</v>
      </c>
      <c r="DH57" t="s">
        <v>5</v>
      </c>
      <c r="DI57" t="s">
        <v>5</v>
      </c>
      <c r="DJ57" t="s">
        <v>5</v>
      </c>
      <c r="DK57" t="s">
        <v>5</v>
      </c>
      <c r="DL57" t="s">
        <v>5</v>
      </c>
      <c r="DM57" t="s">
        <v>5</v>
      </c>
      <c r="DN57">
        <v>161</v>
      </c>
      <c r="DO57">
        <v>107</v>
      </c>
      <c r="DP57">
        <v>1.0469999999999999</v>
      </c>
      <c r="DQ57">
        <v>1.002</v>
      </c>
      <c r="DU57">
        <v>1013</v>
      </c>
      <c r="DV57" t="s">
        <v>51</v>
      </c>
      <c r="DW57" t="s">
        <v>51</v>
      </c>
      <c r="DX57">
        <v>1</v>
      </c>
      <c r="EE57">
        <v>44063965</v>
      </c>
      <c r="EF57">
        <v>30</v>
      </c>
      <c r="EG57" t="s">
        <v>53</v>
      </c>
      <c r="EH57">
        <v>0</v>
      </c>
      <c r="EI57" t="s">
        <v>5</v>
      </c>
      <c r="EJ57">
        <v>1</v>
      </c>
      <c r="EK57">
        <v>146</v>
      </c>
      <c r="EL57" t="s">
        <v>54</v>
      </c>
      <c r="EM57" t="s">
        <v>55</v>
      </c>
      <c r="EO57" t="s">
        <v>5</v>
      </c>
      <c r="EQ57">
        <v>131072</v>
      </c>
      <c r="ER57">
        <v>863.31</v>
      </c>
      <c r="ES57">
        <v>35.35</v>
      </c>
      <c r="ET57">
        <v>676.47</v>
      </c>
      <c r="EU57">
        <v>119.05</v>
      </c>
      <c r="EV57">
        <v>151.49</v>
      </c>
      <c r="EW57">
        <v>14.4</v>
      </c>
      <c r="EX57">
        <v>0</v>
      </c>
      <c r="EY57">
        <v>0</v>
      </c>
      <c r="FQ57">
        <v>0</v>
      </c>
      <c r="FR57">
        <f t="shared" si="96"/>
        <v>0</v>
      </c>
      <c r="FS57">
        <v>0</v>
      </c>
      <c r="FX57">
        <v>161</v>
      </c>
      <c r="FY57">
        <v>107</v>
      </c>
      <c r="GA57" t="s">
        <v>5</v>
      </c>
      <c r="GD57">
        <v>0</v>
      </c>
      <c r="GF57">
        <v>-1939963274</v>
      </c>
      <c r="GG57">
        <v>2</v>
      </c>
      <c r="GH57">
        <v>1</v>
      </c>
      <c r="GI57">
        <v>2</v>
      </c>
      <c r="GJ57">
        <v>0</v>
      </c>
      <c r="GK57">
        <f>ROUND(R57*(R12)/100,2)</f>
        <v>864.35</v>
      </c>
      <c r="GL57">
        <f t="shared" si="97"/>
        <v>0</v>
      </c>
      <c r="GM57">
        <f t="shared" si="98"/>
        <v>4327.83</v>
      </c>
      <c r="GN57">
        <f t="shared" si="99"/>
        <v>4327.83</v>
      </c>
      <c r="GO57">
        <f t="shared" si="100"/>
        <v>0</v>
      </c>
      <c r="GP57">
        <f t="shared" si="101"/>
        <v>0</v>
      </c>
      <c r="GR57">
        <v>0</v>
      </c>
      <c r="GS57">
        <v>0</v>
      </c>
      <c r="GT57">
        <v>0</v>
      </c>
      <c r="GU57" t="s">
        <v>5</v>
      </c>
      <c r="GV57">
        <f t="shared" si="102"/>
        <v>0</v>
      </c>
      <c r="GW57">
        <v>1</v>
      </c>
      <c r="GX57">
        <f t="shared" si="103"/>
        <v>0</v>
      </c>
      <c r="HA57">
        <v>0</v>
      </c>
      <c r="HB57">
        <v>0</v>
      </c>
      <c r="HC57">
        <f t="shared" si="104"/>
        <v>0</v>
      </c>
      <c r="IK57">
        <v>0</v>
      </c>
    </row>
    <row r="58" spans="1:245" x14ac:dyDescent="0.2">
      <c r="A58">
        <v>18</v>
      </c>
      <c r="B58">
        <v>1</v>
      </c>
      <c r="C58">
        <v>105</v>
      </c>
      <c r="E58" t="s">
        <v>122</v>
      </c>
      <c r="F58" t="s">
        <v>57</v>
      </c>
      <c r="G58" t="s">
        <v>58</v>
      </c>
      <c r="H58" t="s">
        <v>59</v>
      </c>
      <c r="I58">
        <f>I57*J58</f>
        <v>22.673749999999998</v>
      </c>
      <c r="J58">
        <v>109.99999999999999</v>
      </c>
      <c r="O58">
        <f t="shared" si="65"/>
        <v>12522.72</v>
      </c>
      <c r="P58">
        <f t="shared" si="66"/>
        <v>12522.72</v>
      </c>
      <c r="Q58">
        <f t="shared" si="67"/>
        <v>0</v>
      </c>
      <c r="R58">
        <f t="shared" si="68"/>
        <v>0</v>
      </c>
      <c r="S58">
        <f t="shared" si="69"/>
        <v>0</v>
      </c>
      <c r="T58">
        <f t="shared" si="70"/>
        <v>0</v>
      </c>
      <c r="U58">
        <f t="shared" si="71"/>
        <v>0</v>
      </c>
      <c r="V58">
        <f t="shared" si="72"/>
        <v>0</v>
      </c>
      <c r="W58">
        <f t="shared" si="73"/>
        <v>0</v>
      </c>
      <c r="X58">
        <f t="shared" si="74"/>
        <v>0</v>
      </c>
      <c r="Y58">
        <f t="shared" si="75"/>
        <v>0</v>
      </c>
      <c r="AA58">
        <v>44169784</v>
      </c>
      <c r="AB58">
        <f t="shared" si="76"/>
        <v>104.99</v>
      </c>
      <c r="AC58">
        <f t="shared" si="77"/>
        <v>104.99</v>
      </c>
      <c r="AD58">
        <f t="shared" si="78"/>
        <v>0</v>
      </c>
      <c r="AE58">
        <f t="shared" si="79"/>
        <v>0</v>
      </c>
      <c r="AF58">
        <f t="shared" si="80"/>
        <v>0</v>
      </c>
      <c r="AG58">
        <f t="shared" si="81"/>
        <v>0</v>
      </c>
      <c r="AH58">
        <f t="shared" si="82"/>
        <v>0</v>
      </c>
      <c r="AI58">
        <f t="shared" si="83"/>
        <v>0</v>
      </c>
      <c r="AJ58">
        <f t="shared" si="84"/>
        <v>0</v>
      </c>
      <c r="AK58">
        <v>104.99</v>
      </c>
      <c r="AL58">
        <v>104.99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1</v>
      </c>
      <c r="AW58">
        <v>1.002</v>
      </c>
      <c r="AZ58">
        <v>1</v>
      </c>
      <c r="BA58">
        <v>1</v>
      </c>
      <c r="BB58">
        <v>1</v>
      </c>
      <c r="BC58">
        <v>5.25</v>
      </c>
      <c r="BD58" t="s">
        <v>5</v>
      </c>
      <c r="BE58" t="s">
        <v>5</v>
      </c>
      <c r="BF58" t="s">
        <v>5</v>
      </c>
      <c r="BG58" t="s">
        <v>5</v>
      </c>
      <c r="BH58">
        <v>3</v>
      </c>
      <c r="BI58">
        <v>1</v>
      </c>
      <c r="BJ58" t="s">
        <v>60</v>
      </c>
      <c r="BM58">
        <v>146</v>
      </c>
      <c r="BN58">
        <v>0</v>
      </c>
      <c r="BO58" t="s">
        <v>57</v>
      </c>
      <c r="BP58">
        <v>1</v>
      </c>
      <c r="BQ58">
        <v>30</v>
      </c>
      <c r="BR58">
        <v>0</v>
      </c>
      <c r="BS58">
        <v>1</v>
      </c>
      <c r="BT58">
        <v>1</v>
      </c>
      <c r="BU58">
        <v>1</v>
      </c>
      <c r="BV58">
        <v>1</v>
      </c>
      <c r="BW58">
        <v>1</v>
      </c>
      <c r="BX58">
        <v>1</v>
      </c>
      <c r="BY58" t="s">
        <v>5</v>
      </c>
      <c r="BZ58">
        <v>0</v>
      </c>
      <c r="CA58">
        <v>0</v>
      </c>
      <c r="CE58">
        <v>30</v>
      </c>
      <c r="CF58">
        <v>0</v>
      </c>
      <c r="CG58">
        <v>0</v>
      </c>
      <c r="CM58">
        <v>0</v>
      </c>
      <c r="CN58" t="s">
        <v>5</v>
      </c>
      <c r="CO58">
        <v>0</v>
      </c>
      <c r="CP58">
        <f t="shared" si="85"/>
        <v>12522.72</v>
      </c>
      <c r="CQ58">
        <f t="shared" si="86"/>
        <v>552.29999999999995</v>
      </c>
      <c r="CR58">
        <f t="shared" si="87"/>
        <v>0</v>
      </c>
      <c r="CS58">
        <f t="shared" si="88"/>
        <v>0</v>
      </c>
      <c r="CT58">
        <f t="shared" si="89"/>
        <v>0</v>
      </c>
      <c r="CU58">
        <f t="shared" si="90"/>
        <v>0</v>
      </c>
      <c r="CV58">
        <f t="shared" si="91"/>
        <v>0</v>
      </c>
      <c r="CW58">
        <f t="shared" si="92"/>
        <v>0</v>
      </c>
      <c r="CX58">
        <f t="shared" si="93"/>
        <v>0</v>
      </c>
      <c r="CY58">
        <f t="shared" si="94"/>
        <v>0</v>
      </c>
      <c r="CZ58">
        <f t="shared" si="95"/>
        <v>0</v>
      </c>
      <c r="DC58" t="s">
        <v>5</v>
      </c>
      <c r="DD58" t="s">
        <v>5</v>
      </c>
      <c r="DE58" t="s">
        <v>5</v>
      </c>
      <c r="DF58" t="s">
        <v>5</v>
      </c>
      <c r="DG58" t="s">
        <v>5</v>
      </c>
      <c r="DH58" t="s">
        <v>5</v>
      </c>
      <c r="DI58" t="s">
        <v>5</v>
      </c>
      <c r="DJ58" t="s">
        <v>5</v>
      </c>
      <c r="DK58" t="s">
        <v>5</v>
      </c>
      <c r="DL58" t="s">
        <v>5</v>
      </c>
      <c r="DM58" t="s">
        <v>5</v>
      </c>
      <c r="DN58">
        <v>161</v>
      </c>
      <c r="DO58">
        <v>107</v>
      </c>
      <c r="DP58">
        <v>1.0469999999999999</v>
      </c>
      <c r="DQ58">
        <v>1.002</v>
      </c>
      <c r="DU58">
        <v>1007</v>
      </c>
      <c r="DV58" t="s">
        <v>59</v>
      </c>
      <c r="DW58" t="s">
        <v>59</v>
      </c>
      <c r="DX58">
        <v>1</v>
      </c>
      <c r="EE58">
        <v>44063965</v>
      </c>
      <c r="EF58">
        <v>30</v>
      </c>
      <c r="EG58" t="s">
        <v>53</v>
      </c>
      <c r="EH58">
        <v>0</v>
      </c>
      <c r="EI58" t="s">
        <v>5</v>
      </c>
      <c r="EJ58">
        <v>1</v>
      </c>
      <c r="EK58">
        <v>146</v>
      </c>
      <c r="EL58" t="s">
        <v>54</v>
      </c>
      <c r="EM58" t="s">
        <v>55</v>
      </c>
      <c r="EO58" t="s">
        <v>5</v>
      </c>
      <c r="EQ58">
        <v>0</v>
      </c>
      <c r="ER58">
        <v>104.99</v>
      </c>
      <c r="ES58">
        <v>104.99</v>
      </c>
      <c r="ET58">
        <v>0</v>
      </c>
      <c r="EU58">
        <v>0</v>
      </c>
      <c r="EV58">
        <v>0</v>
      </c>
      <c r="EW58">
        <v>0</v>
      </c>
      <c r="EX58">
        <v>0</v>
      </c>
      <c r="FQ58">
        <v>0</v>
      </c>
      <c r="FR58">
        <f t="shared" si="96"/>
        <v>0</v>
      </c>
      <c r="FS58">
        <v>0</v>
      </c>
      <c r="FX58">
        <v>161</v>
      </c>
      <c r="FY58">
        <v>107</v>
      </c>
      <c r="GA58" t="s">
        <v>5</v>
      </c>
      <c r="GD58">
        <v>0</v>
      </c>
      <c r="GF58">
        <v>2069056849</v>
      </c>
      <c r="GG58">
        <v>2</v>
      </c>
      <c r="GH58">
        <v>1</v>
      </c>
      <c r="GI58">
        <v>2</v>
      </c>
      <c r="GJ58">
        <v>0</v>
      </c>
      <c r="GK58">
        <f>ROUND(R58*(R12)/100,2)</f>
        <v>0</v>
      </c>
      <c r="GL58">
        <f t="shared" si="97"/>
        <v>0</v>
      </c>
      <c r="GM58">
        <f t="shared" si="98"/>
        <v>12522.72</v>
      </c>
      <c r="GN58">
        <f t="shared" si="99"/>
        <v>12522.72</v>
      </c>
      <c r="GO58">
        <f t="shared" si="100"/>
        <v>0</v>
      </c>
      <c r="GP58">
        <f t="shared" si="101"/>
        <v>0</v>
      </c>
      <c r="GR58">
        <v>0</v>
      </c>
      <c r="GS58">
        <v>3</v>
      </c>
      <c r="GT58">
        <v>0</v>
      </c>
      <c r="GU58" t="s">
        <v>5</v>
      </c>
      <c r="GV58">
        <f t="shared" si="102"/>
        <v>0</v>
      </c>
      <c r="GW58">
        <v>1</v>
      </c>
      <c r="GX58">
        <f t="shared" si="103"/>
        <v>0</v>
      </c>
      <c r="HA58">
        <v>0</v>
      </c>
      <c r="HB58">
        <v>0</v>
      </c>
      <c r="HC58">
        <f t="shared" si="104"/>
        <v>0</v>
      </c>
      <c r="IK58">
        <v>0</v>
      </c>
    </row>
    <row r="59" spans="1:245" x14ac:dyDescent="0.2">
      <c r="A59">
        <v>17</v>
      </c>
      <c r="B59">
        <v>1</v>
      </c>
      <c r="C59">
        <f>ROW(SmtRes!A115)</f>
        <v>115</v>
      </c>
      <c r="D59">
        <f>ROW(EtalonRes!A115)</f>
        <v>115</v>
      </c>
      <c r="E59" t="s">
        <v>123</v>
      </c>
      <c r="F59" t="s">
        <v>62</v>
      </c>
      <c r="G59" t="s">
        <v>63</v>
      </c>
      <c r="H59" t="s">
        <v>64</v>
      </c>
      <c r="I59">
        <v>0</v>
      </c>
      <c r="J59">
        <v>0</v>
      </c>
      <c r="O59">
        <f t="shared" si="65"/>
        <v>0</v>
      </c>
      <c r="P59">
        <f t="shared" si="66"/>
        <v>0</v>
      </c>
      <c r="Q59">
        <f t="shared" si="67"/>
        <v>0</v>
      </c>
      <c r="R59">
        <f t="shared" si="68"/>
        <v>0</v>
      </c>
      <c r="S59">
        <f t="shared" si="69"/>
        <v>0</v>
      </c>
      <c r="T59">
        <f t="shared" si="70"/>
        <v>0</v>
      </c>
      <c r="U59">
        <f t="shared" si="71"/>
        <v>0</v>
      </c>
      <c r="V59">
        <f t="shared" si="72"/>
        <v>0</v>
      </c>
      <c r="W59">
        <f t="shared" si="73"/>
        <v>0</v>
      </c>
      <c r="X59">
        <f t="shared" si="74"/>
        <v>0</v>
      </c>
      <c r="Y59">
        <f t="shared" si="75"/>
        <v>0</v>
      </c>
      <c r="AA59">
        <v>44169784</v>
      </c>
      <c r="AB59">
        <f t="shared" si="76"/>
        <v>11728.36</v>
      </c>
      <c r="AC59">
        <f t="shared" si="77"/>
        <v>6731.62</v>
      </c>
      <c r="AD59">
        <f t="shared" si="78"/>
        <v>1934.25</v>
      </c>
      <c r="AE59">
        <f t="shared" si="79"/>
        <v>357.6</v>
      </c>
      <c r="AF59">
        <f t="shared" si="80"/>
        <v>3062.49</v>
      </c>
      <c r="AG59">
        <f t="shared" si="81"/>
        <v>0</v>
      </c>
      <c r="AH59">
        <f t="shared" si="82"/>
        <v>267</v>
      </c>
      <c r="AI59">
        <f t="shared" si="83"/>
        <v>0</v>
      </c>
      <c r="AJ59">
        <f t="shared" si="84"/>
        <v>0</v>
      </c>
      <c r="AK59">
        <v>11728.36</v>
      </c>
      <c r="AL59">
        <v>6731.62</v>
      </c>
      <c r="AM59">
        <v>1934.25</v>
      </c>
      <c r="AN59">
        <v>357.6</v>
      </c>
      <c r="AO59">
        <v>3062.49</v>
      </c>
      <c r="AP59">
        <v>0</v>
      </c>
      <c r="AQ59">
        <v>267</v>
      </c>
      <c r="AR59">
        <v>0</v>
      </c>
      <c r="AS59">
        <v>0</v>
      </c>
      <c r="AT59">
        <v>131</v>
      </c>
      <c r="AU59">
        <v>54</v>
      </c>
      <c r="AV59">
        <v>1.0469999999999999</v>
      </c>
      <c r="AW59">
        <v>1.002</v>
      </c>
      <c r="AZ59">
        <v>1</v>
      </c>
      <c r="BA59">
        <v>21.43</v>
      </c>
      <c r="BB59">
        <v>12.05</v>
      </c>
      <c r="BC59">
        <v>4.84</v>
      </c>
      <c r="BD59" t="s">
        <v>5</v>
      </c>
      <c r="BE59" t="s">
        <v>5</v>
      </c>
      <c r="BF59" t="s">
        <v>5</v>
      </c>
      <c r="BG59" t="s">
        <v>5</v>
      </c>
      <c r="BH59">
        <v>0</v>
      </c>
      <c r="BI59">
        <v>1</v>
      </c>
      <c r="BJ59" t="s">
        <v>65</v>
      </c>
      <c r="BM59">
        <v>152</v>
      </c>
      <c r="BN59">
        <v>0</v>
      </c>
      <c r="BO59" t="s">
        <v>62</v>
      </c>
      <c r="BP59">
        <v>1</v>
      </c>
      <c r="BQ59">
        <v>30</v>
      </c>
      <c r="BR59">
        <v>0</v>
      </c>
      <c r="BS59">
        <v>21.43</v>
      </c>
      <c r="BT59">
        <v>1</v>
      </c>
      <c r="BU59">
        <v>1</v>
      </c>
      <c r="BV59">
        <v>1</v>
      </c>
      <c r="BW59">
        <v>1</v>
      </c>
      <c r="BX59">
        <v>1</v>
      </c>
      <c r="BY59" t="s">
        <v>5</v>
      </c>
      <c r="BZ59">
        <v>131</v>
      </c>
      <c r="CA59">
        <v>54</v>
      </c>
      <c r="CE59">
        <v>30</v>
      </c>
      <c r="CF59">
        <v>0</v>
      </c>
      <c r="CG59">
        <v>0</v>
      </c>
      <c r="CM59">
        <v>0</v>
      </c>
      <c r="CN59" t="s">
        <v>5</v>
      </c>
      <c r="CO59">
        <v>0</v>
      </c>
      <c r="CP59">
        <f t="shared" si="85"/>
        <v>0</v>
      </c>
      <c r="CQ59">
        <f t="shared" si="86"/>
        <v>32646.19</v>
      </c>
      <c r="CR59">
        <f t="shared" si="87"/>
        <v>24403.18</v>
      </c>
      <c r="CS59">
        <f t="shared" si="88"/>
        <v>8023.61</v>
      </c>
      <c r="CT59">
        <f t="shared" si="89"/>
        <v>68713.789999999994</v>
      </c>
      <c r="CU59">
        <f t="shared" si="90"/>
        <v>0</v>
      </c>
      <c r="CV59">
        <f t="shared" si="91"/>
        <v>279.54899999999998</v>
      </c>
      <c r="CW59">
        <f t="shared" si="92"/>
        <v>0</v>
      </c>
      <c r="CX59">
        <f t="shared" si="93"/>
        <v>0</v>
      </c>
      <c r="CY59">
        <f t="shared" si="94"/>
        <v>0</v>
      </c>
      <c r="CZ59">
        <f t="shared" si="95"/>
        <v>0</v>
      </c>
      <c r="DC59" t="s">
        <v>5</v>
      </c>
      <c r="DD59" t="s">
        <v>5</v>
      </c>
      <c r="DE59" t="s">
        <v>5</v>
      </c>
      <c r="DF59" t="s">
        <v>5</v>
      </c>
      <c r="DG59" t="s">
        <v>5</v>
      </c>
      <c r="DH59" t="s">
        <v>5</v>
      </c>
      <c r="DI59" t="s">
        <v>5</v>
      </c>
      <c r="DJ59" t="s">
        <v>5</v>
      </c>
      <c r="DK59" t="s">
        <v>5</v>
      </c>
      <c r="DL59" t="s">
        <v>5</v>
      </c>
      <c r="DM59" t="s">
        <v>5</v>
      </c>
      <c r="DN59">
        <v>161</v>
      </c>
      <c r="DO59">
        <v>107</v>
      </c>
      <c r="DP59">
        <v>1.0469999999999999</v>
      </c>
      <c r="DQ59">
        <v>1.002</v>
      </c>
      <c r="DU59">
        <v>1013</v>
      </c>
      <c r="DV59" t="s">
        <v>64</v>
      </c>
      <c r="DW59" t="s">
        <v>64</v>
      </c>
      <c r="DX59">
        <v>1</v>
      </c>
      <c r="EE59">
        <v>44063971</v>
      </c>
      <c r="EF59">
        <v>30</v>
      </c>
      <c r="EG59" t="s">
        <v>53</v>
      </c>
      <c r="EH59">
        <v>0</v>
      </c>
      <c r="EI59" t="s">
        <v>5</v>
      </c>
      <c r="EJ59">
        <v>1</v>
      </c>
      <c r="EK59">
        <v>152</v>
      </c>
      <c r="EL59" t="s">
        <v>66</v>
      </c>
      <c r="EM59" t="s">
        <v>67</v>
      </c>
      <c r="EO59" t="s">
        <v>5</v>
      </c>
      <c r="EQ59">
        <v>131072</v>
      </c>
      <c r="ER59">
        <v>11728.36</v>
      </c>
      <c r="ES59">
        <v>6731.62</v>
      </c>
      <c r="ET59">
        <v>1934.25</v>
      </c>
      <c r="EU59">
        <v>357.6</v>
      </c>
      <c r="EV59">
        <v>3062.49</v>
      </c>
      <c r="EW59">
        <v>267</v>
      </c>
      <c r="EX59">
        <v>0</v>
      </c>
      <c r="EY59">
        <v>0</v>
      </c>
      <c r="FQ59">
        <v>0</v>
      </c>
      <c r="FR59">
        <f t="shared" si="96"/>
        <v>0</v>
      </c>
      <c r="FS59">
        <v>0</v>
      </c>
      <c r="FX59">
        <v>161</v>
      </c>
      <c r="FY59">
        <v>107</v>
      </c>
      <c r="GA59" t="s">
        <v>5</v>
      </c>
      <c r="GD59">
        <v>0</v>
      </c>
      <c r="GF59">
        <v>931145273</v>
      </c>
      <c r="GG59">
        <v>2</v>
      </c>
      <c r="GH59">
        <v>1</v>
      </c>
      <c r="GI59">
        <v>2</v>
      </c>
      <c r="GJ59">
        <v>0</v>
      </c>
      <c r="GK59">
        <f>ROUND(R59*(R12)/100,2)</f>
        <v>0</v>
      </c>
      <c r="GL59">
        <f t="shared" si="97"/>
        <v>0</v>
      </c>
      <c r="GM59">
        <f t="shared" si="98"/>
        <v>0</v>
      </c>
      <c r="GN59">
        <f t="shared" si="99"/>
        <v>0</v>
      </c>
      <c r="GO59">
        <f t="shared" si="100"/>
        <v>0</v>
      </c>
      <c r="GP59">
        <f t="shared" si="101"/>
        <v>0</v>
      </c>
      <c r="GR59">
        <v>0</v>
      </c>
      <c r="GS59">
        <v>0</v>
      </c>
      <c r="GT59">
        <v>0</v>
      </c>
      <c r="GU59" t="s">
        <v>5</v>
      </c>
      <c r="GV59">
        <f t="shared" si="102"/>
        <v>0</v>
      </c>
      <c r="GW59">
        <v>1</v>
      </c>
      <c r="GX59">
        <f t="shared" si="103"/>
        <v>0</v>
      </c>
      <c r="HA59">
        <v>0</v>
      </c>
      <c r="HB59">
        <v>0</v>
      </c>
      <c r="HC59">
        <f t="shared" si="104"/>
        <v>0</v>
      </c>
      <c r="IK59">
        <v>0</v>
      </c>
    </row>
    <row r="60" spans="1:245" x14ac:dyDescent="0.2">
      <c r="A60">
        <v>18</v>
      </c>
      <c r="B60">
        <v>1</v>
      </c>
      <c r="C60">
        <v>114</v>
      </c>
      <c r="E60" t="s">
        <v>124</v>
      </c>
      <c r="F60" t="s">
        <v>69</v>
      </c>
      <c r="G60" t="s">
        <v>70</v>
      </c>
      <c r="H60" t="s">
        <v>59</v>
      </c>
      <c r="I60">
        <f>I59*J60</f>
        <v>0</v>
      </c>
      <c r="J60">
        <v>162</v>
      </c>
      <c r="O60">
        <f t="shared" si="65"/>
        <v>0</v>
      </c>
      <c r="P60">
        <f t="shared" si="66"/>
        <v>0</v>
      </c>
      <c r="Q60">
        <f t="shared" si="67"/>
        <v>0</v>
      </c>
      <c r="R60">
        <f t="shared" si="68"/>
        <v>0</v>
      </c>
      <c r="S60">
        <f t="shared" si="69"/>
        <v>0</v>
      </c>
      <c r="T60">
        <f t="shared" si="70"/>
        <v>0</v>
      </c>
      <c r="U60">
        <f t="shared" si="71"/>
        <v>0</v>
      </c>
      <c r="V60">
        <f t="shared" si="72"/>
        <v>0</v>
      </c>
      <c r="W60">
        <f t="shared" si="73"/>
        <v>0</v>
      </c>
      <c r="X60">
        <f t="shared" si="74"/>
        <v>0</v>
      </c>
      <c r="Y60">
        <f t="shared" si="75"/>
        <v>0</v>
      </c>
      <c r="AA60">
        <v>44169784</v>
      </c>
      <c r="AB60">
        <f t="shared" si="76"/>
        <v>517.14</v>
      </c>
      <c r="AC60">
        <f t="shared" si="77"/>
        <v>517.14</v>
      </c>
      <c r="AD60">
        <f t="shared" si="78"/>
        <v>0</v>
      </c>
      <c r="AE60">
        <f t="shared" si="79"/>
        <v>0</v>
      </c>
      <c r="AF60">
        <f t="shared" si="80"/>
        <v>0</v>
      </c>
      <c r="AG60">
        <f t="shared" si="81"/>
        <v>0</v>
      </c>
      <c r="AH60">
        <f t="shared" si="82"/>
        <v>0</v>
      </c>
      <c r="AI60">
        <f t="shared" si="83"/>
        <v>0</v>
      </c>
      <c r="AJ60">
        <f t="shared" si="84"/>
        <v>0</v>
      </c>
      <c r="AK60">
        <v>517.14</v>
      </c>
      <c r="AL60">
        <v>517.14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1</v>
      </c>
      <c r="AW60">
        <v>1.002</v>
      </c>
      <c r="AZ60">
        <v>1</v>
      </c>
      <c r="BA60">
        <v>1</v>
      </c>
      <c r="BB60">
        <v>1</v>
      </c>
      <c r="BC60">
        <v>7.45</v>
      </c>
      <c r="BD60" t="s">
        <v>5</v>
      </c>
      <c r="BE60" t="s">
        <v>5</v>
      </c>
      <c r="BF60" t="s">
        <v>5</v>
      </c>
      <c r="BG60" t="s">
        <v>5</v>
      </c>
      <c r="BH60">
        <v>3</v>
      </c>
      <c r="BI60">
        <v>1</v>
      </c>
      <c r="BJ60" t="s">
        <v>71</v>
      </c>
      <c r="BM60">
        <v>152</v>
      </c>
      <c r="BN60">
        <v>0</v>
      </c>
      <c r="BO60" t="s">
        <v>69</v>
      </c>
      <c r="BP60">
        <v>1</v>
      </c>
      <c r="BQ60">
        <v>30</v>
      </c>
      <c r="BR60">
        <v>0</v>
      </c>
      <c r="BS60">
        <v>1</v>
      </c>
      <c r="BT60">
        <v>1</v>
      </c>
      <c r="BU60">
        <v>1</v>
      </c>
      <c r="BV60">
        <v>1</v>
      </c>
      <c r="BW60">
        <v>1</v>
      </c>
      <c r="BX60">
        <v>1</v>
      </c>
      <c r="BY60" t="s">
        <v>5</v>
      </c>
      <c r="BZ60">
        <v>0</v>
      </c>
      <c r="CA60">
        <v>0</v>
      </c>
      <c r="CE60">
        <v>30</v>
      </c>
      <c r="CF60">
        <v>0</v>
      </c>
      <c r="CG60">
        <v>0</v>
      </c>
      <c r="CM60">
        <v>0</v>
      </c>
      <c r="CN60" t="s">
        <v>5</v>
      </c>
      <c r="CO60">
        <v>0</v>
      </c>
      <c r="CP60">
        <f t="shared" si="85"/>
        <v>0</v>
      </c>
      <c r="CQ60">
        <f t="shared" si="86"/>
        <v>3860.37</v>
      </c>
      <c r="CR60">
        <f t="shared" si="87"/>
        <v>0</v>
      </c>
      <c r="CS60">
        <f t="shared" si="88"/>
        <v>0</v>
      </c>
      <c r="CT60">
        <f t="shared" si="89"/>
        <v>0</v>
      </c>
      <c r="CU60">
        <f t="shared" si="90"/>
        <v>0</v>
      </c>
      <c r="CV60">
        <f t="shared" si="91"/>
        <v>0</v>
      </c>
      <c r="CW60">
        <f t="shared" si="92"/>
        <v>0</v>
      </c>
      <c r="CX60">
        <f t="shared" si="93"/>
        <v>0</v>
      </c>
      <c r="CY60">
        <f t="shared" si="94"/>
        <v>0</v>
      </c>
      <c r="CZ60">
        <f t="shared" si="95"/>
        <v>0</v>
      </c>
      <c r="DC60" t="s">
        <v>5</v>
      </c>
      <c r="DD60" t="s">
        <v>5</v>
      </c>
      <c r="DE60" t="s">
        <v>5</v>
      </c>
      <c r="DF60" t="s">
        <v>5</v>
      </c>
      <c r="DG60" t="s">
        <v>5</v>
      </c>
      <c r="DH60" t="s">
        <v>5</v>
      </c>
      <c r="DI60" t="s">
        <v>5</v>
      </c>
      <c r="DJ60" t="s">
        <v>5</v>
      </c>
      <c r="DK60" t="s">
        <v>5</v>
      </c>
      <c r="DL60" t="s">
        <v>5</v>
      </c>
      <c r="DM60" t="s">
        <v>5</v>
      </c>
      <c r="DN60">
        <v>161</v>
      </c>
      <c r="DO60">
        <v>107</v>
      </c>
      <c r="DP60">
        <v>1.0469999999999999</v>
      </c>
      <c r="DQ60">
        <v>1.002</v>
      </c>
      <c r="DU60">
        <v>1007</v>
      </c>
      <c r="DV60" t="s">
        <v>59</v>
      </c>
      <c r="DW60" t="s">
        <v>59</v>
      </c>
      <c r="DX60">
        <v>1</v>
      </c>
      <c r="EE60">
        <v>44063971</v>
      </c>
      <c r="EF60">
        <v>30</v>
      </c>
      <c r="EG60" t="s">
        <v>53</v>
      </c>
      <c r="EH60">
        <v>0</v>
      </c>
      <c r="EI60" t="s">
        <v>5</v>
      </c>
      <c r="EJ60">
        <v>1</v>
      </c>
      <c r="EK60">
        <v>152</v>
      </c>
      <c r="EL60" t="s">
        <v>66</v>
      </c>
      <c r="EM60" t="s">
        <v>67</v>
      </c>
      <c r="EO60" t="s">
        <v>5</v>
      </c>
      <c r="EQ60">
        <v>0</v>
      </c>
      <c r="ER60">
        <v>517.14</v>
      </c>
      <c r="ES60">
        <v>517.14</v>
      </c>
      <c r="ET60">
        <v>0</v>
      </c>
      <c r="EU60">
        <v>0</v>
      </c>
      <c r="EV60">
        <v>0</v>
      </c>
      <c r="EW60">
        <v>0</v>
      </c>
      <c r="EX60">
        <v>0</v>
      </c>
      <c r="FQ60">
        <v>0</v>
      </c>
      <c r="FR60">
        <f t="shared" si="96"/>
        <v>0</v>
      </c>
      <c r="FS60">
        <v>0</v>
      </c>
      <c r="FX60">
        <v>161</v>
      </c>
      <c r="FY60">
        <v>107</v>
      </c>
      <c r="GA60" t="s">
        <v>5</v>
      </c>
      <c r="GD60">
        <v>0</v>
      </c>
      <c r="GF60">
        <v>412444006</v>
      </c>
      <c r="GG60">
        <v>2</v>
      </c>
      <c r="GH60">
        <v>1</v>
      </c>
      <c r="GI60">
        <v>2</v>
      </c>
      <c r="GJ60">
        <v>0</v>
      </c>
      <c r="GK60">
        <f>ROUND(R60*(R12)/100,2)</f>
        <v>0</v>
      </c>
      <c r="GL60">
        <f t="shared" si="97"/>
        <v>0</v>
      </c>
      <c r="GM60">
        <f t="shared" si="98"/>
        <v>0</v>
      </c>
      <c r="GN60">
        <f t="shared" si="99"/>
        <v>0</v>
      </c>
      <c r="GO60">
        <f t="shared" si="100"/>
        <v>0</v>
      </c>
      <c r="GP60">
        <f t="shared" si="101"/>
        <v>0</v>
      </c>
      <c r="GR60">
        <v>0</v>
      </c>
      <c r="GS60">
        <v>3</v>
      </c>
      <c r="GT60">
        <v>0</v>
      </c>
      <c r="GU60" t="s">
        <v>5</v>
      </c>
      <c r="GV60">
        <f t="shared" si="102"/>
        <v>0</v>
      </c>
      <c r="GW60">
        <v>1</v>
      </c>
      <c r="GX60">
        <f t="shared" si="103"/>
        <v>0</v>
      </c>
      <c r="HA60">
        <v>0</v>
      </c>
      <c r="HB60">
        <v>0</v>
      </c>
      <c r="HC60">
        <f t="shared" si="104"/>
        <v>0</v>
      </c>
      <c r="IK60">
        <v>0</v>
      </c>
    </row>
    <row r="61" spans="1:245" x14ac:dyDescent="0.2">
      <c r="A61">
        <v>17</v>
      </c>
      <c r="B61">
        <v>1</v>
      </c>
      <c r="C61">
        <f>ROW(SmtRes!A118)</f>
        <v>118</v>
      </c>
      <c r="D61">
        <f>ROW(EtalonRes!A118)</f>
        <v>118</v>
      </c>
      <c r="E61" t="s">
        <v>125</v>
      </c>
      <c r="F61" t="s">
        <v>73</v>
      </c>
      <c r="G61" t="s">
        <v>74</v>
      </c>
      <c r="H61" t="s">
        <v>64</v>
      </c>
      <c r="I61">
        <f>ROUND(-I59,9)</f>
        <v>0</v>
      </c>
      <c r="J61">
        <v>0</v>
      </c>
      <c r="O61">
        <f t="shared" si="65"/>
        <v>0</v>
      </c>
      <c r="P61">
        <f t="shared" si="66"/>
        <v>0</v>
      </c>
      <c r="Q61">
        <f>(ROUND((ROUND((((ET61*4))*AV61*I61),2)*BB61),2)+ROUND((ROUND(((AE61-((EU61*4)))*AV61*I61),2)*BS61),2))</f>
        <v>0</v>
      </c>
      <c r="R61">
        <f t="shared" si="68"/>
        <v>0</v>
      </c>
      <c r="S61">
        <f t="shared" si="69"/>
        <v>0</v>
      </c>
      <c r="T61">
        <f t="shared" si="70"/>
        <v>0</v>
      </c>
      <c r="U61">
        <f t="shared" si="71"/>
        <v>0</v>
      </c>
      <c r="V61">
        <f t="shared" si="72"/>
        <v>0</v>
      </c>
      <c r="W61">
        <f t="shared" si="73"/>
        <v>0</v>
      </c>
      <c r="X61">
        <f t="shared" si="74"/>
        <v>0</v>
      </c>
      <c r="Y61">
        <f t="shared" si="75"/>
        <v>0</v>
      </c>
      <c r="AA61">
        <v>44169784</v>
      </c>
      <c r="AB61">
        <f t="shared" si="76"/>
        <v>471.6</v>
      </c>
      <c r="AC61">
        <f>ROUND(((ES61*4)),6)</f>
        <v>234.4</v>
      </c>
      <c r="AD61">
        <f>ROUND(((((ET61*4))-((EU61*4)))+AE61),6)</f>
        <v>0</v>
      </c>
      <c r="AE61">
        <f>ROUND(((EU61*4)),6)</f>
        <v>0</v>
      </c>
      <c r="AF61">
        <f>ROUND(((EV61*4)),6)</f>
        <v>237.2</v>
      </c>
      <c r="AG61">
        <f t="shared" si="81"/>
        <v>0</v>
      </c>
      <c r="AH61">
        <f>((EW61*4))</f>
        <v>20.68</v>
      </c>
      <c r="AI61">
        <f>((EX61*4))</f>
        <v>0</v>
      </c>
      <c r="AJ61">
        <f t="shared" si="84"/>
        <v>0</v>
      </c>
      <c r="AK61">
        <v>117.9</v>
      </c>
      <c r="AL61">
        <v>58.6</v>
      </c>
      <c r="AM61">
        <v>0</v>
      </c>
      <c r="AN61">
        <v>0</v>
      </c>
      <c r="AO61">
        <v>59.3</v>
      </c>
      <c r="AP61">
        <v>0</v>
      </c>
      <c r="AQ61">
        <v>5.17</v>
      </c>
      <c r="AR61">
        <v>0</v>
      </c>
      <c r="AS61">
        <v>0</v>
      </c>
      <c r="AT61">
        <v>131</v>
      </c>
      <c r="AU61">
        <v>54</v>
      </c>
      <c r="AV61">
        <v>1.0469999999999999</v>
      </c>
      <c r="AW61">
        <v>1.002</v>
      </c>
      <c r="AZ61">
        <v>1</v>
      </c>
      <c r="BA61">
        <v>21.43</v>
      </c>
      <c r="BB61">
        <v>1</v>
      </c>
      <c r="BC61">
        <v>3.59</v>
      </c>
      <c r="BD61" t="s">
        <v>5</v>
      </c>
      <c r="BE61" t="s">
        <v>5</v>
      </c>
      <c r="BF61" t="s">
        <v>5</v>
      </c>
      <c r="BG61" t="s">
        <v>5</v>
      </c>
      <c r="BH61">
        <v>0</v>
      </c>
      <c r="BI61">
        <v>1</v>
      </c>
      <c r="BJ61" t="s">
        <v>75</v>
      </c>
      <c r="BM61">
        <v>152</v>
      </c>
      <c r="BN61">
        <v>0</v>
      </c>
      <c r="BO61" t="s">
        <v>73</v>
      </c>
      <c r="BP61">
        <v>1</v>
      </c>
      <c r="BQ61">
        <v>30</v>
      </c>
      <c r="BR61">
        <v>0</v>
      </c>
      <c r="BS61">
        <v>21.43</v>
      </c>
      <c r="BT61">
        <v>1</v>
      </c>
      <c r="BU61">
        <v>1</v>
      </c>
      <c r="BV61">
        <v>1</v>
      </c>
      <c r="BW61">
        <v>1</v>
      </c>
      <c r="BX61">
        <v>1</v>
      </c>
      <c r="BY61" t="s">
        <v>5</v>
      </c>
      <c r="BZ61">
        <v>131</v>
      </c>
      <c r="CA61">
        <v>54</v>
      </c>
      <c r="CE61">
        <v>30</v>
      </c>
      <c r="CF61">
        <v>0</v>
      </c>
      <c r="CG61">
        <v>0</v>
      </c>
      <c r="CM61">
        <v>0</v>
      </c>
      <c r="CN61" t="s">
        <v>5</v>
      </c>
      <c r="CO61">
        <v>0</v>
      </c>
      <c r="CP61">
        <f t="shared" si="85"/>
        <v>0</v>
      </c>
      <c r="CQ61">
        <f t="shared" si="86"/>
        <v>843.18</v>
      </c>
      <c r="CR61">
        <f>(ROUND((ROUND((((ET61*4))*AV61*1),2)*BB61),2)+ROUND((ROUND(((AE61-((EU61*4)))*AV61*1),2)*BS61),2))</f>
        <v>0</v>
      </c>
      <c r="CS61">
        <f t="shared" si="88"/>
        <v>0</v>
      </c>
      <c r="CT61">
        <f t="shared" si="89"/>
        <v>5322.14</v>
      </c>
      <c r="CU61">
        <f t="shared" si="90"/>
        <v>0</v>
      </c>
      <c r="CV61">
        <f t="shared" si="91"/>
        <v>21.651959999999999</v>
      </c>
      <c r="CW61">
        <f t="shared" si="92"/>
        <v>0</v>
      </c>
      <c r="CX61">
        <f t="shared" si="93"/>
        <v>0</v>
      </c>
      <c r="CY61">
        <f t="shared" si="94"/>
        <v>0</v>
      </c>
      <c r="CZ61">
        <f t="shared" si="95"/>
        <v>0</v>
      </c>
      <c r="DC61" t="s">
        <v>5</v>
      </c>
      <c r="DD61" t="s">
        <v>126</v>
      </c>
      <c r="DE61" t="s">
        <v>126</v>
      </c>
      <c r="DF61" t="s">
        <v>126</v>
      </c>
      <c r="DG61" t="s">
        <v>126</v>
      </c>
      <c r="DH61" t="s">
        <v>5</v>
      </c>
      <c r="DI61" t="s">
        <v>126</v>
      </c>
      <c r="DJ61" t="s">
        <v>126</v>
      </c>
      <c r="DK61" t="s">
        <v>5</v>
      </c>
      <c r="DL61" t="s">
        <v>5</v>
      </c>
      <c r="DM61" t="s">
        <v>5</v>
      </c>
      <c r="DN61">
        <v>161</v>
      </c>
      <c r="DO61">
        <v>107</v>
      </c>
      <c r="DP61">
        <v>1.0469999999999999</v>
      </c>
      <c r="DQ61">
        <v>1.002</v>
      </c>
      <c r="DU61">
        <v>1013</v>
      </c>
      <c r="DV61" t="s">
        <v>64</v>
      </c>
      <c r="DW61" t="s">
        <v>64</v>
      </c>
      <c r="DX61">
        <v>1</v>
      </c>
      <c r="EE61">
        <v>44063971</v>
      </c>
      <c r="EF61">
        <v>30</v>
      </c>
      <c r="EG61" t="s">
        <v>53</v>
      </c>
      <c r="EH61">
        <v>0</v>
      </c>
      <c r="EI61" t="s">
        <v>5</v>
      </c>
      <c r="EJ61">
        <v>1</v>
      </c>
      <c r="EK61">
        <v>152</v>
      </c>
      <c r="EL61" t="s">
        <v>66</v>
      </c>
      <c r="EM61" t="s">
        <v>67</v>
      </c>
      <c r="EO61" t="s">
        <v>5</v>
      </c>
      <c r="EQ61">
        <v>131072</v>
      </c>
      <c r="ER61">
        <v>117.9</v>
      </c>
      <c r="ES61">
        <v>58.6</v>
      </c>
      <c r="ET61">
        <v>0</v>
      </c>
      <c r="EU61">
        <v>0</v>
      </c>
      <c r="EV61">
        <v>59.3</v>
      </c>
      <c r="EW61">
        <v>5.17</v>
      </c>
      <c r="EX61">
        <v>0</v>
      </c>
      <c r="EY61">
        <v>0</v>
      </c>
      <c r="FQ61">
        <v>0</v>
      </c>
      <c r="FR61">
        <f t="shared" si="96"/>
        <v>0</v>
      </c>
      <c r="FS61">
        <v>0</v>
      </c>
      <c r="FX61">
        <v>161</v>
      </c>
      <c r="FY61">
        <v>107</v>
      </c>
      <c r="GA61" t="s">
        <v>5</v>
      </c>
      <c r="GD61">
        <v>0</v>
      </c>
      <c r="GF61">
        <v>1470043862</v>
      </c>
      <c r="GG61">
        <v>2</v>
      </c>
      <c r="GH61">
        <v>1</v>
      </c>
      <c r="GI61">
        <v>2</v>
      </c>
      <c r="GJ61">
        <v>0</v>
      </c>
      <c r="GK61">
        <f>ROUND(R61*(R12)/100,2)</f>
        <v>0</v>
      </c>
      <c r="GL61">
        <f t="shared" si="97"/>
        <v>0</v>
      </c>
      <c r="GM61">
        <f t="shared" si="98"/>
        <v>0</v>
      </c>
      <c r="GN61">
        <f t="shared" si="99"/>
        <v>0</v>
      </c>
      <c r="GO61">
        <f t="shared" si="100"/>
        <v>0</v>
      </c>
      <c r="GP61">
        <f t="shared" si="101"/>
        <v>0</v>
      </c>
      <c r="GR61">
        <v>0</v>
      </c>
      <c r="GS61">
        <v>0</v>
      </c>
      <c r="GT61">
        <v>0</v>
      </c>
      <c r="GU61" t="s">
        <v>5</v>
      </c>
      <c r="GV61">
        <f t="shared" si="102"/>
        <v>0</v>
      </c>
      <c r="GW61">
        <v>1</v>
      </c>
      <c r="GX61">
        <f t="shared" si="103"/>
        <v>0</v>
      </c>
      <c r="HA61">
        <v>0</v>
      </c>
      <c r="HB61">
        <v>0</v>
      </c>
      <c r="HC61">
        <f t="shared" si="104"/>
        <v>0</v>
      </c>
      <c r="IK61">
        <v>0</v>
      </c>
    </row>
    <row r="62" spans="1:245" x14ac:dyDescent="0.2">
      <c r="A62">
        <v>18</v>
      </c>
      <c r="B62">
        <v>1</v>
      </c>
      <c r="C62">
        <v>117</v>
      </c>
      <c r="E62" t="s">
        <v>127</v>
      </c>
      <c r="F62" t="s">
        <v>69</v>
      </c>
      <c r="G62" t="s">
        <v>70</v>
      </c>
      <c r="H62" t="s">
        <v>59</v>
      </c>
      <c r="I62">
        <f>I61*J62</f>
        <v>0</v>
      </c>
      <c r="J62">
        <v>40.799999999999997</v>
      </c>
      <c r="O62">
        <f t="shared" si="65"/>
        <v>0</v>
      </c>
      <c r="P62">
        <f t="shared" si="66"/>
        <v>0</v>
      </c>
      <c r="Q62">
        <f t="shared" ref="Q62:Q70" si="105">(ROUND((ROUND(((ET62)*AV62*I62),2)*BB62),2)+ROUND((ROUND(((AE62-(EU62))*AV62*I62),2)*BS62),2))</f>
        <v>0</v>
      </c>
      <c r="R62">
        <f t="shared" si="68"/>
        <v>0</v>
      </c>
      <c r="S62">
        <f t="shared" si="69"/>
        <v>0</v>
      </c>
      <c r="T62">
        <f t="shared" si="70"/>
        <v>0</v>
      </c>
      <c r="U62">
        <f t="shared" si="71"/>
        <v>0</v>
      </c>
      <c r="V62">
        <f t="shared" si="72"/>
        <v>0</v>
      </c>
      <c r="W62">
        <f t="shared" si="73"/>
        <v>0</v>
      </c>
      <c r="X62">
        <f t="shared" si="74"/>
        <v>0</v>
      </c>
      <c r="Y62">
        <f t="shared" si="75"/>
        <v>0</v>
      </c>
      <c r="AA62">
        <v>44169784</v>
      </c>
      <c r="AB62">
        <f t="shared" si="76"/>
        <v>517.14</v>
      </c>
      <c r="AC62">
        <f t="shared" ref="AC62:AC70" si="106">ROUND((ES62),6)</f>
        <v>517.14</v>
      </c>
      <c r="AD62">
        <f t="shared" ref="AD62:AD70" si="107">ROUND((((ET62)-(EU62))+AE62),6)</f>
        <v>0</v>
      </c>
      <c r="AE62">
        <f t="shared" ref="AE62:AE70" si="108">ROUND((EU62),6)</f>
        <v>0</v>
      </c>
      <c r="AF62">
        <f t="shared" ref="AF62:AF70" si="109">ROUND((EV62),6)</f>
        <v>0</v>
      </c>
      <c r="AG62">
        <f t="shared" si="81"/>
        <v>0</v>
      </c>
      <c r="AH62">
        <f t="shared" ref="AH62:AH70" si="110">(EW62)</f>
        <v>0</v>
      </c>
      <c r="AI62">
        <f t="shared" ref="AI62:AI70" si="111">(EX62)</f>
        <v>0</v>
      </c>
      <c r="AJ62">
        <f t="shared" si="84"/>
        <v>0</v>
      </c>
      <c r="AK62">
        <v>517.14</v>
      </c>
      <c r="AL62">
        <v>517.14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1</v>
      </c>
      <c r="AW62">
        <v>1.002</v>
      </c>
      <c r="AZ62">
        <v>1</v>
      </c>
      <c r="BA62">
        <v>1</v>
      </c>
      <c r="BB62">
        <v>1</v>
      </c>
      <c r="BC62">
        <v>7.45</v>
      </c>
      <c r="BD62" t="s">
        <v>5</v>
      </c>
      <c r="BE62" t="s">
        <v>5</v>
      </c>
      <c r="BF62" t="s">
        <v>5</v>
      </c>
      <c r="BG62" t="s">
        <v>5</v>
      </c>
      <c r="BH62">
        <v>3</v>
      </c>
      <c r="BI62">
        <v>1</v>
      </c>
      <c r="BJ62" t="s">
        <v>71</v>
      </c>
      <c r="BM62">
        <v>152</v>
      </c>
      <c r="BN62">
        <v>0</v>
      </c>
      <c r="BO62" t="s">
        <v>69</v>
      </c>
      <c r="BP62">
        <v>1</v>
      </c>
      <c r="BQ62">
        <v>30</v>
      </c>
      <c r="BR62">
        <v>0</v>
      </c>
      <c r="BS62">
        <v>1</v>
      </c>
      <c r="BT62">
        <v>1</v>
      </c>
      <c r="BU62">
        <v>1</v>
      </c>
      <c r="BV62">
        <v>1</v>
      </c>
      <c r="BW62">
        <v>1</v>
      </c>
      <c r="BX62">
        <v>1</v>
      </c>
      <c r="BY62" t="s">
        <v>5</v>
      </c>
      <c r="BZ62">
        <v>0</v>
      </c>
      <c r="CA62">
        <v>0</v>
      </c>
      <c r="CE62">
        <v>30</v>
      </c>
      <c r="CF62">
        <v>0</v>
      </c>
      <c r="CG62">
        <v>0</v>
      </c>
      <c r="CM62">
        <v>0</v>
      </c>
      <c r="CN62" t="s">
        <v>5</v>
      </c>
      <c r="CO62">
        <v>0</v>
      </c>
      <c r="CP62">
        <f t="shared" si="85"/>
        <v>0</v>
      </c>
      <c r="CQ62">
        <f t="shared" si="86"/>
        <v>3860.37</v>
      </c>
      <c r="CR62">
        <f t="shared" ref="CR62:CR70" si="112">(ROUND((ROUND(((ET62)*AV62*1),2)*BB62),2)+ROUND((ROUND(((AE62-(EU62))*AV62*1),2)*BS62),2))</f>
        <v>0</v>
      </c>
      <c r="CS62">
        <f t="shared" si="88"/>
        <v>0</v>
      </c>
      <c r="CT62">
        <f t="shared" si="89"/>
        <v>0</v>
      </c>
      <c r="CU62">
        <f t="shared" si="90"/>
        <v>0</v>
      </c>
      <c r="CV62">
        <f t="shared" si="91"/>
        <v>0</v>
      </c>
      <c r="CW62">
        <f t="shared" si="92"/>
        <v>0</v>
      </c>
      <c r="CX62">
        <f t="shared" si="93"/>
        <v>0</v>
      </c>
      <c r="CY62">
        <f t="shared" si="94"/>
        <v>0</v>
      </c>
      <c r="CZ62">
        <f t="shared" si="95"/>
        <v>0</v>
      </c>
      <c r="DC62" t="s">
        <v>5</v>
      </c>
      <c r="DD62" t="s">
        <v>5</v>
      </c>
      <c r="DE62" t="s">
        <v>5</v>
      </c>
      <c r="DF62" t="s">
        <v>5</v>
      </c>
      <c r="DG62" t="s">
        <v>5</v>
      </c>
      <c r="DH62" t="s">
        <v>5</v>
      </c>
      <c r="DI62" t="s">
        <v>5</v>
      </c>
      <c r="DJ62" t="s">
        <v>5</v>
      </c>
      <c r="DK62" t="s">
        <v>5</v>
      </c>
      <c r="DL62" t="s">
        <v>5</v>
      </c>
      <c r="DM62" t="s">
        <v>5</v>
      </c>
      <c r="DN62">
        <v>161</v>
      </c>
      <c r="DO62">
        <v>107</v>
      </c>
      <c r="DP62">
        <v>1.0469999999999999</v>
      </c>
      <c r="DQ62">
        <v>1.002</v>
      </c>
      <c r="DU62">
        <v>1007</v>
      </c>
      <c r="DV62" t="s">
        <v>59</v>
      </c>
      <c r="DW62" t="s">
        <v>59</v>
      </c>
      <c r="DX62">
        <v>1</v>
      </c>
      <c r="EE62">
        <v>44063971</v>
      </c>
      <c r="EF62">
        <v>30</v>
      </c>
      <c r="EG62" t="s">
        <v>53</v>
      </c>
      <c r="EH62">
        <v>0</v>
      </c>
      <c r="EI62" t="s">
        <v>5</v>
      </c>
      <c r="EJ62">
        <v>1</v>
      </c>
      <c r="EK62">
        <v>152</v>
      </c>
      <c r="EL62" t="s">
        <v>66</v>
      </c>
      <c r="EM62" t="s">
        <v>67</v>
      </c>
      <c r="EO62" t="s">
        <v>5</v>
      </c>
      <c r="EQ62">
        <v>0</v>
      </c>
      <c r="ER62">
        <v>517.14</v>
      </c>
      <c r="ES62">
        <v>517.14</v>
      </c>
      <c r="ET62">
        <v>0</v>
      </c>
      <c r="EU62">
        <v>0</v>
      </c>
      <c r="EV62">
        <v>0</v>
      </c>
      <c r="EW62">
        <v>0</v>
      </c>
      <c r="EX62">
        <v>0</v>
      </c>
      <c r="FQ62">
        <v>0</v>
      </c>
      <c r="FR62">
        <f t="shared" si="96"/>
        <v>0</v>
      </c>
      <c r="FS62">
        <v>0</v>
      </c>
      <c r="FX62">
        <v>161</v>
      </c>
      <c r="FY62">
        <v>107</v>
      </c>
      <c r="GA62" t="s">
        <v>5</v>
      </c>
      <c r="GD62">
        <v>0</v>
      </c>
      <c r="GF62">
        <v>412444006</v>
      </c>
      <c r="GG62">
        <v>2</v>
      </c>
      <c r="GH62">
        <v>1</v>
      </c>
      <c r="GI62">
        <v>2</v>
      </c>
      <c r="GJ62">
        <v>0</v>
      </c>
      <c r="GK62">
        <f>ROUND(R62*(R12)/100,2)</f>
        <v>0</v>
      </c>
      <c r="GL62">
        <f t="shared" si="97"/>
        <v>0</v>
      </c>
      <c r="GM62">
        <f t="shared" si="98"/>
        <v>0</v>
      </c>
      <c r="GN62">
        <f t="shared" si="99"/>
        <v>0</v>
      </c>
      <c r="GO62">
        <f t="shared" si="100"/>
        <v>0</v>
      </c>
      <c r="GP62">
        <f t="shared" si="101"/>
        <v>0</v>
      </c>
      <c r="GR62">
        <v>0</v>
      </c>
      <c r="GS62">
        <v>3</v>
      </c>
      <c r="GT62">
        <v>0</v>
      </c>
      <c r="GU62" t="s">
        <v>5</v>
      </c>
      <c r="GV62">
        <f t="shared" si="102"/>
        <v>0</v>
      </c>
      <c r="GW62">
        <v>1</v>
      </c>
      <c r="GX62">
        <f t="shared" si="103"/>
        <v>0</v>
      </c>
      <c r="HA62">
        <v>0</v>
      </c>
      <c r="HB62">
        <v>0</v>
      </c>
      <c r="HC62">
        <f t="shared" si="104"/>
        <v>0</v>
      </c>
      <c r="IK62">
        <v>0</v>
      </c>
    </row>
    <row r="63" spans="1:245" x14ac:dyDescent="0.2">
      <c r="A63">
        <v>17</v>
      </c>
      <c r="B63">
        <v>1</v>
      </c>
      <c r="C63">
        <f>ROW(SmtRes!A123)</f>
        <v>123</v>
      </c>
      <c r="D63">
        <f>ROW(EtalonRes!A123)</f>
        <v>123</v>
      </c>
      <c r="E63" t="s">
        <v>128</v>
      </c>
      <c r="F63" t="s">
        <v>129</v>
      </c>
      <c r="G63" t="s">
        <v>130</v>
      </c>
      <c r="H63" t="s">
        <v>131</v>
      </c>
      <c r="I63">
        <f>ROUND(82.45/100,9)</f>
        <v>0.82450000000000001</v>
      </c>
      <c r="J63">
        <v>0</v>
      </c>
      <c r="O63">
        <f t="shared" si="65"/>
        <v>7053.44</v>
      </c>
      <c r="P63">
        <f t="shared" si="66"/>
        <v>53.26</v>
      </c>
      <c r="Q63">
        <f t="shared" si="105"/>
        <v>1974.42</v>
      </c>
      <c r="R63">
        <f t="shared" si="68"/>
        <v>798.27</v>
      </c>
      <c r="S63">
        <f t="shared" si="69"/>
        <v>5025.76</v>
      </c>
      <c r="T63">
        <f t="shared" si="70"/>
        <v>0</v>
      </c>
      <c r="U63">
        <f t="shared" si="71"/>
        <v>20.977011449999999</v>
      </c>
      <c r="V63">
        <f t="shared" si="72"/>
        <v>0</v>
      </c>
      <c r="W63">
        <f t="shared" si="73"/>
        <v>0</v>
      </c>
      <c r="X63">
        <f t="shared" si="74"/>
        <v>5327.31</v>
      </c>
      <c r="Y63">
        <f t="shared" si="75"/>
        <v>2060.56</v>
      </c>
      <c r="AA63">
        <v>44169784</v>
      </c>
      <c r="AB63">
        <f t="shared" si="76"/>
        <v>462.15</v>
      </c>
      <c r="AC63">
        <f t="shared" si="106"/>
        <v>14.14</v>
      </c>
      <c r="AD63">
        <f t="shared" si="107"/>
        <v>176.34</v>
      </c>
      <c r="AE63">
        <f t="shared" si="108"/>
        <v>43.15</v>
      </c>
      <c r="AF63">
        <f t="shared" si="109"/>
        <v>271.67</v>
      </c>
      <c r="AG63">
        <f t="shared" si="81"/>
        <v>0</v>
      </c>
      <c r="AH63">
        <f t="shared" si="110"/>
        <v>24.3</v>
      </c>
      <c r="AI63">
        <f t="shared" si="111"/>
        <v>0</v>
      </c>
      <c r="AJ63">
        <f t="shared" si="84"/>
        <v>0</v>
      </c>
      <c r="AK63">
        <v>462.15</v>
      </c>
      <c r="AL63">
        <v>14.14</v>
      </c>
      <c r="AM63">
        <v>176.34</v>
      </c>
      <c r="AN63">
        <v>43.15</v>
      </c>
      <c r="AO63">
        <v>271.67</v>
      </c>
      <c r="AP63">
        <v>0</v>
      </c>
      <c r="AQ63">
        <v>24.3</v>
      </c>
      <c r="AR63">
        <v>0</v>
      </c>
      <c r="AS63">
        <v>0</v>
      </c>
      <c r="AT63">
        <v>106</v>
      </c>
      <c r="AU63">
        <v>41</v>
      </c>
      <c r="AV63">
        <v>1.0469999999999999</v>
      </c>
      <c r="AW63">
        <v>1.002</v>
      </c>
      <c r="AZ63">
        <v>1</v>
      </c>
      <c r="BA63">
        <v>21.43</v>
      </c>
      <c r="BB63">
        <v>12.97</v>
      </c>
      <c r="BC63">
        <v>4.5599999999999996</v>
      </c>
      <c r="BD63" t="s">
        <v>5</v>
      </c>
      <c r="BE63" t="s">
        <v>5</v>
      </c>
      <c r="BF63" t="s">
        <v>5</v>
      </c>
      <c r="BG63" t="s">
        <v>5</v>
      </c>
      <c r="BH63">
        <v>0</v>
      </c>
      <c r="BI63">
        <v>1</v>
      </c>
      <c r="BJ63" t="s">
        <v>132</v>
      </c>
      <c r="BM63">
        <v>160</v>
      </c>
      <c r="BN63">
        <v>0</v>
      </c>
      <c r="BO63" t="s">
        <v>129</v>
      </c>
      <c r="BP63">
        <v>1</v>
      </c>
      <c r="BQ63">
        <v>30</v>
      </c>
      <c r="BR63">
        <v>0</v>
      </c>
      <c r="BS63">
        <v>21.43</v>
      </c>
      <c r="BT63">
        <v>1</v>
      </c>
      <c r="BU63">
        <v>1</v>
      </c>
      <c r="BV63">
        <v>1</v>
      </c>
      <c r="BW63">
        <v>1</v>
      </c>
      <c r="BX63">
        <v>1</v>
      </c>
      <c r="BY63" t="s">
        <v>5</v>
      </c>
      <c r="BZ63">
        <v>106</v>
      </c>
      <c r="CA63">
        <v>41</v>
      </c>
      <c r="CE63">
        <v>30</v>
      </c>
      <c r="CF63">
        <v>0</v>
      </c>
      <c r="CG63">
        <v>0</v>
      </c>
      <c r="CM63">
        <v>0</v>
      </c>
      <c r="CN63" t="s">
        <v>5</v>
      </c>
      <c r="CO63">
        <v>0</v>
      </c>
      <c r="CP63">
        <f t="shared" si="85"/>
        <v>7053.4400000000005</v>
      </c>
      <c r="CQ63">
        <f t="shared" si="86"/>
        <v>64.62</v>
      </c>
      <c r="CR63">
        <f t="shared" si="112"/>
        <v>2394.65</v>
      </c>
      <c r="CS63">
        <f t="shared" si="88"/>
        <v>968.21</v>
      </c>
      <c r="CT63">
        <f t="shared" si="89"/>
        <v>6095.55</v>
      </c>
      <c r="CU63">
        <f t="shared" si="90"/>
        <v>0</v>
      </c>
      <c r="CV63">
        <f t="shared" si="91"/>
        <v>25.4421</v>
      </c>
      <c r="CW63">
        <f t="shared" si="92"/>
        <v>0</v>
      </c>
      <c r="CX63">
        <f t="shared" si="93"/>
        <v>0</v>
      </c>
      <c r="CY63">
        <f t="shared" si="94"/>
        <v>5327.3056000000006</v>
      </c>
      <c r="CZ63">
        <f t="shared" si="95"/>
        <v>2060.5616</v>
      </c>
      <c r="DC63" t="s">
        <v>5</v>
      </c>
      <c r="DD63" t="s">
        <v>5</v>
      </c>
      <c r="DE63" t="s">
        <v>5</v>
      </c>
      <c r="DF63" t="s">
        <v>5</v>
      </c>
      <c r="DG63" t="s">
        <v>5</v>
      </c>
      <c r="DH63" t="s">
        <v>5</v>
      </c>
      <c r="DI63" t="s">
        <v>5</v>
      </c>
      <c r="DJ63" t="s">
        <v>5</v>
      </c>
      <c r="DK63" t="s">
        <v>5</v>
      </c>
      <c r="DL63" t="s">
        <v>5</v>
      </c>
      <c r="DM63" t="s">
        <v>5</v>
      </c>
      <c r="DN63">
        <v>134</v>
      </c>
      <c r="DO63">
        <v>83</v>
      </c>
      <c r="DP63">
        <v>1.0469999999999999</v>
      </c>
      <c r="DQ63">
        <v>1.002</v>
      </c>
      <c r="DU63">
        <v>1013</v>
      </c>
      <c r="DV63" t="s">
        <v>131</v>
      </c>
      <c r="DW63" t="s">
        <v>131</v>
      </c>
      <c r="DX63">
        <v>1</v>
      </c>
      <c r="EE63">
        <v>44063979</v>
      </c>
      <c r="EF63">
        <v>30</v>
      </c>
      <c r="EG63" t="s">
        <v>53</v>
      </c>
      <c r="EH63">
        <v>0</v>
      </c>
      <c r="EI63" t="s">
        <v>5</v>
      </c>
      <c r="EJ63">
        <v>1</v>
      </c>
      <c r="EK63">
        <v>160</v>
      </c>
      <c r="EL63" t="s">
        <v>133</v>
      </c>
      <c r="EM63" t="s">
        <v>134</v>
      </c>
      <c r="EO63" t="s">
        <v>5</v>
      </c>
      <c r="EQ63">
        <v>131072</v>
      </c>
      <c r="ER63">
        <v>462.15</v>
      </c>
      <c r="ES63">
        <v>14.14</v>
      </c>
      <c r="ET63">
        <v>176.34</v>
      </c>
      <c r="EU63">
        <v>43.15</v>
      </c>
      <c r="EV63">
        <v>271.67</v>
      </c>
      <c r="EW63">
        <v>24.3</v>
      </c>
      <c r="EX63">
        <v>0</v>
      </c>
      <c r="EY63">
        <v>0</v>
      </c>
      <c r="FQ63">
        <v>0</v>
      </c>
      <c r="FR63">
        <f t="shared" si="96"/>
        <v>0</v>
      </c>
      <c r="FS63">
        <v>0</v>
      </c>
      <c r="FX63">
        <v>134</v>
      </c>
      <c r="FY63">
        <v>83</v>
      </c>
      <c r="GA63" t="s">
        <v>5</v>
      </c>
      <c r="GD63">
        <v>0</v>
      </c>
      <c r="GF63">
        <v>73681226</v>
      </c>
      <c r="GG63">
        <v>2</v>
      </c>
      <c r="GH63">
        <v>1</v>
      </c>
      <c r="GI63">
        <v>2</v>
      </c>
      <c r="GJ63">
        <v>0</v>
      </c>
      <c r="GK63">
        <f>ROUND(R63*(R12)/100,2)</f>
        <v>1253.28</v>
      </c>
      <c r="GL63">
        <f t="shared" si="97"/>
        <v>0</v>
      </c>
      <c r="GM63">
        <f t="shared" si="98"/>
        <v>15694.59</v>
      </c>
      <c r="GN63">
        <f t="shared" si="99"/>
        <v>15694.59</v>
      </c>
      <c r="GO63">
        <f t="shared" si="100"/>
        <v>0</v>
      </c>
      <c r="GP63">
        <f t="shared" si="101"/>
        <v>0</v>
      </c>
      <c r="GR63">
        <v>0</v>
      </c>
      <c r="GS63">
        <v>0</v>
      </c>
      <c r="GT63">
        <v>0</v>
      </c>
      <c r="GU63" t="s">
        <v>5</v>
      </c>
      <c r="GV63">
        <f t="shared" si="102"/>
        <v>0</v>
      </c>
      <c r="GW63">
        <v>1</v>
      </c>
      <c r="GX63">
        <f t="shared" si="103"/>
        <v>0</v>
      </c>
      <c r="HA63">
        <v>0</v>
      </c>
      <c r="HB63">
        <v>0</v>
      </c>
      <c r="HC63">
        <f t="shared" si="104"/>
        <v>0</v>
      </c>
      <c r="IK63">
        <v>0</v>
      </c>
    </row>
    <row r="64" spans="1:245" x14ac:dyDescent="0.2">
      <c r="A64">
        <v>18</v>
      </c>
      <c r="B64">
        <v>1</v>
      </c>
      <c r="C64">
        <v>123</v>
      </c>
      <c r="E64" t="s">
        <v>135</v>
      </c>
      <c r="F64" t="s">
        <v>136</v>
      </c>
      <c r="G64" t="s">
        <v>137</v>
      </c>
      <c r="H64" t="s">
        <v>59</v>
      </c>
      <c r="I64">
        <f>I63*J64</f>
        <v>14.346299999999999</v>
      </c>
      <c r="J64">
        <v>17.399999999999999</v>
      </c>
      <c r="O64">
        <f t="shared" si="65"/>
        <v>31608.98</v>
      </c>
      <c r="P64">
        <f t="shared" si="66"/>
        <v>31608.98</v>
      </c>
      <c r="Q64">
        <f t="shared" si="105"/>
        <v>0</v>
      </c>
      <c r="R64">
        <f t="shared" si="68"/>
        <v>0</v>
      </c>
      <c r="S64">
        <f t="shared" si="69"/>
        <v>0</v>
      </c>
      <c r="T64">
        <f t="shared" si="70"/>
        <v>0</v>
      </c>
      <c r="U64">
        <f t="shared" si="71"/>
        <v>0</v>
      </c>
      <c r="V64">
        <f t="shared" si="72"/>
        <v>0</v>
      </c>
      <c r="W64">
        <f t="shared" si="73"/>
        <v>0</v>
      </c>
      <c r="X64">
        <f t="shared" si="74"/>
        <v>0</v>
      </c>
      <c r="Y64">
        <f t="shared" si="75"/>
        <v>0</v>
      </c>
      <c r="AA64">
        <v>44169784</v>
      </c>
      <c r="AB64">
        <f t="shared" si="76"/>
        <v>160.62</v>
      </c>
      <c r="AC64">
        <f t="shared" si="106"/>
        <v>160.62</v>
      </c>
      <c r="AD64">
        <f t="shared" si="107"/>
        <v>0</v>
      </c>
      <c r="AE64">
        <f t="shared" si="108"/>
        <v>0</v>
      </c>
      <c r="AF64">
        <f t="shared" si="109"/>
        <v>0</v>
      </c>
      <c r="AG64">
        <f t="shared" si="81"/>
        <v>0</v>
      </c>
      <c r="AH64">
        <f t="shared" si="110"/>
        <v>0</v>
      </c>
      <c r="AI64">
        <f t="shared" si="111"/>
        <v>0</v>
      </c>
      <c r="AJ64">
        <f t="shared" si="84"/>
        <v>0</v>
      </c>
      <c r="AK64">
        <v>160.62</v>
      </c>
      <c r="AL64">
        <v>160.62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1</v>
      </c>
      <c r="AW64">
        <v>1.002</v>
      </c>
      <c r="AZ64">
        <v>1</v>
      </c>
      <c r="BA64">
        <v>1</v>
      </c>
      <c r="BB64">
        <v>1</v>
      </c>
      <c r="BC64">
        <v>13.69</v>
      </c>
      <c r="BD64" t="s">
        <v>5</v>
      </c>
      <c r="BE64" t="s">
        <v>5</v>
      </c>
      <c r="BF64" t="s">
        <v>5</v>
      </c>
      <c r="BG64" t="s">
        <v>5</v>
      </c>
      <c r="BH64">
        <v>3</v>
      </c>
      <c r="BI64">
        <v>1</v>
      </c>
      <c r="BJ64" t="s">
        <v>138</v>
      </c>
      <c r="BM64">
        <v>160</v>
      </c>
      <c r="BN64">
        <v>0</v>
      </c>
      <c r="BO64" t="s">
        <v>136</v>
      </c>
      <c r="BP64">
        <v>1</v>
      </c>
      <c r="BQ64">
        <v>30</v>
      </c>
      <c r="BR64">
        <v>0</v>
      </c>
      <c r="BS64">
        <v>1</v>
      </c>
      <c r="BT64">
        <v>1</v>
      </c>
      <c r="BU64">
        <v>1</v>
      </c>
      <c r="BV64">
        <v>1</v>
      </c>
      <c r="BW64">
        <v>1</v>
      </c>
      <c r="BX64">
        <v>1</v>
      </c>
      <c r="BY64" t="s">
        <v>5</v>
      </c>
      <c r="BZ64">
        <v>0</v>
      </c>
      <c r="CA64">
        <v>0</v>
      </c>
      <c r="CE64">
        <v>30</v>
      </c>
      <c r="CF64">
        <v>0</v>
      </c>
      <c r="CG64">
        <v>0</v>
      </c>
      <c r="CM64">
        <v>0</v>
      </c>
      <c r="CN64" t="s">
        <v>5</v>
      </c>
      <c r="CO64">
        <v>0</v>
      </c>
      <c r="CP64">
        <f t="shared" si="85"/>
        <v>31608.98</v>
      </c>
      <c r="CQ64">
        <f t="shared" si="86"/>
        <v>2203.27</v>
      </c>
      <c r="CR64">
        <f t="shared" si="112"/>
        <v>0</v>
      </c>
      <c r="CS64">
        <f t="shared" si="88"/>
        <v>0</v>
      </c>
      <c r="CT64">
        <f t="shared" si="89"/>
        <v>0</v>
      </c>
      <c r="CU64">
        <f t="shared" si="90"/>
        <v>0</v>
      </c>
      <c r="CV64">
        <f t="shared" si="91"/>
        <v>0</v>
      </c>
      <c r="CW64">
        <f t="shared" si="92"/>
        <v>0</v>
      </c>
      <c r="CX64">
        <f t="shared" si="93"/>
        <v>0</v>
      </c>
      <c r="CY64">
        <f t="shared" si="94"/>
        <v>0</v>
      </c>
      <c r="CZ64">
        <f t="shared" si="95"/>
        <v>0</v>
      </c>
      <c r="DC64" t="s">
        <v>5</v>
      </c>
      <c r="DD64" t="s">
        <v>5</v>
      </c>
      <c r="DE64" t="s">
        <v>5</v>
      </c>
      <c r="DF64" t="s">
        <v>5</v>
      </c>
      <c r="DG64" t="s">
        <v>5</v>
      </c>
      <c r="DH64" t="s">
        <v>5</v>
      </c>
      <c r="DI64" t="s">
        <v>5</v>
      </c>
      <c r="DJ64" t="s">
        <v>5</v>
      </c>
      <c r="DK64" t="s">
        <v>5</v>
      </c>
      <c r="DL64" t="s">
        <v>5</v>
      </c>
      <c r="DM64" t="s">
        <v>5</v>
      </c>
      <c r="DN64">
        <v>134</v>
      </c>
      <c r="DO64">
        <v>83</v>
      </c>
      <c r="DP64">
        <v>1.0469999999999999</v>
      </c>
      <c r="DQ64">
        <v>1.002</v>
      </c>
      <c r="DU64">
        <v>1007</v>
      </c>
      <c r="DV64" t="s">
        <v>59</v>
      </c>
      <c r="DW64" t="s">
        <v>59</v>
      </c>
      <c r="DX64">
        <v>1</v>
      </c>
      <c r="EE64">
        <v>44063979</v>
      </c>
      <c r="EF64">
        <v>30</v>
      </c>
      <c r="EG64" t="s">
        <v>53</v>
      </c>
      <c r="EH64">
        <v>0</v>
      </c>
      <c r="EI64" t="s">
        <v>5</v>
      </c>
      <c r="EJ64">
        <v>1</v>
      </c>
      <c r="EK64">
        <v>160</v>
      </c>
      <c r="EL64" t="s">
        <v>133</v>
      </c>
      <c r="EM64" t="s">
        <v>134</v>
      </c>
      <c r="EO64" t="s">
        <v>5</v>
      </c>
      <c r="EQ64">
        <v>0</v>
      </c>
      <c r="ER64">
        <v>160.62</v>
      </c>
      <c r="ES64">
        <v>160.62</v>
      </c>
      <c r="ET64">
        <v>0</v>
      </c>
      <c r="EU64">
        <v>0</v>
      </c>
      <c r="EV64">
        <v>0</v>
      </c>
      <c r="EW64">
        <v>0</v>
      </c>
      <c r="EX64">
        <v>0</v>
      </c>
      <c r="FQ64">
        <v>0</v>
      </c>
      <c r="FR64">
        <f t="shared" si="96"/>
        <v>0</v>
      </c>
      <c r="FS64">
        <v>0</v>
      </c>
      <c r="FX64">
        <v>134</v>
      </c>
      <c r="FY64">
        <v>83</v>
      </c>
      <c r="GA64" t="s">
        <v>5</v>
      </c>
      <c r="GD64">
        <v>0</v>
      </c>
      <c r="GF64">
        <v>558400410</v>
      </c>
      <c r="GG64">
        <v>2</v>
      </c>
      <c r="GH64">
        <v>1</v>
      </c>
      <c r="GI64">
        <v>2</v>
      </c>
      <c r="GJ64">
        <v>0</v>
      </c>
      <c r="GK64">
        <f>ROUND(R64*(R12)/100,2)</f>
        <v>0</v>
      </c>
      <c r="GL64">
        <f t="shared" si="97"/>
        <v>0</v>
      </c>
      <c r="GM64">
        <f t="shared" si="98"/>
        <v>31608.98</v>
      </c>
      <c r="GN64">
        <f t="shared" si="99"/>
        <v>31608.98</v>
      </c>
      <c r="GO64">
        <f t="shared" si="100"/>
        <v>0</v>
      </c>
      <c r="GP64">
        <f t="shared" si="101"/>
        <v>0</v>
      </c>
      <c r="GR64">
        <v>0</v>
      </c>
      <c r="GS64">
        <v>3</v>
      </c>
      <c r="GT64">
        <v>0</v>
      </c>
      <c r="GU64" t="s">
        <v>5</v>
      </c>
      <c r="GV64">
        <f t="shared" si="102"/>
        <v>0</v>
      </c>
      <c r="GW64">
        <v>1</v>
      </c>
      <c r="GX64">
        <f t="shared" si="103"/>
        <v>0</v>
      </c>
      <c r="HA64">
        <v>0</v>
      </c>
      <c r="HB64">
        <v>0</v>
      </c>
      <c r="HC64">
        <f t="shared" si="104"/>
        <v>0</v>
      </c>
      <c r="IK64">
        <v>0</v>
      </c>
    </row>
    <row r="65" spans="1:245" x14ac:dyDescent="0.2">
      <c r="A65">
        <v>17</v>
      </c>
      <c r="B65">
        <v>1</v>
      </c>
      <c r="C65">
        <f>ROW(SmtRes!A127)</f>
        <v>127</v>
      </c>
      <c r="D65">
        <f>ROW(EtalonRes!A127)</f>
        <v>127</v>
      </c>
      <c r="E65" t="s">
        <v>139</v>
      </c>
      <c r="F65" t="s">
        <v>140</v>
      </c>
      <c r="G65" t="s">
        <v>141</v>
      </c>
      <c r="H65" t="s">
        <v>80</v>
      </c>
      <c r="I65">
        <f>ROUND(I63,9)</f>
        <v>0.82450000000000001</v>
      </c>
      <c r="J65">
        <v>0</v>
      </c>
      <c r="O65">
        <f t="shared" si="65"/>
        <v>3869.28</v>
      </c>
      <c r="P65">
        <f t="shared" si="66"/>
        <v>1188.43</v>
      </c>
      <c r="Q65">
        <f t="shared" si="105"/>
        <v>686.79</v>
      </c>
      <c r="R65">
        <f t="shared" si="68"/>
        <v>300.02</v>
      </c>
      <c r="S65">
        <f t="shared" si="69"/>
        <v>1994.06</v>
      </c>
      <c r="T65">
        <f t="shared" si="70"/>
        <v>0</v>
      </c>
      <c r="U65">
        <f t="shared" si="71"/>
        <v>7.7347334400000012</v>
      </c>
      <c r="V65">
        <f t="shared" si="72"/>
        <v>0</v>
      </c>
      <c r="W65">
        <f t="shared" si="73"/>
        <v>0</v>
      </c>
      <c r="X65">
        <f t="shared" si="74"/>
        <v>2113.6999999999998</v>
      </c>
      <c r="Y65">
        <f t="shared" si="75"/>
        <v>817.56</v>
      </c>
      <c r="AA65">
        <v>44169784</v>
      </c>
      <c r="AB65">
        <f t="shared" si="76"/>
        <v>378.12</v>
      </c>
      <c r="AC65">
        <f t="shared" si="106"/>
        <v>210.11</v>
      </c>
      <c r="AD65">
        <f t="shared" si="107"/>
        <v>60.22</v>
      </c>
      <c r="AE65">
        <f t="shared" si="108"/>
        <v>16.22</v>
      </c>
      <c r="AF65">
        <f t="shared" si="109"/>
        <v>107.79</v>
      </c>
      <c r="AG65">
        <f t="shared" si="81"/>
        <v>0</v>
      </c>
      <c r="AH65">
        <f t="shared" si="110"/>
        <v>8.9600000000000009</v>
      </c>
      <c r="AI65">
        <f t="shared" si="111"/>
        <v>0</v>
      </c>
      <c r="AJ65">
        <f t="shared" si="84"/>
        <v>0</v>
      </c>
      <c r="AK65">
        <v>378.12</v>
      </c>
      <c r="AL65">
        <v>210.11</v>
      </c>
      <c r="AM65">
        <v>60.22</v>
      </c>
      <c r="AN65">
        <v>16.22</v>
      </c>
      <c r="AO65">
        <v>107.79</v>
      </c>
      <c r="AP65">
        <v>0</v>
      </c>
      <c r="AQ65">
        <v>8.9600000000000009</v>
      </c>
      <c r="AR65">
        <v>0</v>
      </c>
      <c r="AS65">
        <v>0</v>
      </c>
      <c r="AT65">
        <v>106</v>
      </c>
      <c r="AU65">
        <v>41</v>
      </c>
      <c r="AV65">
        <v>1.0469999999999999</v>
      </c>
      <c r="AW65">
        <v>1</v>
      </c>
      <c r="AZ65">
        <v>1</v>
      </c>
      <c r="BA65">
        <v>21.43</v>
      </c>
      <c r="BB65">
        <v>13.21</v>
      </c>
      <c r="BC65">
        <v>6.86</v>
      </c>
      <c r="BD65" t="s">
        <v>5</v>
      </c>
      <c r="BE65" t="s">
        <v>5</v>
      </c>
      <c r="BF65" t="s">
        <v>5</v>
      </c>
      <c r="BG65" t="s">
        <v>5</v>
      </c>
      <c r="BH65">
        <v>0</v>
      </c>
      <c r="BI65">
        <v>1</v>
      </c>
      <c r="BJ65" t="s">
        <v>142</v>
      </c>
      <c r="BM65">
        <v>159</v>
      </c>
      <c r="BN65">
        <v>0</v>
      </c>
      <c r="BO65" t="s">
        <v>140</v>
      </c>
      <c r="BP65">
        <v>1</v>
      </c>
      <c r="BQ65">
        <v>30</v>
      </c>
      <c r="BR65">
        <v>0</v>
      </c>
      <c r="BS65">
        <v>21.43</v>
      </c>
      <c r="BT65">
        <v>1</v>
      </c>
      <c r="BU65">
        <v>1</v>
      </c>
      <c r="BV65">
        <v>1</v>
      </c>
      <c r="BW65">
        <v>1</v>
      </c>
      <c r="BX65">
        <v>1</v>
      </c>
      <c r="BY65" t="s">
        <v>5</v>
      </c>
      <c r="BZ65">
        <v>106</v>
      </c>
      <c r="CA65">
        <v>41</v>
      </c>
      <c r="CE65">
        <v>30</v>
      </c>
      <c r="CF65">
        <v>0</v>
      </c>
      <c r="CG65">
        <v>0</v>
      </c>
      <c r="CM65">
        <v>0</v>
      </c>
      <c r="CN65" t="s">
        <v>5</v>
      </c>
      <c r="CO65">
        <v>0</v>
      </c>
      <c r="CP65">
        <f t="shared" si="85"/>
        <v>3869.2799999999997</v>
      </c>
      <c r="CQ65">
        <f t="shared" si="86"/>
        <v>1441.35</v>
      </c>
      <c r="CR65">
        <f t="shared" si="112"/>
        <v>832.89</v>
      </c>
      <c r="CS65">
        <f t="shared" si="88"/>
        <v>363.88</v>
      </c>
      <c r="CT65">
        <f t="shared" si="89"/>
        <v>2418.59</v>
      </c>
      <c r="CU65">
        <f t="shared" si="90"/>
        <v>0</v>
      </c>
      <c r="CV65">
        <f t="shared" si="91"/>
        <v>9.381120000000001</v>
      </c>
      <c r="CW65">
        <f t="shared" si="92"/>
        <v>0</v>
      </c>
      <c r="CX65">
        <f t="shared" si="93"/>
        <v>0</v>
      </c>
      <c r="CY65">
        <f t="shared" si="94"/>
        <v>2113.7035999999998</v>
      </c>
      <c r="CZ65">
        <f t="shared" si="95"/>
        <v>817.56459999999993</v>
      </c>
      <c r="DC65" t="s">
        <v>5</v>
      </c>
      <c r="DD65" t="s">
        <v>5</v>
      </c>
      <c r="DE65" t="s">
        <v>5</v>
      </c>
      <c r="DF65" t="s">
        <v>5</v>
      </c>
      <c r="DG65" t="s">
        <v>5</v>
      </c>
      <c r="DH65" t="s">
        <v>5</v>
      </c>
      <c r="DI65" t="s">
        <v>5</v>
      </c>
      <c r="DJ65" t="s">
        <v>5</v>
      </c>
      <c r="DK65" t="s">
        <v>5</v>
      </c>
      <c r="DL65" t="s">
        <v>5</v>
      </c>
      <c r="DM65" t="s">
        <v>5</v>
      </c>
      <c r="DN65">
        <v>134</v>
      </c>
      <c r="DO65">
        <v>83</v>
      </c>
      <c r="DP65">
        <v>1.0469999999999999</v>
      </c>
      <c r="DQ65">
        <v>1</v>
      </c>
      <c r="DU65">
        <v>1013</v>
      </c>
      <c r="DV65" t="s">
        <v>80</v>
      </c>
      <c r="DW65" t="s">
        <v>80</v>
      </c>
      <c r="DX65">
        <v>1</v>
      </c>
      <c r="EE65">
        <v>44063978</v>
      </c>
      <c r="EF65">
        <v>30</v>
      </c>
      <c r="EG65" t="s">
        <v>53</v>
      </c>
      <c r="EH65">
        <v>0</v>
      </c>
      <c r="EI65" t="s">
        <v>5</v>
      </c>
      <c r="EJ65">
        <v>1</v>
      </c>
      <c r="EK65">
        <v>159</v>
      </c>
      <c r="EL65" t="s">
        <v>143</v>
      </c>
      <c r="EM65" t="s">
        <v>144</v>
      </c>
      <c r="EO65" t="s">
        <v>5</v>
      </c>
      <c r="EQ65">
        <v>131072</v>
      </c>
      <c r="ER65">
        <v>378.12</v>
      </c>
      <c r="ES65">
        <v>210.11</v>
      </c>
      <c r="ET65">
        <v>60.22</v>
      </c>
      <c r="EU65">
        <v>16.22</v>
      </c>
      <c r="EV65">
        <v>107.79</v>
      </c>
      <c r="EW65">
        <v>8.9600000000000009</v>
      </c>
      <c r="EX65">
        <v>0</v>
      </c>
      <c r="EY65">
        <v>0</v>
      </c>
      <c r="FQ65">
        <v>0</v>
      </c>
      <c r="FR65">
        <f t="shared" si="96"/>
        <v>0</v>
      </c>
      <c r="FS65">
        <v>0</v>
      </c>
      <c r="FX65">
        <v>134</v>
      </c>
      <c r="FY65">
        <v>83</v>
      </c>
      <c r="GA65" t="s">
        <v>5</v>
      </c>
      <c r="GD65">
        <v>0</v>
      </c>
      <c r="GF65">
        <v>-1454734002</v>
      </c>
      <c r="GG65">
        <v>2</v>
      </c>
      <c r="GH65">
        <v>1</v>
      </c>
      <c r="GI65">
        <v>2</v>
      </c>
      <c r="GJ65">
        <v>0</v>
      </c>
      <c r="GK65">
        <f>ROUND(R65*(R12)/100,2)</f>
        <v>471.03</v>
      </c>
      <c r="GL65">
        <f t="shared" si="97"/>
        <v>0</v>
      </c>
      <c r="GM65">
        <f t="shared" si="98"/>
        <v>7271.57</v>
      </c>
      <c r="GN65">
        <f t="shared" si="99"/>
        <v>7271.57</v>
      </c>
      <c r="GO65">
        <f t="shared" si="100"/>
        <v>0</v>
      </c>
      <c r="GP65">
        <f t="shared" si="101"/>
        <v>0</v>
      </c>
      <c r="GR65">
        <v>0</v>
      </c>
      <c r="GS65">
        <v>0</v>
      </c>
      <c r="GT65">
        <v>0</v>
      </c>
      <c r="GU65" t="s">
        <v>5</v>
      </c>
      <c r="GV65">
        <f t="shared" si="102"/>
        <v>0</v>
      </c>
      <c r="GW65">
        <v>1</v>
      </c>
      <c r="GX65">
        <f t="shared" si="103"/>
        <v>0</v>
      </c>
      <c r="HA65">
        <v>0</v>
      </c>
      <c r="HB65">
        <v>0</v>
      </c>
      <c r="HC65">
        <f t="shared" si="104"/>
        <v>0</v>
      </c>
      <c r="IK65">
        <v>0</v>
      </c>
    </row>
    <row r="66" spans="1:245" x14ac:dyDescent="0.2">
      <c r="A66">
        <v>18</v>
      </c>
      <c r="B66">
        <v>1</v>
      </c>
      <c r="C66">
        <v>127</v>
      </c>
      <c r="E66" t="s">
        <v>145</v>
      </c>
      <c r="F66" t="s">
        <v>85</v>
      </c>
      <c r="G66" t="s">
        <v>86</v>
      </c>
      <c r="H66" t="s">
        <v>87</v>
      </c>
      <c r="I66">
        <f>I65*J66</f>
        <v>11.733459999999999</v>
      </c>
      <c r="J66">
        <v>14.231000606428138</v>
      </c>
      <c r="O66">
        <f t="shared" si="65"/>
        <v>32480.720000000001</v>
      </c>
      <c r="P66">
        <f t="shared" si="66"/>
        <v>32480.720000000001</v>
      </c>
      <c r="Q66">
        <f t="shared" si="105"/>
        <v>0</v>
      </c>
      <c r="R66">
        <f t="shared" si="68"/>
        <v>0</v>
      </c>
      <c r="S66">
        <f t="shared" si="69"/>
        <v>0</v>
      </c>
      <c r="T66">
        <f t="shared" si="70"/>
        <v>0</v>
      </c>
      <c r="U66">
        <f t="shared" si="71"/>
        <v>0</v>
      </c>
      <c r="V66">
        <f t="shared" si="72"/>
        <v>0</v>
      </c>
      <c r="W66">
        <f t="shared" si="73"/>
        <v>0</v>
      </c>
      <c r="X66">
        <f t="shared" si="74"/>
        <v>0</v>
      </c>
      <c r="Y66">
        <f t="shared" si="75"/>
        <v>0</v>
      </c>
      <c r="AA66">
        <v>44169784</v>
      </c>
      <c r="AB66">
        <f t="shared" si="76"/>
        <v>296.7</v>
      </c>
      <c r="AC66">
        <f t="shared" si="106"/>
        <v>296.7</v>
      </c>
      <c r="AD66">
        <f t="shared" si="107"/>
        <v>0</v>
      </c>
      <c r="AE66">
        <f t="shared" si="108"/>
        <v>0</v>
      </c>
      <c r="AF66">
        <f t="shared" si="109"/>
        <v>0</v>
      </c>
      <c r="AG66">
        <f t="shared" si="81"/>
        <v>0</v>
      </c>
      <c r="AH66">
        <f t="shared" si="110"/>
        <v>0</v>
      </c>
      <c r="AI66">
        <f t="shared" si="111"/>
        <v>0</v>
      </c>
      <c r="AJ66">
        <f t="shared" si="84"/>
        <v>0</v>
      </c>
      <c r="AK66">
        <v>296.7</v>
      </c>
      <c r="AL66">
        <v>296.7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1</v>
      </c>
      <c r="AW66">
        <v>1</v>
      </c>
      <c r="AZ66">
        <v>1</v>
      </c>
      <c r="BA66">
        <v>1</v>
      </c>
      <c r="BB66">
        <v>1</v>
      </c>
      <c r="BC66">
        <v>9.33</v>
      </c>
      <c r="BD66" t="s">
        <v>5</v>
      </c>
      <c r="BE66" t="s">
        <v>5</v>
      </c>
      <c r="BF66" t="s">
        <v>5</v>
      </c>
      <c r="BG66" t="s">
        <v>5</v>
      </c>
      <c r="BH66">
        <v>3</v>
      </c>
      <c r="BI66">
        <v>1</v>
      </c>
      <c r="BJ66" t="s">
        <v>88</v>
      </c>
      <c r="BM66">
        <v>159</v>
      </c>
      <c r="BN66">
        <v>0</v>
      </c>
      <c r="BO66" t="s">
        <v>85</v>
      </c>
      <c r="BP66">
        <v>1</v>
      </c>
      <c r="BQ66">
        <v>30</v>
      </c>
      <c r="BR66">
        <v>0</v>
      </c>
      <c r="BS66">
        <v>1</v>
      </c>
      <c r="BT66">
        <v>1</v>
      </c>
      <c r="BU66">
        <v>1</v>
      </c>
      <c r="BV66">
        <v>1</v>
      </c>
      <c r="BW66">
        <v>1</v>
      </c>
      <c r="BX66">
        <v>1</v>
      </c>
      <c r="BY66" t="s">
        <v>5</v>
      </c>
      <c r="BZ66">
        <v>0</v>
      </c>
      <c r="CA66">
        <v>0</v>
      </c>
      <c r="CE66">
        <v>30</v>
      </c>
      <c r="CF66">
        <v>0</v>
      </c>
      <c r="CG66">
        <v>0</v>
      </c>
      <c r="CM66">
        <v>0</v>
      </c>
      <c r="CN66" t="s">
        <v>5</v>
      </c>
      <c r="CO66">
        <v>0</v>
      </c>
      <c r="CP66">
        <f t="shared" si="85"/>
        <v>32480.720000000001</v>
      </c>
      <c r="CQ66">
        <f t="shared" si="86"/>
        <v>2768.21</v>
      </c>
      <c r="CR66">
        <f t="shared" si="112"/>
        <v>0</v>
      </c>
      <c r="CS66">
        <f t="shared" si="88"/>
        <v>0</v>
      </c>
      <c r="CT66">
        <f t="shared" si="89"/>
        <v>0</v>
      </c>
      <c r="CU66">
        <f t="shared" si="90"/>
        <v>0</v>
      </c>
      <c r="CV66">
        <f t="shared" si="91"/>
        <v>0</v>
      </c>
      <c r="CW66">
        <f t="shared" si="92"/>
        <v>0</v>
      </c>
      <c r="CX66">
        <f t="shared" si="93"/>
        <v>0</v>
      </c>
      <c r="CY66">
        <f t="shared" si="94"/>
        <v>0</v>
      </c>
      <c r="CZ66">
        <f t="shared" si="95"/>
        <v>0</v>
      </c>
      <c r="DC66" t="s">
        <v>5</v>
      </c>
      <c r="DD66" t="s">
        <v>5</v>
      </c>
      <c r="DE66" t="s">
        <v>5</v>
      </c>
      <c r="DF66" t="s">
        <v>5</v>
      </c>
      <c r="DG66" t="s">
        <v>5</v>
      </c>
      <c r="DH66" t="s">
        <v>5</v>
      </c>
      <c r="DI66" t="s">
        <v>5</v>
      </c>
      <c r="DJ66" t="s">
        <v>5</v>
      </c>
      <c r="DK66" t="s">
        <v>5</v>
      </c>
      <c r="DL66" t="s">
        <v>5</v>
      </c>
      <c r="DM66" t="s">
        <v>5</v>
      </c>
      <c r="DN66">
        <v>134</v>
      </c>
      <c r="DO66">
        <v>83</v>
      </c>
      <c r="DP66">
        <v>1.0469999999999999</v>
      </c>
      <c r="DQ66">
        <v>1</v>
      </c>
      <c r="DU66">
        <v>1009</v>
      </c>
      <c r="DV66" t="s">
        <v>87</v>
      </c>
      <c r="DW66" t="s">
        <v>87</v>
      </c>
      <c r="DX66">
        <v>1000</v>
      </c>
      <c r="EE66">
        <v>44063978</v>
      </c>
      <c r="EF66">
        <v>30</v>
      </c>
      <c r="EG66" t="s">
        <v>53</v>
      </c>
      <c r="EH66">
        <v>0</v>
      </c>
      <c r="EI66" t="s">
        <v>5</v>
      </c>
      <c r="EJ66">
        <v>1</v>
      </c>
      <c r="EK66">
        <v>159</v>
      </c>
      <c r="EL66" t="s">
        <v>143</v>
      </c>
      <c r="EM66" t="s">
        <v>144</v>
      </c>
      <c r="EO66" t="s">
        <v>5</v>
      </c>
      <c r="EQ66">
        <v>0</v>
      </c>
      <c r="ER66">
        <v>296.7</v>
      </c>
      <c r="ES66">
        <v>296.7</v>
      </c>
      <c r="ET66">
        <v>0</v>
      </c>
      <c r="EU66">
        <v>0</v>
      </c>
      <c r="EV66">
        <v>0</v>
      </c>
      <c r="EW66">
        <v>0</v>
      </c>
      <c r="EX66">
        <v>0</v>
      </c>
      <c r="FQ66">
        <v>0</v>
      </c>
      <c r="FR66">
        <f t="shared" si="96"/>
        <v>0</v>
      </c>
      <c r="FS66">
        <v>0</v>
      </c>
      <c r="FX66">
        <v>134</v>
      </c>
      <c r="FY66">
        <v>83</v>
      </c>
      <c r="GA66" t="s">
        <v>5</v>
      </c>
      <c r="GD66">
        <v>0</v>
      </c>
      <c r="GF66">
        <v>-2026741202</v>
      </c>
      <c r="GG66">
        <v>2</v>
      </c>
      <c r="GH66">
        <v>1</v>
      </c>
      <c r="GI66">
        <v>2</v>
      </c>
      <c r="GJ66">
        <v>0</v>
      </c>
      <c r="GK66">
        <f>ROUND(R66*(R12)/100,2)</f>
        <v>0</v>
      </c>
      <c r="GL66">
        <f t="shared" si="97"/>
        <v>0</v>
      </c>
      <c r="GM66">
        <f t="shared" si="98"/>
        <v>32480.720000000001</v>
      </c>
      <c r="GN66">
        <f t="shared" si="99"/>
        <v>32480.720000000001</v>
      </c>
      <c r="GO66">
        <f t="shared" si="100"/>
        <v>0</v>
      </c>
      <c r="GP66">
        <f t="shared" si="101"/>
        <v>0</v>
      </c>
      <c r="GR66">
        <v>0</v>
      </c>
      <c r="GS66">
        <v>3</v>
      </c>
      <c r="GT66">
        <v>0</v>
      </c>
      <c r="GU66" t="s">
        <v>5</v>
      </c>
      <c r="GV66">
        <f t="shared" si="102"/>
        <v>0</v>
      </c>
      <c r="GW66">
        <v>1</v>
      </c>
      <c r="GX66">
        <f t="shared" si="103"/>
        <v>0</v>
      </c>
      <c r="HA66">
        <v>0</v>
      </c>
      <c r="HB66">
        <v>0</v>
      </c>
      <c r="HC66">
        <f t="shared" si="104"/>
        <v>0</v>
      </c>
      <c r="IK66">
        <v>0</v>
      </c>
    </row>
    <row r="67" spans="1:245" x14ac:dyDescent="0.2">
      <c r="A67">
        <v>17</v>
      </c>
      <c r="B67">
        <v>1</v>
      </c>
      <c r="C67">
        <f>ROW(SmtRes!A131)</f>
        <v>131</v>
      </c>
      <c r="D67">
        <f>ROW(EtalonRes!A131)</f>
        <v>131</v>
      </c>
      <c r="E67" t="s">
        <v>146</v>
      </c>
      <c r="F67" t="s">
        <v>147</v>
      </c>
      <c r="G67" t="s">
        <v>148</v>
      </c>
      <c r="H67" t="s">
        <v>80</v>
      </c>
      <c r="I67">
        <f>ROUND(510.09/100,9)</f>
        <v>5.1009000000000002</v>
      </c>
      <c r="J67">
        <v>0</v>
      </c>
      <c r="O67">
        <f t="shared" si="65"/>
        <v>23937.29</v>
      </c>
      <c r="P67">
        <f t="shared" si="66"/>
        <v>7352.21</v>
      </c>
      <c r="Q67">
        <f t="shared" si="105"/>
        <v>4248.47</v>
      </c>
      <c r="R67">
        <f t="shared" si="68"/>
        <v>1856.48</v>
      </c>
      <c r="S67">
        <f t="shared" si="69"/>
        <v>12336.61</v>
      </c>
      <c r="T67">
        <f t="shared" si="70"/>
        <v>0</v>
      </c>
      <c r="U67">
        <f t="shared" si="71"/>
        <v>47.852155008000004</v>
      </c>
      <c r="V67">
        <f t="shared" si="72"/>
        <v>0</v>
      </c>
      <c r="W67">
        <f t="shared" si="73"/>
        <v>0</v>
      </c>
      <c r="X67">
        <f t="shared" si="74"/>
        <v>13076.81</v>
      </c>
      <c r="Y67">
        <f t="shared" si="75"/>
        <v>5058.01</v>
      </c>
      <c r="AA67">
        <v>44169784</v>
      </c>
      <c r="AB67">
        <f t="shared" si="76"/>
        <v>378.12</v>
      </c>
      <c r="AC67">
        <f t="shared" si="106"/>
        <v>210.11</v>
      </c>
      <c r="AD67">
        <f t="shared" si="107"/>
        <v>60.22</v>
      </c>
      <c r="AE67">
        <f t="shared" si="108"/>
        <v>16.22</v>
      </c>
      <c r="AF67">
        <f t="shared" si="109"/>
        <v>107.79</v>
      </c>
      <c r="AG67">
        <f t="shared" si="81"/>
        <v>0</v>
      </c>
      <c r="AH67">
        <f t="shared" si="110"/>
        <v>8.9600000000000009</v>
      </c>
      <c r="AI67">
        <f t="shared" si="111"/>
        <v>0</v>
      </c>
      <c r="AJ67">
        <f t="shared" si="84"/>
        <v>0</v>
      </c>
      <c r="AK67">
        <v>378.12</v>
      </c>
      <c r="AL67">
        <v>210.11</v>
      </c>
      <c r="AM67">
        <v>60.22</v>
      </c>
      <c r="AN67">
        <v>16.22</v>
      </c>
      <c r="AO67">
        <v>107.79</v>
      </c>
      <c r="AP67">
        <v>0</v>
      </c>
      <c r="AQ67">
        <v>8.9600000000000009</v>
      </c>
      <c r="AR67">
        <v>0</v>
      </c>
      <c r="AS67">
        <v>0</v>
      </c>
      <c r="AT67">
        <v>106</v>
      </c>
      <c r="AU67">
        <v>41</v>
      </c>
      <c r="AV67">
        <v>1.0469999999999999</v>
      </c>
      <c r="AW67">
        <v>1</v>
      </c>
      <c r="AZ67">
        <v>1</v>
      </c>
      <c r="BA67">
        <v>21.43</v>
      </c>
      <c r="BB67">
        <v>13.21</v>
      </c>
      <c r="BC67">
        <v>6.86</v>
      </c>
      <c r="BD67" t="s">
        <v>5</v>
      </c>
      <c r="BE67" t="s">
        <v>5</v>
      </c>
      <c r="BF67" t="s">
        <v>5</v>
      </c>
      <c r="BG67" t="s">
        <v>5</v>
      </c>
      <c r="BH67">
        <v>0</v>
      </c>
      <c r="BI67">
        <v>1</v>
      </c>
      <c r="BJ67" t="s">
        <v>149</v>
      </c>
      <c r="BM67">
        <v>159</v>
      </c>
      <c r="BN67">
        <v>0</v>
      </c>
      <c r="BO67" t="s">
        <v>147</v>
      </c>
      <c r="BP67">
        <v>1</v>
      </c>
      <c r="BQ67">
        <v>30</v>
      </c>
      <c r="BR67">
        <v>0</v>
      </c>
      <c r="BS67">
        <v>21.43</v>
      </c>
      <c r="BT67">
        <v>1</v>
      </c>
      <c r="BU67">
        <v>1</v>
      </c>
      <c r="BV67">
        <v>1</v>
      </c>
      <c r="BW67">
        <v>1</v>
      </c>
      <c r="BX67">
        <v>1</v>
      </c>
      <c r="BY67" t="s">
        <v>5</v>
      </c>
      <c r="BZ67">
        <v>106</v>
      </c>
      <c r="CA67">
        <v>41</v>
      </c>
      <c r="CE67">
        <v>30</v>
      </c>
      <c r="CF67">
        <v>0</v>
      </c>
      <c r="CG67">
        <v>0</v>
      </c>
      <c r="CM67">
        <v>0</v>
      </c>
      <c r="CN67" t="s">
        <v>5</v>
      </c>
      <c r="CO67">
        <v>0</v>
      </c>
      <c r="CP67">
        <f t="shared" si="85"/>
        <v>23937.29</v>
      </c>
      <c r="CQ67">
        <f t="shared" si="86"/>
        <v>1441.35</v>
      </c>
      <c r="CR67">
        <f t="shared" si="112"/>
        <v>832.89</v>
      </c>
      <c r="CS67">
        <f t="shared" si="88"/>
        <v>363.88</v>
      </c>
      <c r="CT67">
        <f t="shared" si="89"/>
        <v>2418.59</v>
      </c>
      <c r="CU67">
        <f t="shared" si="90"/>
        <v>0</v>
      </c>
      <c r="CV67">
        <f t="shared" si="91"/>
        <v>9.381120000000001</v>
      </c>
      <c r="CW67">
        <f t="shared" si="92"/>
        <v>0</v>
      </c>
      <c r="CX67">
        <f t="shared" si="93"/>
        <v>0</v>
      </c>
      <c r="CY67">
        <f t="shared" si="94"/>
        <v>13076.806600000002</v>
      </c>
      <c r="CZ67">
        <f t="shared" si="95"/>
        <v>5058.0100999999995</v>
      </c>
      <c r="DC67" t="s">
        <v>5</v>
      </c>
      <c r="DD67" t="s">
        <v>5</v>
      </c>
      <c r="DE67" t="s">
        <v>5</v>
      </c>
      <c r="DF67" t="s">
        <v>5</v>
      </c>
      <c r="DG67" t="s">
        <v>5</v>
      </c>
      <c r="DH67" t="s">
        <v>5</v>
      </c>
      <c r="DI67" t="s">
        <v>5</v>
      </c>
      <c r="DJ67" t="s">
        <v>5</v>
      </c>
      <c r="DK67" t="s">
        <v>5</v>
      </c>
      <c r="DL67" t="s">
        <v>5</v>
      </c>
      <c r="DM67" t="s">
        <v>5</v>
      </c>
      <c r="DN67">
        <v>134</v>
      </c>
      <c r="DO67">
        <v>83</v>
      </c>
      <c r="DP67">
        <v>1.0469999999999999</v>
      </c>
      <c r="DQ67">
        <v>1</v>
      </c>
      <c r="DU67">
        <v>1013</v>
      </c>
      <c r="DV67" t="s">
        <v>80</v>
      </c>
      <c r="DW67" t="s">
        <v>80</v>
      </c>
      <c r="DX67">
        <v>1</v>
      </c>
      <c r="EE67">
        <v>44063978</v>
      </c>
      <c r="EF67">
        <v>30</v>
      </c>
      <c r="EG67" t="s">
        <v>53</v>
      </c>
      <c r="EH67">
        <v>0</v>
      </c>
      <c r="EI67" t="s">
        <v>5</v>
      </c>
      <c r="EJ67">
        <v>1</v>
      </c>
      <c r="EK67">
        <v>159</v>
      </c>
      <c r="EL67" t="s">
        <v>143</v>
      </c>
      <c r="EM67" t="s">
        <v>144</v>
      </c>
      <c r="EO67" t="s">
        <v>5</v>
      </c>
      <c r="EQ67">
        <v>131072</v>
      </c>
      <c r="ER67">
        <v>378.12</v>
      </c>
      <c r="ES67">
        <v>210.11</v>
      </c>
      <c r="ET67">
        <v>60.22</v>
      </c>
      <c r="EU67">
        <v>16.22</v>
      </c>
      <c r="EV67">
        <v>107.79</v>
      </c>
      <c r="EW67">
        <v>8.9600000000000009</v>
      </c>
      <c r="EX67">
        <v>0</v>
      </c>
      <c r="EY67">
        <v>0</v>
      </c>
      <c r="FQ67">
        <v>0</v>
      </c>
      <c r="FR67">
        <f t="shared" si="96"/>
        <v>0</v>
      </c>
      <c r="FS67">
        <v>0</v>
      </c>
      <c r="FX67">
        <v>134</v>
      </c>
      <c r="FY67">
        <v>83</v>
      </c>
      <c r="GA67" t="s">
        <v>5</v>
      </c>
      <c r="GD67">
        <v>0</v>
      </c>
      <c r="GF67">
        <v>-2068274228</v>
      </c>
      <c r="GG67">
        <v>2</v>
      </c>
      <c r="GH67">
        <v>1</v>
      </c>
      <c r="GI67">
        <v>2</v>
      </c>
      <c r="GJ67">
        <v>0</v>
      </c>
      <c r="GK67">
        <f>ROUND(R67*(R12)/100,2)</f>
        <v>2914.67</v>
      </c>
      <c r="GL67">
        <f t="shared" si="97"/>
        <v>0</v>
      </c>
      <c r="GM67">
        <f t="shared" si="98"/>
        <v>44986.78</v>
      </c>
      <c r="GN67">
        <f t="shared" si="99"/>
        <v>44986.78</v>
      </c>
      <c r="GO67">
        <f t="shared" si="100"/>
        <v>0</v>
      </c>
      <c r="GP67">
        <f t="shared" si="101"/>
        <v>0</v>
      </c>
      <c r="GR67">
        <v>0</v>
      </c>
      <c r="GS67">
        <v>0</v>
      </c>
      <c r="GT67">
        <v>0</v>
      </c>
      <c r="GU67" t="s">
        <v>5</v>
      </c>
      <c r="GV67">
        <f t="shared" si="102"/>
        <v>0</v>
      </c>
      <c r="GW67">
        <v>1</v>
      </c>
      <c r="GX67">
        <f t="shared" si="103"/>
        <v>0</v>
      </c>
      <c r="HA67">
        <v>0</v>
      </c>
      <c r="HB67">
        <v>0</v>
      </c>
      <c r="HC67">
        <f t="shared" si="104"/>
        <v>0</v>
      </c>
      <c r="IK67">
        <v>0</v>
      </c>
    </row>
    <row r="68" spans="1:245" x14ac:dyDescent="0.2">
      <c r="A68">
        <v>18</v>
      </c>
      <c r="B68">
        <v>1</v>
      </c>
      <c r="C68">
        <v>131</v>
      </c>
      <c r="E68" t="s">
        <v>150</v>
      </c>
      <c r="F68" t="s">
        <v>104</v>
      </c>
      <c r="G68" t="s">
        <v>105</v>
      </c>
      <c r="H68" t="s">
        <v>87</v>
      </c>
      <c r="I68">
        <f>I67*J68</f>
        <v>48.439253000000001</v>
      </c>
      <c r="J68">
        <v>9.496216942108255</v>
      </c>
      <c r="O68">
        <f t="shared" si="65"/>
        <v>134094.87</v>
      </c>
      <c r="P68">
        <f t="shared" si="66"/>
        <v>134094.87</v>
      </c>
      <c r="Q68">
        <f t="shared" si="105"/>
        <v>0</v>
      </c>
      <c r="R68">
        <f t="shared" si="68"/>
        <v>0</v>
      </c>
      <c r="S68">
        <f t="shared" si="69"/>
        <v>0</v>
      </c>
      <c r="T68">
        <f t="shared" si="70"/>
        <v>0</v>
      </c>
      <c r="U68">
        <f t="shared" si="71"/>
        <v>0</v>
      </c>
      <c r="V68">
        <f t="shared" si="72"/>
        <v>0</v>
      </c>
      <c r="W68">
        <f t="shared" si="73"/>
        <v>0</v>
      </c>
      <c r="X68">
        <f t="shared" si="74"/>
        <v>0</v>
      </c>
      <c r="Y68">
        <f t="shared" si="75"/>
        <v>0</v>
      </c>
      <c r="AA68">
        <v>44169784</v>
      </c>
      <c r="AB68">
        <f t="shared" si="76"/>
        <v>307.58999999999997</v>
      </c>
      <c r="AC68">
        <f t="shared" si="106"/>
        <v>307.58999999999997</v>
      </c>
      <c r="AD68">
        <f t="shared" si="107"/>
        <v>0</v>
      </c>
      <c r="AE68">
        <f t="shared" si="108"/>
        <v>0</v>
      </c>
      <c r="AF68">
        <f t="shared" si="109"/>
        <v>0</v>
      </c>
      <c r="AG68">
        <f t="shared" si="81"/>
        <v>0</v>
      </c>
      <c r="AH68">
        <f t="shared" si="110"/>
        <v>0</v>
      </c>
      <c r="AI68">
        <f t="shared" si="111"/>
        <v>0</v>
      </c>
      <c r="AJ68">
        <f t="shared" si="84"/>
        <v>0</v>
      </c>
      <c r="AK68">
        <v>307.58999999999997</v>
      </c>
      <c r="AL68">
        <v>307.58999999999997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1</v>
      </c>
      <c r="AW68">
        <v>1</v>
      </c>
      <c r="AZ68">
        <v>1</v>
      </c>
      <c r="BA68">
        <v>1</v>
      </c>
      <c r="BB68">
        <v>1</v>
      </c>
      <c r="BC68">
        <v>9</v>
      </c>
      <c r="BD68" t="s">
        <v>5</v>
      </c>
      <c r="BE68" t="s">
        <v>5</v>
      </c>
      <c r="BF68" t="s">
        <v>5</v>
      </c>
      <c r="BG68" t="s">
        <v>5</v>
      </c>
      <c r="BH68">
        <v>3</v>
      </c>
      <c r="BI68">
        <v>1</v>
      </c>
      <c r="BJ68" t="s">
        <v>106</v>
      </c>
      <c r="BM68">
        <v>159</v>
      </c>
      <c r="BN68">
        <v>0</v>
      </c>
      <c r="BO68" t="s">
        <v>104</v>
      </c>
      <c r="BP68">
        <v>1</v>
      </c>
      <c r="BQ68">
        <v>30</v>
      </c>
      <c r="BR68">
        <v>0</v>
      </c>
      <c r="BS68">
        <v>1</v>
      </c>
      <c r="BT68">
        <v>1</v>
      </c>
      <c r="BU68">
        <v>1</v>
      </c>
      <c r="BV68">
        <v>1</v>
      </c>
      <c r="BW68">
        <v>1</v>
      </c>
      <c r="BX68">
        <v>1</v>
      </c>
      <c r="BY68" t="s">
        <v>5</v>
      </c>
      <c r="BZ68">
        <v>0</v>
      </c>
      <c r="CA68">
        <v>0</v>
      </c>
      <c r="CE68">
        <v>30</v>
      </c>
      <c r="CF68">
        <v>0</v>
      </c>
      <c r="CG68">
        <v>0</v>
      </c>
      <c r="CM68">
        <v>0</v>
      </c>
      <c r="CN68" t="s">
        <v>5</v>
      </c>
      <c r="CO68">
        <v>0</v>
      </c>
      <c r="CP68">
        <f t="shared" si="85"/>
        <v>134094.87</v>
      </c>
      <c r="CQ68">
        <f t="shared" si="86"/>
        <v>2768.31</v>
      </c>
      <c r="CR68">
        <f t="shared" si="112"/>
        <v>0</v>
      </c>
      <c r="CS68">
        <f t="shared" si="88"/>
        <v>0</v>
      </c>
      <c r="CT68">
        <f t="shared" si="89"/>
        <v>0</v>
      </c>
      <c r="CU68">
        <f t="shared" si="90"/>
        <v>0</v>
      </c>
      <c r="CV68">
        <f t="shared" si="91"/>
        <v>0</v>
      </c>
      <c r="CW68">
        <f t="shared" si="92"/>
        <v>0</v>
      </c>
      <c r="CX68">
        <f t="shared" si="93"/>
        <v>0</v>
      </c>
      <c r="CY68">
        <f t="shared" si="94"/>
        <v>0</v>
      </c>
      <c r="CZ68">
        <f t="shared" si="95"/>
        <v>0</v>
      </c>
      <c r="DC68" t="s">
        <v>5</v>
      </c>
      <c r="DD68" t="s">
        <v>5</v>
      </c>
      <c r="DE68" t="s">
        <v>5</v>
      </c>
      <c r="DF68" t="s">
        <v>5</v>
      </c>
      <c r="DG68" t="s">
        <v>5</v>
      </c>
      <c r="DH68" t="s">
        <v>5</v>
      </c>
      <c r="DI68" t="s">
        <v>5</v>
      </c>
      <c r="DJ68" t="s">
        <v>5</v>
      </c>
      <c r="DK68" t="s">
        <v>5</v>
      </c>
      <c r="DL68" t="s">
        <v>5</v>
      </c>
      <c r="DM68" t="s">
        <v>5</v>
      </c>
      <c r="DN68">
        <v>134</v>
      </c>
      <c r="DO68">
        <v>83</v>
      </c>
      <c r="DP68">
        <v>1.0469999999999999</v>
      </c>
      <c r="DQ68">
        <v>1</v>
      </c>
      <c r="DU68">
        <v>1009</v>
      </c>
      <c r="DV68" t="s">
        <v>87</v>
      </c>
      <c r="DW68" t="s">
        <v>87</v>
      </c>
      <c r="DX68">
        <v>1000</v>
      </c>
      <c r="EE68">
        <v>44063978</v>
      </c>
      <c r="EF68">
        <v>30</v>
      </c>
      <c r="EG68" t="s">
        <v>53</v>
      </c>
      <c r="EH68">
        <v>0</v>
      </c>
      <c r="EI68" t="s">
        <v>5</v>
      </c>
      <c r="EJ68">
        <v>1</v>
      </c>
      <c r="EK68">
        <v>159</v>
      </c>
      <c r="EL68" t="s">
        <v>143</v>
      </c>
      <c r="EM68" t="s">
        <v>144</v>
      </c>
      <c r="EO68" t="s">
        <v>5</v>
      </c>
      <c r="EQ68">
        <v>0</v>
      </c>
      <c r="ER68">
        <v>307.58999999999997</v>
      </c>
      <c r="ES68">
        <v>307.58999999999997</v>
      </c>
      <c r="ET68">
        <v>0</v>
      </c>
      <c r="EU68">
        <v>0</v>
      </c>
      <c r="EV68">
        <v>0</v>
      </c>
      <c r="EW68">
        <v>0</v>
      </c>
      <c r="EX68">
        <v>0</v>
      </c>
      <c r="FQ68">
        <v>0</v>
      </c>
      <c r="FR68">
        <f t="shared" si="96"/>
        <v>0</v>
      </c>
      <c r="FS68">
        <v>0</v>
      </c>
      <c r="FX68">
        <v>134</v>
      </c>
      <c r="FY68">
        <v>83</v>
      </c>
      <c r="GA68" t="s">
        <v>5</v>
      </c>
      <c r="GD68">
        <v>0</v>
      </c>
      <c r="GF68">
        <v>-951986387</v>
      </c>
      <c r="GG68">
        <v>2</v>
      </c>
      <c r="GH68">
        <v>1</v>
      </c>
      <c r="GI68">
        <v>2</v>
      </c>
      <c r="GJ68">
        <v>0</v>
      </c>
      <c r="GK68">
        <f>ROUND(R68*(R12)/100,2)</f>
        <v>0</v>
      </c>
      <c r="GL68">
        <f t="shared" si="97"/>
        <v>0</v>
      </c>
      <c r="GM68">
        <f t="shared" si="98"/>
        <v>134094.87</v>
      </c>
      <c r="GN68">
        <f t="shared" si="99"/>
        <v>134094.87</v>
      </c>
      <c r="GO68">
        <f t="shared" si="100"/>
        <v>0</v>
      </c>
      <c r="GP68">
        <f t="shared" si="101"/>
        <v>0</v>
      </c>
      <c r="GR68">
        <v>0</v>
      </c>
      <c r="GS68">
        <v>3</v>
      </c>
      <c r="GT68">
        <v>0</v>
      </c>
      <c r="GU68" t="s">
        <v>5</v>
      </c>
      <c r="GV68">
        <f t="shared" si="102"/>
        <v>0</v>
      </c>
      <c r="GW68">
        <v>1</v>
      </c>
      <c r="GX68">
        <f t="shared" si="103"/>
        <v>0</v>
      </c>
      <c r="HA68">
        <v>0</v>
      </c>
      <c r="HB68">
        <v>0</v>
      </c>
      <c r="HC68">
        <f t="shared" si="104"/>
        <v>0</v>
      </c>
      <c r="IK68">
        <v>0</v>
      </c>
    </row>
    <row r="69" spans="1:245" x14ac:dyDescent="0.2">
      <c r="A69">
        <v>17</v>
      </c>
      <c r="B69">
        <v>1</v>
      </c>
      <c r="C69">
        <f>ROW(SmtRes!A137)</f>
        <v>137</v>
      </c>
      <c r="D69">
        <f>ROW(EtalonRes!A137)</f>
        <v>137</v>
      </c>
      <c r="E69" t="s">
        <v>151</v>
      </c>
      <c r="F69" t="s">
        <v>152</v>
      </c>
      <c r="G69" t="s">
        <v>153</v>
      </c>
      <c r="H69" t="s">
        <v>154</v>
      </c>
      <c r="I69">
        <v>0</v>
      </c>
      <c r="J69">
        <v>0</v>
      </c>
      <c r="O69">
        <f t="shared" si="65"/>
        <v>0</v>
      </c>
      <c r="P69">
        <f t="shared" si="66"/>
        <v>0</v>
      </c>
      <c r="Q69">
        <f t="shared" si="105"/>
        <v>0</v>
      </c>
      <c r="R69">
        <f t="shared" si="68"/>
        <v>0</v>
      </c>
      <c r="S69">
        <f t="shared" si="69"/>
        <v>0</v>
      </c>
      <c r="T69">
        <f t="shared" si="70"/>
        <v>0</v>
      </c>
      <c r="U69">
        <f t="shared" si="71"/>
        <v>0</v>
      </c>
      <c r="V69">
        <f t="shared" si="72"/>
        <v>0</v>
      </c>
      <c r="W69">
        <f t="shared" si="73"/>
        <v>0</v>
      </c>
      <c r="X69">
        <f t="shared" si="74"/>
        <v>0</v>
      </c>
      <c r="Y69">
        <f t="shared" si="75"/>
        <v>0</v>
      </c>
      <c r="AA69">
        <v>44169784</v>
      </c>
      <c r="AB69">
        <f t="shared" si="76"/>
        <v>3721.87</v>
      </c>
      <c r="AC69">
        <f t="shared" si="106"/>
        <v>2892.48</v>
      </c>
      <c r="AD69">
        <f t="shared" si="107"/>
        <v>62.29</v>
      </c>
      <c r="AE69">
        <f t="shared" si="108"/>
        <v>18.32</v>
      </c>
      <c r="AF69">
        <f t="shared" si="109"/>
        <v>767.1</v>
      </c>
      <c r="AG69">
        <f t="shared" si="81"/>
        <v>0</v>
      </c>
      <c r="AH69">
        <f t="shared" si="110"/>
        <v>69.8</v>
      </c>
      <c r="AI69">
        <f t="shared" si="111"/>
        <v>0</v>
      </c>
      <c r="AJ69">
        <f t="shared" si="84"/>
        <v>0</v>
      </c>
      <c r="AK69">
        <v>3721.87</v>
      </c>
      <c r="AL69">
        <v>2892.48</v>
      </c>
      <c r="AM69">
        <v>62.29</v>
      </c>
      <c r="AN69">
        <v>18.32</v>
      </c>
      <c r="AO69">
        <v>767.1</v>
      </c>
      <c r="AP69">
        <v>0</v>
      </c>
      <c r="AQ69">
        <v>69.8</v>
      </c>
      <c r="AR69">
        <v>0</v>
      </c>
      <c r="AS69">
        <v>0</v>
      </c>
      <c r="AT69">
        <v>131</v>
      </c>
      <c r="AU69">
        <v>54</v>
      </c>
      <c r="AV69">
        <v>1.0469999999999999</v>
      </c>
      <c r="AW69">
        <v>1.03</v>
      </c>
      <c r="AZ69">
        <v>1</v>
      </c>
      <c r="BA69">
        <v>21.43</v>
      </c>
      <c r="BB69">
        <v>9.59</v>
      </c>
      <c r="BC69">
        <v>5.72</v>
      </c>
      <c r="BD69" t="s">
        <v>5</v>
      </c>
      <c r="BE69" t="s">
        <v>5</v>
      </c>
      <c r="BF69" t="s">
        <v>5</v>
      </c>
      <c r="BG69" t="s">
        <v>5</v>
      </c>
      <c r="BH69">
        <v>0</v>
      </c>
      <c r="BI69">
        <v>1</v>
      </c>
      <c r="BJ69" t="s">
        <v>155</v>
      </c>
      <c r="BM69">
        <v>148</v>
      </c>
      <c r="BN69">
        <v>0</v>
      </c>
      <c r="BO69" t="s">
        <v>152</v>
      </c>
      <c r="BP69">
        <v>1</v>
      </c>
      <c r="BQ69">
        <v>30</v>
      </c>
      <c r="BR69">
        <v>0</v>
      </c>
      <c r="BS69">
        <v>21.43</v>
      </c>
      <c r="BT69">
        <v>1</v>
      </c>
      <c r="BU69">
        <v>1</v>
      </c>
      <c r="BV69">
        <v>1</v>
      </c>
      <c r="BW69">
        <v>1</v>
      </c>
      <c r="BX69">
        <v>1</v>
      </c>
      <c r="BY69" t="s">
        <v>5</v>
      </c>
      <c r="BZ69">
        <v>131</v>
      </c>
      <c r="CA69">
        <v>54</v>
      </c>
      <c r="CE69">
        <v>30</v>
      </c>
      <c r="CF69">
        <v>0</v>
      </c>
      <c r="CG69">
        <v>0</v>
      </c>
      <c r="CM69">
        <v>0</v>
      </c>
      <c r="CN69" t="s">
        <v>5</v>
      </c>
      <c r="CO69">
        <v>0</v>
      </c>
      <c r="CP69">
        <f t="shared" si="85"/>
        <v>0</v>
      </c>
      <c r="CQ69">
        <f t="shared" si="86"/>
        <v>17041.310000000001</v>
      </c>
      <c r="CR69">
        <f t="shared" si="112"/>
        <v>625.46</v>
      </c>
      <c r="CS69">
        <f t="shared" si="88"/>
        <v>411.03</v>
      </c>
      <c r="CT69">
        <f t="shared" si="89"/>
        <v>17211.5</v>
      </c>
      <c r="CU69">
        <f t="shared" si="90"/>
        <v>0</v>
      </c>
      <c r="CV69">
        <f t="shared" si="91"/>
        <v>73.08059999999999</v>
      </c>
      <c r="CW69">
        <f t="shared" si="92"/>
        <v>0</v>
      </c>
      <c r="CX69">
        <f t="shared" si="93"/>
        <v>0</v>
      </c>
      <c r="CY69">
        <f t="shared" si="94"/>
        <v>0</v>
      </c>
      <c r="CZ69">
        <f t="shared" si="95"/>
        <v>0</v>
      </c>
      <c r="DC69" t="s">
        <v>5</v>
      </c>
      <c r="DD69" t="s">
        <v>5</v>
      </c>
      <c r="DE69" t="s">
        <v>5</v>
      </c>
      <c r="DF69" t="s">
        <v>5</v>
      </c>
      <c r="DG69" t="s">
        <v>5</v>
      </c>
      <c r="DH69" t="s">
        <v>5</v>
      </c>
      <c r="DI69" t="s">
        <v>5</v>
      </c>
      <c r="DJ69" t="s">
        <v>5</v>
      </c>
      <c r="DK69" t="s">
        <v>5</v>
      </c>
      <c r="DL69" t="s">
        <v>5</v>
      </c>
      <c r="DM69" t="s">
        <v>5</v>
      </c>
      <c r="DN69">
        <v>161</v>
      </c>
      <c r="DO69">
        <v>107</v>
      </c>
      <c r="DP69">
        <v>1.0469999999999999</v>
      </c>
      <c r="DQ69">
        <v>1.03</v>
      </c>
      <c r="DU69">
        <v>1013</v>
      </c>
      <c r="DV69" t="s">
        <v>154</v>
      </c>
      <c r="DW69" t="s">
        <v>154</v>
      </c>
      <c r="DX69">
        <v>1</v>
      </c>
      <c r="EE69">
        <v>44063967</v>
      </c>
      <c r="EF69">
        <v>30</v>
      </c>
      <c r="EG69" t="s">
        <v>53</v>
      </c>
      <c r="EH69">
        <v>0</v>
      </c>
      <c r="EI69" t="s">
        <v>5</v>
      </c>
      <c r="EJ69">
        <v>1</v>
      </c>
      <c r="EK69">
        <v>148</v>
      </c>
      <c r="EL69" t="s">
        <v>156</v>
      </c>
      <c r="EM69" t="s">
        <v>157</v>
      </c>
      <c r="EO69" t="s">
        <v>5</v>
      </c>
      <c r="EQ69">
        <v>131072</v>
      </c>
      <c r="ER69">
        <v>3721.87</v>
      </c>
      <c r="ES69">
        <v>2892.48</v>
      </c>
      <c r="ET69">
        <v>62.29</v>
      </c>
      <c r="EU69">
        <v>18.32</v>
      </c>
      <c r="EV69">
        <v>767.1</v>
      </c>
      <c r="EW69">
        <v>69.8</v>
      </c>
      <c r="EX69">
        <v>0</v>
      </c>
      <c r="EY69">
        <v>0</v>
      </c>
      <c r="FQ69">
        <v>0</v>
      </c>
      <c r="FR69">
        <f t="shared" si="96"/>
        <v>0</v>
      </c>
      <c r="FS69">
        <v>0</v>
      </c>
      <c r="FX69">
        <v>161</v>
      </c>
      <c r="FY69">
        <v>107</v>
      </c>
      <c r="GA69" t="s">
        <v>5</v>
      </c>
      <c r="GD69">
        <v>0</v>
      </c>
      <c r="GF69">
        <v>-1705817957</v>
      </c>
      <c r="GG69">
        <v>2</v>
      </c>
      <c r="GH69">
        <v>1</v>
      </c>
      <c r="GI69">
        <v>2</v>
      </c>
      <c r="GJ69">
        <v>0</v>
      </c>
      <c r="GK69">
        <f>ROUND(R69*(R12)/100,2)</f>
        <v>0</v>
      </c>
      <c r="GL69">
        <f t="shared" si="97"/>
        <v>0</v>
      </c>
      <c r="GM69">
        <f t="shared" si="98"/>
        <v>0</v>
      </c>
      <c r="GN69">
        <f t="shared" si="99"/>
        <v>0</v>
      </c>
      <c r="GO69">
        <f t="shared" si="100"/>
        <v>0</v>
      </c>
      <c r="GP69">
        <f t="shared" si="101"/>
        <v>0</v>
      </c>
      <c r="GR69">
        <v>0</v>
      </c>
      <c r="GS69">
        <v>0</v>
      </c>
      <c r="GT69">
        <v>0</v>
      </c>
      <c r="GU69" t="s">
        <v>5</v>
      </c>
      <c r="GV69">
        <f t="shared" si="102"/>
        <v>0</v>
      </c>
      <c r="GW69">
        <v>1</v>
      </c>
      <c r="GX69">
        <f t="shared" si="103"/>
        <v>0</v>
      </c>
      <c r="HA69">
        <v>0</v>
      </c>
      <c r="HB69">
        <v>0</v>
      </c>
      <c r="HC69">
        <f t="shared" si="104"/>
        <v>0</v>
      </c>
      <c r="IK69">
        <v>0</v>
      </c>
    </row>
    <row r="70" spans="1:245" x14ac:dyDescent="0.2">
      <c r="A70">
        <v>18</v>
      </c>
      <c r="B70">
        <v>1</v>
      </c>
      <c r="C70">
        <v>136</v>
      </c>
      <c r="E70" t="s">
        <v>158</v>
      </c>
      <c r="F70" t="s">
        <v>159</v>
      </c>
      <c r="G70" t="s">
        <v>160</v>
      </c>
      <c r="H70" t="s">
        <v>59</v>
      </c>
      <c r="I70">
        <f>I69*J70</f>
        <v>0</v>
      </c>
      <c r="J70">
        <v>4.3</v>
      </c>
      <c r="O70">
        <f t="shared" si="65"/>
        <v>0</v>
      </c>
      <c r="P70">
        <f t="shared" si="66"/>
        <v>0</v>
      </c>
      <c r="Q70">
        <f t="shared" si="105"/>
        <v>0</v>
      </c>
      <c r="R70">
        <f t="shared" si="68"/>
        <v>0</v>
      </c>
      <c r="S70">
        <f t="shared" si="69"/>
        <v>0</v>
      </c>
      <c r="T70">
        <f t="shared" si="70"/>
        <v>0</v>
      </c>
      <c r="U70">
        <f t="shared" si="71"/>
        <v>0</v>
      </c>
      <c r="V70">
        <f t="shared" si="72"/>
        <v>0</v>
      </c>
      <c r="W70">
        <f t="shared" si="73"/>
        <v>0</v>
      </c>
      <c r="X70">
        <f t="shared" si="74"/>
        <v>0</v>
      </c>
      <c r="Y70">
        <f t="shared" si="75"/>
        <v>0</v>
      </c>
      <c r="AA70">
        <v>44169784</v>
      </c>
      <c r="AB70">
        <f t="shared" si="76"/>
        <v>1765.62</v>
      </c>
      <c r="AC70">
        <f t="shared" si="106"/>
        <v>1765.62</v>
      </c>
      <c r="AD70">
        <f t="shared" si="107"/>
        <v>0</v>
      </c>
      <c r="AE70">
        <f t="shared" si="108"/>
        <v>0</v>
      </c>
      <c r="AF70">
        <f t="shared" si="109"/>
        <v>0</v>
      </c>
      <c r="AG70">
        <f t="shared" si="81"/>
        <v>0</v>
      </c>
      <c r="AH70">
        <f t="shared" si="110"/>
        <v>0</v>
      </c>
      <c r="AI70">
        <f t="shared" si="111"/>
        <v>0</v>
      </c>
      <c r="AJ70">
        <f t="shared" si="84"/>
        <v>0</v>
      </c>
      <c r="AK70">
        <v>1765.62</v>
      </c>
      <c r="AL70">
        <v>1765.62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1</v>
      </c>
      <c r="AW70">
        <v>1.03</v>
      </c>
      <c r="AZ70">
        <v>1</v>
      </c>
      <c r="BA70">
        <v>1</v>
      </c>
      <c r="BB70">
        <v>1</v>
      </c>
      <c r="BC70">
        <v>3.73</v>
      </c>
      <c r="BD70" t="s">
        <v>5</v>
      </c>
      <c r="BE70" t="s">
        <v>5</v>
      </c>
      <c r="BF70" t="s">
        <v>5</v>
      </c>
      <c r="BG70" t="s">
        <v>5</v>
      </c>
      <c r="BH70">
        <v>3</v>
      </c>
      <c r="BI70">
        <v>1</v>
      </c>
      <c r="BJ70" t="s">
        <v>161</v>
      </c>
      <c r="BM70">
        <v>148</v>
      </c>
      <c r="BN70">
        <v>0</v>
      </c>
      <c r="BO70" t="s">
        <v>159</v>
      </c>
      <c r="BP70">
        <v>1</v>
      </c>
      <c r="BQ70">
        <v>30</v>
      </c>
      <c r="BR70">
        <v>0</v>
      </c>
      <c r="BS70">
        <v>1</v>
      </c>
      <c r="BT70">
        <v>1</v>
      </c>
      <c r="BU70">
        <v>1</v>
      </c>
      <c r="BV70">
        <v>1</v>
      </c>
      <c r="BW70">
        <v>1</v>
      </c>
      <c r="BX70">
        <v>1</v>
      </c>
      <c r="BY70" t="s">
        <v>5</v>
      </c>
      <c r="BZ70">
        <v>0</v>
      </c>
      <c r="CA70">
        <v>0</v>
      </c>
      <c r="CE70">
        <v>30</v>
      </c>
      <c r="CF70">
        <v>0</v>
      </c>
      <c r="CG70">
        <v>0</v>
      </c>
      <c r="CM70">
        <v>0</v>
      </c>
      <c r="CN70" t="s">
        <v>5</v>
      </c>
      <c r="CO70">
        <v>0</v>
      </c>
      <c r="CP70">
        <f t="shared" si="85"/>
        <v>0</v>
      </c>
      <c r="CQ70">
        <f t="shared" si="86"/>
        <v>6783.34</v>
      </c>
      <c r="CR70">
        <f t="shared" si="112"/>
        <v>0</v>
      </c>
      <c r="CS70">
        <f t="shared" si="88"/>
        <v>0</v>
      </c>
      <c r="CT70">
        <f t="shared" si="89"/>
        <v>0</v>
      </c>
      <c r="CU70">
        <f t="shared" si="90"/>
        <v>0</v>
      </c>
      <c r="CV70">
        <f t="shared" si="91"/>
        <v>0</v>
      </c>
      <c r="CW70">
        <f t="shared" si="92"/>
        <v>0</v>
      </c>
      <c r="CX70">
        <f t="shared" si="93"/>
        <v>0</v>
      </c>
      <c r="CY70">
        <f t="shared" si="94"/>
        <v>0</v>
      </c>
      <c r="CZ70">
        <f t="shared" si="95"/>
        <v>0</v>
      </c>
      <c r="DC70" t="s">
        <v>5</v>
      </c>
      <c r="DD70" t="s">
        <v>5</v>
      </c>
      <c r="DE70" t="s">
        <v>5</v>
      </c>
      <c r="DF70" t="s">
        <v>5</v>
      </c>
      <c r="DG70" t="s">
        <v>5</v>
      </c>
      <c r="DH70" t="s">
        <v>5</v>
      </c>
      <c r="DI70" t="s">
        <v>5</v>
      </c>
      <c r="DJ70" t="s">
        <v>5</v>
      </c>
      <c r="DK70" t="s">
        <v>5</v>
      </c>
      <c r="DL70" t="s">
        <v>5</v>
      </c>
      <c r="DM70" t="s">
        <v>5</v>
      </c>
      <c r="DN70">
        <v>161</v>
      </c>
      <c r="DO70">
        <v>107</v>
      </c>
      <c r="DP70">
        <v>1.0469999999999999</v>
      </c>
      <c r="DQ70">
        <v>1.03</v>
      </c>
      <c r="DU70">
        <v>1007</v>
      </c>
      <c r="DV70" t="s">
        <v>59</v>
      </c>
      <c r="DW70" t="s">
        <v>59</v>
      </c>
      <c r="DX70">
        <v>1</v>
      </c>
      <c r="EE70">
        <v>44063967</v>
      </c>
      <c r="EF70">
        <v>30</v>
      </c>
      <c r="EG70" t="s">
        <v>53</v>
      </c>
      <c r="EH70">
        <v>0</v>
      </c>
      <c r="EI70" t="s">
        <v>5</v>
      </c>
      <c r="EJ70">
        <v>1</v>
      </c>
      <c r="EK70">
        <v>148</v>
      </c>
      <c r="EL70" t="s">
        <v>156</v>
      </c>
      <c r="EM70" t="s">
        <v>157</v>
      </c>
      <c r="EO70" t="s">
        <v>5</v>
      </c>
      <c r="EQ70">
        <v>0</v>
      </c>
      <c r="ER70">
        <v>1765.62</v>
      </c>
      <c r="ES70">
        <v>1765.62</v>
      </c>
      <c r="ET70">
        <v>0</v>
      </c>
      <c r="EU70">
        <v>0</v>
      </c>
      <c r="EV70">
        <v>0</v>
      </c>
      <c r="EW70">
        <v>0</v>
      </c>
      <c r="EX70">
        <v>0</v>
      </c>
      <c r="FQ70">
        <v>0</v>
      </c>
      <c r="FR70">
        <f t="shared" si="96"/>
        <v>0</v>
      </c>
      <c r="FS70">
        <v>0</v>
      </c>
      <c r="FX70">
        <v>161</v>
      </c>
      <c r="FY70">
        <v>107</v>
      </c>
      <c r="GA70" t="s">
        <v>5</v>
      </c>
      <c r="GD70">
        <v>0</v>
      </c>
      <c r="GF70">
        <v>-1741621792</v>
      </c>
      <c r="GG70">
        <v>2</v>
      </c>
      <c r="GH70">
        <v>0</v>
      </c>
      <c r="GI70">
        <v>2</v>
      </c>
      <c r="GJ70">
        <v>0</v>
      </c>
      <c r="GK70">
        <f>ROUND(R70*(R12)/100,2)</f>
        <v>0</v>
      </c>
      <c r="GL70">
        <f t="shared" si="97"/>
        <v>0</v>
      </c>
      <c r="GM70">
        <f t="shared" si="98"/>
        <v>0</v>
      </c>
      <c r="GN70">
        <f t="shared" si="99"/>
        <v>0</v>
      </c>
      <c r="GO70">
        <f t="shared" si="100"/>
        <v>0</v>
      </c>
      <c r="GP70">
        <f t="shared" si="101"/>
        <v>0</v>
      </c>
      <c r="GR70">
        <v>0</v>
      </c>
      <c r="GS70">
        <v>0</v>
      </c>
      <c r="GT70">
        <v>0</v>
      </c>
      <c r="GU70" t="s">
        <v>5</v>
      </c>
      <c r="GV70">
        <f t="shared" si="102"/>
        <v>0</v>
      </c>
      <c r="GW70">
        <v>1</v>
      </c>
      <c r="GX70">
        <f t="shared" si="103"/>
        <v>0</v>
      </c>
      <c r="HA70">
        <v>0</v>
      </c>
      <c r="HB70">
        <v>0</v>
      </c>
      <c r="HC70">
        <f t="shared" si="104"/>
        <v>0</v>
      </c>
      <c r="IK70">
        <v>0</v>
      </c>
    </row>
    <row r="71" spans="1:245" x14ac:dyDescent="0.2">
      <c r="A71">
        <v>19</v>
      </c>
      <c r="B71">
        <v>1</v>
      </c>
      <c r="F71" t="s">
        <v>5</v>
      </c>
      <c r="G71" t="s">
        <v>162</v>
      </c>
      <c r="H71" t="s">
        <v>5</v>
      </c>
      <c r="AA71">
        <v>1</v>
      </c>
      <c r="IK71">
        <v>0</v>
      </c>
    </row>
    <row r="72" spans="1:245" x14ac:dyDescent="0.2">
      <c r="A72">
        <v>17</v>
      </c>
      <c r="B72">
        <v>1</v>
      </c>
      <c r="C72">
        <f>ROW(SmtRes!A138)</f>
        <v>138</v>
      </c>
      <c r="D72">
        <f>ROW(EtalonRes!A138)</f>
        <v>138</v>
      </c>
      <c r="E72" t="s">
        <v>163</v>
      </c>
      <c r="F72" t="s">
        <v>115</v>
      </c>
      <c r="G72" t="s">
        <v>116</v>
      </c>
      <c r="H72" t="s">
        <v>117</v>
      </c>
      <c r="I72">
        <v>0</v>
      </c>
      <c r="J72">
        <v>0</v>
      </c>
      <c r="O72">
        <f>ROUND(CP72,2)</f>
        <v>0</v>
      </c>
      <c r="P72">
        <f>ROUND((ROUND((AC72*AW72*I72),2)*BC72),2)</f>
        <v>0</v>
      </c>
      <c r="Q72">
        <f>(ROUND((ROUND(((ET72)*AV72*I72),2)*BB72),2)+ROUND((ROUND(((AE72-(EU72))*AV72*I72),2)*BS72),2))</f>
        <v>0</v>
      </c>
      <c r="R72">
        <f>ROUND((ROUND((AE72*AV72*I72),2)*BS72),2)</f>
        <v>0</v>
      </c>
      <c r="S72">
        <f>ROUND((ROUND((AF72*AV72*I72),2)*BA72),2)</f>
        <v>0</v>
      </c>
      <c r="T72">
        <f>ROUND(CU72*I72,2)</f>
        <v>0</v>
      </c>
      <c r="U72">
        <f>CV72*I72</f>
        <v>0</v>
      </c>
      <c r="V72">
        <f>CW72*I72</f>
        <v>0</v>
      </c>
      <c r="W72">
        <f>ROUND(CX72*I72,2)</f>
        <v>0</v>
      </c>
      <c r="X72">
        <f t="shared" ref="X72:Y75" si="113">ROUND(CY72,2)</f>
        <v>0</v>
      </c>
      <c r="Y72">
        <f t="shared" si="113"/>
        <v>0</v>
      </c>
      <c r="AA72">
        <v>44169784</v>
      </c>
      <c r="AB72">
        <f>ROUND((AC72+AD72+AF72),6)</f>
        <v>857.51</v>
      </c>
      <c r="AC72">
        <f>ROUND((ES72),6)</f>
        <v>0</v>
      </c>
      <c r="AD72">
        <f>ROUND((((ET72)-(EU72))+AE72),6)</f>
        <v>0</v>
      </c>
      <c r="AE72">
        <f t="shared" ref="AE72:AF75" si="114">ROUND((EU72),6)</f>
        <v>0</v>
      </c>
      <c r="AF72">
        <f t="shared" si="114"/>
        <v>857.51</v>
      </c>
      <c r="AG72">
        <f>ROUND((AP72),6)</f>
        <v>0</v>
      </c>
      <c r="AH72">
        <f t="shared" ref="AH72:AI75" si="115">(EW72)</f>
        <v>76.7</v>
      </c>
      <c r="AI72">
        <f t="shared" si="115"/>
        <v>0</v>
      </c>
      <c r="AJ72">
        <f>(AS72)</f>
        <v>0</v>
      </c>
      <c r="AK72">
        <v>857.51</v>
      </c>
      <c r="AL72">
        <v>0</v>
      </c>
      <c r="AM72">
        <v>0</v>
      </c>
      <c r="AN72">
        <v>0</v>
      </c>
      <c r="AO72">
        <v>857.51</v>
      </c>
      <c r="AP72">
        <v>0</v>
      </c>
      <c r="AQ72">
        <v>76.7</v>
      </c>
      <c r="AR72">
        <v>0</v>
      </c>
      <c r="AS72">
        <v>0</v>
      </c>
      <c r="AT72">
        <v>68</v>
      </c>
      <c r="AU72">
        <v>41</v>
      </c>
      <c r="AV72">
        <v>1.0469999999999999</v>
      </c>
      <c r="AW72">
        <v>1</v>
      </c>
      <c r="AZ72">
        <v>1</v>
      </c>
      <c r="BA72">
        <v>21.43</v>
      </c>
      <c r="BB72">
        <v>1</v>
      </c>
      <c r="BC72">
        <v>1</v>
      </c>
      <c r="BD72" t="s">
        <v>5</v>
      </c>
      <c r="BE72" t="s">
        <v>5</v>
      </c>
      <c r="BF72" t="s">
        <v>5</v>
      </c>
      <c r="BG72" t="s">
        <v>5</v>
      </c>
      <c r="BH72">
        <v>0</v>
      </c>
      <c r="BI72">
        <v>1</v>
      </c>
      <c r="BJ72" t="s">
        <v>118</v>
      </c>
      <c r="BM72">
        <v>674</v>
      </c>
      <c r="BN72">
        <v>0</v>
      </c>
      <c r="BO72" t="s">
        <v>115</v>
      </c>
      <c r="BP72">
        <v>1</v>
      </c>
      <c r="BQ72">
        <v>60</v>
      </c>
      <c r="BR72">
        <v>0</v>
      </c>
      <c r="BS72">
        <v>21.43</v>
      </c>
      <c r="BT72">
        <v>1</v>
      </c>
      <c r="BU72">
        <v>1</v>
      </c>
      <c r="BV72">
        <v>1</v>
      </c>
      <c r="BW72">
        <v>1</v>
      </c>
      <c r="BX72">
        <v>1</v>
      </c>
      <c r="BY72" t="s">
        <v>5</v>
      </c>
      <c r="BZ72">
        <v>68</v>
      </c>
      <c r="CA72">
        <v>41</v>
      </c>
      <c r="CE72">
        <v>30</v>
      </c>
      <c r="CF72">
        <v>0</v>
      </c>
      <c r="CG72">
        <v>0</v>
      </c>
      <c r="CM72">
        <v>0</v>
      </c>
      <c r="CN72" t="s">
        <v>5</v>
      </c>
      <c r="CO72">
        <v>0</v>
      </c>
      <c r="CP72">
        <f>(P72+Q72+S72)</f>
        <v>0</v>
      </c>
      <c r="CQ72">
        <f>ROUND((ROUND((AC72*AW72*1),2)*BC72),2)</f>
        <v>0</v>
      </c>
      <c r="CR72">
        <f>(ROUND((ROUND(((ET72)*AV72*1),2)*BB72),2)+ROUND((ROUND(((AE72-(EU72))*AV72*1),2)*BS72),2))</f>
        <v>0</v>
      </c>
      <c r="CS72">
        <f>ROUND((ROUND((AE72*AV72*1),2)*BS72),2)</f>
        <v>0</v>
      </c>
      <c r="CT72">
        <f>ROUND((ROUND((AF72*AV72*1),2)*BA72),2)</f>
        <v>19240.07</v>
      </c>
      <c r="CU72">
        <f>AG72</f>
        <v>0</v>
      </c>
      <c r="CV72">
        <f>(AH72*AV72)</f>
        <v>80.304900000000004</v>
      </c>
      <c r="CW72">
        <f t="shared" ref="CW72:CX75" si="116">AI72</f>
        <v>0</v>
      </c>
      <c r="CX72">
        <f t="shared" si="116"/>
        <v>0</v>
      </c>
      <c r="CY72">
        <f>S72*(BZ72/100)</f>
        <v>0</v>
      </c>
      <c r="CZ72">
        <f>S72*(CA72/100)</f>
        <v>0</v>
      </c>
      <c r="DC72" t="s">
        <v>5</v>
      </c>
      <c r="DD72" t="s">
        <v>5</v>
      </c>
      <c r="DE72" t="s">
        <v>5</v>
      </c>
      <c r="DF72" t="s">
        <v>5</v>
      </c>
      <c r="DG72" t="s">
        <v>5</v>
      </c>
      <c r="DH72" t="s">
        <v>5</v>
      </c>
      <c r="DI72" t="s">
        <v>5</v>
      </c>
      <c r="DJ72" t="s">
        <v>5</v>
      </c>
      <c r="DK72" t="s">
        <v>5</v>
      </c>
      <c r="DL72" t="s">
        <v>5</v>
      </c>
      <c r="DM72" t="s">
        <v>5</v>
      </c>
      <c r="DN72">
        <v>80</v>
      </c>
      <c r="DO72">
        <v>55</v>
      </c>
      <c r="DP72">
        <v>1.0469999999999999</v>
      </c>
      <c r="DQ72">
        <v>1</v>
      </c>
      <c r="DU72">
        <v>1003</v>
      </c>
      <c r="DV72" t="s">
        <v>117</v>
      </c>
      <c r="DW72" t="s">
        <v>117</v>
      </c>
      <c r="DX72">
        <v>100</v>
      </c>
      <c r="EE72">
        <v>44064493</v>
      </c>
      <c r="EF72">
        <v>60</v>
      </c>
      <c r="EG72" t="s">
        <v>28</v>
      </c>
      <c r="EH72">
        <v>0</v>
      </c>
      <c r="EI72" t="s">
        <v>5</v>
      </c>
      <c r="EJ72">
        <v>1</v>
      </c>
      <c r="EK72">
        <v>674</v>
      </c>
      <c r="EL72" t="s">
        <v>29</v>
      </c>
      <c r="EM72" t="s">
        <v>30</v>
      </c>
      <c r="EO72" t="s">
        <v>5</v>
      </c>
      <c r="EQ72">
        <v>131072</v>
      </c>
      <c r="ER72">
        <v>857.51</v>
      </c>
      <c r="ES72">
        <v>0</v>
      </c>
      <c r="ET72">
        <v>0</v>
      </c>
      <c r="EU72">
        <v>0</v>
      </c>
      <c r="EV72">
        <v>857.51</v>
      </c>
      <c r="EW72">
        <v>76.7</v>
      </c>
      <c r="EX72">
        <v>0</v>
      </c>
      <c r="EY72">
        <v>0</v>
      </c>
      <c r="FQ72">
        <v>0</v>
      </c>
      <c r="FR72">
        <f>ROUND(IF(AND(BH72=3,BI72=3),P72,0),2)</f>
        <v>0</v>
      </c>
      <c r="FS72">
        <v>0</v>
      </c>
      <c r="FX72">
        <v>80</v>
      </c>
      <c r="FY72">
        <v>55</v>
      </c>
      <c r="GA72" t="s">
        <v>5</v>
      </c>
      <c r="GD72">
        <v>0</v>
      </c>
      <c r="GF72">
        <v>-306614759</v>
      </c>
      <c r="GG72">
        <v>2</v>
      </c>
      <c r="GH72">
        <v>1</v>
      </c>
      <c r="GI72">
        <v>2</v>
      </c>
      <c r="GJ72">
        <v>0</v>
      </c>
      <c r="GK72">
        <f>ROUND(R72*(R12)/100,2)</f>
        <v>0</v>
      </c>
      <c r="GL72">
        <f>ROUND(IF(AND(BH72=3,BI72=3,FS72&lt;&gt;0),P72,0),2)</f>
        <v>0</v>
      </c>
      <c r="GM72">
        <f>ROUND(O72+X72+Y72+GK72,2)+GX72</f>
        <v>0</v>
      </c>
      <c r="GN72">
        <f>IF(OR(BI72=0,BI72=1),ROUND(O72+X72+Y72+GK72,2),0)</f>
        <v>0</v>
      </c>
      <c r="GO72">
        <f>IF(BI72=2,ROUND(O72+X72+Y72+GK72,2),0)</f>
        <v>0</v>
      </c>
      <c r="GP72">
        <f>IF(BI72=4,ROUND(O72+X72+Y72+GK72,2)+GX72,0)</f>
        <v>0</v>
      </c>
      <c r="GR72">
        <v>0</v>
      </c>
      <c r="GS72">
        <v>0</v>
      </c>
      <c r="GT72">
        <v>0</v>
      </c>
      <c r="GU72" t="s">
        <v>5</v>
      </c>
      <c r="GV72">
        <f>ROUND((GT72),6)</f>
        <v>0</v>
      </c>
      <c r="GW72">
        <v>1</v>
      </c>
      <c r="GX72">
        <f>ROUND(HC72*I72,2)</f>
        <v>0</v>
      </c>
      <c r="HA72">
        <v>0</v>
      </c>
      <c r="HB72">
        <v>0</v>
      </c>
      <c r="HC72">
        <f>GV72*GW72</f>
        <v>0</v>
      </c>
      <c r="IK72">
        <v>0</v>
      </c>
    </row>
    <row r="73" spans="1:245" x14ac:dyDescent="0.2">
      <c r="A73">
        <v>17</v>
      </c>
      <c r="B73">
        <v>1</v>
      </c>
      <c r="C73">
        <f>ROW(SmtRes!A139)</f>
        <v>139</v>
      </c>
      <c r="D73">
        <f>ROW(EtalonRes!A139)</f>
        <v>139</v>
      </c>
      <c r="E73" t="s">
        <v>164</v>
      </c>
      <c r="F73" t="s">
        <v>43</v>
      </c>
      <c r="G73" t="s">
        <v>44</v>
      </c>
      <c r="H73" t="s">
        <v>38</v>
      </c>
      <c r="I73">
        <v>0</v>
      </c>
      <c r="J73">
        <v>0</v>
      </c>
      <c r="O73">
        <f>ROUND(CP73,2)</f>
        <v>0</v>
      </c>
      <c r="P73">
        <f>ROUND((ROUND((AC73*AW73*I73),2)*BC73),2)</f>
        <v>0</v>
      </c>
      <c r="Q73">
        <f>(ROUND((ROUND(((ET73)*AV73*I73),2)*BB73),2)+ROUND((ROUND(((AE73-(EU73))*AV73*I73),2)*BS73),2))</f>
        <v>0</v>
      </c>
      <c r="R73">
        <f>ROUND((ROUND((AE73*AV73*I73),2)*BS73),2)</f>
        <v>0</v>
      </c>
      <c r="S73">
        <f>ROUND((ROUND((AF73*AV73*I73),2)*BA73),2)</f>
        <v>0</v>
      </c>
      <c r="T73">
        <f>ROUND(CU73*I73,2)</f>
        <v>0</v>
      </c>
      <c r="U73">
        <f>CV73*I73</f>
        <v>0</v>
      </c>
      <c r="V73">
        <f>CW73*I73</f>
        <v>0</v>
      </c>
      <c r="W73">
        <f>ROUND(CX73*I73,2)</f>
        <v>0</v>
      </c>
      <c r="X73">
        <f t="shared" si="113"/>
        <v>0</v>
      </c>
      <c r="Y73">
        <f t="shared" si="113"/>
        <v>0</v>
      </c>
      <c r="AA73">
        <v>44169784</v>
      </c>
      <c r="AB73">
        <f>ROUND((AC73+AD73+AF73),6)</f>
        <v>8.86</v>
      </c>
      <c r="AC73">
        <f>ROUND((ES73),6)</f>
        <v>0</v>
      </c>
      <c r="AD73">
        <f>ROUND((((ET73)-(EU73))+AE73),6)</f>
        <v>8.86</v>
      </c>
      <c r="AE73">
        <f t="shared" si="114"/>
        <v>1.48</v>
      </c>
      <c r="AF73">
        <f t="shared" si="114"/>
        <v>0</v>
      </c>
      <c r="AG73">
        <f>ROUND((AP73),6)</f>
        <v>0</v>
      </c>
      <c r="AH73">
        <f t="shared" si="115"/>
        <v>0</v>
      </c>
      <c r="AI73">
        <f t="shared" si="115"/>
        <v>0</v>
      </c>
      <c r="AJ73">
        <f>(AS73)</f>
        <v>0</v>
      </c>
      <c r="AK73">
        <v>8.86</v>
      </c>
      <c r="AL73">
        <v>0</v>
      </c>
      <c r="AM73">
        <v>8.86</v>
      </c>
      <c r="AN73">
        <v>1.48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73</v>
      </c>
      <c r="AU73">
        <v>41</v>
      </c>
      <c r="AV73">
        <v>1.0469999999999999</v>
      </c>
      <c r="AW73">
        <v>1.002</v>
      </c>
      <c r="AZ73">
        <v>1</v>
      </c>
      <c r="BA73">
        <v>21.43</v>
      </c>
      <c r="BB73">
        <v>7.96</v>
      </c>
      <c r="BC73">
        <v>1</v>
      </c>
      <c r="BD73" t="s">
        <v>5</v>
      </c>
      <c r="BE73" t="s">
        <v>5</v>
      </c>
      <c r="BF73" t="s">
        <v>5</v>
      </c>
      <c r="BG73" t="s">
        <v>5</v>
      </c>
      <c r="BH73">
        <v>0</v>
      </c>
      <c r="BI73">
        <v>1</v>
      </c>
      <c r="BJ73" t="s">
        <v>45</v>
      </c>
      <c r="BM73">
        <v>658</v>
      </c>
      <c r="BN73">
        <v>0</v>
      </c>
      <c r="BO73" t="s">
        <v>43</v>
      </c>
      <c r="BP73">
        <v>1</v>
      </c>
      <c r="BQ73">
        <v>60</v>
      </c>
      <c r="BR73">
        <v>0</v>
      </c>
      <c r="BS73">
        <v>21.43</v>
      </c>
      <c r="BT73">
        <v>1</v>
      </c>
      <c r="BU73">
        <v>1</v>
      </c>
      <c r="BV73">
        <v>1</v>
      </c>
      <c r="BW73">
        <v>1</v>
      </c>
      <c r="BX73">
        <v>1</v>
      </c>
      <c r="BY73" t="s">
        <v>5</v>
      </c>
      <c r="BZ73">
        <v>73</v>
      </c>
      <c r="CA73">
        <v>41</v>
      </c>
      <c r="CE73">
        <v>30</v>
      </c>
      <c r="CF73">
        <v>0</v>
      </c>
      <c r="CG73">
        <v>0</v>
      </c>
      <c r="CM73">
        <v>0</v>
      </c>
      <c r="CN73" t="s">
        <v>5</v>
      </c>
      <c r="CO73">
        <v>0</v>
      </c>
      <c r="CP73">
        <f>(P73+Q73+S73)</f>
        <v>0</v>
      </c>
      <c r="CQ73">
        <f>ROUND((ROUND((AC73*AW73*1),2)*BC73),2)</f>
        <v>0</v>
      </c>
      <c r="CR73">
        <f>(ROUND((ROUND(((ET73)*AV73*1),2)*BB73),2)+ROUND((ROUND(((AE73-(EU73))*AV73*1),2)*BS73),2))</f>
        <v>73.87</v>
      </c>
      <c r="CS73">
        <f>ROUND((ROUND((AE73*AV73*1),2)*BS73),2)</f>
        <v>33.22</v>
      </c>
      <c r="CT73">
        <f>ROUND((ROUND((AF73*AV73*1),2)*BA73),2)</f>
        <v>0</v>
      </c>
      <c r="CU73">
        <f>AG73</f>
        <v>0</v>
      </c>
      <c r="CV73">
        <f>(AH73*AV73)</f>
        <v>0</v>
      </c>
      <c r="CW73">
        <f t="shared" si="116"/>
        <v>0</v>
      </c>
      <c r="CX73">
        <f t="shared" si="116"/>
        <v>0</v>
      </c>
      <c r="CY73">
        <f>S73*(BZ73/100)</f>
        <v>0</v>
      </c>
      <c r="CZ73">
        <f>S73*(CA73/100)</f>
        <v>0</v>
      </c>
      <c r="DC73" t="s">
        <v>5</v>
      </c>
      <c r="DD73" t="s">
        <v>5</v>
      </c>
      <c r="DE73" t="s">
        <v>5</v>
      </c>
      <c r="DF73" t="s">
        <v>5</v>
      </c>
      <c r="DG73" t="s">
        <v>5</v>
      </c>
      <c r="DH73" t="s">
        <v>5</v>
      </c>
      <c r="DI73" t="s">
        <v>5</v>
      </c>
      <c r="DJ73" t="s">
        <v>5</v>
      </c>
      <c r="DK73" t="s">
        <v>5</v>
      </c>
      <c r="DL73" t="s">
        <v>5</v>
      </c>
      <c r="DM73" t="s">
        <v>5</v>
      </c>
      <c r="DN73">
        <v>91</v>
      </c>
      <c r="DO73">
        <v>70</v>
      </c>
      <c r="DP73">
        <v>1.0469999999999999</v>
      </c>
      <c r="DQ73">
        <v>1.002</v>
      </c>
      <c r="DU73">
        <v>1013</v>
      </c>
      <c r="DV73" t="s">
        <v>38</v>
      </c>
      <c r="DW73" t="s">
        <v>38</v>
      </c>
      <c r="DX73">
        <v>1</v>
      </c>
      <c r="EE73">
        <v>44064477</v>
      </c>
      <c r="EF73">
        <v>60</v>
      </c>
      <c r="EG73" t="s">
        <v>28</v>
      </c>
      <c r="EH73">
        <v>0</v>
      </c>
      <c r="EI73" t="s">
        <v>5</v>
      </c>
      <c r="EJ73">
        <v>1</v>
      </c>
      <c r="EK73">
        <v>658</v>
      </c>
      <c r="EL73" t="s">
        <v>46</v>
      </c>
      <c r="EM73" t="s">
        <v>47</v>
      </c>
      <c r="EO73" t="s">
        <v>5</v>
      </c>
      <c r="EQ73">
        <v>131072</v>
      </c>
      <c r="ER73">
        <v>8.86</v>
      </c>
      <c r="ES73">
        <v>0</v>
      </c>
      <c r="ET73">
        <v>8.86</v>
      </c>
      <c r="EU73">
        <v>1.48</v>
      </c>
      <c r="EV73">
        <v>0</v>
      </c>
      <c r="EW73">
        <v>0</v>
      </c>
      <c r="EX73">
        <v>0</v>
      </c>
      <c r="EY73">
        <v>0</v>
      </c>
      <c r="FQ73">
        <v>0</v>
      </c>
      <c r="FR73">
        <f>ROUND(IF(AND(BH73=3,BI73=3),P73,0),2)</f>
        <v>0</v>
      </c>
      <c r="FS73">
        <v>0</v>
      </c>
      <c r="FX73">
        <v>91</v>
      </c>
      <c r="FY73">
        <v>70</v>
      </c>
      <c r="GA73" t="s">
        <v>5</v>
      </c>
      <c r="GD73">
        <v>0</v>
      </c>
      <c r="GF73">
        <v>-1983005167</v>
      </c>
      <c r="GG73">
        <v>2</v>
      </c>
      <c r="GH73">
        <v>1</v>
      </c>
      <c r="GI73">
        <v>2</v>
      </c>
      <c r="GJ73">
        <v>0</v>
      </c>
      <c r="GK73">
        <f>ROUND(R73*(R12)/100,2)</f>
        <v>0</v>
      </c>
      <c r="GL73">
        <f>ROUND(IF(AND(BH73=3,BI73=3,FS73&lt;&gt;0),P73,0),2)</f>
        <v>0</v>
      </c>
      <c r="GM73">
        <f>ROUND(O73+X73+Y73+GK73,2)+GX73</f>
        <v>0</v>
      </c>
      <c r="GN73">
        <f>IF(OR(BI73=0,BI73=1),ROUND(O73+X73+Y73+GK73,2),0)</f>
        <v>0</v>
      </c>
      <c r="GO73">
        <f>IF(BI73=2,ROUND(O73+X73+Y73+GK73,2),0)</f>
        <v>0</v>
      </c>
      <c r="GP73">
        <f>IF(BI73=4,ROUND(O73+X73+Y73+GK73,2)+GX73,0)</f>
        <v>0</v>
      </c>
      <c r="GR73">
        <v>0</v>
      </c>
      <c r="GS73">
        <v>0</v>
      </c>
      <c r="GT73">
        <v>0</v>
      </c>
      <c r="GU73" t="s">
        <v>5</v>
      </c>
      <c r="GV73">
        <f>ROUND((GT73),6)</f>
        <v>0</v>
      </c>
      <c r="GW73">
        <v>1</v>
      </c>
      <c r="GX73">
        <f>ROUND(HC73*I73,2)</f>
        <v>0</v>
      </c>
      <c r="HA73">
        <v>0</v>
      </c>
      <c r="HB73">
        <v>0</v>
      </c>
      <c r="HC73">
        <f>GV73*GW73</f>
        <v>0</v>
      </c>
      <c r="IK73">
        <v>0</v>
      </c>
    </row>
    <row r="74" spans="1:245" x14ac:dyDescent="0.2">
      <c r="A74">
        <v>17</v>
      </c>
      <c r="B74">
        <v>1</v>
      </c>
      <c r="C74">
        <f>ROW(SmtRes!A148)</f>
        <v>148</v>
      </c>
      <c r="D74">
        <f>ROW(EtalonRes!A148)</f>
        <v>148</v>
      </c>
      <c r="E74" t="s">
        <v>165</v>
      </c>
      <c r="F74" t="s">
        <v>166</v>
      </c>
      <c r="G74" t="s">
        <v>167</v>
      </c>
      <c r="H74" t="s">
        <v>154</v>
      </c>
      <c r="I74">
        <f>ROUND(I72,9)</f>
        <v>0</v>
      </c>
      <c r="J74">
        <v>0</v>
      </c>
      <c r="O74">
        <f>ROUND(CP74,2)</f>
        <v>0</v>
      </c>
      <c r="P74">
        <f>ROUND((ROUND((AC74*AW74*I74),2)*BC74),2)</f>
        <v>0</v>
      </c>
      <c r="Q74">
        <f>(ROUND((ROUND(((ET74)*AV74*I74),2)*BB74),2)+ROUND((ROUND(((AE74-(EU74))*AV74*I74),2)*BS74),2))</f>
        <v>0</v>
      </c>
      <c r="R74">
        <f>ROUND((ROUND((AE74*AV74*I74),2)*BS74),2)</f>
        <v>0</v>
      </c>
      <c r="S74">
        <f>ROUND((ROUND((AF74*AV74*I74),2)*BA74),2)</f>
        <v>0</v>
      </c>
      <c r="T74">
        <f>ROUND(CU74*I74,2)</f>
        <v>0</v>
      </c>
      <c r="U74">
        <f>CV74*I74</f>
        <v>0</v>
      </c>
      <c r="V74">
        <f>CW74*I74</f>
        <v>0</v>
      </c>
      <c r="W74">
        <f>ROUND(CX74*I74,2)</f>
        <v>0</v>
      </c>
      <c r="X74">
        <f t="shared" si="113"/>
        <v>0</v>
      </c>
      <c r="Y74">
        <f t="shared" si="113"/>
        <v>0</v>
      </c>
      <c r="AA74">
        <v>44169784</v>
      </c>
      <c r="AB74">
        <f>ROUND((AC74+AD74+AF74),6)</f>
        <v>4063.14</v>
      </c>
      <c r="AC74">
        <f>ROUND((ES74),6)</f>
        <v>3320.85</v>
      </c>
      <c r="AD74">
        <f>ROUND((((ET74)-(EU74))+AE74),6)</f>
        <v>40.380000000000003</v>
      </c>
      <c r="AE74">
        <f t="shared" si="114"/>
        <v>9.76</v>
      </c>
      <c r="AF74">
        <f t="shared" si="114"/>
        <v>701.91</v>
      </c>
      <c r="AG74">
        <f>ROUND((AP74),6)</f>
        <v>0</v>
      </c>
      <c r="AH74">
        <f t="shared" si="115"/>
        <v>63.43</v>
      </c>
      <c r="AI74">
        <f t="shared" si="115"/>
        <v>0</v>
      </c>
      <c r="AJ74">
        <f>(AS74)</f>
        <v>0</v>
      </c>
      <c r="AK74">
        <v>4063.14</v>
      </c>
      <c r="AL74">
        <v>3320.85</v>
      </c>
      <c r="AM74">
        <v>40.380000000000003</v>
      </c>
      <c r="AN74">
        <v>9.76</v>
      </c>
      <c r="AO74">
        <v>701.91</v>
      </c>
      <c r="AP74">
        <v>0</v>
      </c>
      <c r="AQ74">
        <v>63.43</v>
      </c>
      <c r="AR74">
        <v>0</v>
      </c>
      <c r="AS74">
        <v>0</v>
      </c>
      <c r="AT74">
        <v>131</v>
      </c>
      <c r="AU74">
        <v>54</v>
      </c>
      <c r="AV74">
        <v>1.0469999999999999</v>
      </c>
      <c r="AW74">
        <v>1.03</v>
      </c>
      <c r="AZ74">
        <v>1</v>
      </c>
      <c r="BA74">
        <v>21.43</v>
      </c>
      <c r="BB74">
        <v>8.93</v>
      </c>
      <c r="BC74">
        <v>5.39</v>
      </c>
      <c r="BD74" t="s">
        <v>5</v>
      </c>
      <c r="BE74" t="s">
        <v>5</v>
      </c>
      <c r="BF74" t="s">
        <v>5</v>
      </c>
      <c r="BG74" t="s">
        <v>5</v>
      </c>
      <c r="BH74">
        <v>0</v>
      </c>
      <c r="BI74">
        <v>1</v>
      </c>
      <c r="BJ74" t="s">
        <v>168</v>
      </c>
      <c r="BM74">
        <v>1693</v>
      </c>
      <c r="BN74">
        <v>0</v>
      </c>
      <c r="BO74" t="s">
        <v>166</v>
      </c>
      <c r="BP74">
        <v>1</v>
      </c>
      <c r="BQ74">
        <v>30</v>
      </c>
      <c r="BR74">
        <v>0</v>
      </c>
      <c r="BS74">
        <v>21.43</v>
      </c>
      <c r="BT74">
        <v>1</v>
      </c>
      <c r="BU74">
        <v>1</v>
      </c>
      <c r="BV74">
        <v>1</v>
      </c>
      <c r="BW74">
        <v>1</v>
      </c>
      <c r="BX74">
        <v>1</v>
      </c>
      <c r="BY74" t="s">
        <v>5</v>
      </c>
      <c r="BZ74">
        <v>131</v>
      </c>
      <c r="CA74">
        <v>54</v>
      </c>
      <c r="CE74">
        <v>30</v>
      </c>
      <c r="CF74">
        <v>0</v>
      </c>
      <c r="CG74">
        <v>0</v>
      </c>
      <c r="CM74">
        <v>0</v>
      </c>
      <c r="CN74" t="s">
        <v>5</v>
      </c>
      <c r="CO74">
        <v>0</v>
      </c>
      <c r="CP74">
        <f>(P74+Q74+S74)</f>
        <v>0</v>
      </c>
      <c r="CQ74">
        <f>ROUND((ROUND((AC74*AW74*1),2)*BC74),2)</f>
        <v>18436.39</v>
      </c>
      <c r="CR74">
        <f>(ROUND((ROUND(((ET74)*AV74*1),2)*BB74),2)+ROUND((ROUND(((AE74-(EU74))*AV74*1),2)*BS74),2))</f>
        <v>377.56</v>
      </c>
      <c r="CS74">
        <f>ROUND((ROUND((AE74*AV74*1),2)*BS74),2)</f>
        <v>219.01</v>
      </c>
      <c r="CT74">
        <f>ROUND((ROUND((AF74*AV74*1),2)*BA74),2)</f>
        <v>15748.91</v>
      </c>
      <c r="CU74">
        <f>AG74</f>
        <v>0</v>
      </c>
      <c r="CV74">
        <f>(AH74*AV74)</f>
        <v>66.411209999999997</v>
      </c>
      <c r="CW74">
        <f t="shared" si="116"/>
        <v>0</v>
      </c>
      <c r="CX74">
        <f t="shared" si="116"/>
        <v>0</v>
      </c>
      <c r="CY74">
        <f>S74*(BZ74/100)</f>
        <v>0</v>
      </c>
      <c r="CZ74">
        <f>S74*(CA74/100)</f>
        <v>0</v>
      </c>
      <c r="DC74" t="s">
        <v>5</v>
      </c>
      <c r="DD74" t="s">
        <v>5</v>
      </c>
      <c r="DE74" t="s">
        <v>5</v>
      </c>
      <c r="DF74" t="s">
        <v>5</v>
      </c>
      <c r="DG74" t="s">
        <v>5</v>
      </c>
      <c r="DH74" t="s">
        <v>5</v>
      </c>
      <c r="DI74" t="s">
        <v>5</v>
      </c>
      <c r="DJ74" t="s">
        <v>5</v>
      </c>
      <c r="DK74" t="s">
        <v>5</v>
      </c>
      <c r="DL74" t="s">
        <v>5</v>
      </c>
      <c r="DM74" t="s">
        <v>5</v>
      </c>
      <c r="DN74">
        <v>161</v>
      </c>
      <c r="DO74">
        <v>107</v>
      </c>
      <c r="DP74">
        <v>1.0469999999999999</v>
      </c>
      <c r="DQ74">
        <v>1.03</v>
      </c>
      <c r="DU74">
        <v>1013</v>
      </c>
      <c r="DV74" t="s">
        <v>154</v>
      </c>
      <c r="DW74" t="s">
        <v>154</v>
      </c>
      <c r="DX74">
        <v>1</v>
      </c>
      <c r="EE74">
        <v>44065512</v>
      </c>
      <c r="EF74">
        <v>30</v>
      </c>
      <c r="EG74" t="s">
        <v>53</v>
      </c>
      <c r="EH74">
        <v>0</v>
      </c>
      <c r="EI74" t="s">
        <v>5</v>
      </c>
      <c r="EJ74">
        <v>1</v>
      </c>
      <c r="EK74">
        <v>1693</v>
      </c>
      <c r="EL74" t="s">
        <v>169</v>
      </c>
      <c r="EM74" t="s">
        <v>170</v>
      </c>
      <c r="EO74" t="s">
        <v>5</v>
      </c>
      <c r="EQ74">
        <v>131072</v>
      </c>
      <c r="ER74">
        <v>4063.14</v>
      </c>
      <c r="ES74">
        <v>3320.85</v>
      </c>
      <c r="ET74">
        <v>40.380000000000003</v>
      </c>
      <c r="EU74">
        <v>9.76</v>
      </c>
      <c r="EV74">
        <v>701.91</v>
      </c>
      <c r="EW74">
        <v>63.43</v>
      </c>
      <c r="EX74">
        <v>0</v>
      </c>
      <c r="EY74">
        <v>0</v>
      </c>
      <c r="FQ74">
        <v>0</v>
      </c>
      <c r="FR74">
        <f>ROUND(IF(AND(BH74=3,BI74=3),P74,0),2)</f>
        <v>0</v>
      </c>
      <c r="FS74">
        <v>0</v>
      </c>
      <c r="FX74">
        <v>161</v>
      </c>
      <c r="FY74">
        <v>107</v>
      </c>
      <c r="GA74" t="s">
        <v>5</v>
      </c>
      <c r="GD74">
        <v>0</v>
      </c>
      <c r="GF74">
        <v>1336781639</v>
      </c>
      <c r="GG74">
        <v>2</v>
      </c>
      <c r="GH74">
        <v>1</v>
      </c>
      <c r="GI74">
        <v>2</v>
      </c>
      <c r="GJ74">
        <v>0</v>
      </c>
      <c r="GK74">
        <f>ROUND(R74*(R12)/100,2)</f>
        <v>0</v>
      </c>
      <c r="GL74">
        <f>ROUND(IF(AND(BH74=3,BI74=3,FS74&lt;&gt;0),P74,0),2)</f>
        <v>0</v>
      </c>
      <c r="GM74">
        <f>ROUND(O74+X74+Y74+GK74,2)+GX74</f>
        <v>0</v>
      </c>
      <c r="GN74">
        <f>IF(OR(BI74=0,BI74=1),ROUND(O74+X74+Y74+GK74,2),0)</f>
        <v>0</v>
      </c>
      <c r="GO74">
        <f>IF(BI74=2,ROUND(O74+X74+Y74+GK74,2),0)</f>
        <v>0</v>
      </c>
      <c r="GP74">
        <f>IF(BI74=4,ROUND(O74+X74+Y74+GK74,2)+GX74,0)</f>
        <v>0</v>
      </c>
      <c r="GR74">
        <v>0</v>
      </c>
      <c r="GS74">
        <v>0</v>
      </c>
      <c r="GT74">
        <v>0</v>
      </c>
      <c r="GU74" t="s">
        <v>5</v>
      </c>
      <c r="GV74">
        <f>ROUND((GT74),6)</f>
        <v>0</v>
      </c>
      <c r="GW74">
        <v>1</v>
      </c>
      <c r="GX74">
        <f>ROUND(HC74*I74,2)</f>
        <v>0</v>
      </c>
      <c r="HA74">
        <v>0</v>
      </c>
      <c r="HB74">
        <v>0</v>
      </c>
      <c r="HC74">
        <f>GV74*GW74</f>
        <v>0</v>
      </c>
      <c r="IK74">
        <v>0</v>
      </c>
    </row>
    <row r="75" spans="1:245" x14ac:dyDescent="0.2">
      <c r="A75">
        <v>18</v>
      </c>
      <c r="B75">
        <v>1</v>
      </c>
      <c r="C75">
        <v>148</v>
      </c>
      <c r="E75" t="s">
        <v>171</v>
      </c>
      <c r="F75" t="s">
        <v>172</v>
      </c>
      <c r="G75" t="s">
        <v>173</v>
      </c>
      <c r="H75" t="s">
        <v>59</v>
      </c>
      <c r="I75">
        <f>I74*J75</f>
        <v>0</v>
      </c>
      <c r="J75">
        <v>1.6</v>
      </c>
      <c r="O75">
        <f>ROUND(CP75,2)</f>
        <v>0</v>
      </c>
      <c r="P75">
        <f>ROUND((ROUND((AC75*AW75*I75),2)*BC75),2)</f>
        <v>0</v>
      </c>
      <c r="Q75">
        <f>(ROUND((ROUND(((ET75)*AV75*I75),2)*BB75),2)+ROUND((ROUND(((AE75-(EU75))*AV75*I75),2)*BS75),2))</f>
        <v>0</v>
      </c>
      <c r="R75">
        <f>ROUND((ROUND((AE75*AV75*I75),2)*BS75),2)</f>
        <v>0</v>
      </c>
      <c r="S75">
        <f>ROUND((ROUND((AF75*AV75*I75),2)*BA75),2)</f>
        <v>0</v>
      </c>
      <c r="T75">
        <f>ROUND(CU75*I75,2)</f>
        <v>0</v>
      </c>
      <c r="U75">
        <f>CV75*I75</f>
        <v>0</v>
      </c>
      <c r="V75">
        <f>CW75*I75</f>
        <v>0</v>
      </c>
      <c r="W75">
        <f>ROUND(CX75*I75,2)</f>
        <v>0</v>
      </c>
      <c r="X75">
        <f t="shared" si="113"/>
        <v>0</v>
      </c>
      <c r="Y75">
        <f t="shared" si="113"/>
        <v>0</v>
      </c>
      <c r="AA75">
        <v>44169784</v>
      </c>
      <c r="AB75">
        <f>ROUND((AC75+AD75+AF75),6)</f>
        <v>4021.06</v>
      </c>
      <c r="AC75">
        <f>ROUND((ES75),6)</f>
        <v>4021.06</v>
      </c>
      <c r="AD75">
        <f>ROUND((((ET75)-(EU75))+AE75),6)</f>
        <v>0</v>
      </c>
      <c r="AE75">
        <f t="shared" si="114"/>
        <v>0</v>
      </c>
      <c r="AF75">
        <f t="shared" si="114"/>
        <v>0</v>
      </c>
      <c r="AG75">
        <f>ROUND((AP75),6)</f>
        <v>0</v>
      </c>
      <c r="AH75">
        <f t="shared" si="115"/>
        <v>0</v>
      </c>
      <c r="AI75">
        <f t="shared" si="115"/>
        <v>0</v>
      </c>
      <c r="AJ75">
        <f>(AS75)</f>
        <v>0</v>
      </c>
      <c r="AK75">
        <v>4021.06</v>
      </c>
      <c r="AL75">
        <v>4021.06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1</v>
      </c>
      <c r="AW75">
        <v>1.03</v>
      </c>
      <c r="AZ75">
        <v>1</v>
      </c>
      <c r="BA75">
        <v>1</v>
      </c>
      <c r="BB75">
        <v>1</v>
      </c>
      <c r="BC75">
        <v>2.19</v>
      </c>
      <c r="BD75" t="s">
        <v>5</v>
      </c>
      <c r="BE75" t="s">
        <v>5</v>
      </c>
      <c r="BF75" t="s">
        <v>5</v>
      </c>
      <c r="BG75" t="s">
        <v>5</v>
      </c>
      <c r="BH75">
        <v>3</v>
      </c>
      <c r="BI75">
        <v>1</v>
      </c>
      <c r="BJ75" t="s">
        <v>174</v>
      </c>
      <c r="BM75">
        <v>1693</v>
      </c>
      <c r="BN75">
        <v>0</v>
      </c>
      <c r="BO75" t="s">
        <v>172</v>
      </c>
      <c r="BP75">
        <v>1</v>
      </c>
      <c r="BQ75">
        <v>30</v>
      </c>
      <c r="BR75">
        <v>0</v>
      </c>
      <c r="BS75">
        <v>1</v>
      </c>
      <c r="BT75">
        <v>1</v>
      </c>
      <c r="BU75">
        <v>1</v>
      </c>
      <c r="BV75">
        <v>1</v>
      </c>
      <c r="BW75">
        <v>1</v>
      </c>
      <c r="BX75">
        <v>1</v>
      </c>
      <c r="BY75" t="s">
        <v>5</v>
      </c>
      <c r="BZ75">
        <v>0</v>
      </c>
      <c r="CA75">
        <v>0</v>
      </c>
      <c r="CE75">
        <v>30</v>
      </c>
      <c r="CF75">
        <v>0</v>
      </c>
      <c r="CG75">
        <v>0</v>
      </c>
      <c r="CM75">
        <v>0</v>
      </c>
      <c r="CN75" t="s">
        <v>5</v>
      </c>
      <c r="CO75">
        <v>0</v>
      </c>
      <c r="CP75">
        <f>(P75+Q75+S75)</f>
        <v>0</v>
      </c>
      <c r="CQ75">
        <f>ROUND((ROUND((AC75*AW75*1),2)*BC75),2)</f>
        <v>9070.2999999999993</v>
      </c>
      <c r="CR75">
        <f>(ROUND((ROUND(((ET75)*AV75*1),2)*BB75),2)+ROUND((ROUND(((AE75-(EU75))*AV75*1),2)*BS75),2))</f>
        <v>0</v>
      </c>
      <c r="CS75">
        <f>ROUND((ROUND((AE75*AV75*1),2)*BS75),2)</f>
        <v>0</v>
      </c>
      <c r="CT75">
        <f>ROUND((ROUND((AF75*AV75*1),2)*BA75),2)</f>
        <v>0</v>
      </c>
      <c r="CU75">
        <f>AG75</f>
        <v>0</v>
      </c>
      <c r="CV75">
        <f>(AH75*AV75)</f>
        <v>0</v>
      </c>
      <c r="CW75">
        <f t="shared" si="116"/>
        <v>0</v>
      </c>
      <c r="CX75">
        <f t="shared" si="116"/>
        <v>0</v>
      </c>
      <c r="CY75">
        <f>S75*(BZ75/100)</f>
        <v>0</v>
      </c>
      <c r="CZ75">
        <f>S75*(CA75/100)</f>
        <v>0</v>
      </c>
      <c r="DC75" t="s">
        <v>5</v>
      </c>
      <c r="DD75" t="s">
        <v>5</v>
      </c>
      <c r="DE75" t="s">
        <v>5</v>
      </c>
      <c r="DF75" t="s">
        <v>5</v>
      </c>
      <c r="DG75" t="s">
        <v>5</v>
      </c>
      <c r="DH75" t="s">
        <v>5</v>
      </c>
      <c r="DI75" t="s">
        <v>5</v>
      </c>
      <c r="DJ75" t="s">
        <v>5</v>
      </c>
      <c r="DK75" t="s">
        <v>5</v>
      </c>
      <c r="DL75" t="s">
        <v>5</v>
      </c>
      <c r="DM75" t="s">
        <v>5</v>
      </c>
      <c r="DN75">
        <v>161</v>
      </c>
      <c r="DO75">
        <v>107</v>
      </c>
      <c r="DP75">
        <v>1.0469999999999999</v>
      </c>
      <c r="DQ75">
        <v>1.03</v>
      </c>
      <c r="DU75">
        <v>1007</v>
      </c>
      <c r="DV75" t="s">
        <v>59</v>
      </c>
      <c r="DW75" t="s">
        <v>59</v>
      </c>
      <c r="DX75">
        <v>1</v>
      </c>
      <c r="EE75">
        <v>44065512</v>
      </c>
      <c r="EF75">
        <v>30</v>
      </c>
      <c r="EG75" t="s">
        <v>53</v>
      </c>
      <c r="EH75">
        <v>0</v>
      </c>
      <c r="EI75" t="s">
        <v>5</v>
      </c>
      <c r="EJ75">
        <v>1</v>
      </c>
      <c r="EK75">
        <v>1693</v>
      </c>
      <c r="EL75" t="s">
        <v>169</v>
      </c>
      <c r="EM75" t="s">
        <v>170</v>
      </c>
      <c r="EO75" t="s">
        <v>5</v>
      </c>
      <c r="EQ75">
        <v>0</v>
      </c>
      <c r="ER75">
        <v>4021.06</v>
      </c>
      <c r="ES75">
        <v>4021.06</v>
      </c>
      <c r="ET75">
        <v>0</v>
      </c>
      <c r="EU75">
        <v>0</v>
      </c>
      <c r="EV75">
        <v>0</v>
      </c>
      <c r="EW75">
        <v>0</v>
      </c>
      <c r="EX75">
        <v>0</v>
      </c>
      <c r="FQ75">
        <v>0</v>
      </c>
      <c r="FR75">
        <f>ROUND(IF(AND(BH75=3,BI75=3),P75,0),2)</f>
        <v>0</v>
      </c>
      <c r="FS75">
        <v>0</v>
      </c>
      <c r="FX75">
        <v>161</v>
      </c>
      <c r="FY75">
        <v>107</v>
      </c>
      <c r="GA75" t="s">
        <v>5</v>
      </c>
      <c r="GD75">
        <v>0</v>
      </c>
      <c r="GF75">
        <v>868742244</v>
      </c>
      <c r="GG75">
        <v>2</v>
      </c>
      <c r="GH75">
        <v>0</v>
      </c>
      <c r="GI75">
        <v>2</v>
      </c>
      <c r="GJ75">
        <v>0</v>
      </c>
      <c r="GK75">
        <f>ROUND(R75*(R12)/100,2)</f>
        <v>0</v>
      </c>
      <c r="GL75">
        <f>ROUND(IF(AND(BH75=3,BI75=3,FS75&lt;&gt;0),P75,0),2)</f>
        <v>0</v>
      </c>
      <c r="GM75">
        <f>ROUND(O75+X75+Y75+GK75,2)+GX75</f>
        <v>0</v>
      </c>
      <c r="GN75">
        <f>IF(OR(BI75=0,BI75=1),ROUND(O75+X75+Y75+GK75,2),0)</f>
        <v>0</v>
      </c>
      <c r="GO75">
        <f>IF(BI75=2,ROUND(O75+X75+Y75+GK75,2),0)</f>
        <v>0</v>
      </c>
      <c r="GP75">
        <f>IF(BI75=4,ROUND(O75+X75+Y75+GK75,2)+GX75,0)</f>
        <v>0</v>
      </c>
      <c r="GR75">
        <v>0</v>
      </c>
      <c r="GS75">
        <v>0</v>
      </c>
      <c r="GT75">
        <v>0</v>
      </c>
      <c r="GU75" t="s">
        <v>5</v>
      </c>
      <c r="GV75">
        <f>ROUND((GT75),6)</f>
        <v>0</v>
      </c>
      <c r="GW75">
        <v>1</v>
      </c>
      <c r="GX75">
        <f>ROUND(HC75*I75,2)</f>
        <v>0</v>
      </c>
      <c r="HA75">
        <v>0</v>
      </c>
      <c r="HB75">
        <v>0</v>
      </c>
      <c r="HC75">
        <f>GV75*GW75</f>
        <v>0</v>
      </c>
      <c r="IK75">
        <v>0</v>
      </c>
    </row>
    <row r="76" spans="1:245" x14ac:dyDescent="0.2">
      <c r="A76">
        <v>19</v>
      </c>
      <c r="B76">
        <v>1</v>
      </c>
      <c r="F76" t="s">
        <v>5</v>
      </c>
      <c r="G76" t="s">
        <v>175</v>
      </c>
      <c r="H76" t="s">
        <v>5</v>
      </c>
      <c r="AA76">
        <v>1</v>
      </c>
      <c r="IK76">
        <v>0</v>
      </c>
    </row>
    <row r="77" spans="1:245" x14ac:dyDescent="0.2">
      <c r="A77">
        <v>17</v>
      </c>
      <c r="B77">
        <v>1</v>
      </c>
      <c r="C77">
        <f>ROW(SmtRes!A152)</f>
        <v>152</v>
      </c>
      <c r="D77">
        <f>ROW(EtalonRes!A152)</f>
        <v>152</v>
      </c>
      <c r="E77" t="s">
        <v>176</v>
      </c>
      <c r="F77" t="s">
        <v>111</v>
      </c>
      <c r="G77" t="s">
        <v>112</v>
      </c>
      <c r="H77" t="s">
        <v>26</v>
      </c>
      <c r="I77">
        <f>ROUND((12.42*0.12)/100,9)</f>
        <v>1.4904000000000001E-2</v>
      </c>
      <c r="J77">
        <v>0</v>
      </c>
      <c r="O77">
        <f t="shared" ref="O77:O82" si="117">ROUND(CP77,2)</f>
        <v>100.79</v>
      </c>
      <c r="P77">
        <f t="shared" ref="P77:P82" si="118">ROUND((ROUND((AC77*AW77*I77),2)*BC77),2)</f>
        <v>0</v>
      </c>
      <c r="Q77">
        <f t="shared" ref="Q77:Q82" si="119">(ROUND((ROUND(((ET77)*AV77*I77),2)*BB77),2)+ROUND((ROUND(((AE77-(EU77))*AV77*I77),2)*BS77),2))</f>
        <v>63.93</v>
      </c>
      <c r="R77">
        <f t="shared" ref="R77:R82" si="120">ROUND((ROUND((AE77*AV77*I77),2)*BS77),2)</f>
        <v>27.22</v>
      </c>
      <c r="S77">
        <f t="shared" ref="S77:S82" si="121">ROUND((ROUND((AF77*AV77*I77),2)*BA77),2)</f>
        <v>36.86</v>
      </c>
      <c r="T77">
        <f t="shared" ref="T77:T82" si="122">ROUND(CU77*I77,2)</f>
        <v>0</v>
      </c>
      <c r="U77">
        <f t="shared" ref="U77:U82" si="123">CV77*I77</f>
        <v>0.18257250959999999</v>
      </c>
      <c r="V77">
        <f t="shared" ref="V77:V82" si="124">CW77*I77</f>
        <v>0</v>
      </c>
      <c r="W77">
        <f t="shared" ref="W77:W82" si="125">ROUND(CX77*I77,2)</f>
        <v>0</v>
      </c>
      <c r="X77">
        <f t="shared" ref="X77:Y82" si="126">ROUND(CY77,2)</f>
        <v>25.06</v>
      </c>
      <c r="Y77">
        <f t="shared" si="126"/>
        <v>15.11</v>
      </c>
      <c r="AA77">
        <v>44169784</v>
      </c>
      <c r="AB77">
        <f t="shared" ref="AB77:AB82" si="127">ROUND((AC77+AD77+AF77),6)</f>
        <v>512.76</v>
      </c>
      <c r="AC77">
        <f t="shared" ref="AC77:AC82" si="128">ROUND((ES77),6)</f>
        <v>0</v>
      </c>
      <c r="AD77">
        <f t="shared" ref="AD77:AD82" si="129">ROUND((((ET77)-(EU77))+AE77),6)</f>
        <v>402.43</v>
      </c>
      <c r="AE77">
        <f t="shared" ref="AE77:AF82" si="130">ROUND((EU77),6)</f>
        <v>81.58</v>
      </c>
      <c r="AF77">
        <f t="shared" si="130"/>
        <v>110.33</v>
      </c>
      <c r="AG77">
        <f t="shared" ref="AG77:AG82" si="131">ROUND((AP77),6)</f>
        <v>0</v>
      </c>
      <c r="AH77">
        <f t="shared" ref="AH77:AI82" si="132">(EW77)</f>
        <v>11.7</v>
      </c>
      <c r="AI77">
        <f t="shared" si="132"/>
        <v>0</v>
      </c>
      <c r="AJ77">
        <f t="shared" ref="AJ77:AJ82" si="133">(AS77)</f>
        <v>0</v>
      </c>
      <c r="AK77">
        <v>512.76</v>
      </c>
      <c r="AL77">
        <v>0</v>
      </c>
      <c r="AM77">
        <v>402.43</v>
      </c>
      <c r="AN77">
        <v>81.58</v>
      </c>
      <c r="AO77">
        <v>110.33</v>
      </c>
      <c r="AP77">
        <v>0</v>
      </c>
      <c r="AQ77">
        <v>11.7</v>
      </c>
      <c r="AR77">
        <v>0</v>
      </c>
      <c r="AS77">
        <v>0</v>
      </c>
      <c r="AT77">
        <v>68</v>
      </c>
      <c r="AU77">
        <v>41</v>
      </c>
      <c r="AV77">
        <v>1.0469999999999999</v>
      </c>
      <c r="AW77">
        <v>1</v>
      </c>
      <c r="AZ77">
        <v>1</v>
      </c>
      <c r="BA77">
        <v>21.43</v>
      </c>
      <c r="BB77">
        <v>10.18</v>
      </c>
      <c r="BC77">
        <v>1</v>
      </c>
      <c r="BD77" t="s">
        <v>5</v>
      </c>
      <c r="BE77" t="s">
        <v>5</v>
      </c>
      <c r="BF77" t="s">
        <v>5</v>
      </c>
      <c r="BG77" t="s">
        <v>5</v>
      </c>
      <c r="BH77">
        <v>0</v>
      </c>
      <c r="BI77">
        <v>1</v>
      </c>
      <c r="BJ77" t="s">
        <v>113</v>
      </c>
      <c r="BM77">
        <v>674</v>
      </c>
      <c r="BN77">
        <v>0</v>
      </c>
      <c r="BO77" t="s">
        <v>111</v>
      </c>
      <c r="BP77">
        <v>1</v>
      </c>
      <c r="BQ77">
        <v>60</v>
      </c>
      <c r="BR77">
        <v>0</v>
      </c>
      <c r="BS77">
        <v>21.43</v>
      </c>
      <c r="BT77">
        <v>1</v>
      </c>
      <c r="BU77">
        <v>1</v>
      </c>
      <c r="BV77">
        <v>1</v>
      </c>
      <c r="BW77">
        <v>1</v>
      </c>
      <c r="BX77">
        <v>1</v>
      </c>
      <c r="BY77" t="s">
        <v>5</v>
      </c>
      <c r="BZ77">
        <v>68</v>
      </c>
      <c r="CA77">
        <v>41</v>
      </c>
      <c r="CE77">
        <v>30</v>
      </c>
      <c r="CF77">
        <v>0</v>
      </c>
      <c r="CG77">
        <v>0</v>
      </c>
      <c r="CM77">
        <v>0</v>
      </c>
      <c r="CN77" t="s">
        <v>5</v>
      </c>
      <c r="CO77">
        <v>0</v>
      </c>
      <c r="CP77">
        <f t="shared" ref="CP77:CP82" si="134">(P77+Q77+S77)</f>
        <v>100.78999999999999</v>
      </c>
      <c r="CQ77">
        <f t="shared" ref="CQ77:CQ82" si="135">ROUND((ROUND((AC77*AW77*1),2)*BC77),2)</f>
        <v>0</v>
      </c>
      <c r="CR77">
        <f t="shared" ref="CR77:CR82" si="136">(ROUND((ROUND(((ET77)*AV77*1),2)*BB77),2)+ROUND((ROUND(((AE77-(EU77))*AV77*1),2)*BS77),2))</f>
        <v>4289.24</v>
      </c>
      <c r="CS77">
        <f t="shared" ref="CS77:CS82" si="137">ROUND((ROUND((AE77*AV77*1),2)*BS77),2)</f>
        <v>1830.34</v>
      </c>
      <c r="CT77">
        <f t="shared" ref="CT77:CT82" si="138">ROUND((ROUND((AF77*AV77*1),2)*BA77),2)</f>
        <v>2475.59</v>
      </c>
      <c r="CU77">
        <f t="shared" ref="CU77:CU82" si="139">AG77</f>
        <v>0</v>
      </c>
      <c r="CV77">
        <f t="shared" ref="CV77:CV82" si="140">(AH77*AV77)</f>
        <v>12.249899999999998</v>
      </c>
      <c r="CW77">
        <f t="shared" ref="CW77:CX82" si="141">AI77</f>
        <v>0</v>
      </c>
      <c r="CX77">
        <f t="shared" si="141"/>
        <v>0</v>
      </c>
      <c r="CY77">
        <f t="shared" ref="CY77:CY82" si="142">S77*(BZ77/100)</f>
        <v>25.064800000000002</v>
      </c>
      <c r="CZ77">
        <f t="shared" ref="CZ77:CZ82" si="143">S77*(CA77/100)</f>
        <v>15.112599999999999</v>
      </c>
      <c r="DC77" t="s">
        <v>5</v>
      </c>
      <c r="DD77" t="s">
        <v>5</v>
      </c>
      <c r="DE77" t="s">
        <v>5</v>
      </c>
      <c r="DF77" t="s">
        <v>5</v>
      </c>
      <c r="DG77" t="s">
        <v>5</v>
      </c>
      <c r="DH77" t="s">
        <v>5</v>
      </c>
      <c r="DI77" t="s">
        <v>5</v>
      </c>
      <c r="DJ77" t="s">
        <v>5</v>
      </c>
      <c r="DK77" t="s">
        <v>5</v>
      </c>
      <c r="DL77" t="s">
        <v>5</v>
      </c>
      <c r="DM77" t="s">
        <v>5</v>
      </c>
      <c r="DN77">
        <v>80</v>
      </c>
      <c r="DO77">
        <v>55</v>
      </c>
      <c r="DP77">
        <v>1.0469999999999999</v>
      </c>
      <c r="DQ77">
        <v>1</v>
      </c>
      <c r="DU77">
        <v>1007</v>
      </c>
      <c r="DV77" t="s">
        <v>26</v>
      </c>
      <c r="DW77" t="s">
        <v>26</v>
      </c>
      <c r="DX77">
        <v>100</v>
      </c>
      <c r="EE77">
        <v>44064493</v>
      </c>
      <c r="EF77">
        <v>60</v>
      </c>
      <c r="EG77" t="s">
        <v>28</v>
      </c>
      <c r="EH77">
        <v>0</v>
      </c>
      <c r="EI77" t="s">
        <v>5</v>
      </c>
      <c r="EJ77">
        <v>1</v>
      </c>
      <c r="EK77">
        <v>674</v>
      </c>
      <c r="EL77" t="s">
        <v>29</v>
      </c>
      <c r="EM77" t="s">
        <v>30</v>
      </c>
      <c r="EO77" t="s">
        <v>5</v>
      </c>
      <c r="EQ77">
        <v>0</v>
      </c>
      <c r="ER77">
        <v>512.76</v>
      </c>
      <c r="ES77">
        <v>0</v>
      </c>
      <c r="ET77">
        <v>402.43</v>
      </c>
      <c r="EU77">
        <v>81.58</v>
      </c>
      <c r="EV77">
        <v>110.33</v>
      </c>
      <c r="EW77">
        <v>11.7</v>
      </c>
      <c r="EX77">
        <v>0</v>
      </c>
      <c r="EY77">
        <v>0</v>
      </c>
      <c r="FQ77">
        <v>0</v>
      </c>
      <c r="FR77">
        <f t="shared" ref="FR77:FR82" si="144">ROUND(IF(AND(BH77=3,BI77=3),P77,0),2)</f>
        <v>0</v>
      </c>
      <c r="FS77">
        <v>0</v>
      </c>
      <c r="FX77">
        <v>80</v>
      </c>
      <c r="FY77">
        <v>55</v>
      </c>
      <c r="GA77" t="s">
        <v>5</v>
      </c>
      <c r="GD77">
        <v>0</v>
      </c>
      <c r="GF77">
        <v>-1972224145</v>
      </c>
      <c r="GG77">
        <v>2</v>
      </c>
      <c r="GH77">
        <v>1</v>
      </c>
      <c r="GI77">
        <v>2</v>
      </c>
      <c r="GJ77">
        <v>0</v>
      </c>
      <c r="GK77">
        <f>ROUND(R77*(R12)/100,2)</f>
        <v>42.74</v>
      </c>
      <c r="GL77">
        <f t="shared" ref="GL77:GL82" si="145">ROUND(IF(AND(BH77=3,BI77=3,FS77&lt;&gt;0),P77,0),2)</f>
        <v>0</v>
      </c>
      <c r="GM77">
        <f t="shared" ref="GM77:GM82" si="146">ROUND(O77+X77+Y77+GK77,2)+GX77</f>
        <v>183.7</v>
      </c>
      <c r="GN77">
        <f t="shared" ref="GN77:GN82" si="147">IF(OR(BI77=0,BI77=1),ROUND(O77+X77+Y77+GK77,2),0)</f>
        <v>183.7</v>
      </c>
      <c r="GO77">
        <f t="shared" ref="GO77:GO82" si="148">IF(BI77=2,ROUND(O77+X77+Y77+GK77,2),0)</f>
        <v>0</v>
      </c>
      <c r="GP77">
        <f t="shared" ref="GP77:GP82" si="149">IF(BI77=4,ROUND(O77+X77+Y77+GK77,2)+GX77,0)</f>
        <v>0</v>
      </c>
      <c r="GR77">
        <v>0</v>
      </c>
      <c r="GS77">
        <v>0</v>
      </c>
      <c r="GT77">
        <v>0</v>
      </c>
      <c r="GU77" t="s">
        <v>5</v>
      </c>
      <c r="GV77">
        <f t="shared" ref="GV77:GV82" si="150">ROUND((GT77),6)</f>
        <v>0</v>
      </c>
      <c r="GW77">
        <v>1</v>
      </c>
      <c r="GX77">
        <f t="shared" ref="GX77:GX82" si="151">ROUND(HC77*I77,2)</f>
        <v>0</v>
      </c>
      <c r="HA77">
        <v>0</v>
      </c>
      <c r="HB77">
        <v>0</v>
      </c>
      <c r="HC77">
        <f t="shared" ref="HC77:HC82" si="152">GV77*GW77</f>
        <v>0</v>
      </c>
      <c r="IK77">
        <v>0</v>
      </c>
    </row>
    <row r="78" spans="1:245" x14ac:dyDescent="0.2">
      <c r="A78">
        <v>17</v>
      </c>
      <c r="B78">
        <v>1</v>
      </c>
      <c r="C78">
        <f>ROW(SmtRes!A153)</f>
        <v>153</v>
      </c>
      <c r="D78">
        <f>ROW(EtalonRes!A153)</f>
        <v>153</v>
      </c>
      <c r="E78" t="s">
        <v>177</v>
      </c>
      <c r="F78" t="s">
        <v>43</v>
      </c>
      <c r="G78" t="s">
        <v>44</v>
      </c>
      <c r="H78" t="s">
        <v>38</v>
      </c>
      <c r="I78">
        <f>ROUND(I77*100*1.4,9)</f>
        <v>2.08656</v>
      </c>
      <c r="J78">
        <v>0</v>
      </c>
      <c r="O78">
        <f t="shared" si="117"/>
        <v>154.11000000000001</v>
      </c>
      <c r="P78">
        <f t="shared" si="118"/>
        <v>0</v>
      </c>
      <c r="Q78">
        <f t="shared" si="119"/>
        <v>154.11000000000001</v>
      </c>
      <c r="R78">
        <f t="shared" si="120"/>
        <v>69.22</v>
      </c>
      <c r="S78">
        <f t="shared" si="121"/>
        <v>0</v>
      </c>
      <c r="T78">
        <f t="shared" si="122"/>
        <v>0</v>
      </c>
      <c r="U78">
        <f t="shared" si="123"/>
        <v>0</v>
      </c>
      <c r="V78">
        <f t="shared" si="124"/>
        <v>0</v>
      </c>
      <c r="W78">
        <f t="shared" si="125"/>
        <v>0</v>
      </c>
      <c r="X78">
        <f t="shared" si="126"/>
        <v>0</v>
      </c>
      <c r="Y78">
        <f t="shared" si="126"/>
        <v>0</v>
      </c>
      <c r="AA78">
        <v>44169784</v>
      </c>
      <c r="AB78">
        <f t="shared" si="127"/>
        <v>8.86</v>
      </c>
      <c r="AC78">
        <f t="shared" si="128"/>
        <v>0</v>
      </c>
      <c r="AD78">
        <f t="shared" si="129"/>
        <v>8.86</v>
      </c>
      <c r="AE78">
        <f t="shared" si="130"/>
        <v>1.48</v>
      </c>
      <c r="AF78">
        <f t="shared" si="130"/>
        <v>0</v>
      </c>
      <c r="AG78">
        <f t="shared" si="131"/>
        <v>0</v>
      </c>
      <c r="AH78">
        <f t="shared" si="132"/>
        <v>0</v>
      </c>
      <c r="AI78">
        <f t="shared" si="132"/>
        <v>0</v>
      </c>
      <c r="AJ78">
        <f t="shared" si="133"/>
        <v>0</v>
      </c>
      <c r="AK78">
        <v>8.86</v>
      </c>
      <c r="AL78">
        <v>0</v>
      </c>
      <c r="AM78">
        <v>8.86</v>
      </c>
      <c r="AN78">
        <v>1.48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73</v>
      </c>
      <c r="AU78">
        <v>41</v>
      </c>
      <c r="AV78">
        <v>1.0469999999999999</v>
      </c>
      <c r="AW78">
        <v>1.002</v>
      </c>
      <c r="AZ78">
        <v>1</v>
      </c>
      <c r="BA78">
        <v>21.43</v>
      </c>
      <c r="BB78">
        <v>7.96</v>
      </c>
      <c r="BC78">
        <v>1</v>
      </c>
      <c r="BD78" t="s">
        <v>5</v>
      </c>
      <c r="BE78" t="s">
        <v>5</v>
      </c>
      <c r="BF78" t="s">
        <v>5</v>
      </c>
      <c r="BG78" t="s">
        <v>5</v>
      </c>
      <c r="BH78">
        <v>0</v>
      </c>
      <c r="BI78">
        <v>1</v>
      </c>
      <c r="BJ78" t="s">
        <v>45</v>
      </c>
      <c r="BM78">
        <v>658</v>
      </c>
      <c r="BN78">
        <v>0</v>
      </c>
      <c r="BO78" t="s">
        <v>43</v>
      </c>
      <c r="BP78">
        <v>1</v>
      </c>
      <c r="BQ78">
        <v>60</v>
      </c>
      <c r="BR78">
        <v>0</v>
      </c>
      <c r="BS78">
        <v>21.43</v>
      </c>
      <c r="BT78">
        <v>1</v>
      </c>
      <c r="BU78">
        <v>1</v>
      </c>
      <c r="BV78">
        <v>1</v>
      </c>
      <c r="BW78">
        <v>1</v>
      </c>
      <c r="BX78">
        <v>1</v>
      </c>
      <c r="BY78" t="s">
        <v>5</v>
      </c>
      <c r="BZ78">
        <v>73</v>
      </c>
      <c r="CA78">
        <v>41</v>
      </c>
      <c r="CE78">
        <v>30</v>
      </c>
      <c r="CF78">
        <v>0</v>
      </c>
      <c r="CG78">
        <v>0</v>
      </c>
      <c r="CM78">
        <v>0</v>
      </c>
      <c r="CN78" t="s">
        <v>5</v>
      </c>
      <c r="CO78">
        <v>0</v>
      </c>
      <c r="CP78">
        <f t="shared" si="134"/>
        <v>154.11000000000001</v>
      </c>
      <c r="CQ78">
        <f t="shared" si="135"/>
        <v>0</v>
      </c>
      <c r="CR78">
        <f t="shared" si="136"/>
        <v>73.87</v>
      </c>
      <c r="CS78">
        <f t="shared" si="137"/>
        <v>33.22</v>
      </c>
      <c r="CT78">
        <f t="shared" si="138"/>
        <v>0</v>
      </c>
      <c r="CU78">
        <f t="shared" si="139"/>
        <v>0</v>
      </c>
      <c r="CV78">
        <f t="shared" si="140"/>
        <v>0</v>
      </c>
      <c r="CW78">
        <f t="shared" si="141"/>
        <v>0</v>
      </c>
      <c r="CX78">
        <f t="shared" si="141"/>
        <v>0</v>
      </c>
      <c r="CY78">
        <f t="shared" si="142"/>
        <v>0</v>
      </c>
      <c r="CZ78">
        <f t="shared" si="143"/>
        <v>0</v>
      </c>
      <c r="DC78" t="s">
        <v>5</v>
      </c>
      <c r="DD78" t="s">
        <v>5</v>
      </c>
      <c r="DE78" t="s">
        <v>5</v>
      </c>
      <c r="DF78" t="s">
        <v>5</v>
      </c>
      <c r="DG78" t="s">
        <v>5</v>
      </c>
      <c r="DH78" t="s">
        <v>5</v>
      </c>
      <c r="DI78" t="s">
        <v>5</v>
      </c>
      <c r="DJ78" t="s">
        <v>5</v>
      </c>
      <c r="DK78" t="s">
        <v>5</v>
      </c>
      <c r="DL78" t="s">
        <v>5</v>
      </c>
      <c r="DM78" t="s">
        <v>5</v>
      </c>
      <c r="DN78">
        <v>91</v>
      </c>
      <c r="DO78">
        <v>70</v>
      </c>
      <c r="DP78">
        <v>1.0469999999999999</v>
      </c>
      <c r="DQ78">
        <v>1.002</v>
      </c>
      <c r="DU78">
        <v>1013</v>
      </c>
      <c r="DV78" t="s">
        <v>38</v>
      </c>
      <c r="DW78" t="s">
        <v>38</v>
      </c>
      <c r="DX78">
        <v>1</v>
      </c>
      <c r="EE78">
        <v>44064477</v>
      </c>
      <c r="EF78">
        <v>60</v>
      </c>
      <c r="EG78" t="s">
        <v>28</v>
      </c>
      <c r="EH78">
        <v>0</v>
      </c>
      <c r="EI78" t="s">
        <v>5</v>
      </c>
      <c r="EJ78">
        <v>1</v>
      </c>
      <c r="EK78">
        <v>658</v>
      </c>
      <c r="EL78" t="s">
        <v>46</v>
      </c>
      <c r="EM78" t="s">
        <v>47</v>
      </c>
      <c r="EO78" t="s">
        <v>5</v>
      </c>
      <c r="EQ78">
        <v>0</v>
      </c>
      <c r="ER78">
        <v>8.86</v>
      </c>
      <c r="ES78">
        <v>0</v>
      </c>
      <c r="ET78">
        <v>8.86</v>
      </c>
      <c r="EU78">
        <v>1.48</v>
      </c>
      <c r="EV78">
        <v>0</v>
      </c>
      <c r="EW78">
        <v>0</v>
      </c>
      <c r="EX78">
        <v>0</v>
      </c>
      <c r="EY78">
        <v>0</v>
      </c>
      <c r="FQ78">
        <v>0</v>
      </c>
      <c r="FR78">
        <f t="shared" si="144"/>
        <v>0</v>
      </c>
      <c r="FS78">
        <v>0</v>
      </c>
      <c r="FX78">
        <v>91</v>
      </c>
      <c r="FY78">
        <v>70</v>
      </c>
      <c r="GA78" t="s">
        <v>5</v>
      </c>
      <c r="GD78">
        <v>0</v>
      </c>
      <c r="GF78">
        <v>-1983005167</v>
      </c>
      <c r="GG78">
        <v>2</v>
      </c>
      <c r="GH78">
        <v>1</v>
      </c>
      <c r="GI78">
        <v>2</v>
      </c>
      <c r="GJ78">
        <v>0</v>
      </c>
      <c r="GK78">
        <f>ROUND(R78*(R12)/100,2)</f>
        <v>108.68</v>
      </c>
      <c r="GL78">
        <f t="shared" si="145"/>
        <v>0</v>
      </c>
      <c r="GM78">
        <f t="shared" si="146"/>
        <v>262.79000000000002</v>
      </c>
      <c r="GN78">
        <f t="shared" si="147"/>
        <v>262.79000000000002</v>
      </c>
      <c r="GO78">
        <f t="shared" si="148"/>
        <v>0</v>
      </c>
      <c r="GP78">
        <f t="shared" si="149"/>
        <v>0</v>
      </c>
      <c r="GR78">
        <v>0</v>
      </c>
      <c r="GS78">
        <v>0</v>
      </c>
      <c r="GT78">
        <v>0</v>
      </c>
      <c r="GU78" t="s">
        <v>5</v>
      </c>
      <c r="GV78">
        <f t="shared" si="150"/>
        <v>0</v>
      </c>
      <c r="GW78">
        <v>1</v>
      </c>
      <c r="GX78">
        <f t="shared" si="151"/>
        <v>0</v>
      </c>
      <c r="HA78">
        <v>0</v>
      </c>
      <c r="HB78">
        <v>0</v>
      </c>
      <c r="HC78">
        <f t="shared" si="152"/>
        <v>0</v>
      </c>
      <c r="IK78">
        <v>0</v>
      </c>
    </row>
    <row r="79" spans="1:245" x14ac:dyDescent="0.2">
      <c r="A79">
        <v>17</v>
      </c>
      <c r="B79">
        <v>1</v>
      </c>
      <c r="C79">
        <f>ROW(SmtRes!A161)</f>
        <v>161</v>
      </c>
      <c r="D79">
        <f>ROW(EtalonRes!A161)</f>
        <v>161</v>
      </c>
      <c r="E79" t="s">
        <v>178</v>
      </c>
      <c r="F79" t="s">
        <v>49</v>
      </c>
      <c r="G79" t="s">
        <v>50</v>
      </c>
      <c r="H79" t="s">
        <v>51</v>
      </c>
      <c r="I79">
        <f>ROUND((12.42*0.25)/100,9)</f>
        <v>3.1050000000000001E-2</v>
      </c>
      <c r="J79">
        <v>0</v>
      </c>
      <c r="O79">
        <f t="shared" si="117"/>
        <v>326.39999999999998</v>
      </c>
      <c r="P79">
        <f t="shared" si="118"/>
        <v>5.0199999999999996</v>
      </c>
      <c r="Q79">
        <f t="shared" si="119"/>
        <v>215.94</v>
      </c>
      <c r="R79">
        <f t="shared" si="120"/>
        <v>82.93</v>
      </c>
      <c r="S79">
        <f t="shared" si="121"/>
        <v>105.44</v>
      </c>
      <c r="T79">
        <f t="shared" si="122"/>
        <v>0</v>
      </c>
      <c r="U79">
        <f t="shared" si="123"/>
        <v>0.46813463999999999</v>
      </c>
      <c r="V79">
        <f t="shared" si="124"/>
        <v>0</v>
      </c>
      <c r="W79">
        <f t="shared" si="125"/>
        <v>0</v>
      </c>
      <c r="X79">
        <f t="shared" si="126"/>
        <v>138.13</v>
      </c>
      <c r="Y79">
        <f t="shared" si="126"/>
        <v>56.94</v>
      </c>
      <c r="AA79">
        <v>44169784</v>
      </c>
      <c r="AB79">
        <f t="shared" si="127"/>
        <v>863.31</v>
      </c>
      <c r="AC79">
        <f t="shared" si="128"/>
        <v>35.35</v>
      </c>
      <c r="AD79">
        <f t="shared" si="129"/>
        <v>676.47</v>
      </c>
      <c r="AE79">
        <f t="shared" si="130"/>
        <v>119.05</v>
      </c>
      <c r="AF79">
        <f t="shared" si="130"/>
        <v>151.49</v>
      </c>
      <c r="AG79">
        <f t="shared" si="131"/>
        <v>0</v>
      </c>
      <c r="AH79">
        <f t="shared" si="132"/>
        <v>14.4</v>
      </c>
      <c r="AI79">
        <f t="shared" si="132"/>
        <v>0</v>
      </c>
      <c r="AJ79">
        <f t="shared" si="133"/>
        <v>0</v>
      </c>
      <c r="AK79">
        <v>863.31</v>
      </c>
      <c r="AL79">
        <v>35.35</v>
      </c>
      <c r="AM79">
        <v>676.47</v>
      </c>
      <c r="AN79">
        <v>119.05</v>
      </c>
      <c r="AO79">
        <v>151.49</v>
      </c>
      <c r="AP79">
        <v>0</v>
      </c>
      <c r="AQ79">
        <v>14.4</v>
      </c>
      <c r="AR79">
        <v>0</v>
      </c>
      <c r="AS79">
        <v>0</v>
      </c>
      <c r="AT79">
        <v>131</v>
      </c>
      <c r="AU79">
        <v>54</v>
      </c>
      <c r="AV79">
        <v>1.0469999999999999</v>
      </c>
      <c r="AW79">
        <v>1.002</v>
      </c>
      <c r="AZ79">
        <v>1</v>
      </c>
      <c r="BA79">
        <v>21.43</v>
      </c>
      <c r="BB79">
        <v>9.82</v>
      </c>
      <c r="BC79">
        <v>4.5599999999999996</v>
      </c>
      <c r="BD79" t="s">
        <v>5</v>
      </c>
      <c r="BE79" t="s">
        <v>5</v>
      </c>
      <c r="BF79" t="s">
        <v>5</v>
      </c>
      <c r="BG79" t="s">
        <v>5</v>
      </c>
      <c r="BH79">
        <v>0</v>
      </c>
      <c r="BI79">
        <v>1</v>
      </c>
      <c r="BJ79" t="s">
        <v>52</v>
      </c>
      <c r="BM79">
        <v>146</v>
      </c>
      <c r="BN79">
        <v>0</v>
      </c>
      <c r="BO79" t="s">
        <v>49</v>
      </c>
      <c r="BP79">
        <v>1</v>
      </c>
      <c r="BQ79">
        <v>30</v>
      </c>
      <c r="BR79">
        <v>0</v>
      </c>
      <c r="BS79">
        <v>21.43</v>
      </c>
      <c r="BT79">
        <v>1</v>
      </c>
      <c r="BU79">
        <v>1</v>
      </c>
      <c r="BV79">
        <v>1</v>
      </c>
      <c r="BW79">
        <v>1</v>
      </c>
      <c r="BX79">
        <v>1</v>
      </c>
      <c r="BY79" t="s">
        <v>5</v>
      </c>
      <c r="BZ79">
        <v>131</v>
      </c>
      <c r="CA79">
        <v>54</v>
      </c>
      <c r="CE79">
        <v>30</v>
      </c>
      <c r="CF79">
        <v>0</v>
      </c>
      <c r="CG79">
        <v>0</v>
      </c>
      <c r="CM79">
        <v>0</v>
      </c>
      <c r="CN79" t="s">
        <v>5</v>
      </c>
      <c r="CO79">
        <v>0</v>
      </c>
      <c r="CP79">
        <f t="shared" si="134"/>
        <v>326.39999999999998</v>
      </c>
      <c r="CQ79">
        <f t="shared" si="135"/>
        <v>161.52000000000001</v>
      </c>
      <c r="CR79">
        <f t="shared" si="136"/>
        <v>6955.11</v>
      </c>
      <c r="CS79">
        <f t="shared" si="137"/>
        <v>2671.25</v>
      </c>
      <c r="CT79">
        <f t="shared" si="138"/>
        <v>3399.01</v>
      </c>
      <c r="CU79">
        <f t="shared" si="139"/>
        <v>0</v>
      </c>
      <c r="CV79">
        <f t="shared" si="140"/>
        <v>15.076799999999999</v>
      </c>
      <c r="CW79">
        <f t="shared" si="141"/>
        <v>0</v>
      </c>
      <c r="CX79">
        <f t="shared" si="141"/>
        <v>0</v>
      </c>
      <c r="CY79">
        <f t="shared" si="142"/>
        <v>138.12639999999999</v>
      </c>
      <c r="CZ79">
        <f t="shared" si="143"/>
        <v>56.937600000000003</v>
      </c>
      <c r="DC79" t="s">
        <v>5</v>
      </c>
      <c r="DD79" t="s">
        <v>5</v>
      </c>
      <c r="DE79" t="s">
        <v>5</v>
      </c>
      <c r="DF79" t="s">
        <v>5</v>
      </c>
      <c r="DG79" t="s">
        <v>5</v>
      </c>
      <c r="DH79" t="s">
        <v>5</v>
      </c>
      <c r="DI79" t="s">
        <v>5</v>
      </c>
      <c r="DJ79" t="s">
        <v>5</v>
      </c>
      <c r="DK79" t="s">
        <v>5</v>
      </c>
      <c r="DL79" t="s">
        <v>5</v>
      </c>
      <c r="DM79" t="s">
        <v>5</v>
      </c>
      <c r="DN79">
        <v>161</v>
      </c>
      <c r="DO79">
        <v>107</v>
      </c>
      <c r="DP79">
        <v>1.0469999999999999</v>
      </c>
      <c r="DQ79">
        <v>1.002</v>
      </c>
      <c r="DU79">
        <v>1013</v>
      </c>
      <c r="DV79" t="s">
        <v>51</v>
      </c>
      <c r="DW79" t="s">
        <v>51</v>
      </c>
      <c r="DX79">
        <v>1</v>
      </c>
      <c r="EE79">
        <v>44063965</v>
      </c>
      <c r="EF79">
        <v>30</v>
      </c>
      <c r="EG79" t="s">
        <v>53</v>
      </c>
      <c r="EH79">
        <v>0</v>
      </c>
      <c r="EI79" t="s">
        <v>5</v>
      </c>
      <c r="EJ79">
        <v>1</v>
      </c>
      <c r="EK79">
        <v>146</v>
      </c>
      <c r="EL79" t="s">
        <v>54</v>
      </c>
      <c r="EM79" t="s">
        <v>55</v>
      </c>
      <c r="EO79" t="s">
        <v>5</v>
      </c>
      <c r="EQ79">
        <v>0</v>
      </c>
      <c r="ER79">
        <v>863.31</v>
      </c>
      <c r="ES79">
        <v>35.35</v>
      </c>
      <c r="ET79">
        <v>676.47</v>
      </c>
      <c r="EU79">
        <v>119.05</v>
      </c>
      <c r="EV79">
        <v>151.49</v>
      </c>
      <c r="EW79">
        <v>14.4</v>
      </c>
      <c r="EX79">
        <v>0</v>
      </c>
      <c r="EY79">
        <v>0</v>
      </c>
      <c r="FQ79">
        <v>0</v>
      </c>
      <c r="FR79">
        <f t="shared" si="144"/>
        <v>0</v>
      </c>
      <c r="FS79">
        <v>0</v>
      </c>
      <c r="FX79">
        <v>161</v>
      </c>
      <c r="FY79">
        <v>107</v>
      </c>
      <c r="GA79" t="s">
        <v>5</v>
      </c>
      <c r="GD79">
        <v>0</v>
      </c>
      <c r="GF79">
        <v>-1939963274</v>
      </c>
      <c r="GG79">
        <v>2</v>
      </c>
      <c r="GH79">
        <v>1</v>
      </c>
      <c r="GI79">
        <v>2</v>
      </c>
      <c r="GJ79">
        <v>0</v>
      </c>
      <c r="GK79">
        <f>ROUND(R79*(R12)/100,2)</f>
        <v>130.19999999999999</v>
      </c>
      <c r="GL79">
        <f t="shared" si="145"/>
        <v>0</v>
      </c>
      <c r="GM79">
        <f t="shared" si="146"/>
        <v>651.66999999999996</v>
      </c>
      <c r="GN79">
        <f t="shared" si="147"/>
        <v>651.66999999999996</v>
      </c>
      <c r="GO79">
        <f t="shared" si="148"/>
        <v>0</v>
      </c>
      <c r="GP79">
        <f t="shared" si="149"/>
        <v>0</v>
      </c>
      <c r="GR79">
        <v>0</v>
      </c>
      <c r="GS79">
        <v>0</v>
      </c>
      <c r="GT79">
        <v>0</v>
      </c>
      <c r="GU79" t="s">
        <v>5</v>
      </c>
      <c r="GV79">
        <f t="shared" si="150"/>
        <v>0</v>
      </c>
      <c r="GW79">
        <v>1</v>
      </c>
      <c r="GX79">
        <f t="shared" si="151"/>
        <v>0</v>
      </c>
      <c r="HA79">
        <v>0</v>
      </c>
      <c r="HB79">
        <v>0</v>
      </c>
      <c r="HC79">
        <f t="shared" si="152"/>
        <v>0</v>
      </c>
      <c r="IK79">
        <v>0</v>
      </c>
    </row>
    <row r="80" spans="1:245" x14ac:dyDescent="0.2">
      <c r="A80">
        <v>18</v>
      </c>
      <c r="B80">
        <v>1</v>
      </c>
      <c r="C80">
        <v>161</v>
      </c>
      <c r="E80" t="s">
        <v>179</v>
      </c>
      <c r="F80" t="s">
        <v>57</v>
      </c>
      <c r="G80" t="s">
        <v>58</v>
      </c>
      <c r="H80" t="s">
        <v>59</v>
      </c>
      <c r="I80">
        <f>I79*J80</f>
        <v>3.4155000000000002</v>
      </c>
      <c r="J80">
        <v>110</v>
      </c>
      <c r="O80">
        <f t="shared" si="117"/>
        <v>1886.38</v>
      </c>
      <c r="P80">
        <f t="shared" si="118"/>
        <v>1886.38</v>
      </c>
      <c r="Q80">
        <f t="shared" si="119"/>
        <v>0</v>
      </c>
      <c r="R80">
        <f t="shared" si="120"/>
        <v>0</v>
      </c>
      <c r="S80">
        <f t="shared" si="121"/>
        <v>0</v>
      </c>
      <c r="T80">
        <f t="shared" si="122"/>
        <v>0</v>
      </c>
      <c r="U80">
        <f t="shared" si="123"/>
        <v>0</v>
      </c>
      <c r="V80">
        <f t="shared" si="124"/>
        <v>0</v>
      </c>
      <c r="W80">
        <f t="shared" si="125"/>
        <v>0</v>
      </c>
      <c r="X80">
        <f t="shared" si="126"/>
        <v>0</v>
      </c>
      <c r="Y80">
        <f t="shared" si="126"/>
        <v>0</v>
      </c>
      <c r="AA80">
        <v>44169784</v>
      </c>
      <c r="AB80">
        <f t="shared" si="127"/>
        <v>104.99</v>
      </c>
      <c r="AC80">
        <f t="shared" si="128"/>
        <v>104.99</v>
      </c>
      <c r="AD80">
        <f t="shared" si="129"/>
        <v>0</v>
      </c>
      <c r="AE80">
        <f t="shared" si="130"/>
        <v>0</v>
      </c>
      <c r="AF80">
        <f t="shared" si="130"/>
        <v>0</v>
      </c>
      <c r="AG80">
        <f t="shared" si="131"/>
        <v>0</v>
      </c>
      <c r="AH80">
        <f t="shared" si="132"/>
        <v>0</v>
      </c>
      <c r="AI80">
        <f t="shared" si="132"/>
        <v>0</v>
      </c>
      <c r="AJ80">
        <f t="shared" si="133"/>
        <v>0</v>
      </c>
      <c r="AK80">
        <v>104.99</v>
      </c>
      <c r="AL80">
        <v>104.99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1</v>
      </c>
      <c r="AW80">
        <v>1.002</v>
      </c>
      <c r="AZ80">
        <v>1</v>
      </c>
      <c r="BA80">
        <v>1</v>
      </c>
      <c r="BB80">
        <v>1</v>
      </c>
      <c r="BC80">
        <v>5.25</v>
      </c>
      <c r="BD80" t="s">
        <v>5</v>
      </c>
      <c r="BE80" t="s">
        <v>5</v>
      </c>
      <c r="BF80" t="s">
        <v>5</v>
      </c>
      <c r="BG80" t="s">
        <v>5</v>
      </c>
      <c r="BH80">
        <v>3</v>
      </c>
      <c r="BI80">
        <v>1</v>
      </c>
      <c r="BJ80" t="s">
        <v>60</v>
      </c>
      <c r="BM80">
        <v>146</v>
      </c>
      <c r="BN80">
        <v>0</v>
      </c>
      <c r="BO80" t="s">
        <v>57</v>
      </c>
      <c r="BP80">
        <v>1</v>
      </c>
      <c r="BQ80">
        <v>30</v>
      </c>
      <c r="BR80">
        <v>0</v>
      </c>
      <c r="BS80">
        <v>1</v>
      </c>
      <c r="BT80">
        <v>1</v>
      </c>
      <c r="BU80">
        <v>1</v>
      </c>
      <c r="BV80">
        <v>1</v>
      </c>
      <c r="BW80">
        <v>1</v>
      </c>
      <c r="BX80">
        <v>1</v>
      </c>
      <c r="BY80" t="s">
        <v>5</v>
      </c>
      <c r="BZ80">
        <v>0</v>
      </c>
      <c r="CA80">
        <v>0</v>
      </c>
      <c r="CE80">
        <v>30</v>
      </c>
      <c r="CF80">
        <v>0</v>
      </c>
      <c r="CG80">
        <v>0</v>
      </c>
      <c r="CM80">
        <v>0</v>
      </c>
      <c r="CN80" t="s">
        <v>5</v>
      </c>
      <c r="CO80">
        <v>0</v>
      </c>
      <c r="CP80">
        <f t="shared" si="134"/>
        <v>1886.38</v>
      </c>
      <c r="CQ80">
        <f t="shared" si="135"/>
        <v>552.29999999999995</v>
      </c>
      <c r="CR80">
        <f t="shared" si="136"/>
        <v>0</v>
      </c>
      <c r="CS80">
        <f t="shared" si="137"/>
        <v>0</v>
      </c>
      <c r="CT80">
        <f t="shared" si="138"/>
        <v>0</v>
      </c>
      <c r="CU80">
        <f t="shared" si="139"/>
        <v>0</v>
      </c>
      <c r="CV80">
        <f t="shared" si="140"/>
        <v>0</v>
      </c>
      <c r="CW80">
        <f t="shared" si="141"/>
        <v>0</v>
      </c>
      <c r="CX80">
        <f t="shared" si="141"/>
        <v>0</v>
      </c>
      <c r="CY80">
        <f t="shared" si="142"/>
        <v>0</v>
      </c>
      <c r="CZ80">
        <f t="shared" si="143"/>
        <v>0</v>
      </c>
      <c r="DC80" t="s">
        <v>5</v>
      </c>
      <c r="DD80" t="s">
        <v>5</v>
      </c>
      <c r="DE80" t="s">
        <v>5</v>
      </c>
      <c r="DF80" t="s">
        <v>5</v>
      </c>
      <c r="DG80" t="s">
        <v>5</v>
      </c>
      <c r="DH80" t="s">
        <v>5</v>
      </c>
      <c r="DI80" t="s">
        <v>5</v>
      </c>
      <c r="DJ80" t="s">
        <v>5</v>
      </c>
      <c r="DK80" t="s">
        <v>5</v>
      </c>
      <c r="DL80" t="s">
        <v>5</v>
      </c>
      <c r="DM80" t="s">
        <v>5</v>
      </c>
      <c r="DN80">
        <v>161</v>
      </c>
      <c r="DO80">
        <v>107</v>
      </c>
      <c r="DP80">
        <v>1.0469999999999999</v>
      </c>
      <c r="DQ80">
        <v>1.002</v>
      </c>
      <c r="DU80">
        <v>1007</v>
      </c>
      <c r="DV80" t="s">
        <v>59</v>
      </c>
      <c r="DW80" t="s">
        <v>59</v>
      </c>
      <c r="DX80">
        <v>1</v>
      </c>
      <c r="EE80">
        <v>44063965</v>
      </c>
      <c r="EF80">
        <v>30</v>
      </c>
      <c r="EG80" t="s">
        <v>53</v>
      </c>
      <c r="EH80">
        <v>0</v>
      </c>
      <c r="EI80" t="s">
        <v>5</v>
      </c>
      <c r="EJ80">
        <v>1</v>
      </c>
      <c r="EK80">
        <v>146</v>
      </c>
      <c r="EL80" t="s">
        <v>54</v>
      </c>
      <c r="EM80" t="s">
        <v>55</v>
      </c>
      <c r="EO80" t="s">
        <v>5</v>
      </c>
      <c r="EQ80">
        <v>0</v>
      </c>
      <c r="ER80">
        <v>104.99</v>
      </c>
      <c r="ES80">
        <v>104.99</v>
      </c>
      <c r="ET80">
        <v>0</v>
      </c>
      <c r="EU80">
        <v>0</v>
      </c>
      <c r="EV80">
        <v>0</v>
      </c>
      <c r="EW80">
        <v>0</v>
      </c>
      <c r="EX80">
        <v>0</v>
      </c>
      <c r="FQ80">
        <v>0</v>
      </c>
      <c r="FR80">
        <f t="shared" si="144"/>
        <v>0</v>
      </c>
      <c r="FS80">
        <v>0</v>
      </c>
      <c r="FX80">
        <v>161</v>
      </c>
      <c r="FY80">
        <v>107</v>
      </c>
      <c r="GA80" t="s">
        <v>5</v>
      </c>
      <c r="GD80">
        <v>0</v>
      </c>
      <c r="GF80">
        <v>2069056849</v>
      </c>
      <c r="GG80">
        <v>2</v>
      </c>
      <c r="GH80">
        <v>1</v>
      </c>
      <c r="GI80">
        <v>2</v>
      </c>
      <c r="GJ80">
        <v>0</v>
      </c>
      <c r="GK80">
        <f>ROUND(R80*(R12)/100,2)</f>
        <v>0</v>
      </c>
      <c r="GL80">
        <f t="shared" si="145"/>
        <v>0</v>
      </c>
      <c r="GM80">
        <f t="shared" si="146"/>
        <v>1886.38</v>
      </c>
      <c r="GN80">
        <f t="shared" si="147"/>
        <v>1886.38</v>
      </c>
      <c r="GO80">
        <f t="shared" si="148"/>
        <v>0</v>
      </c>
      <c r="GP80">
        <f t="shared" si="149"/>
        <v>0</v>
      </c>
      <c r="GR80">
        <v>0</v>
      </c>
      <c r="GS80">
        <v>3</v>
      </c>
      <c r="GT80">
        <v>0</v>
      </c>
      <c r="GU80" t="s">
        <v>5</v>
      </c>
      <c r="GV80">
        <f t="shared" si="150"/>
        <v>0</v>
      </c>
      <c r="GW80">
        <v>1</v>
      </c>
      <c r="GX80">
        <f t="shared" si="151"/>
        <v>0</v>
      </c>
      <c r="HA80">
        <v>0</v>
      </c>
      <c r="HB80">
        <v>0</v>
      </c>
      <c r="HC80">
        <f t="shared" si="152"/>
        <v>0</v>
      </c>
      <c r="IK80">
        <v>0</v>
      </c>
    </row>
    <row r="81" spans="1:245" x14ac:dyDescent="0.2">
      <c r="A81">
        <v>17</v>
      </c>
      <c r="B81">
        <v>1</v>
      </c>
      <c r="C81">
        <f>ROW(SmtRes!A166)</f>
        <v>166</v>
      </c>
      <c r="D81">
        <f>ROW(EtalonRes!A166)</f>
        <v>166</v>
      </c>
      <c r="E81" t="s">
        <v>180</v>
      </c>
      <c r="F81" t="s">
        <v>129</v>
      </c>
      <c r="G81" t="s">
        <v>130</v>
      </c>
      <c r="H81" t="s">
        <v>131</v>
      </c>
      <c r="I81">
        <f>ROUND(12.42/100,9)</f>
        <v>0.1242</v>
      </c>
      <c r="J81">
        <v>0</v>
      </c>
      <c r="O81">
        <f t="shared" si="117"/>
        <v>1062.55</v>
      </c>
      <c r="P81">
        <f t="shared" si="118"/>
        <v>8.0299999999999994</v>
      </c>
      <c r="Q81">
        <f t="shared" si="119"/>
        <v>297.39999999999998</v>
      </c>
      <c r="R81">
        <f t="shared" si="120"/>
        <v>120.22</v>
      </c>
      <c r="S81">
        <f t="shared" si="121"/>
        <v>757.12</v>
      </c>
      <c r="T81">
        <f t="shared" si="122"/>
        <v>0</v>
      </c>
      <c r="U81">
        <f t="shared" si="123"/>
        <v>3.1599088200000001</v>
      </c>
      <c r="V81">
        <f t="shared" si="124"/>
        <v>0</v>
      </c>
      <c r="W81">
        <f t="shared" si="125"/>
        <v>0</v>
      </c>
      <c r="X81">
        <f t="shared" si="126"/>
        <v>802.55</v>
      </c>
      <c r="Y81">
        <f t="shared" si="126"/>
        <v>310.42</v>
      </c>
      <c r="AA81">
        <v>44169784</v>
      </c>
      <c r="AB81">
        <f t="shared" si="127"/>
        <v>462.15</v>
      </c>
      <c r="AC81">
        <f t="shared" si="128"/>
        <v>14.14</v>
      </c>
      <c r="AD81">
        <f t="shared" si="129"/>
        <v>176.34</v>
      </c>
      <c r="AE81">
        <f t="shared" si="130"/>
        <v>43.15</v>
      </c>
      <c r="AF81">
        <f t="shared" si="130"/>
        <v>271.67</v>
      </c>
      <c r="AG81">
        <f t="shared" si="131"/>
        <v>0</v>
      </c>
      <c r="AH81">
        <f t="shared" si="132"/>
        <v>24.3</v>
      </c>
      <c r="AI81">
        <f t="shared" si="132"/>
        <v>0</v>
      </c>
      <c r="AJ81">
        <f t="shared" si="133"/>
        <v>0</v>
      </c>
      <c r="AK81">
        <v>462.15</v>
      </c>
      <c r="AL81">
        <v>14.14</v>
      </c>
      <c r="AM81">
        <v>176.34</v>
      </c>
      <c r="AN81">
        <v>43.15</v>
      </c>
      <c r="AO81">
        <v>271.67</v>
      </c>
      <c r="AP81">
        <v>0</v>
      </c>
      <c r="AQ81">
        <v>24.3</v>
      </c>
      <c r="AR81">
        <v>0</v>
      </c>
      <c r="AS81">
        <v>0</v>
      </c>
      <c r="AT81">
        <v>106</v>
      </c>
      <c r="AU81">
        <v>41</v>
      </c>
      <c r="AV81">
        <v>1.0469999999999999</v>
      </c>
      <c r="AW81">
        <v>1.002</v>
      </c>
      <c r="AZ81">
        <v>1</v>
      </c>
      <c r="BA81">
        <v>21.43</v>
      </c>
      <c r="BB81">
        <v>12.97</v>
      </c>
      <c r="BC81">
        <v>4.5599999999999996</v>
      </c>
      <c r="BD81" t="s">
        <v>5</v>
      </c>
      <c r="BE81" t="s">
        <v>5</v>
      </c>
      <c r="BF81" t="s">
        <v>5</v>
      </c>
      <c r="BG81" t="s">
        <v>5</v>
      </c>
      <c r="BH81">
        <v>0</v>
      </c>
      <c r="BI81">
        <v>1</v>
      </c>
      <c r="BJ81" t="s">
        <v>132</v>
      </c>
      <c r="BM81">
        <v>160</v>
      </c>
      <c r="BN81">
        <v>0</v>
      </c>
      <c r="BO81" t="s">
        <v>129</v>
      </c>
      <c r="BP81">
        <v>1</v>
      </c>
      <c r="BQ81">
        <v>30</v>
      </c>
      <c r="BR81">
        <v>0</v>
      </c>
      <c r="BS81">
        <v>21.43</v>
      </c>
      <c r="BT81">
        <v>1</v>
      </c>
      <c r="BU81">
        <v>1</v>
      </c>
      <c r="BV81">
        <v>1</v>
      </c>
      <c r="BW81">
        <v>1</v>
      </c>
      <c r="BX81">
        <v>1</v>
      </c>
      <c r="BY81" t="s">
        <v>5</v>
      </c>
      <c r="BZ81">
        <v>106</v>
      </c>
      <c r="CA81">
        <v>41</v>
      </c>
      <c r="CE81">
        <v>30</v>
      </c>
      <c r="CF81">
        <v>0</v>
      </c>
      <c r="CG81">
        <v>0</v>
      </c>
      <c r="CM81">
        <v>0</v>
      </c>
      <c r="CN81" t="s">
        <v>5</v>
      </c>
      <c r="CO81">
        <v>0</v>
      </c>
      <c r="CP81">
        <f t="shared" si="134"/>
        <v>1062.55</v>
      </c>
      <c r="CQ81">
        <f t="shared" si="135"/>
        <v>64.62</v>
      </c>
      <c r="CR81">
        <f t="shared" si="136"/>
        <v>2394.65</v>
      </c>
      <c r="CS81">
        <f t="shared" si="137"/>
        <v>968.21</v>
      </c>
      <c r="CT81">
        <f t="shared" si="138"/>
        <v>6095.55</v>
      </c>
      <c r="CU81">
        <f t="shared" si="139"/>
        <v>0</v>
      </c>
      <c r="CV81">
        <f t="shared" si="140"/>
        <v>25.4421</v>
      </c>
      <c r="CW81">
        <f t="shared" si="141"/>
        <v>0</v>
      </c>
      <c r="CX81">
        <f t="shared" si="141"/>
        <v>0</v>
      </c>
      <c r="CY81">
        <f t="shared" si="142"/>
        <v>802.54720000000009</v>
      </c>
      <c r="CZ81">
        <f t="shared" si="143"/>
        <v>310.41919999999999</v>
      </c>
      <c r="DC81" t="s">
        <v>5</v>
      </c>
      <c r="DD81" t="s">
        <v>5</v>
      </c>
      <c r="DE81" t="s">
        <v>5</v>
      </c>
      <c r="DF81" t="s">
        <v>5</v>
      </c>
      <c r="DG81" t="s">
        <v>5</v>
      </c>
      <c r="DH81" t="s">
        <v>5</v>
      </c>
      <c r="DI81" t="s">
        <v>5</v>
      </c>
      <c r="DJ81" t="s">
        <v>5</v>
      </c>
      <c r="DK81" t="s">
        <v>5</v>
      </c>
      <c r="DL81" t="s">
        <v>5</v>
      </c>
      <c r="DM81" t="s">
        <v>5</v>
      </c>
      <c r="DN81">
        <v>134</v>
      </c>
      <c r="DO81">
        <v>83</v>
      </c>
      <c r="DP81">
        <v>1.0469999999999999</v>
      </c>
      <c r="DQ81">
        <v>1.002</v>
      </c>
      <c r="DU81">
        <v>1013</v>
      </c>
      <c r="DV81" t="s">
        <v>131</v>
      </c>
      <c r="DW81" t="s">
        <v>131</v>
      </c>
      <c r="DX81">
        <v>1</v>
      </c>
      <c r="EE81">
        <v>44063979</v>
      </c>
      <c r="EF81">
        <v>30</v>
      </c>
      <c r="EG81" t="s">
        <v>53</v>
      </c>
      <c r="EH81">
        <v>0</v>
      </c>
      <c r="EI81" t="s">
        <v>5</v>
      </c>
      <c r="EJ81">
        <v>1</v>
      </c>
      <c r="EK81">
        <v>160</v>
      </c>
      <c r="EL81" t="s">
        <v>133</v>
      </c>
      <c r="EM81" t="s">
        <v>134</v>
      </c>
      <c r="EO81" t="s">
        <v>5</v>
      </c>
      <c r="EQ81">
        <v>0</v>
      </c>
      <c r="ER81">
        <v>462.15</v>
      </c>
      <c r="ES81">
        <v>14.14</v>
      </c>
      <c r="ET81">
        <v>176.34</v>
      </c>
      <c r="EU81">
        <v>43.15</v>
      </c>
      <c r="EV81">
        <v>271.67</v>
      </c>
      <c r="EW81">
        <v>24.3</v>
      </c>
      <c r="EX81">
        <v>0</v>
      </c>
      <c r="EY81">
        <v>0</v>
      </c>
      <c r="FQ81">
        <v>0</v>
      </c>
      <c r="FR81">
        <f t="shared" si="144"/>
        <v>0</v>
      </c>
      <c r="FS81">
        <v>0</v>
      </c>
      <c r="FX81">
        <v>134</v>
      </c>
      <c r="FY81">
        <v>83</v>
      </c>
      <c r="GA81" t="s">
        <v>5</v>
      </c>
      <c r="GD81">
        <v>0</v>
      </c>
      <c r="GF81">
        <v>73681226</v>
      </c>
      <c r="GG81">
        <v>2</v>
      </c>
      <c r="GH81">
        <v>1</v>
      </c>
      <c r="GI81">
        <v>2</v>
      </c>
      <c r="GJ81">
        <v>0</v>
      </c>
      <c r="GK81">
        <f>ROUND(R81*(R12)/100,2)</f>
        <v>188.75</v>
      </c>
      <c r="GL81">
        <f t="shared" si="145"/>
        <v>0</v>
      </c>
      <c r="GM81">
        <f t="shared" si="146"/>
        <v>2364.27</v>
      </c>
      <c r="GN81">
        <f t="shared" si="147"/>
        <v>2364.27</v>
      </c>
      <c r="GO81">
        <f t="shared" si="148"/>
        <v>0</v>
      </c>
      <c r="GP81">
        <f t="shared" si="149"/>
        <v>0</v>
      </c>
      <c r="GR81">
        <v>0</v>
      </c>
      <c r="GS81">
        <v>0</v>
      </c>
      <c r="GT81">
        <v>0</v>
      </c>
      <c r="GU81" t="s">
        <v>5</v>
      </c>
      <c r="GV81">
        <f t="shared" si="150"/>
        <v>0</v>
      </c>
      <c r="GW81">
        <v>1</v>
      </c>
      <c r="GX81">
        <f t="shared" si="151"/>
        <v>0</v>
      </c>
      <c r="HA81">
        <v>0</v>
      </c>
      <c r="HB81">
        <v>0</v>
      </c>
      <c r="HC81">
        <f t="shared" si="152"/>
        <v>0</v>
      </c>
      <c r="IK81">
        <v>0</v>
      </c>
    </row>
    <row r="82" spans="1:245" x14ac:dyDescent="0.2">
      <c r="A82">
        <v>18</v>
      </c>
      <c r="B82">
        <v>1</v>
      </c>
      <c r="C82">
        <v>166</v>
      </c>
      <c r="E82" t="s">
        <v>181</v>
      </c>
      <c r="F82" t="s">
        <v>182</v>
      </c>
      <c r="G82" t="s">
        <v>183</v>
      </c>
      <c r="H82" t="s">
        <v>59</v>
      </c>
      <c r="I82">
        <f>I81*J82</f>
        <v>2.1610800000000001</v>
      </c>
      <c r="J82">
        <v>17.399999999999999</v>
      </c>
      <c r="O82">
        <f t="shared" si="117"/>
        <v>4819.71</v>
      </c>
      <c r="P82">
        <f t="shared" si="118"/>
        <v>4819.71</v>
      </c>
      <c r="Q82">
        <f t="shared" si="119"/>
        <v>0</v>
      </c>
      <c r="R82">
        <f t="shared" si="120"/>
        <v>0</v>
      </c>
      <c r="S82">
        <f t="shared" si="121"/>
        <v>0</v>
      </c>
      <c r="T82">
        <f t="shared" si="122"/>
        <v>0</v>
      </c>
      <c r="U82">
        <f t="shared" si="123"/>
        <v>0</v>
      </c>
      <c r="V82">
        <f t="shared" si="124"/>
        <v>0</v>
      </c>
      <c r="W82">
        <f t="shared" si="125"/>
        <v>0</v>
      </c>
      <c r="X82">
        <f t="shared" si="126"/>
        <v>0</v>
      </c>
      <c r="Y82">
        <f t="shared" si="126"/>
        <v>0</v>
      </c>
      <c r="AA82">
        <v>44169784</v>
      </c>
      <c r="AB82">
        <f t="shared" si="127"/>
        <v>250.65</v>
      </c>
      <c r="AC82">
        <f t="shared" si="128"/>
        <v>250.65</v>
      </c>
      <c r="AD82">
        <f t="shared" si="129"/>
        <v>0</v>
      </c>
      <c r="AE82">
        <f t="shared" si="130"/>
        <v>0</v>
      </c>
      <c r="AF82">
        <f t="shared" si="130"/>
        <v>0</v>
      </c>
      <c r="AG82">
        <f t="shared" si="131"/>
        <v>0</v>
      </c>
      <c r="AH82">
        <f t="shared" si="132"/>
        <v>0</v>
      </c>
      <c r="AI82">
        <f t="shared" si="132"/>
        <v>0</v>
      </c>
      <c r="AJ82">
        <f t="shared" si="133"/>
        <v>0</v>
      </c>
      <c r="AK82">
        <v>250.65</v>
      </c>
      <c r="AL82">
        <v>250.65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1</v>
      </c>
      <c r="AW82">
        <v>1.002</v>
      </c>
      <c r="AZ82">
        <v>1</v>
      </c>
      <c r="BA82">
        <v>1</v>
      </c>
      <c r="BB82">
        <v>1</v>
      </c>
      <c r="BC82">
        <v>8.8800000000000008</v>
      </c>
      <c r="BD82" t="s">
        <v>5</v>
      </c>
      <c r="BE82" t="s">
        <v>5</v>
      </c>
      <c r="BF82" t="s">
        <v>5</v>
      </c>
      <c r="BG82" t="s">
        <v>5</v>
      </c>
      <c r="BH82">
        <v>3</v>
      </c>
      <c r="BI82">
        <v>1</v>
      </c>
      <c r="BJ82" t="s">
        <v>184</v>
      </c>
      <c r="BM82">
        <v>160</v>
      </c>
      <c r="BN82">
        <v>0</v>
      </c>
      <c r="BO82" t="s">
        <v>182</v>
      </c>
      <c r="BP82">
        <v>1</v>
      </c>
      <c r="BQ82">
        <v>30</v>
      </c>
      <c r="BR82">
        <v>0</v>
      </c>
      <c r="BS82">
        <v>1</v>
      </c>
      <c r="BT82">
        <v>1</v>
      </c>
      <c r="BU82">
        <v>1</v>
      </c>
      <c r="BV82">
        <v>1</v>
      </c>
      <c r="BW82">
        <v>1</v>
      </c>
      <c r="BX82">
        <v>1</v>
      </c>
      <c r="BY82" t="s">
        <v>5</v>
      </c>
      <c r="BZ82">
        <v>0</v>
      </c>
      <c r="CA82">
        <v>0</v>
      </c>
      <c r="CE82">
        <v>30</v>
      </c>
      <c r="CF82">
        <v>0</v>
      </c>
      <c r="CG82">
        <v>0</v>
      </c>
      <c r="CM82">
        <v>0</v>
      </c>
      <c r="CN82" t="s">
        <v>5</v>
      </c>
      <c r="CO82">
        <v>0</v>
      </c>
      <c r="CP82">
        <f t="shared" si="134"/>
        <v>4819.71</v>
      </c>
      <c r="CQ82">
        <f t="shared" si="135"/>
        <v>2230.21</v>
      </c>
      <c r="CR82">
        <f t="shared" si="136"/>
        <v>0</v>
      </c>
      <c r="CS82">
        <f t="shared" si="137"/>
        <v>0</v>
      </c>
      <c r="CT82">
        <f t="shared" si="138"/>
        <v>0</v>
      </c>
      <c r="CU82">
        <f t="shared" si="139"/>
        <v>0</v>
      </c>
      <c r="CV82">
        <f t="shared" si="140"/>
        <v>0</v>
      </c>
      <c r="CW82">
        <f t="shared" si="141"/>
        <v>0</v>
      </c>
      <c r="CX82">
        <f t="shared" si="141"/>
        <v>0</v>
      </c>
      <c r="CY82">
        <f t="shared" si="142"/>
        <v>0</v>
      </c>
      <c r="CZ82">
        <f t="shared" si="143"/>
        <v>0</v>
      </c>
      <c r="DC82" t="s">
        <v>5</v>
      </c>
      <c r="DD82" t="s">
        <v>5</v>
      </c>
      <c r="DE82" t="s">
        <v>5</v>
      </c>
      <c r="DF82" t="s">
        <v>5</v>
      </c>
      <c r="DG82" t="s">
        <v>5</v>
      </c>
      <c r="DH82" t="s">
        <v>5</v>
      </c>
      <c r="DI82" t="s">
        <v>5</v>
      </c>
      <c r="DJ82" t="s">
        <v>5</v>
      </c>
      <c r="DK82" t="s">
        <v>5</v>
      </c>
      <c r="DL82" t="s">
        <v>5</v>
      </c>
      <c r="DM82" t="s">
        <v>5</v>
      </c>
      <c r="DN82">
        <v>134</v>
      </c>
      <c r="DO82">
        <v>83</v>
      </c>
      <c r="DP82">
        <v>1.0469999999999999</v>
      </c>
      <c r="DQ82">
        <v>1.002</v>
      </c>
      <c r="DU82">
        <v>1007</v>
      </c>
      <c r="DV82" t="s">
        <v>59</v>
      </c>
      <c r="DW82" t="s">
        <v>59</v>
      </c>
      <c r="DX82">
        <v>1</v>
      </c>
      <c r="EE82">
        <v>44063979</v>
      </c>
      <c r="EF82">
        <v>30</v>
      </c>
      <c r="EG82" t="s">
        <v>53</v>
      </c>
      <c r="EH82">
        <v>0</v>
      </c>
      <c r="EI82" t="s">
        <v>5</v>
      </c>
      <c r="EJ82">
        <v>1</v>
      </c>
      <c r="EK82">
        <v>160</v>
      </c>
      <c r="EL82" t="s">
        <v>133</v>
      </c>
      <c r="EM82" t="s">
        <v>134</v>
      </c>
      <c r="EO82" t="s">
        <v>5</v>
      </c>
      <c r="EQ82">
        <v>0</v>
      </c>
      <c r="ER82">
        <v>250.65</v>
      </c>
      <c r="ES82">
        <v>250.65</v>
      </c>
      <c r="ET82">
        <v>0</v>
      </c>
      <c r="EU82">
        <v>0</v>
      </c>
      <c r="EV82">
        <v>0</v>
      </c>
      <c r="EW82">
        <v>0</v>
      </c>
      <c r="EX82">
        <v>0</v>
      </c>
      <c r="FQ82">
        <v>0</v>
      </c>
      <c r="FR82">
        <f t="shared" si="144"/>
        <v>0</v>
      </c>
      <c r="FS82">
        <v>0</v>
      </c>
      <c r="FX82">
        <v>134</v>
      </c>
      <c r="FY82">
        <v>83</v>
      </c>
      <c r="GA82" t="s">
        <v>5</v>
      </c>
      <c r="GD82">
        <v>0</v>
      </c>
      <c r="GF82">
        <v>564194019</v>
      </c>
      <c r="GG82">
        <v>2</v>
      </c>
      <c r="GH82">
        <v>1</v>
      </c>
      <c r="GI82">
        <v>2</v>
      </c>
      <c r="GJ82">
        <v>0</v>
      </c>
      <c r="GK82">
        <f>ROUND(R82*(R12)/100,2)</f>
        <v>0</v>
      </c>
      <c r="GL82">
        <f t="shared" si="145"/>
        <v>0</v>
      </c>
      <c r="GM82">
        <f t="shared" si="146"/>
        <v>4819.71</v>
      </c>
      <c r="GN82">
        <f t="shared" si="147"/>
        <v>4819.71</v>
      </c>
      <c r="GO82">
        <f t="shared" si="148"/>
        <v>0</v>
      </c>
      <c r="GP82">
        <f t="shared" si="149"/>
        <v>0</v>
      </c>
      <c r="GR82">
        <v>0</v>
      </c>
      <c r="GS82">
        <v>3</v>
      </c>
      <c r="GT82">
        <v>0</v>
      </c>
      <c r="GU82" t="s">
        <v>5</v>
      </c>
      <c r="GV82">
        <f t="shared" si="150"/>
        <v>0</v>
      </c>
      <c r="GW82">
        <v>1</v>
      </c>
      <c r="GX82">
        <f t="shared" si="151"/>
        <v>0</v>
      </c>
      <c r="HA82">
        <v>0</v>
      </c>
      <c r="HB82">
        <v>0</v>
      </c>
      <c r="HC82">
        <f t="shared" si="152"/>
        <v>0</v>
      </c>
      <c r="IK82">
        <v>0</v>
      </c>
    </row>
    <row r="83" spans="1:245" x14ac:dyDescent="0.2">
      <c r="A83">
        <v>19</v>
      </c>
      <c r="B83">
        <v>1</v>
      </c>
      <c r="F83" t="s">
        <v>5</v>
      </c>
      <c r="G83" t="s">
        <v>185</v>
      </c>
      <c r="H83" t="s">
        <v>5</v>
      </c>
      <c r="AA83">
        <v>1</v>
      </c>
      <c r="IK83">
        <v>0</v>
      </c>
    </row>
    <row r="84" spans="1:245" x14ac:dyDescent="0.2">
      <c r="A84">
        <v>17</v>
      </c>
      <c r="B84">
        <v>1</v>
      </c>
      <c r="C84">
        <f>ROW(SmtRes!A169)</f>
        <v>169</v>
      </c>
      <c r="D84">
        <f>ROW(EtalonRes!A168)</f>
        <v>168</v>
      </c>
      <c r="E84" t="s">
        <v>186</v>
      </c>
      <c r="F84" t="s">
        <v>187</v>
      </c>
      <c r="G84" t="s">
        <v>188</v>
      </c>
      <c r="H84" t="s">
        <v>80</v>
      </c>
      <c r="I84">
        <f>ROUND((34)/100,9)</f>
        <v>0.34</v>
      </c>
      <c r="J84">
        <v>0</v>
      </c>
      <c r="O84">
        <f t="shared" ref="O84:O96" si="153">ROUND(CP84,2)</f>
        <v>10548.52</v>
      </c>
      <c r="P84">
        <f t="shared" ref="P84:P96" si="154">ROUND((ROUND((AC84*AW84*I84),2)*BC84),2)</f>
        <v>749.65</v>
      </c>
      <c r="Q84">
        <f t="shared" ref="Q84:Q96" si="155">(ROUND((ROUND(((ET84)*AV84*I84),2)*BB84),2)+ROUND((ROUND(((AE84-(EU84))*AV84*I84),2)*BS84),2))</f>
        <v>0</v>
      </c>
      <c r="R84">
        <f t="shared" ref="R84:R96" si="156">ROUND((ROUND((AE84*AV84*I84),2)*BS84),2)</f>
        <v>0</v>
      </c>
      <c r="S84">
        <f t="shared" ref="S84:S96" si="157">ROUND((ROUND((AF84*AV84*I84),2)*BA84),2)</f>
        <v>9798.8700000000008</v>
      </c>
      <c r="T84">
        <f t="shared" ref="T84:T96" si="158">ROUND(CU84*I84,2)</f>
        <v>0</v>
      </c>
      <c r="U84">
        <f t="shared" ref="U84:U96" si="159">CV84*I84</f>
        <v>43.465158000000002</v>
      </c>
      <c r="V84">
        <f t="shared" ref="V84:V96" si="160">CW84*I84</f>
        <v>0</v>
      </c>
      <c r="W84">
        <f t="shared" ref="W84:W96" si="161">ROUND(CX84*I84,2)</f>
        <v>0</v>
      </c>
      <c r="X84">
        <f t="shared" ref="X84:X96" si="162">ROUND(CY84,2)</f>
        <v>10974.73</v>
      </c>
      <c r="Y84">
        <f t="shared" ref="Y84:Y96" si="163">ROUND(CZ84,2)</f>
        <v>4017.54</v>
      </c>
      <c r="AA84">
        <v>44169784</v>
      </c>
      <c r="AB84">
        <f t="shared" ref="AB84:AB96" si="164">ROUND((AC84+AD84+AF84),6)</f>
        <v>1704.45</v>
      </c>
      <c r="AC84">
        <f t="shared" ref="AC84:AC96" si="165">ROUND((ES84),6)</f>
        <v>419.96</v>
      </c>
      <c r="AD84">
        <f t="shared" ref="AD84:AD96" si="166">ROUND((((ET84)-(EU84))+AE84),6)</f>
        <v>0</v>
      </c>
      <c r="AE84">
        <f t="shared" ref="AE84:AE96" si="167">ROUND((EU84),6)</f>
        <v>0</v>
      </c>
      <c r="AF84">
        <f t="shared" ref="AF84:AF96" si="168">ROUND((EV84),6)</f>
        <v>1284.49</v>
      </c>
      <c r="AG84">
        <f t="shared" ref="AG84:AG96" si="169">ROUND((AP84),6)</f>
        <v>0</v>
      </c>
      <c r="AH84">
        <f t="shared" ref="AH84:AH96" si="170">(EW84)</f>
        <v>122.1</v>
      </c>
      <c r="AI84">
        <f t="shared" ref="AI84:AI96" si="171">(EX84)</f>
        <v>0</v>
      </c>
      <c r="AJ84">
        <f t="shared" ref="AJ84:AJ96" si="172">(AS84)</f>
        <v>0</v>
      </c>
      <c r="AK84">
        <v>1704.45</v>
      </c>
      <c r="AL84">
        <v>419.96</v>
      </c>
      <c r="AM84">
        <v>0</v>
      </c>
      <c r="AN84">
        <v>0</v>
      </c>
      <c r="AO84">
        <v>1284.49</v>
      </c>
      <c r="AP84">
        <v>0</v>
      </c>
      <c r="AQ84">
        <v>122.1</v>
      </c>
      <c r="AR84">
        <v>0</v>
      </c>
      <c r="AS84">
        <v>0</v>
      </c>
      <c r="AT84">
        <v>112</v>
      </c>
      <c r="AU84">
        <v>41</v>
      </c>
      <c r="AV84">
        <v>1.0469999999999999</v>
      </c>
      <c r="AW84">
        <v>1</v>
      </c>
      <c r="AZ84">
        <v>1</v>
      </c>
      <c r="BA84">
        <v>21.43</v>
      </c>
      <c r="BB84">
        <v>1</v>
      </c>
      <c r="BC84">
        <v>5.25</v>
      </c>
      <c r="BD84" t="s">
        <v>5</v>
      </c>
      <c r="BE84" t="s">
        <v>5</v>
      </c>
      <c r="BF84" t="s">
        <v>5</v>
      </c>
      <c r="BG84" t="s">
        <v>5</v>
      </c>
      <c r="BH84">
        <v>0</v>
      </c>
      <c r="BI84">
        <v>1</v>
      </c>
      <c r="BJ84" t="s">
        <v>189</v>
      </c>
      <c r="BM84">
        <v>661</v>
      </c>
      <c r="BN84">
        <v>0</v>
      </c>
      <c r="BO84" t="s">
        <v>187</v>
      </c>
      <c r="BP84">
        <v>1</v>
      </c>
      <c r="BQ84">
        <v>60</v>
      </c>
      <c r="BR84">
        <v>0</v>
      </c>
      <c r="BS84">
        <v>21.43</v>
      </c>
      <c r="BT84">
        <v>1</v>
      </c>
      <c r="BU84">
        <v>1</v>
      </c>
      <c r="BV84">
        <v>1</v>
      </c>
      <c r="BW84">
        <v>1</v>
      </c>
      <c r="BX84">
        <v>1</v>
      </c>
      <c r="BY84" t="s">
        <v>5</v>
      </c>
      <c r="BZ84">
        <v>112</v>
      </c>
      <c r="CA84">
        <v>41</v>
      </c>
      <c r="CE84">
        <v>30</v>
      </c>
      <c r="CF84">
        <v>0</v>
      </c>
      <c r="CG84">
        <v>0</v>
      </c>
      <c r="CM84">
        <v>0</v>
      </c>
      <c r="CN84" t="s">
        <v>5</v>
      </c>
      <c r="CO84">
        <v>0</v>
      </c>
      <c r="CP84">
        <f t="shared" ref="CP84:CP96" si="173">(P84+Q84+S84)</f>
        <v>10548.52</v>
      </c>
      <c r="CQ84">
        <f t="shared" ref="CQ84:CQ96" si="174">ROUND((ROUND((AC84*AW84*1),2)*BC84),2)</f>
        <v>2204.79</v>
      </c>
      <c r="CR84">
        <f t="shared" ref="CR84:CR96" si="175">(ROUND((ROUND(((ET84)*AV84*1),2)*BB84),2)+ROUND((ROUND(((AE84-(EU84))*AV84*1),2)*BS84),2))</f>
        <v>0</v>
      </c>
      <c r="CS84">
        <f t="shared" ref="CS84:CS96" si="176">ROUND((ROUND((AE84*AV84*1),2)*BS84),2)</f>
        <v>0</v>
      </c>
      <c r="CT84">
        <f t="shared" ref="CT84:CT96" si="177">ROUND((ROUND((AF84*AV84*1),2)*BA84),2)</f>
        <v>28820.35</v>
      </c>
      <c r="CU84">
        <f t="shared" ref="CU84:CU96" si="178">AG84</f>
        <v>0</v>
      </c>
      <c r="CV84">
        <f t="shared" ref="CV84:CV96" si="179">(AH84*AV84)</f>
        <v>127.83869999999999</v>
      </c>
      <c r="CW84">
        <f t="shared" ref="CW84:CW96" si="180">AI84</f>
        <v>0</v>
      </c>
      <c r="CX84">
        <f t="shared" ref="CX84:CX96" si="181">AJ84</f>
        <v>0</v>
      </c>
      <c r="CY84">
        <f t="shared" ref="CY84:CY96" si="182">S84*(BZ84/100)</f>
        <v>10974.734400000001</v>
      </c>
      <c r="CZ84">
        <f t="shared" ref="CZ84:CZ96" si="183">S84*(CA84/100)</f>
        <v>4017.5367000000001</v>
      </c>
      <c r="DC84" t="s">
        <v>5</v>
      </c>
      <c r="DD84" t="s">
        <v>5</v>
      </c>
      <c r="DE84" t="s">
        <v>5</v>
      </c>
      <c r="DF84" t="s">
        <v>5</v>
      </c>
      <c r="DG84" t="s">
        <v>5</v>
      </c>
      <c r="DH84" t="s">
        <v>5</v>
      </c>
      <c r="DI84" t="s">
        <v>5</v>
      </c>
      <c r="DJ84" t="s">
        <v>5</v>
      </c>
      <c r="DK84" t="s">
        <v>5</v>
      </c>
      <c r="DL84" t="s">
        <v>5</v>
      </c>
      <c r="DM84" t="s">
        <v>5</v>
      </c>
      <c r="DN84">
        <v>140</v>
      </c>
      <c r="DO84">
        <v>79</v>
      </c>
      <c r="DP84">
        <v>1.0469999999999999</v>
      </c>
      <c r="DQ84">
        <v>1</v>
      </c>
      <c r="DU84">
        <v>1013</v>
      </c>
      <c r="DV84" t="s">
        <v>80</v>
      </c>
      <c r="DW84" t="s">
        <v>80</v>
      </c>
      <c r="DX84">
        <v>1</v>
      </c>
      <c r="EE84">
        <v>44064480</v>
      </c>
      <c r="EF84">
        <v>60</v>
      </c>
      <c r="EG84" t="s">
        <v>28</v>
      </c>
      <c r="EH84">
        <v>0</v>
      </c>
      <c r="EI84" t="s">
        <v>5</v>
      </c>
      <c r="EJ84">
        <v>1</v>
      </c>
      <c r="EK84">
        <v>661</v>
      </c>
      <c r="EL84" t="s">
        <v>190</v>
      </c>
      <c r="EM84" t="s">
        <v>191</v>
      </c>
      <c r="EO84" t="s">
        <v>5</v>
      </c>
      <c r="EQ84">
        <v>131072</v>
      </c>
      <c r="ER84">
        <v>1704.45</v>
      </c>
      <c r="ES84">
        <v>419.96</v>
      </c>
      <c r="ET84">
        <v>0</v>
      </c>
      <c r="EU84">
        <v>0</v>
      </c>
      <c r="EV84">
        <v>1284.49</v>
      </c>
      <c r="EW84">
        <v>122.1</v>
      </c>
      <c r="EX84">
        <v>0</v>
      </c>
      <c r="EY84">
        <v>0</v>
      </c>
      <c r="FQ84">
        <v>0</v>
      </c>
      <c r="FR84">
        <f t="shared" ref="FR84:FR96" si="184">ROUND(IF(AND(BH84=3,BI84=3),P84,0),2)</f>
        <v>0</v>
      </c>
      <c r="FS84">
        <v>0</v>
      </c>
      <c r="FX84">
        <v>140</v>
      </c>
      <c r="FY84">
        <v>79</v>
      </c>
      <c r="GA84" t="s">
        <v>5</v>
      </c>
      <c r="GD84">
        <v>0</v>
      </c>
      <c r="GF84">
        <v>-668682565</v>
      </c>
      <c r="GG84">
        <v>2</v>
      </c>
      <c r="GH84">
        <v>1</v>
      </c>
      <c r="GI84">
        <v>2</v>
      </c>
      <c r="GJ84">
        <v>0</v>
      </c>
      <c r="GK84">
        <f>ROUND(R84*(R12)/100,2)</f>
        <v>0</v>
      </c>
      <c r="GL84">
        <f t="shared" ref="GL84:GL96" si="185">ROUND(IF(AND(BH84=3,BI84=3,FS84&lt;&gt;0),P84,0),2)</f>
        <v>0</v>
      </c>
      <c r="GM84">
        <f t="shared" ref="GM84:GM96" si="186">ROUND(O84+X84+Y84+GK84,2)+GX84</f>
        <v>25540.79</v>
      </c>
      <c r="GN84">
        <f t="shared" ref="GN84:GN96" si="187">IF(OR(BI84=0,BI84=1),ROUND(O84+X84+Y84+GK84,2),0)</f>
        <v>25540.79</v>
      </c>
      <c r="GO84">
        <f t="shared" ref="GO84:GO96" si="188">IF(BI84=2,ROUND(O84+X84+Y84+GK84,2),0)</f>
        <v>0</v>
      </c>
      <c r="GP84">
        <f t="shared" ref="GP84:GP96" si="189">IF(BI84=4,ROUND(O84+X84+Y84+GK84,2)+GX84,0)</f>
        <v>0</v>
      </c>
      <c r="GR84">
        <v>0</v>
      </c>
      <c r="GS84">
        <v>0</v>
      </c>
      <c r="GT84">
        <v>0</v>
      </c>
      <c r="GU84" t="s">
        <v>5</v>
      </c>
      <c r="GV84">
        <f t="shared" ref="GV84:GV96" si="190">ROUND((GT84),6)</f>
        <v>0</v>
      </c>
      <c r="GW84">
        <v>1</v>
      </c>
      <c r="GX84">
        <f t="shared" ref="GX84:GX96" si="191">ROUND(HC84*I84,2)</f>
        <v>0</v>
      </c>
      <c r="HA84">
        <v>0</v>
      </c>
      <c r="HB84">
        <v>0</v>
      </c>
      <c r="HC84">
        <f t="shared" ref="HC84:HC96" si="192">GV84*GW84</f>
        <v>0</v>
      </c>
      <c r="IK84">
        <v>0</v>
      </c>
    </row>
    <row r="85" spans="1:245" x14ac:dyDescent="0.2">
      <c r="A85">
        <v>18</v>
      </c>
      <c r="B85">
        <v>1</v>
      </c>
      <c r="C85">
        <v>169</v>
      </c>
      <c r="E85" t="s">
        <v>192</v>
      </c>
      <c r="F85" t="s">
        <v>193</v>
      </c>
      <c r="G85" t="s">
        <v>194</v>
      </c>
      <c r="H85" t="s">
        <v>87</v>
      </c>
      <c r="I85">
        <f>I84*J85</f>
        <v>1.36</v>
      </c>
      <c r="J85">
        <v>4</v>
      </c>
      <c r="O85">
        <f t="shared" si="153"/>
        <v>4848.49</v>
      </c>
      <c r="P85">
        <f t="shared" si="154"/>
        <v>4848.49</v>
      </c>
      <c r="Q85">
        <f t="shared" si="155"/>
        <v>0</v>
      </c>
      <c r="R85">
        <f t="shared" si="156"/>
        <v>0</v>
      </c>
      <c r="S85">
        <f t="shared" si="157"/>
        <v>0</v>
      </c>
      <c r="T85">
        <f t="shared" si="158"/>
        <v>0</v>
      </c>
      <c r="U85">
        <f t="shared" si="159"/>
        <v>0</v>
      </c>
      <c r="V85">
        <f t="shared" si="160"/>
        <v>0</v>
      </c>
      <c r="W85">
        <f t="shared" si="161"/>
        <v>0</v>
      </c>
      <c r="X85">
        <f t="shared" si="162"/>
        <v>0</v>
      </c>
      <c r="Y85">
        <f t="shared" si="163"/>
        <v>0</v>
      </c>
      <c r="AA85">
        <v>44169784</v>
      </c>
      <c r="AB85">
        <f t="shared" si="164"/>
        <v>540.16</v>
      </c>
      <c r="AC85">
        <f t="shared" si="165"/>
        <v>540.16</v>
      </c>
      <c r="AD85">
        <f t="shared" si="166"/>
        <v>0</v>
      </c>
      <c r="AE85">
        <f t="shared" si="167"/>
        <v>0</v>
      </c>
      <c r="AF85">
        <f t="shared" si="168"/>
        <v>0</v>
      </c>
      <c r="AG85">
        <f t="shared" si="169"/>
        <v>0</v>
      </c>
      <c r="AH85">
        <f t="shared" si="170"/>
        <v>0</v>
      </c>
      <c r="AI85">
        <f t="shared" si="171"/>
        <v>0</v>
      </c>
      <c r="AJ85">
        <f t="shared" si="172"/>
        <v>0</v>
      </c>
      <c r="AK85">
        <v>540.16</v>
      </c>
      <c r="AL85">
        <v>540.16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1</v>
      </c>
      <c r="AW85">
        <v>1</v>
      </c>
      <c r="AZ85">
        <v>1</v>
      </c>
      <c r="BA85">
        <v>1</v>
      </c>
      <c r="BB85">
        <v>1</v>
      </c>
      <c r="BC85">
        <v>6.6</v>
      </c>
      <c r="BD85" t="s">
        <v>5</v>
      </c>
      <c r="BE85" t="s">
        <v>5</v>
      </c>
      <c r="BF85" t="s">
        <v>5</v>
      </c>
      <c r="BG85" t="s">
        <v>5</v>
      </c>
      <c r="BH85">
        <v>3</v>
      </c>
      <c r="BI85">
        <v>1</v>
      </c>
      <c r="BJ85" t="s">
        <v>195</v>
      </c>
      <c r="BM85">
        <v>661</v>
      </c>
      <c r="BN85">
        <v>0</v>
      </c>
      <c r="BO85" t="s">
        <v>193</v>
      </c>
      <c r="BP85">
        <v>1</v>
      </c>
      <c r="BQ85">
        <v>60</v>
      </c>
      <c r="BR85">
        <v>0</v>
      </c>
      <c r="BS85">
        <v>1</v>
      </c>
      <c r="BT85">
        <v>1</v>
      </c>
      <c r="BU85">
        <v>1</v>
      </c>
      <c r="BV85">
        <v>1</v>
      </c>
      <c r="BW85">
        <v>1</v>
      </c>
      <c r="BX85">
        <v>1</v>
      </c>
      <c r="BY85" t="s">
        <v>5</v>
      </c>
      <c r="BZ85">
        <v>0</v>
      </c>
      <c r="CA85">
        <v>0</v>
      </c>
      <c r="CE85">
        <v>30</v>
      </c>
      <c r="CF85">
        <v>0</v>
      </c>
      <c r="CG85">
        <v>0</v>
      </c>
      <c r="CM85">
        <v>0</v>
      </c>
      <c r="CN85" t="s">
        <v>5</v>
      </c>
      <c r="CO85">
        <v>0</v>
      </c>
      <c r="CP85">
        <f t="shared" si="173"/>
        <v>4848.49</v>
      </c>
      <c r="CQ85">
        <f t="shared" si="174"/>
        <v>3565.06</v>
      </c>
      <c r="CR85">
        <f t="shared" si="175"/>
        <v>0</v>
      </c>
      <c r="CS85">
        <f t="shared" si="176"/>
        <v>0</v>
      </c>
      <c r="CT85">
        <f t="shared" si="177"/>
        <v>0</v>
      </c>
      <c r="CU85">
        <f t="shared" si="178"/>
        <v>0</v>
      </c>
      <c r="CV85">
        <f t="shared" si="179"/>
        <v>0</v>
      </c>
      <c r="CW85">
        <f t="shared" si="180"/>
        <v>0</v>
      </c>
      <c r="CX85">
        <f t="shared" si="181"/>
        <v>0</v>
      </c>
      <c r="CY85">
        <f t="shared" si="182"/>
        <v>0</v>
      </c>
      <c r="CZ85">
        <f t="shared" si="183"/>
        <v>0</v>
      </c>
      <c r="DC85" t="s">
        <v>5</v>
      </c>
      <c r="DD85" t="s">
        <v>5</v>
      </c>
      <c r="DE85" t="s">
        <v>5</v>
      </c>
      <c r="DF85" t="s">
        <v>5</v>
      </c>
      <c r="DG85" t="s">
        <v>5</v>
      </c>
      <c r="DH85" t="s">
        <v>5</v>
      </c>
      <c r="DI85" t="s">
        <v>5</v>
      </c>
      <c r="DJ85" t="s">
        <v>5</v>
      </c>
      <c r="DK85" t="s">
        <v>5</v>
      </c>
      <c r="DL85" t="s">
        <v>5</v>
      </c>
      <c r="DM85" t="s">
        <v>5</v>
      </c>
      <c r="DN85">
        <v>140</v>
      </c>
      <c r="DO85">
        <v>79</v>
      </c>
      <c r="DP85">
        <v>1.0469999999999999</v>
      </c>
      <c r="DQ85">
        <v>1</v>
      </c>
      <c r="DU85">
        <v>1009</v>
      </c>
      <c r="DV85" t="s">
        <v>87</v>
      </c>
      <c r="DW85" t="s">
        <v>87</v>
      </c>
      <c r="DX85">
        <v>1000</v>
      </c>
      <c r="EE85">
        <v>44064480</v>
      </c>
      <c r="EF85">
        <v>60</v>
      </c>
      <c r="EG85" t="s">
        <v>28</v>
      </c>
      <c r="EH85">
        <v>0</v>
      </c>
      <c r="EI85" t="s">
        <v>5</v>
      </c>
      <c r="EJ85">
        <v>1</v>
      </c>
      <c r="EK85">
        <v>661</v>
      </c>
      <c r="EL85" t="s">
        <v>190</v>
      </c>
      <c r="EM85" t="s">
        <v>191</v>
      </c>
      <c r="EO85" t="s">
        <v>5</v>
      </c>
      <c r="EQ85">
        <v>0</v>
      </c>
      <c r="ER85">
        <v>540.16</v>
      </c>
      <c r="ES85">
        <v>540.16</v>
      </c>
      <c r="ET85">
        <v>0</v>
      </c>
      <c r="EU85">
        <v>0</v>
      </c>
      <c r="EV85">
        <v>0</v>
      </c>
      <c r="EW85">
        <v>0</v>
      </c>
      <c r="EX85">
        <v>0</v>
      </c>
      <c r="FQ85">
        <v>0</v>
      </c>
      <c r="FR85">
        <f t="shared" si="184"/>
        <v>0</v>
      </c>
      <c r="FS85">
        <v>0</v>
      </c>
      <c r="FX85">
        <v>140</v>
      </c>
      <c r="FY85">
        <v>79</v>
      </c>
      <c r="GA85" t="s">
        <v>5</v>
      </c>
      <c r="GD85">
        <v>0</v>
      </c>
      <c r="GF85">
        <v>765474763</v>
      </c>
      <c r="GG85">
        <v>2</v>
      </c>
      <c r="GH85">
        <v>0</v>
      </c>
      <c r="GI85">
        <v>2</v>
      </c>
      <c r="GJ85">
        <v>0</v>
      </c>
      <c r="GK85">
        <f>ROUND(R85*(R12)/100,2)</f>
        <v>0</v>
      </c>
      <c r="GL85">
        <f t="shared" si="185"/>
        <v>0</v>
      </c>
      <c r="GM85">
        <f t="shared" si="186"/>
        <v>4848.49</v>
      </c>
      <c r="GN85">
        <f t="shared" si="187"/>
        <v>4848.49</v>
      </c>
      <c r="GO85">
        <f t="shared" si="188"/>
        <v>0</v>
      </c>
      <c r="GP85">
        <f t="shared" si="189"/>
        <v>0</v>
      </c>
      <c r="GR85">
        <v>0</v>
      </c>
      <c r="GS85">
        <v>0</v>
      </c>
      <c r="GT85">
        <v>0</v>
      </c>
      <c r="GU85" t="s">
        <v>5</v>
      </c>
      <c r="GV85">
        <f t="shared" si="190"/>
        <v>0</v>
      </c>
      <c r="GW85">
        <v>1</v>
      </c>
      <c r="GX85">
        <f t="shared" si="191"/>
        <v>0</v>
      </c>
      <c r="HA85">
        <v>0</v>
      </c>
      <c r="HB85">
        <v>0</v>
      </c>
      <c r="HC85">
        <f t="shared" si="192"/>
        <v>0</v>
      </c>
      <c r="IK85">
        <v>0</v>
      </c>
    </row>
    <row r="86" spans="1:245" x14ac:dyDescent="0.2">
      <c r="A86">
        <v>17</v>
      </c>
      <c r="B86">
        <v>1</v>
      </c>
      <c r="E86" t="s">
        <v>196</v>
      </c>
      <c r="F86" t="s">
        <v>197</v>
      </c>
      <c r="G86" t="s">
        <v>198</v>
      </c>
      <c r="H86" t="s">
        <v>199</v>
      </c>
      <c r="I86">
        <f>ROUND(I84*100*0.3,9)</f>
        <v>10.199999999999999</v>
      </c>
      <c r="J86">
        <v>0</v>
      </c>
      <c r="O86">
        <f t="shared" si="153"/>
        <v>5036.3999999999996</v>
      </c>
      <c r="P86">
        <f t="shared" si="154"/>
        <v>5036.3999999999996</v>
      </c>
      <c r="Q86">
        <f t="shared" si="155"/>
        <v>0</v>
      </c>
      <c r="R86">
        <f t="shared" si="156"/>
        <v>0</v>
      </c>
      <c r="S86">
        <f t="shared" si="157"/>
        <v>0</v>
      </c>
      <c r="T86">
        <f t="shared" si="158"/>
        <v>0</v>
      </c>
      <c r="U86">
        <f t="shared" si="159"/>
        <v>0</v>
      </c>
      <c r="V86">
        <f t="shared" si="160"/>
        <v>0</v>
      </c>
      <c r="W86">
        <f t="shared" si="161"/>
        <v>0</v>
      </c>
      <c r="X86">
        <f t="shared" si="162"/>
        <v>0</v>
      </c>
      <c r="Y86">
        <f t="shared" si="163"/>
        <v>0</v>
      </c>
      <c r="AA86">
        <v>44169784</v>
      </c>
      <c r="AB86">
        <f t="shared" si="164"/>
        <v>157.25</v>
      </c>
      <c r="AC86">
        <f t="shared" si="165"/>
        <v>157.25</v>
      </c>
      <c r="AD86">
        <f t="shared" si="166"/>
        <v>0</v>
      </c>
      <c r="AE86">
        <f t="shared" si="167"/>
        <v>0</v>
      </c>
      <c r="AF86">
        <f t="shared" si="168"/>
        <v>0</v>
      </c>
      <c r="AG86">
        <f t="shared" si="169"/>
        <v>0</v>
      </c>
      <c r="AH86">
        <f t="shared" si="170"/>
        <v>0</v>
      </c>
      <c r="AI86">
        <f t="shared" si="171"/>
        <v>0</v>
      </c>
      <c r="AJ86">
        <f t="shared" si="172"/>
        <v>0</v>
      </c>
      <c r="AK86">
        <v>157.25</v>
      </c>
      <c r="AL86">
        <v>157.25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1</v>
      </c>
      <c r="AW86">
        <v>1</v>
      </c>
      <c r="AZ86">
        <v>1</v>
      </c>
      <c r="BA86">
        <v>1</v>
      </c>
      <c r="BB86">
        <v>1</v>
      </c>
      <c r="BC86">
        <v>3.14</v>
      </c>
      <c r="BD86" t="s">
        <v>5</v>
      </c>
      <c r="BE86" t="s">
        <v>5</v>
      </c>
      <c r="BF86" t="s">
        <v>5</v>
      </c>
      <c r="BG86" t="s">
        <v>5</v>
      </c>
      <c r="BH86">
        <v>3</v>
      </c>
      <c r="BI86">
        <v>1</v>
      </c>
      <c r="BJ86" t="s">
        <v>200</v>
      </c>
      <c r="BM86">
        <v>1617</v>
      </c>
      <c r="BN86">
        <v>0</v>
      </c>
      <c r="BO86" t="s">
        <v>197</v>
      </c>
      <c r="BP86">
        <v>1</v>
      </c>
      <c r="BQ86">
        <v>200</v>
      </c>
      <c r="BR86">
        <v>0</v>
      </c>
      <c r="BS86">
        <v>1</v>
      </c>
      <c r="BT86">
        <v>1</v>
      </c>
      <c r="BU86">
        <v>1</v>
      </c>
      <c r="BV86">
        <v>1</v>
      </c>
      <c r="BW86">
        <v>1</v>
      </c>
      <c r="BX86">
        <v>1</v>
      </c>
      <c r="BY86" t="s">
        <v>5</v>
      </c>
      <c r="BZ86">
        <v>0</v>
      </c>
      <c r="CA86">
        <v>0</v>
      </c>
      <c r="CE86">
        <v>30</v>
      </c>
      <c r="CF86">
        <v>0</v>
      </c>
      <c r="CG86">
        <v>0</v>
      </c>
      <c r="CM86">
        <v>0</v>
      </c>
      <c r="CN86" t="s">
        <v>5</v>
      </c>
      <c r="CO86">
        <v>0</v>
      </c>
      <c r="CP86">
        <f t="shared" si="173"/>
        <v>5036.3999999999996</v>
      </c>
      <c r="CQ86">
        <f t="shared" si="174"/>
        <v>493.77</v>
      </c>
      <c r="CR86">
        <f t="shared" si="175"/>
        <v>0</v>
      </c>
      <c r="CS86">
        <f t="shared" si="176"/>
        <v>0</v>
      </c>
      <c r="CT86">
        <f t="shared" si="177"/>
        <v>0</v>
      </c>
      <c r="CU86">
        <f t="shared" si="178"/>
        <v>0</v>
      </c>
      <c r="CV86">
        <f t="shared" si="179"/>
        <v>0</v>
      </c>
      <c r="CW86">
        <f t="shared" si="180"/>
        <v>0</v>
      </c>
      <c r="CX86">
        <f t="shared" si="181"/>
        <v>0</v>
      </c>
      <c r="CY86">
        <f t="shared" si="182"/>
        <v>0</v>
      </c>
      <c r="CZ86">
        <f t="shared" si="183"/>
        <v>0</v>
      </c>
      <c r="DC86" t="s">
        <v>5</v>
      </c>
      <c r="DD86" t="s">
        <v>5</v>
      </c>
      <c r="DE86" t="s">
        <v>5</v>
      </c>
      <c r="DF86" t="s">
        <v>5</v>
      </c>
      <c r="DG86" t="s">
        <v>5</v>
      </c>
      <c r="DH86" t="s">
        <v>5</v>
      </c>
      <c r="DI86" t="s">
        <v>5</v>
      </c>
      <c r="DJ86" t="s">
        <v>5</v>
      </c>
      <c r="DK86" t="s">
        <v>5</v>
      </c>
      <c r="DL86" t="s">
        <v>5</v>
      </c>
      <c r="DM86" t="s">
        <v>5</v>
      </c>
      <c r="DN86">
        <v>0</v>
      </c>
      <c r="DO86">
        <v>0</v>
      </c>
      <c r="DP86">
        <v>1</v>
      </c>
      <c r="DQ86">
        <v>1</v>
      </c>
      <c r="DU86">
        <v>1005</v>
      </c>
      <c r="DV86" t="s">
        <v>199</v>
      </c>
      <c r="DW86" t="s">
        <v>199</v>
      </c>
      <c r="DX86">
        <v>1</v>
      </c>
      <c r="EE86">
        <v>44065436</v>
      </c>
      <c r="EF86">
        <v>200</v>
      </c>
      <c r="EG86" t="s">
        <v>201</v>
      </c>
      <c r="EH86">
        <v>0</v>
      </c>
      <c r="EI86" t="s">
        <v>5</v>
      </c>
      <c r="EJ86">
        <v>1</v>
      </c>
      <c r="EK86">
        <v>1617</v>
      </c>
      <c r="EL86" t="s">
        <v>202</v>
      </c>
      <c r="EM86" t="s">
        <v>203</v>
      </c>
      <c r="EO86" t="s">
        <v>5</v>
      </c>
      <c r="EQ86">
        <v>131072</v>
      </c>
      <c r="ER86">
        <v>157.25</v>
      </c>
      <c r="ES86">
        <v>157.25</v>
      </c>
      <c r="ET86">
        <v>0</v>
      </c>
      <c r="EU86">
        <v>0</v>
      </c>
      <c r="EV86">
        <v>0</v>
      </c>
      <c r="EW86">
        <v>0</v>
      </c>
      <c r="EX86">
        <v>0</v>
      </c>
      <c r="EY86">
        <v>0</v>
      </c>
      <c r="FQ86">
        <v>0</v>
      </c>
      <c r="FR86">
        <f t="shared" si="184"/>
        <v>0</v>
      </c>
      <c r="FS86">
        <v>0</v>
      </c>
      <c r="FX86">
        <v>0</v>
      </c>
      <c r="FY86">
        <v>0</v>
      </c>
      <c r="GA86" t="s">
        <v>5</v>
      </c>
      <c r="GD86">
        <v>0</v>
      </c>
      <c r="GF86">
        <v>-1428653346</v>
      </c>
      <c r="GG86">
        <v>2</v>
      </c>
      <c r="GH86">
        <v>0</v>
      </c>
      <c r="GI86">
        <v>2</v>
      </c>
      <c r="GJ86">
        <v>0</v>
      </c>
      <c r="GK86">
        <f>ROUND(R86*(R12)/100,2)</f>
        <v>0</v>
      </c>
      <c r="GL86">
        <f t="shared" si="185"/>
        <v>0</v>
      </c>
      <c r="GM86">
        <f t="shared" si="186"/>
        <v>5036.3999999999996</v>
      </c>
      <c r="GN86">
        <f t="shared" si="187"/>
        <v>5036.3999999999996</v>
      </c>
      <c r="GO86">
        <f t="shared" si="188"/>
        <v>0</v>
      </c>
      <c r="GP86">
        <f t="shared" si="189"/>
        <v>0</v>
      </c>
      <c r="GR86">
        <v>0</v>
      </c>
      <c r="GS86">
        <v>0</v>
      </c>
      <c r="GT86">
        <v>0</v>
      </c>
      <c r="GU86" t="s">
        <v>5</v>
      </c>
      <c r="GV86">
        <f t="shared" si="190"/>
        <v>0</v>
      </c>
      <c r="GW86">
        <v>1</v>
      </c>
      <c r="GX86">
        <f t="shared" si="191"/>
        <v>0</v>
      </c>
      <c r="HA86">
        <v>0</v>
      </c>
      <c r="HB86">
        <v>0</v>
      </c>
      <c r="HC86">
        <f t="shared" si="192"/>
        <v>0</v>
      </c>
      <c r="IK86">
        <v>0</v>
      </c>
    </row>
    <row r="87" spans="1:245" x14ac:dyDescent="0.2">
      <c r="A87">
        <v>17</v>
      </c>
      <c r="B87">
        <v>1</v>
      </c>
      <c r="C87">
        <f>ROW(SmtRes!A173)</f>
        <v>173</v>
      </c>
      <c r="D87">
        <f>ROW(EtalonRes!A172)</f>
        <v>172</v>
      </c>
      <c r="E87" t="s">
        <v>204</v>
      </c>
      <c r="F87" t="s">
        <v>111</v>
      </c>
      <c r="G87" t="s">
        <v>112</v>
      </c>
      <c r="H87" t="s">
        <v>26</v>
      </c>
      <c r="I87">
        <f>ROUND((34*0.12)/100,9)</f>
        <v>4.0800000000000003E-2</v>
      </c>
      <c r="J87">
        <v>0</v>
      </c>
      <c r="O87">
        <f t="shared" si="153"/>
        <v>275.93</v>
      </c>
      <c r="P87">
        <f t="shared" si="154"/>
        <v>0</v>
      </c>
      <c r="Q87">
        <f t="shared" si="155"/>
        <v>174.99</v>
      </c>
      <c r="R87">
        <f t="shared" si="156"/>
        <v>74.58</v>
      </c>
      <c r="S87">
        <f t="shared" si="157"/>
        <v>100.94</v>
      </c>
      <c r="T87">
        <f t="shared" si="158"/>
        <v>0</v>
      </c>
      <c r="U87">
        <f t="shared" si="159"/>
        <v>0.49979591999999995</v>
      </c>
      <c r="V87">
        <f t="shared" si="160"/>
        <v>0</v>
      </c>
      <c r="W87">
        <f t="shared" si="161"/>
        <v>0</v>
      </c>
      <c r="X87">
        <f t="shared" si="162"/>
        <v>68.64</v>
      </c>
      <c r="Y87">
        <f t="shared" si="163"/>
        <v>41.39</v>
      </c>
      <c r="AA87">
        <v>44169784</v>
      </c>
      <c r="AB87">
        <f t="shared" si="164"/>
        <v>512.76</v>
      </c>
      <c r="AC87">
        <f t="shared" si="165"/>
        <v>0</v>
      </c>
      <c r="AD87">
        <f t="shared" si="166"/>
        <v>402.43</v>
      </c>
      <c r="AE87">
        <f t="shared" si="167"/>
        <v>81.58</v>
      </c>
      <c r="AF87">
        <f t="shared" si="168"/>
        <v>110.33</v>
      </c>
      <c r="AG87">
        <f t="shared" si="169"/>
        <v>0</v>
      </c>
      <c r="AH87">
        <f t="shared" si="170"/>
        <v>11.7</v>
      </c>
      <c r="AI87">
        <f t="shared" si="171"/>
        <v>0</v>
      </c>
      <c r="AJ87">
        <f t="shared" si="172"/>
        <v>0</v>
      </c>
      <c r="AK87">
        <v>512.76</v>
      </c>
      <c r="AL87">
        <v>0</v>
      </c>
      <c r="AM87">
        <v>402.43</v>
      </c>
      <c r="AN87">
        <v>81.58</v>
      </c>
      <c r="AO87">
        <v>110.33</v>
      </c>
      <c r="AP87">
        <v>0</v>
      </c>
      <c r="AQ87">
        <v>11.7</v>
      </c>
      <c r="AR87">
        <v>0</v>
      </c>
      <c r="AS87">
        <v>0</v>
      </c>
      <c r="AT87">
        <v>68</v>
      </c>
      <c r="AU87">
        <v>41</v>
      </c>
      <c r="AV87">
        <v>1.0469999999999999</v>
      </c>
      <c r="AW87">
        <v>1</v>
      </c>
      <c r="AZ87">
        <v>1</v>
      </c>
      <c r="BA87">
        <v>21.43</v>
      </c>
      <c r="BB87">
        <v>10.18</v>
      </c>
      <c r="BC87">
        <v>1</v>
      </c>
      <c r="BD87" t="s">
        <v>5</v>
      </c>
      <c r="BE87" t="s">
        <v>5</v>
      </c>
      <c r="BF87" t="s">
        <v>5</v>
      </c>
      <c r="BG87" t="s">
        <v>5</v>
      </c>
      <c r="BH87">
        <v>0</v>
      </c>
      <c r="BI87">
        <v>1</v>
      </c>
      <c r="BJ87" t="s">
        <v>113</v>
      </c>
      <c r="BM87">
        <v>674</v>
      </c>
      <c r="BN87">
        <v>0</v>
      </c>
      <c r="BO87" t="s">
        <v>111</v>
      </c>
      <c r="BP87">
        <v>1</v>
      </c>
      <c r="BQ87">
        <v>60</v>
      </c>
      <c r="BR87">
        <v>0</v>
      </c>
      <c r="BS87">
        <v>21.43</v>
      </c>
      <c r="BT87">
        <v>1</v>
      </c>
      <c r="BU87">
        <v>1</v>
      </c>
      <c r="BV87">
        <v>1</v>
      </c>
      <c r="BW87">
        <v>1</v>
      </c>
      <c r="BX87">
        <v>1</v>
      </c>
      <c r="BY87" t="s">
        <v>5</v>
      </c>
      <c r="BZ87">
        <v>68</v>
      </c>
      <c r="CA87">
        <v>41</v>
      </c>
      <c r="CE87">
        <v>30</v>
      </c>
      <c r="CF87">
        <v>0</v>
      </c>
      <c r="CG87">
        <v>0</v>
      </c>
      <c r="CM87">
        <v>0</v>
      </c>
      <c r="CN87" t="s">
        <v>5</v>
      </c>
      <c r="CO87">
        <v>0</v>
      </c>
      <c r="CP87">
        <f t="shared" si="173"/>
        <v>275.93</v>
      </c>
      <c r="CQ87">
        <f t="shared" si="174"/>
        <v>0</v>
      </c>
      <c r="CR87">
        <f t="shared" si="175"/>
        <v>4289.24</v>
      </c>
      <c r="CS87">
        <f t="shared" si="176"/>
        <v>1830.34</v>
      </c>
      <c r="CT87">
        <f t="shared" si="177"/>
        <v>2475.59</v>
      </c>
      <c r="CU87">
        <f t="shared" si="178"/>
        <v>0</v>
      </c>
      <c r="CV87">
        <f t="shared" si="179"/>
        <v>12.249899999999998</v>
      </c>
      <c r="CW87">
        <f t="shared" si="180"/>
        <v>0</v>
      </c>
      <c r="CX87">
        <f t="shared" si="181"/>
        <v>0</v>
      </c>
      <c r="CY87">
        <f t="shared" si="182"/>
        <v>68.639200000000002</v>
      </c>
      <c r="CZ87">
        <f t="shared" si="183"/>
        <v>41.385399999999997</v>
      </c>
      <c r="DC87" t="s">
        <v>5</v>
      </c>
      <c r="DD87" t="s">
        <v>5</v>
      </c>
      <c r="DE87" t="s">
        <v>5</v>
      </c>
      <c r="DF87" t="s">
        <v>5</v>
      </c>
      <c r="DG87" t="s">
        <v>5</v>
      </c>
      <c r="DH87" t="s">
        <v>5</v>
      </c>
      <c r="DI87" t="s">
        <v>5</v>
      </c>
      <c r="DJ87" t="s">
        <v>5</v>
      </c>
      <c r="DK87" t="s">
        <v>5</v>
      </c>
      <c r="DL87" t="s">
        <v>5</v>
      </c>
      <c r="DM87" t="s">
        <v>5</v>
      </c>
      <c r="DN87">
        <v>80</v>
      </c>
      <c r="DO87">
        <v>55</v>
      </c>
      <c r="DP87">
        <v>1.0469999999999999</v>
      </c>
      <c r="DQ87">
        <v>1</v>
      </c>
      <c r="DU87">
        <v>1007</v>
      </c>
      <c r="DV87" t="s">
        <v>26</v>
      </c>
      <c r="DW87" t="s">
        <v>26</v>
      </c>
      <c r="DX87">
        <v>100</v>
      </c>
      <c r="EE87">
        <v>44064493</v>
      </c>
      <c r="EF87">
        <v>60</v>
      </c>
      <c r="EG87" t="s">
        <v>28</v>
      </c>
      <c r="EH87">
        <v>0</v>
      </c>
      <c r="EI87" t="s">
        <v>5</v>
      </c>
      <c r="EJ87">
        <v>1</v>
      </c>
      <c r="EK87">
        <v>674</v>
      </c>
      <c r="EL87" t="s">
        <v>29</v>
      </c>
      <c r="EM87" t="s">
        <v>30</v>
      </c>
      <c r="EO87" t="s">
        <v>5</v>
      </c>
      <c r="EQ87">
        <v>131072</v>
      </c>
      <c r="ER87">
        <v>512.76</v>
      </c>
      <c r="ES87">
        <v>0</v>
      </c>
      <c r="ET87">
        <v>402.43</v>
      </c>
      <c r="EU87">
        <v>81.58</v>
      </c>
      <c r="EV87">
        <v>110.33</v>
      </c>
      <c r="EW87">
        <v>11.7</v>
      </c>
      <c r="EX87">
        <v>0</v>
      </c>
      <c r="EY87">
        <v>0</v>
      </c>
      <c r="FQ87">
        <v>0</v>
      </c>
      <c r="FR87">
        <f t="shared" si="184"/>
        <v>0</v>
      </c>
      <c r="FS87">
        <v>0</v>
      </c>
      <c r="FX87">
        <v>80</v>
      </c>
      <c r="FY87">
        <v>55</v>
      </c>
      <c r="GA87" t="s">
        <v>5</v>
      </c>
      <c r="GD87">
        <v>0</v>
      </c>
      <c r="GF87">
        <v>-1972224145</v>
      </c>
      <c r="GG87">
        <v>2</v>
      </c>
      <c r="GH87">
        <v>1</v>
      </c>
      <c r="GI87">
        <v>2</v>
      </c>
      <c r="GJ87">
        <v>0</v>
      </c>
      <c r="GK87">
        <f>ROUND(R87*(R12)/100,2)</f>
        <v>117.09</v>
      </c>
      <c r="GL87">
        <f t="shared" si="185"/>
        <v>0</v>
      </c>
      <c r="GM87">
        <f t="shared" si="186"/>
        <v>503.05</v>
      </c>
      <c r="GN87">
        <f t="shared" si="187"/>
        <v>503.05</v>
      </c>
      <c r="GO87">
        <f t="shared" si="188"/>
        <v>0</v>
      </c>
      <c r="GP87">
        <f t="shared" si="189"/>
        <v>0</v>
      </c>
      <c r="GR87">
        <v>0</v>
      </c>
      <c r="GS87">
        <v>0</v>
      </c>
      <c r="GT87">
        <v>0</v>
      </c>
      <c r="GU87" t="s">
        <v>5</v>
      </c>
      <c r="GV87">
        <f t="shared" si="190"/>
        <v>0</v>
      </c>
      <c r="GW87">
        <v>1</v>
      </c>
      <c r="GX87">
        <f t="shared" si="191"/>
        <v>0</v>
      </c>
      <c r="HA87">
        <v>0</v>
      </c>
      <c r="HB87">
        <v>0</v>
      </c>
      <c r="HC87">
        <f t="shared" si="192"/>
        <v>0</v>
      </c>
      <c r="IK87">
        <v>0</v>
      </c>
    </row>
    <row r="88" spans="1:245" x14ac:dyDescent="0.2">
      <c r="A88">
        <v>17</v>
      </c>
      <c r="B88">
        <v>1</v>
      </c>
      <c r="C88">
        <f>ROW(SmtRes!A174)</f>
        <v>174</v>
      </c>
      <c r="D88">
        <f>ROW(EtalonRes!A173)</f>
        <v>173</v>
      </c>
      <c r="E88" t="s">
        <v>205</v>
      </c>
      <c r="F88" t="s">
        <v>43</v>
      </c>
      <c r="G88" t="s">
        <v>44</v>
      </c>
      <c r="H88" t="s">
        <v>38</v>
      </c>
      <c r="I88">
        <f>ROUND(I87*100*1.4+I86*0.07*2.2,9)</f>
        <v>7.2827999999999999</v>
      </c>
      <c r="J88">
        <v>0</v>
      </c>
      <c r="O88">
        <f t="shared" si="153"/>
        <v>537.78</v>
      </c>
      <c r="P88">
        <f t="shared" si="154"/>
        <v>0</v>
      </c>
      <c r="Q88">
        <f t="shared" si="155"/>
        <v>537.78</v>
      </c>
      <c r="R88">
        <f t="shared" si="156"/>
        <v>241.94</v>
      </c>
      <c r="S88">
        <f t="shared" si="157"/>
        <v>0</v>
      </c>
      <c r="T88">
        <f t="shared" si="158"/>
        <v>0</v>
      </c>
      <c r="U88">
        <f t="shared" si="159"/>
        <v>0</v>
      </c>
      <c r="V88">
        <f t="shared" si="160"/>
        <v>0</v>
      </c>
      <c r="W88">
        <f t="shared" si="161"/>
        <v>0</v>
      </c>
      <c r="X88">
        <f t="shared" si="162"/>
        <v>0</v>
      </c>
      <c r="Y88">
        <f t="shared" si="163"/>
        <v>0</v>
      </c>
      <c r="AA88">
        <v>44169784</v>
      </c>
      <c r="AB88">
        <f t="shared" si="164"/>
        <v>8.86</v>
      </c>
      <c r="AC88">
        <f t="shared" si="165"/>
        <v>0</v>
      </c>
      <c r="AD88">
        <f t="shared" si="166"/>
        <v>8.86</v>
      </c>
      <c r="AE88">
        <f t="shared" si="167"/>
        <v>1.48</v>
      </c>
      <c r="AF88">
        <f t="shared" si="168"/>
        <v>0</v>
      </c>
      <c r="AG88">
        <f t="shared" si="169"/>
        <v>0</v>
      </c>
      <c r="AH88">
        <f t="shared" si="170"/>
        <v>0</v>
      </c>
      <c r="AI88">
        <f t="shared" si="171"/>
        <v>0</v>
      </c>
      <c r="AJ88">
        <f t="shared" si="172"/>
        <v>0</v>
      </c>
      <c r="AK88">
        <v>8.86</v>
      </c>
      <c r="AL88">
        <v>0</v>
      </c>
      <c r="AM88">
        <v>8.86</v>
      </c>
      <c r="AN88">
        <v>1.48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73</v>
      </c>
      <c r="AU88">
        <v>41</v>
      </c>
      <c r="AV88">
        <v>1.0469999999999999</v>
      </c>
      <c r="AW88">
        <v>1.002</v>
      </c>
      <c r="AZ88">
        <v>1</v>
      </c>
      <c r="BA88">
        <v>21.43</v>
      </c>
      <c r="BB88">
        <v>7.96</v>
      </c>
      <c r="BC88">
        <v>1</v>
      </c>
      <c r="BD88" t="s">
        <v>5</v>
      </c>
      <c r="BE88" t="s">
        <v>5</v>
      </c>
      <c r="BF88" t="s">
        <v>5</v>
      </c>
      <c r="BG88" t="s">
        <v>5</v>
      </c>
      <c r="BH88">
        <v>0</v>
      </c>
      <c r="BI88">
        <v>1</v>
      </c>
      <c r="BJ88" t="s">
        <v>45</v>
      </c>
      <c r="BM88">
        <v>658</v>
      </c>
      <c r="BN88">
        <v>0</v>
      </c>
      <c r="BO88" t="s">
        <v>43</v>
      </c>
      <c r="BP88">
        <v>1</v>
      </c>
      <c r="BQ88">
        <v>60</v>
      </c>
      <c r="BR88">
        <v>0</v>
      </c>
      <c r="BS88">
        <v>21.43</v>
      </c>
      <c r="BT88">
        <v>1</v>
      </c>
      <c r="BU88">
        <v>1</v>
      </c>
      <c r="BV88">
        <v>1</v>
      </c>
      <c r="BW88">
        <v>1</v>
      </c>
      <c r="BX88">
        <v>1</v>
      </c>
      <c r="BY88" t="s">
        <v>5</v>
      </c>
      <c r="BZ88">
        <v>73</v>
      </c>
      <c r="CA88">
        <v>41</v>
      </c>
      <c r="CE88">
        <v>30</v>
      </c>
      <c r="CF88">
        <v>0</v>
      </c>
      <c r="CG88">
        <v>0</v>
      </c>
      <c r="CM88">
        <v>0</v>
      </c>
      <c r="CN88" t="s">
        <v>5</v>
      </c>
      <c r="CO88">
        <v>0</v>
      </c>
      <c r="CP88">
        <f t="shared" si="173"/>
        <v>537.78</v>
      </c>
      <c r="CQ88">
        <f t="shared" si="174"/>
        <v>0</v>
      </c>
      <c r="CR88">
        <f t="shared" si="175"/>
        <v>73.87</v>
      </c>
      <c r="CS88">
        <f t="shared" si="176"/>
        <v>33.22</v>
      </c>
      <c r="CT88">
        <f t="shared" si="177"/>
        <v>0</v>
      </c>
      <c r="CU88">
        <f t="shared" si="178"/>
        <v>0</v>
      </c>
      <c r="CV88">
        <f t="shared" si="179"/>
        <v>0</v>
      </c>
      <c r="CW88">
        <f t="shared" si="180"/>
        <v>0</v>
      </c>
      <c r="CX88">
        <f t="shared" si="181"/>
        <v>0</v>
      </c>
      <c r="CY88">
        <f t="shared" si="182"/>
        <v>0</v>
      </c>
      <c r="CZ88">
        <f t="shared" si="183"/>
        <v>0</v>
      </c>
      <c r="DC88" t="s">
        <v>5</v>
      </c>
      <c r="DD88" t="s">
        <v>5</v>
      </c>
      <c r="DE88" t="s">
        <v>5</v>
      </c>
      <c r="DF88" t="s">
        <v>5</v>
      </c>
      <c r="DG88" t="s">
        <v>5</v>
      </c>
      <c r="DH88" t="s">
        <v>5</v>
      </c>
      <c r="DI88" t="s">
        <v>5</v>
      </c>
      <c r="DJ88" t="s">
        <v>5</v>
      </c>
      <c r="DK88" t="s">
        <v>5</v>
      </c>
      <c r="DL88" t="s">
        <v>5</v>
      </c>
      <c r="DM88" t="s">
        <v>5</v>
      </c>
      <c r="DN88">
        <v>91</v>
      </c>
      <c r="DO88">
        <v>70</v>
      </c>
      <c r="DP88">
        <v>1.0469999999999999</v>
      </c>
      <c r="DQ88">
        <v>1.002</v>
      </c>
      <c r="DU88">
        <v>1013</v>
      </c>
      <c r="DV88" t="s">
        <v>38</v>
      </c>
      <c r="DW88" t="s">
        <v>38</v>
      </c>
      <c r="DX88">
        <v>1</v>
      </c>
      <c r="EE88">
        <v>44064477</v>
      </c>
      <c r="EF88">
        <v>60</v>
      </c>
      <c r="EG88" t="s">
        <v>28</v>
      </c>
      <c r="EH88">
        <v>0</v>
      </c>
      <c r="EI88" t="s">
        <v>5</v>
      </c>
      <c r="EJ88">
        <v>1</v>
      </c>
      <c r="EK88">
        <v>658</v>
      </c>
      <c r="EL88" t="s">
        <v>46</v>
      </c>
      <c r="EM88" t="s">
        <v>47</v>
      </c>
      <c r="EO88" t="s">
        <v>5</v>
      </c>
      <c r="EQ88">
        <v>131072</v>
      </c>
      <c r="ER88">
        <v>8.86</v>
      </c>
      <c r="ES88">
        <v>0</v>
      </c>
      <c r="ET88">
        <v>8.86</v>
      </c>
      <c r="EU88">
        <v>1.48</v>
      </c>
      <c r="EV88">
        <v>0</v>
      </c>
      <c r="EW88">
        <v>0</v>
      </c>
      <c r="EX88">
        <v>0</v>
      </c>
      <c r="EY88">
        <v>0</v>
      </c>
      <c r="FQ88">
        <v>0</v>
      </c>
      <c r="FR88">
        <f t="shared" si="184"/>
        <v>0</v>
      </c>
      <c r="FS88">
        <v>0</v>
      </c>
      <c r="FX88">
        <v>91</v>
      </c>
      <c r="FY88">
        <v>70</v>
      </c>
      <c r="GA88" t="s">
        <v>5</v>
      </c>
      <c r="GD88">
        <v>0</v>
      </c>
      <c r="GF88">
        <v>-1983005167</v>
      </c>
      <c r="GG88">
        <v>2</v>
      </c>
      <c r="GH88">
        <v>1</v>
      </c>
      <c r="GI88">
        <v>2</v>
      </c>
      <c r="GJ88">
        <v>0</v>
      </c>
      <c r="GK88">
        <f>ROUND(R88*(R12)/100,2)</f>
        <v>379.85</v>
      </c>
      <c r="GL88">
        <f t="shared" si="185"/>
        <v>0</v>
      </c>
      <c r="GM88">
        <f t="shared" si="186"/>
        <v>917.63</v>
      </c>
      <c r="GN88">
        <f t="shared" si="187"/>
        <v>917.63</v>
      </c>
      <c r="GO88">
        <f t="shared" si="188"/>
        <v>0</v>
      </c>
      <c r="GP88">
        <f t="shared" si="189"/>
        <v>0</v>
      </c>
      <c r="GR88">
        <v>0</v>
      </c>
      <c r="GS88">
        <v>0</v>
      </c>
      <c r="GT88">
        <v>0</v>
      </c>
      <c r="GU88" t="s">
        <v>5</v>
      </c>
      <c r="GV88">
        <f t="shared" si="190"/>
        <v>0</v>
      </c>
      <c r="GW88">
        <v>1</v>
      </c>
      <c r="GX88">
        <f t="shared" si="191"/>
        <v>0</v>
      </c>
      <c r="HA88">
        <v>0</v>
      </c>
      <c r="HB88">
        <v>0</v>
      </c>
      <c r="HC88">
        <f t="shared" si="192"/>
        <v>0</v>
      </c>
      <c r="IK88">
        <v>0</v>
      </c>
    </row>
    <row r="89" spans="1:245" x14ac:dyDescent="0.2">
      <c r="A89">
        <v>17</v>
      </c>
      <c r="B89">
        <v>1</v>
      </c>
      <c r="C89">
        <f>ROW(SmtRes!A182)</f>
        <v>182</v>
      </c>
      <c r="D89">
        <f>ROW(EtalonRes!A181)</f>
        <v>181</v>
      </c>
      <c r="E89" t="s">
        <v>206</v>
      </c>
      <c r="F89" t="s">
        <v>49</v>
      </c>
      <c r="G89" t="s">
        <v>50</v>
      </c>
      <c r="H89" t="s">
        <v>51</v>
      </c>
      <c r="I89">
        <f>ROUND((34*0.25)/100,9)</f>
        <v>8.5000000000000006E-2</v>
      </c>
      <c r="J89">
        <v>0</v>
      </c>
      <c r="O89">
        <f t="shared" si="153"/>
        <v>893.77</v>
      </c>
      <c r="P89">
        <f t="shared" si="154"/>
        <v>13.73</v>
      </c>
      <c r="Q89">
        <f t="shared" si="155"/>
        <v>591.16</v>
      </c>
      <c r="R89">
        <f t="shared" si="156"/>
        <v>226.94</v>
      </c>
      <c r="S89">
        <f t="shared" si="157"/>
        <v>288.88</v>
      </c>
      <c r="T89">
        <f t="shared" si="158"/>
        <v>0</v>
      </c>
      <c r="U89">
        <f t="shared" si="159"/>
        <v>1.281528</v>
      </c>
      <c r="V89">
        <f t="shared" si="160"/>
        <v>0</v>
      </c>
      <c r="W89">
        <f t="shared" si="161"/>
        <v>0</v>
      </c>
      <c r="X89">
        <f t="shared" si="162"/>
        <v>378.43</v>
      </c>
      <c r="Y89">
        <f t="shared" si="163"/>
        <v>156</v>
      </c>
      <c r="AA89">
        <v>44169784</v>
      </c>
      <c r="AB89">
        <f t="shared" si="164"/>
        <v>863.31</v>
      </c>
      <c r="AC89">
        <f t="shared" si="165"/>
        <v>35.35</v>
      </c>
      <c r="AD89">
        <f t="shared" si="166"/>
        <v>676.47</v>
      </c>
      <c r="AE89">
        <f t="shared" si="167"/>
        <v>119.05</v>
      </c>
      <c r="AF89">
        <f t="shared" si="168"/>
        <v>151.49</v>
      </c>
      <c r="AG89">
        <f t="shared" si="169"/>
        <v>0</v>
      </c>
      <c r="AH89">
        <f t="shared" si="170"/>
        <v>14.4</v>
      </c>
      <c r="AI89">
        <f t="shared" si="171"/>
        <v>0</v>
      </c>
      <c r="AJ89">
        <f t="shared" si="172"/>
        <v>0</v>
      </c>
      <c r="AK89">
        <v>863.31</v>
      </c>
      <c r="AL89">
        <v>35.35</v>
      </c>
      <c r="AM89">
        <v>676.47</v>
      </c>
      <c r="AN89">
        <v>119.05</v>
      </c>
      <c r="AO89">
        <v>151.49</v>
      </c>
      <c r="AP89">
        <v>0</v>
      </c>
      <c r="AQ89">
        <v>14.4</v>
      </c>
      <c r="AR89">
        <v>0</v>
      </c>
      <c r="AS89">
        <v>0</v>
      </c>
      <c r="AT89">
        <v>131</v>
      </c>
      <c r="AU89">
        <v>54</v>
      </c>
      <c r="AV89">
        <v>1.0469999999999999</v>
      </c>
      <c r="AW89">
        <v>1.002</v>
      </c>
      <c r="AZ89">
        <v>1</v>
      </c>
      <c r="BA89">
        <v>21.43</v>
      </c>
      <c r="BB89">
        <v>9.82</v>
      </c>
      <c r="BC89">
        <v>4.5599999999999996</v>
      </c>
      <c r="BD89" t="s">
        <v>5</v>
      </c>
      <c r="BE89" t="s">
        <v>5</v>
      </c>
      <c r="BF89" t="s">
        <v>5</v>
      </c>
      <c r="BG89" t="s">
        <v>5</v>
      </c>
      <c r="BH89">
        <v>0</v>
      </c>
      <c r="BI89">
        <v>1</v>
      </c>
      <c r="BJ89" t="s">
        <v>52</v>
      </c>
      <c r="BM89">
        <v>146</v>
      </c>
      <c r="BN89">
        <v>0</v>
      </c>
      <c r="BO89" t="s">
        <v>49</v>
      </c>
      <c r="BP89">
        <v>1</v>
      </c>
      <c r="BQ89">
        <v>30</v>
      </c>
      <c r="BR89">
        <v>0</v>
      </c>
      <c r="BS89">
        <v>21.43</v>
      </c>
      <c r="BT89">
        <v>1</v>
      </c>
      <c r="BU89">
        <v>1</v>
      </c>
      <c r="BV89">
        <v>1</v>
      </c>
      <c r="BW89">
        <v>1</v>
      </c>
      <c r="BX89">
        <v>1</v>
      </c>
      <c r="BY89" t="s">
        <v>5</v>
      </c>
      <c r="BZ89">
        <v>131</v>
      </c>
      <c r="CA89">
        <v>54</v>
      </c>
      <c r="CE89">
        <v>30</v>
      </c>
      <c r="CF89">
        <v>0</v>
      </c>
      <c r="CG89">
        <v>0</v>
      </c>
      <c r="CM89">
        <v>0</v>
      </c>
      <c r="CN89" t="s">
        <v>5</v>
      </c>
      <c r="CO89">
        <v>0</v>
      </c>
      <c r="CP89">
        <f t="shared" si="173"/>
        <v>893.77</v>
      </c>
      <c r="CQ89">
        <f t="shared" si="174"/>
        <v>161.52000000000001</v>
      </c>
      <c r="CR89">
        <f t="shared" si="175"/>
        <v>6955.11</v>
      </c>
      <c r="CS89">
        <f t="shared" si="176"/>
        <v>2671.25</v>
      </c>
      <c r="CT89">
        <f t="shared" si="177"/>
        <v>3399.01</v>
      </c>
      <c r="CU89">
        <f t="shared" si="178"/>
        <v>0</v>
      </c>
      <c r="CV89">
        <f t="shared" si="179"/>
        <v>15.076799999999999</v>
      </c>
      <c r="CW89">
        <f t="shared" si="180"/>
        <v>0</v>
      </c>
      <c r="CX89">
        <f t="shared" si="181"/>
        <v>0</v>
      </c>
      <c r="CY89">
        <f t="shared" si="182"/>
        <v>378.43279999999999</v>
      </c>
      <c r="CZ89">
        <f t="shared" si="183"/>
        <v>155.99520000000001</v>
      </c>
      <c r="DC89" t="s">
        <v>5</v>
      </c>
      <c r="DD89" t="s">
        <v>5</v>
      </c>
      <c r="DE89" t="s">
        <v>5</v>
      </c>
      <c r="DF89" t="s">
        <v>5</v>
      </c>
      <c r="DG89" t="s">
        <v>5</v>
      </c>
      <c r="DH89" t="s">
        <v>5</v>
      </c>
      <c r="DI89" t="s">
        <v>5</v>
      </c>
      <c r="DJ89" t="s">
        <v>5</v>
      </c>
      <c r="DK89" t="s">
        <v>5</v>
      </c>
      <c r="DL89" t="s">
        <v>5</v>
      </c>
      <c r="DM89" t="s">
        <v>5</v>
      </c>
      <c r="DN89">
        <v>161</v>
      </c>
      <c r="DO89">
        <v>107</v>
      </c>
      <c r="DP89">
        <v>1.0469999999999999</v>
      </c>
      <c r="DQ89">
        <v>1.002</v>
      </c>
      <c r="DU89">
        <v>1013</v>
      </c>
      <c r="DV89" t="s">
        <v>51</v>
      </c>
      <c r="DW89" t="s">
        <v>51</v>
      </c>
      <c r="DX89">
        <v>1</v>
      </c>
      <c r="EE89">
        <v>44063965</v>
      </c>
      <c r="EF89">
        <v>30</v>
      </c>
      <c r="EG89" t="s">
        <v>53</v>
      </c>
      <c r="EH89">
        <v>0</v>
      </c>
      <c r="EI89" t="s">
        <v>5</v>
      </c>
      <c r="EJ89">
        <v>1</v>
      </c>
      <c r="EK89">
        <v>146</v>
      </c>
      <c r="EL89" t="s">
        <v>54</v>
      </c>
      <c r="EM89" t="s">
        <v>55</v>
      </c>
      <c r="EO89" t="s">
        <v>5</v>
      </c>
      <c r="EQ89">
        <v>131072</v>
      </c>
      <c r="ER89">
        <v>863.31</v>
      </c>
      <c r="ES89">
        <v>35.35</v>
      </c>
      <c r="ET89">
        <v>676.47</v>
      </c>
      <c r="EU89">
        <v>119.05</v>
      </c>
      <c r="EV89">
        <v>151.49</v>
      </c>
      <c r="EW89">
        <v>14.4</v>
      </c>
      <c r="EX89">
        <v>0</v>
      </c>
      <c r="EY89">
        <v>0</v>
      </c>
      <c r="FQ89">
        <v>0</v>
      </c>
      <c r="FR89">
        <f t="shared" si="184"/>
        <v>0</v>
      </c>
      <c r="FS89">
        <v>0</v>
      </c>
      <c r="FX89">
        <v>161</v>
      </c>
      <c r="FY89">
        <v>107</v>
      </c>
      <c r="GA89" t="s">
        <v>5</v>
      </c>
      <c r="GD89">
        <v>0</v>
      </c>
      <c r="GF89">
        <v>-1939963274</v>
      </c>
      <c r="GG89">
        <v>2</v>
      </c>
      <c r="GH89">
        <v>1</v>
      </c>
      <c r="GI89">
        <v>2</v>
      </c>
      <c r="GJ89">
        <v>0</v>
      </c>
      <c r="GK89">
        <f>ROUND(R89*(R12)/100,2)</f>
        <v>356.3</v>
      </c>
      <c r="GL89">
        <f t="shared" si="185"/>
        <v>0</v>
      </c>
      <c r="GM89">
        <f t="shared" si="186"/>
        <v>1784.5</v>
      </c>
      <c r="GN89">
        <f t="shared" si="187"/>
        <v>1784.5</v>
      </c>
      <c r="GO89">
        <f t="shared" si="188"/>
        <v>0</v>
      </c>
      <c r="GP89">
        <f t="shared" si="189"/>
        <v>0</v>
      </c>
      <c r="GR89">
        <v>0</v>
      </c>
      <c r="GS89">
        <v>0</v>
      </c>
      <c r="GT89">
        <v>0</v>
      </c>
      <c r="GU89" t="s">
        <v>5</v>
      </c>
      <c r="GV89">
        <f t="shared" si="190"/>
        <v>0</v>
      </c>
      <c r="GW89">
        <v>1</v>
      </c>
      <c r="GX89">
        <f t="shared" si="191"/>
        <v>0</v>
      </c>
      <c r="HA89">
        <v>0</v>
      </c>
      <c r="HB89">
        <v>0</v>
      </c>
      <c r="HC89">
        <f t="shared" si="192"/>
        <v>0</v>
      </c>
      <c r="IK89">
        <v>0</v>
      </c>
    </row>
    <row r="90" spans="1:245" x14ac:dyDescent="0.2">
      <c r="A90">
        <v>18</v>
      </c>
      <c r="B90">
        <v>1</v>
      </c>
      <c r="C90">
        <v>182</v>
      </c>
      <c r="E90" t="s">
        <v>207</v>
      </c>
      <c r="F90" t="s">
        <v>57</v>
      </c>
      <c r="G90" t="s">
        <v>58</v>
      </c>
      <c r="H90" t="s">
        <v>59</v>
      </c>
      <c r="I90">
        <f>I89*J90</f>
        <v>9.35</v>
      </c>
      <c r="J90">
        <v>109.99999999999999</v>
      </c>
      <c r="O90">
        <f t="shared" si="153"/>
        <v>5164.01</v>
      </c>
      <c r="P90">
        <f t="shared" si="154"/>
        <v>5164.01</v>
      </c>
      <c r="Q90">
        <f t="shared" si="155"/>
        <v>0</v>
      </c>
      <c r="R90">
        <f t="shared" si="156"/>
        <v>0</v>
      </c>
      <c r="S90">
        <f t="shared" si="157"/>
        <v>0</v>
      </c>
      <c r="T90">
        <f t="shared" si="158"/>
        <v>0</v>
      </c>
      <c r="U90">
        <f t="shared" si="159"/>
        <v>0</v>
      </c>
      <c r="V90">
        <f t="shared" si="160"/>
        <v>0</v>
      </c>
      <c r="W90">
        <f t="shared" si="161"/>
        <v>0</v>
      </c>
      <c r="X90">
        <f t="shared" si="162"/>
        <v>0</v>
      </c>
      <c r="Y90">
        <f t="shared" si="163"/>
        <v>0</v>
      </c>
      <c r="AA90">
        <v>44169784</v>
      </c>
      <c r="AB90">
        <f t="shared" si="164"/>
        <v>104.99</v>
      </c>
      <c r="AC90">
        <f t="shared" si="165"/>
        <v>104.99</v>
      </c>
      <c r="AD90">
        <f t="shared" si="166"/>
        <v>0</v>
      </c>
      <c r="AE90">
        <f t="shared" si="167"/>
        <v>0</v>
      </c>
      <c r="AF90">
        <f t="shared" si="168"/>
        <v>0</v>
      </c>
      <c r="AG90">
        <f t="shared" si="169"/>
        <v>0</v>
      </c>
      <c r="AH90">
        <f t="shared" si="170"/>
        <v>0</v>
      </c>
      <c r="AI90">
        <f t="shared" si="171"/>
        <v>0</v>
      </c>
      <c r="AJ90">
        <f t="shared" si="172"/>
        <v>0</v>
      </c>
      <c r="AK90">
        <v>104.99</v>
      </c>
      <c r="AL90">
        <v>104.99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1</v>
      </c>
      <c r="AW90">
        <v>1.002</v>
      </c>
      <c r="AZ90">
        <v>1</v>
      </c>
      <c r="BA90">
        <v>1</v>
      </c>
      <c r="BB90">
        <v>1</v>
      </c>
      <c r="BC90">
        <v>5.25</v>
      </c>
      <c r="BD90" t="s">
        <v>5</v>
      </c>
      <c r="BE90" t="s">
        <v>5</v>
      </c>
      <c r="BF90" t="s">
        <v>5</v>
      </c>
      <c r="BG90" t="s">
        <v>5</v>
      </c>
      <c r="BH90">
        <v>3</v>
      </c>
      <c r="BI90">
        <v>1</v>
      </c>
      <c r="BJ90" t="s">
        <v>60</v>
      </c>
      <c r="BM90">
        <v>146</v>
      </c>
      <c r="BN90">
        <v>0</v>
      </c>
      <c r="BO90" t="s">
        <v>57</v>
      </c>
      <c r="BP90">
        <v>1</v>
      </c>
      <c r="BQ90">
        <v>30</v>
      </c>
      <c r="BR90">
        <v>0</v>
      </c>
      <c r="BS90">
        <v>1</v>
      </c>
      <c r="BT90">
        <v>1</v>
      </c>
      <c r="BU90">
        <v>1</v>
      </c>
      <c r="BV90">
        <v>1</v>
      </c>
      <c r="BW90">
        <v>1</v>
      </c>
      <c r="BX90">
        <v>1</v>
      </c>
      <c r="BY90" t="s">
        <v>5</v>
      </c>
      <c r="BZ90">
        <v>0</v>
      </c>
      <c r="CA90">
        <v>0</v>
      </c>
      <c r="CE90">
        <v>30</v>
      </c>
      <c r="CF90">
        <v>0</v>
      </c>
      <c r="CG90">
        <v>0</v>
      </c>
      <c r="CM90">
        <v>0</v>
      </c>
      <c r="CN90" t="s">
        <v>5</v>
      </c>
      <c r="CO90">
        <v>0</v>
      </c>
      <c r="CP90">
        <f t="shared" si="173"/>
        <v>5164.01</v>
      </c>
      <c r="CQ90">
        <f t="shared" si="174"/>
        <v>552.29999999999995</v>
      </c>
      <c r="CR90">
        <f t="shared" si="175"/>
        <v>0</v>
      </c>
      <c r="CS90">
        <f t="shared" si="176"/>
        <v>0</v>
      </c>
      <c r="CT90">
        <f t="shared" si="177"/>
        <v>0</v>
      </c>
      <c r="CU90">
        <f t="shared" si="178"/>
        <v>0</v>
      </c>
      <c r="CV90">
        <f t="shared" si="179"/>
        <v>0</v>
      </c>
      <c r="CW90">
        <f t="shared" si="180"/>
        <v>0</v>
      </c>
      <c r="CX90">
        <f t="shared" si="181"/>
        <v>0</v>
      </c>
      <c r="CY90">
        <f t="shared" si="182"/>
        <v>0</v>
      </c>
      <c r="CZ90">
        <f t="shared" si="183"/>
        <v>0</v>
      </c>
      <c r="DC90" t="s">
        <v>5</v>
      </c>
      <c r="DD90" t="s">
        <v>5</v>
      </c>
      <c r="DE90" t="s">
        <v>5</v>
      </c>
      <c r="DF90" t="s">
        <v>5</v>
      </c>
      <c r="DG90" t="s">
        <v>5</v>
      </c>
      <c r="DH90" t="s">
        <v>5</v>
      </c>
      <c r="DI90" t="s">
        <v>5</v>
      </c>
      <c r="DJ90" t="s">
        <v>5</v>
      </c>
      <c r="DK90" t="s">
        <v>5</v>
      </c>
      <c r="DL90" t="s">
        <v>5</v>
      </c>
      <c r="DM90" t="s">
        <v>5</v>
      </c>
      <c r="DN90">
        <v>161</v>
      </c>
      <c r="DO90">
        <v>107</v>
      </c>
      <c r="DP90">
        <v>1.0469999999999999</v>
      </c>
      <c r="DQ90">
        <v>1.002</v>
      </c>
      <c r="DU90">
        <v>1007</v>
      </c>
      <c r="DV90" t="s">
        <v>59</v>
      </c>
      <c r="DW90" t="s">
        <v>59</v>
      </c>
      <c r="DX90">
        <v>1</v>
      </c>
      <c r="EE90">
        <v>44063965</v>
      </c>
      <c r="EF90">
        <v>30</v>
      </c>
      <c r="EG90" t="s">
        <v>53</v>
      </c>
      <c r="EH90">
        <v>0</v>
      </c>
      <c r="EI90" t="s">
        <v>5</v>
      </c>
      <c r="EJ90">
        <v>1</v>
      </c>
      <c r="EK90">
        <v>146</v>
      </c>
      <c r="EL90" t="s">
        <v>54</v>
      </c>
      <c r="EM90" t="s">
        <v>55</v>
      </c>
      <c r="EO90" t="s">
        <v>5</v>
      </c>
      <c r="EQ90">
        <v>0</v>
      </c>
      <c r="ER90">
        <v>104.99</v>
      </c>
      <c r="ES90">
        <v>104.99</v>
      </c>
      <c r="ET90">
        <v>0</v>
      </c>
      <c r="EU90">
        <v>0</v>
      </c>
      <c r="EV90">
        <v>0</v>
      </c>
      <c r="EW90">
        <v>0</v>
      </c>
      <c r="EX90">
        <v>0</v>
      </c>
      <c r="FQ90">
        <v>0</v>
      </c>
      <c r="FR90">
        <f t="shared" si="184"/>
        <v>0</v>
      </c>
      <c r="FS90">
        <v>0</v>
      </c>
      <c r="FX90">
        <v>161</v>
      </c>
      <c r="FY90">
        <v>107</v>
      </c>
      <c r="GA90" t="s">
        <v>5</v>
      </c>
      <c r="GD90">
        <v>0</v>
      </c>
      <c r="GF90">
        <v>2069056849</v>
      </c>
      <c r="GG90">
        <v>2</v>
      </c>
      <c r="GH90">
        <v>1</v>
      </c>
      <c r="GI90">
        <v>2</v>
      </c>
      <c r="GJ90">
        <v>0</v>
      </c>
      <c r="GK90">
        <f>ROUND(R90*(R12)/100,2)</f>
        <v>0</v>
      </c>
      <c r="GL90">
        <f t="shared" si="185"/>
        <v>0</v>
      </c>
      <c r="GM90">
        <f t="shared" si="186"/>
        <v>5164.01</v>
      </c>
      <c r="GN90">
        <f t="shared" si="187"/>
        <v>5164.01</v>
      </c>
      <c r="GO90">
        <f t="shared" si="188"/>
        <v>0</v>
      </c>
      <c r="GP90">
        <f t="shared" si="189"/>
        <v>0</v>
      </c>
      <c r="GR90">
        <v>0</v>
      </c>
      <c r="GS90">
        <v>3</v>
      </c>
      <c r="GT90">
        <v>0</v>
      </c>
      <c r="GU90" t="s">
        <v>5</v>
      </c>
      <c r="GV90">
        <f t="shared" si="190"/>
        <v>0</v>
      </c>
      <c r="GW90">
        <v>1</v>
      </c>
      <c r="GX90">
        <f t="shared" si="191"/>
        <v>0</v>
      </c>
      <c r="HA90">
        <v>0</v>
      </c>
      <c r="HB90">
        <v>0</v>
      </c>
      <c r="HC90">
        <f t="shared" si="192"/>
        <v>0</v>
      </c>
      <c r="IK90">
        <v>0</v>
      </c>
    </row>
    <row r="91" spans="1:245" x14ac:dyDescent="0.2">
      <c r="A91">
        <v>17</v>
      </c>
      <c r="B91">
        <v>1</v>
      </c>
      <c r="C91">
        <f>ROW(SmtRes!A194)</f>
        <v>194</v>
      </c>
      <c r="D91">
        <f>ROW(EtalonRes!A193)</f>
        <v>193</v>
      </c>
      <c r="E91" t="s">
        <v>208</v>
      </c>
      <c r="F91" t="s">
        <v>209</v>
      </c>
      <c r="G91" t="s">
        <v>210</v>
      </c>
      <c r="H91" t="s">
        <v>211</v>
      </c>
      <c r="I91">
        <v>0</v>
      </c>
      <c r="J91">
        <v>0</v>
      </c>
      <c r="O91">
        <f t="shared" si="153"/>
        <v>0</v>
      </c>
      <c r="P91">
        <f t="shared" si="154"/>
        <v>0</v>
      </c>
      <c r="Q91">
        <f t="shared" si="155"/>
        <v>0</v>
      </c>
      <c r="R91">
        <f t="shared" si="156"/>
        <v>0</v>
      </c>
      <c r="S91">
        <f t="shared" si="157"/>
        <v>0</v>
      </c>
      <c r="T91">
        <f t="shared" si="158"/>
        <v>0</v>
      </c>
      <c r="U91">
        <f t="shared" si="159"/>
        <v>0</v>
      </c>
      <c r="V91">
        <f t="shared" si="160"/>
        <v>0</v>
      </c>
      <c r="W91">
        <f t="shared" si="161"/>
        <v>0</v>
      </c>
      <c r="X91">
        <f t="shared" si="162"/>
        <v>0</v>
      </c>
      <c r="Y91">
        <f t="shared" si="163"/>
        <v>0</v>
      </c>
      <c r="AA91">
        <v>44169784</v>
      </c>
      <c r="AB91">
        <f t="shared" si="164"/>
        <v>5594.05</v>
      </c>
      <c r="AC91">
        <f t="shared" si="165"/>
        <v>141.4</v>
      </c>
      <c r="AD91">
        <f t="shared" si="166"/>
        <v>4923</v>
      </c>
      <c r="AE91">
        <f t="shared" si="167"/>
        <v>1023.42</v>
      </c>
      <c r="AF91">
        <f t="shared" si="168"/>
        <v>529.65</v>
      </c>
      <c r="AG91">
        <f t="shared" si="169"/>
        <v>0</v>
      </c>
      <c r="AH91">
        <f t="shared" si="170"/>
        <v>49.5</v>
      </c>
      <c r="AI91">
        <f t="shared" si="171"/>
        <v>0</v>
      </c>
      <c r="AJ91">
        <f t="shared" si="172"/>
        <v>0</v>
      </c>
      <c r="AK91">
        <v>5594.05</v>
      </c>
      <c r="AL91">
        <v>141.4</v>
      </c>
      <c r="AM91">
        <v>4923</v>
      </c>
      <c r="AN91">
        <v>1023.42</v>
      </c>
      <c r="AO91">
        <v>529.65</v>
      </c>
      <c r="AP91">
        <v>0</v>
      </c>
      <c r="AQ91">
        <v>49.5</v>
      </c>
      <c r="AR91">
        <v>0</v>
      </c>
      <c r="AS91">
        <v>0</v>
      </c>
      <c r="AT91">
        <v>131</v>
      </c>
      <c r="AU91">
        <v>54</v>
      </c>
      <c r="AV91">
        <v>1.0469999999999999</v>
      </c>
      <c r="AW91">
        <v>1.006</v>
      </c>
      <c r="AZ91">
        <v>1</v>
      </c>
      <c r="BA91">
        <v>21.43</v>
      </c>
      <c r="BB91">
        <v>13.01</v>
      </c>
      <c r="BC91">
        <v>4.5599999999999996</v>
      </c>
      <c r="BD91" t="s">
        <v>5</v>
      </c>
      <c r="BE91" t="s">
        <v>5</v>
      </c>
      <c r="BF91" t="s">
        <v>5</v>
      </c>
      <c r="BG91" t="s">
        <v>5</v>
      </c>
      <c r="BH91">
        <v>0</v>
      </c>
      <c r="BI91">
        <v>1</v>
      </c>
      <c r="BJ91" t="s">
        <v>212</v>
      </c>
      <c r="BM91">
        <v>147</v>
      </c>
      <c r="BN91">
        <v>0</v>
      </c>
      <c r="BO91" t="s">
        <v>209</v>
      </c>
      <c r="BP91">
        <v>1</v>
      </c>
      <c r="BQ91">
        <v>30</v>
      </c>
      <c r="BR91">
        <v>0</v>
      </c>
      <c r="BS91">
        <v>21.43</v>
      </c>
      <c r="BT91">
        <v>1</v>
      </c>
      <c r="BU91">
        <v>1</v>
      </c>
      <c r="BV91">
        <v>1</v>
      </c>
      <c r="BW91">
        <v>1</v>
      </c>
      <c r="BX91">
        <v>1</v>
      </c>
      <c r="BY91" t="s">
        <v>5</v>
      </c>
      <c r="BZ91">
        <v>131</v>
      </c>
      <c r="CA91">
        <v>54</v>
      </c>
      <c r="CE91">
        <v>30</v>
      </c>
      <c r="CF91">
        <v>0</v>
      </c>
      <c r="CG91">
        <v>0</v>
      </c>
      <c r="CM91">
        <v>0</v>
      </c>
      <c r="CN91" t="s">
        <v>5</v>
      </c>
      <c r="CO91">
        <v>0</v>
      </c>
      <c r="CP91">
        <f t="shared" si="173"/>
        <v>0</v>
      </c>
      <c r="CQ91">
        <f t="shared" si="174"/>
        <v>648.66</v>
      </c>
      <c r="CR91">
        <f t="shared" si="175"/>
        <v>67058.48</v>
      </c>
      <c r="CS91">
        <f t="shared" si="176"/>
        <v>22962.67</v>
      </c>
      <c r="CT91">
        <f t="shared" si="177"/>
        <v>11883.79</v>
      </c>
      <c r="CU91">
        <f t="shared" si="178"/>
        <v>0</v>
      </c>
      <c r="CV91">
        <f t="shared" si="179"/>
        <v>51.826499999999996</v>
      </c>
      <c r="CW91">
        <f t="shared" si="180"/>
        <v>0</v>
      </c>
      <c r="CX91">
        <f t="shared" si="181"/>
        <v>0</v>
      </c>
      <c r="CY91">
        <f t="shared" si="182"/>
        <v>0</v>
      </c>
      <c r="CZ91">
        <f t="shared" si="183"/>
        <v>0</v>
      </c>
      <c r="DC91" t="s">
        <v>5</v>
      </c>
      <c r="DD91" t="s">
        <v>5</v>
      </c>
      <c r="DE91" t="s">
        <v>5</v>
      </c>
      <c r="DF91" t="s">
        <v>5</v>
      </c>
      <c r="DG91" t="s">
        <v>5</v>
      </c>
      <c r="DH91" t="s">
        <v>5</v>
      </c>
      <c r="DI91" t="s">
        <v>5</v>
      </c>
      <c r="DJ91" t="s">
        <v>5</v>
      </c>
      <c r="DK91" t="s">
        <v>5</v>
      </c>
      <c r="DL91" t="s">
        <v>5</v>
      </c>
      <c r="DM91" t="s">
        <v>5</v>
      </c>
      <c r="DN91">
        <v>161</v>
      </c>
      <c r="DO91">
        <v>107</v>
      </c>
      <c r="DP91">
        <v>1.0469999999999999</v>
      </c>
      <c r="DQ91">
        <v>1.006</v>
      </c>
      <c r="DU91">
        <v>1013</v>
      </c>
      <c r="DV91" t="s">
        <v>211</v>
      </c>
      <c r="DW91" t="s">
        <v>211</v>
      </c>
      <c r="DX91">
        <v>1</v>
      </c>
      <c r="EE91">
        <v>44063966</v>
      </c>
      <c r="EF91">
        <v>30</v>
      </c>
      <c r="EG91" t="s">
        <v>53</v>
      </c>
      <c r="EH91">
        <v>0</v>
      </c>
      <c r="EI91" t="s">
        <v>5</v>
      </c>
      <c r="EJ91">
        <v>1</v>
      </c>
      <c r="EK91">
        <v>147</v>
      </c>
      <c r="EL91" t="s">
        <v>213</v>
      </c>
      <c r="EM91" t="s">
        <v>214</v>
      </c>
      <c r="EO91" t="s">
        <v>5</v>
      </c>
      <c r="EQ91">
        <v>131072</v>
      </c>
      <c r="ER91">
        <v>5594.05</v>
      </c>
      <c r="ES91">
        <v>141.4</v>
      </c>
      <c r="ET91">
        <v>4923</v>
      </c>
      <c r="EU91">
        <v>1023.42</v>
      </c>
      <c r="EV91">
        <v>529.65</v>
      </c>
      <c r="EW91">
        <v>49.5</v>
      </c>
      <c r="EX91">
        <v>0</v>
      </c>
      <c r="EY91">
        <v>0</v>
      </c>
      <c r="FQ91">
        <v>0</v>
      </c>
      <c r="FR91">
        <f t="shared" si="184"/>
        <v>0</v>
      </c>
      <c r="FS91">
        <v>0</v>
      </c>
      <c r="FX91">
        <v>161</v>
      </c>
      <c r="FY91">
        <v>107</v>
      </c>
      <c r="GA91" t="s">
        <v>5</v>
      </c>
      <c r="GD91">
        <v>0</v>
      </c>
      <c r="GF91">
        <v>-1931391444</v>
      </c>
      <c r="GG91">
        <v>2</v>
      </c>
      <c r="GH91">
        <v>1</v>
      </c>
      <c r="GI91">
        <v>2</v>
      </c>
      <c r="GJ91">
        <v>0</v>
      </c>
      <c r="GK91">
        <f>ROUND(R91*(R12)/100,2)</f>
        <v>0</v>
      </c>
      <c r="GL91">
        <f t="shared" si="185"/>
        <v>0</v>
      </c>
      <c r="GM91">
        <f t="shared" si="186"/>
        <v>0</v>
      </c>
      <c r="GN91">
        <f t="shared" si="187"/>
        <v>0</v>
      </c>
      <c r="GO91">
        <f t="shared" si="188"/>
        <v>0</v>
      </c>
      <c r="GP91">
        <f t="shared" si="189"/>
        <v>0</v>
      </c>
      <c r="GR91">
        <v>0</v>
      </c>
      <c r="GS91">
        <v>3</v>
      </c>
      <c r="GT91">
        <v>0</v>
      </c>
      <c r="GU91" t="s">
        <v>5</v>
      </c>
      <c r="GV91">
        <f t="shared" si="190"/>
        <v>0</v>
      </c>
      <c r="GW91">
        <v>1</v>
      </c>
      <c r="GX91">
        <f t="shared" si="191"/>
        <v>0</v>
      </c>
      <c r="HA91">
        <v>0</v>
      </c>
      <c r="HB91">
        <v>0</v>
      </c>
      <c r="HC91">
        <f t="shared" si="192"/>
        <v>0</v>
      </c>
      <c r="IK91">
        <v>0</v>
      </c>
    </row>
    <row r="92" spans="1:245" x14ac:dyDescent="0.2">
      <c r="A92">
        <v>18</v>
      </c>
      <c r="B92">
        <v>1</v>
      </c>
      <c r="C92">
        <v>194</v>
      </c>
      <c r="E92" t="s">
        <v>215</v>
      </c>
      <c r="F92" t="s">
        <v>216</v>
      </c>
      <c r="G92" t="s">
        <v>217</v>
      </c>
      <c r="H92" t="s">
        <v>59</v>
      </c>
      <c r="I92">
        <f>I91*J92</f>
        <v>0</v>
      </c>
      <c r="J92">
        <v>189</v>
      </c>
      <c r="O92">
        <f t="shared" si="153"/>
        <v>0</v>
      </c>
      <c r="P92">
        <f t="shared" si="154"/>
        <v>0</v>
      </c>
      <c r="Q92">
        <f t="shared" si="155"/>
        <v>0</v>
      </c>
      <c r="R92">
        <f t="shared" si="156"/>
        <v>0</v>
      </c>
      <c r="S92">
        <f t="shared" si="157"/>
        <v>0</v>
      </c>
      <c r="T92">
        <f t="shared" si="158"/>
        <v>0</v>
      </c>
      <c r="U92">
        <f t="shared" si="159"/>
        <v>0</v>
      </c>
      <c r="V92">
        <f t="shared" si="160"/>
        <v>0</v>
      </c>
      <c r="W92">
        <f t="shared" si="161"/>
        <v>0</v>
      </c>
      <c r="X92">
        <f t="shared" si="162"/>
        <v>0</v>
      </c>
      <c r="Y92">
        <f t="shared" si="163"/>
        <v>0</v>
      </c>
      <c r="AA92">
        <v>44169784</v>
      </c>
      <c r="AB92">
        <f t="shared" si="164"/>
        <v>168.98</v>
      </c>
      <c r="AC92">
        <f t="shared" si="165"/>
        <v>168.98</v>
      </c>
      <c r="AD92">
        <f t="shared" si="166"/>
        <v>0</v>
      </c>
      <c r="AE92">
        <f t="shared" si="167"/>
        <v>0</v>
      </c>
      <c r="AF92">
        <f t="shared" si="168"/>
        <v>0</v>
      </c>
      <c r="AG92">
        <f t="shared" si="169"/>
        <v>0</v>
      </c>
      <c r="AH92">
        <f t="shared" si="170"/>
        <v>0</v>
      </c>
      <c r="AI92">
        <f t="shared" si="171"/>
        <v>0</v>
      </c>
      <c r="AJ92">
        <f t="shared" si="172"/>
        <v>0</v>
      </c>
      <c r="AK92">
        <v>168.98</v>
      </c>
      <c r="AL92">
        <v>168.98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1</v>
      </c>
      <c r="AW92">
        <v>1.006</v>
      </c>
      <c r="AZ92">
        <v>1</v>
      </c>
      <c r="BA92">
        <v>1</v>
      </c>
      <c r="BB92">
        <v>1</v>
      </c>
      <c r="BC92">
        <v>13.13</v>
      </c>
      <c r="BD92" t="s">
        <v>5</v>
      </c>
      <c r="BE92" t="s">
        <v>5</v>
      </c>
      <c r="BF92" t="s">
        <v>5</v>
      </c>
      <c r="BG92" t="s">
        <v>5</v>
      </c>
      <c r="BH92">
        <v>3</v>
      </c>
      <c r="BI92">
        <v>1</v>
      </c>
      <c r="BJ92" t="s">
        <v>218</v>
      </c>
      <c r="BM92">
        <v>147</v>
      </c>
      <c r="BN92">
        <v>0</v>
      </c>
      <c r="BO92" t="s">
        <v>216</v>
      </c>
      <c r="BP92">
        <v>1</v>
      </c>
      <c r="BQ92">
        <v>30</v>
      </c>
      <c r="BR92">
        <v>0</v>
      </c>
      <c r="BS92">
        <v>1</v>
      </c>
      <c r="BT92">
        <v>1</v>
      </c>
      <c r="BU92">
        <v>1</v>
      </c>
      <c r="BV92">
        <v>1</v>
      </c>
      <c r="BW92">
        <v>1</v>
      </c>
      <c r="BX92">
        <v>1</v>
      </c>
      <c r="BY92" t="s">
        <v>5</v>
      </c>
      <c r="BZ92">
        <v>0</v>
      </c>
      <c r="CA92">
        <v>0</v>
      </c>
      <c r="CE92">
        <v>30</v>
      </c>
      <c r="CF92">
        <v>0</v>
      </c>
      <c r="CG92">
        <v>0</v>
      </c>
      <c r="CM92">
        <v>0</v>
      </c>
      <c r="CN92" t="s">
        <v>5</v>
      </c>
      <c r="CO92">
        <v>0</v>
      </c>
      <c r="CP92">
        <f t="shared" si="173"/>
        <v>0</v>
      </c>
      <c r="CQ92">
        <f t="shared" si="174"/>
        <v>2231.9699999999998</v>
      </c>
      <c r="CR92">
        <f t="shared" si="175"/>
        <v>0</v>
      </c>
      <c r="CS92">
        <f t="shared" si="176"/>
        <v>0</v>
      </c>
      <c r="CT92">
        <f t="shared" si="177"/>
        <v>0</v>
      </c>
      <c r="CU92">
        <f t="shared" si="178"/>
        <v>0</v>
      </c>
      <c r="CV92">
        <f t="shared" si="179"/>
        <v>0</v>
      </c>
      <c r="CW92">
        <f t="shared" si="180"/>
        <v>0</v>
      </c>
      <c r="CX92">
        <f t="shared" si="181"/>
        <v>0</v>
      </c>
      <c r="CY92">
        <f t="shared" si="182"/>
        <v>0</v>
      </c>
      <c r="CZ92">
        <f t="shared" si="183"/>
        <v>0</v>
      </c>
      <c r="DC92" t="s">
        <v>5</v>
      </c>
      <c r="DD92" t="s">
        <v>5</v>
      </c>
      <c r="DE92" t="s">
        <v>5</v>
      </c>
      <c r="DF92" t="s">
        <v>5</v>
      </c>
      <c r="DG92" t="s">
        <v>5</v>
      </c>
      <c r="DH92" t="s">
        <v>5</v>
      </c>
      <c r="DI92" t="s">
        <v>5</v>
      </c>
      <c r="DJ92" t="s">
        <v>5</v>
      </c>
      <c r="DK92" t="s">
        <v>5</v>
      </c>
      <c r="DL92" t="s">
        <v>5</v>
      </c>
      <c r="DM92" t="s">
        <v>5</v>
      </c>
      <c r="DN92">
        <v>161</v>
      </c>
      <c r="DO92">
        <v>107</v>
      </c>
      <c r="DP92">
        <v>1.0469999999999999</v>
      </c>
      <c r="DQ92">
        <v>1.006</v>
      </c>
      <c r="DU92">
        <v>1007</v>
      </c>
      <c r="DV92" t="s">
        <v>59</v>
      </c>
      <c r="DW92" t="s">
        <v>59</v>
      </c>
      <c r="DX92">
        <v>1</v>
      </c>
      <c r="EE92">
        <v>44063966</v>
      </c>
      <c r="EF92">
        <v>30</v>
      </c>
      <c r="EG92" t="s">
        <v>53</v>
      </c>
      <c r="EH92">
        <v>0</v>
      </c>
      <c r="EI92" t="s">
        <v>5</v>
      </c>
      <c r="EJ92">
        <v>1</v>
      </c>
      <c r="EK92">
        <v>147</v>
      </c>
      <c r="EL92" t="s">
        <v>213</v>
      </c>
      <c r="EM92" t="s">
        <v>214</v>
      </c>
      <c r="EO92" t="s">
        <v>5</v>
      </c>
      <c r="EQ92">
        <v>0</v>
      </c>
      <c r="ER92">
        <v>168.98</v>
      </c>
      <c r="ES92">
        <v>168.98</v>
      </c>
      <c r="ET92">
        <v>0</v>
      </c>
      <c r="EU92">
        <v>0</v>
      </c>
      <c r="EV92">
        <v>0</v>
      </c>
      <c r="EW92">
        <v>0</v>
      </c>
      <c r="EX92">
        <v>0</v>
      </c>
      <c r="FQ92">
        <v>0</v>
      </c>
      <c r="FR92">
        <f t="shared" si="184"/>
        <v>0</v>
      </c>
      <c r="FS92">
        <v>0</v>
      </c>
      <c r="FX92">
        <v>161</v>
      </c>
      <c r="FY92">
        <v>107</v>
      </c>
      <c r="GA92" t="s">
        <v>5</v>
      </c>
      <c r="GD92">
        <v>0</v>
      </c>
      <c r="GF92">
        <v>-1198722019</v>
      </c>
      <c r="GG92">
        <v>2</v>
      </c>
      <c r="GH92">
        <v>1</v>
      </c>
      <c r="GI92">
        <v>2</v>
      </c>
      <c r="GJ92">
        <v>0</v>
      </c>
      <c r="GK92">
        <f>ROUND(R92*(R12)/100,2)</f>
        <v>0</v>
      </c>
      <c r="GL92">
        <f t="shared" si="185"/>
        <v>0</v>
      </c>
      <c r="GM92">
        <f t="shared" si="186"/>
        <v>0</v>
      </c>
      <c r="GN92">
        <f t="shared" si="187"/>
        <v>0</v>
      </c>
      <c r="GO92">
        <f t="shared" si="188"/>
        <v>0</v>
      </c>
      <c r="GP92">
        <f t="shared" si="189"/>
        <v>0</v>
      </c>
      <c r="GR92">
        <v>0</v>
      </c>
      <c r="GS92">
        <v>3</v>
      </c>
      <c r="GT92">
        <v>0</v>
      </c>
      <c r="GU92" t="s">
        <v>5</v>
      </c>
      <c r="GV92">
        <f t="shared" si="190"/>
        <v>0</v>
      </c>
      <c r="GW92">
        <v>1</v>
      </c>
      <c r="GX92">
        <f t="shared" si="191"/>
        <v>0</v>
      </c>
      <c r="HA92">
        <v>0</v>
      </c>
      <c r="HB92">
        <v>0</v>
      </c>
      <c r="HC92">
        <f t="shared" si="192"/>
        <v>0</v>
      </c>
      <c r="IK92">
        <v>0</v>
      </c>
    </row>
    <row r="93" spans="1:245" x14ac:dyDescent="0.2">
      <c r="A93">
        <v>18</v>
      </c>
      <c r="B93">
        <v>1</v>
      </c>
      <c r="C93">
        <v>193</v>
      </c>
      <c r="E93" t="s">
        <v>219</v>
      </c>
      <c r="F93" t="s">
        <v>220</v>
      </c>
      <c r="G93" t="s">
        <v>221</v>
      </c>
      <c r="H93" t="s">
        <v>59</v>
      </c>
      <c r="I93">
        <f>I91*J93</f>
        <v>0</v>
      </c>
      <c r="J93">
        <v>15</v>
      </c>
      <c r="O93">
        <f t="shared" si="153"/>
        <v>0</v>
      </c>
      <c r="P93">
        <f t="shared" si="154"/>
        <v>0</v>
      </c>
      <c r="Q93">
        <f t="shared" si="155"/>
        <v>0</v>
      </c>
      <c r="R93">
        <f t="shared" si="156"/>
        <v>0</v>
      </c>
      <c r="S93">
        <f t="shared" si="157"/>
        <v>0</v>
      </c>
      <c r="T93">
        <f t="shared" si="158"/>
        <v>0</v>
      </c>
      <c r="U93">
        <f t="shared" si="159"/>
        <v>0</v>
      </c>
      <c r="V93">
        <f t="shared" si="160"/>
        <v>0</v>
      </c>
      <c r="W93">
        <f t="shared" si="161"/>
        <v>0</v>
      </c>
      <c r="X93">
        <f t="shared" si="162"/>
        <v>0</v>
      </c>
      <c r="Y93">
        <f t="shared" si="163"/>
        <v>0</v>
      </c>
      <c r="AA93">
        <v>44169784</v>
      </c>
      <c r="AB93">
        <f t="shared" si="164"/>
        <v>230.95</v>
      </c>
      <c r="AC93">
        <f t="shared" si="165"/>
        <v>230.95</v>
      </c>
      <c r="AD93">
        <f t="shared" si="166"/>
        <v>0</v>
      </c>
      <c r="AE93">
        <f t="shared" si="167"/>
        <v>0</v>
      </c>
      <c r="AF93">
        <f t="shared" si="168"/>
        <v>0</v>
      </c>
      <c r="AG93">
        <f t="shared" si="169"/>
        <v>0</v>
      </c>
      <c r="AH93">
        <f t="shared" si="170"/>
        <v>0</v>
      </c>
      <c r="AI93">
        <f t="shared" si="171"/>
        <v>0</v>
      </c>
      <c r="AJ93">
        <f t="shared" si="172"/>
        <v>0</v>
      </c>
      <c r="AK93">
        <v>230.95</v>
      </c>
      <c r="AL93">
        <v>230.95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1</v>
      </c>
      <c r="AW93">
        <v>1.006</v>
      </c>
      <c r="AZ93">
        <v>1</v>
      </c>
      <c r="BA93">
        <v>1</v>
      </c>
      <c r="BB93">
        <v>1</v>
      </c>
      <c r="BC93">
        <v>10.27</v>
      </c>
      <c r="BD93" t="s">
        <v>5</v>
      </c>
      <c r="BE93" t="s">
        <v>5</v>
      </c>
      <c r="BF93" t="s">
        <v>5</v>
      </c>
      <c r="BG93" t="s">
        <v>5</v>
      </c>
      <c r="BH93">
        <v>3</v>
      </c>
      <c r="BI93">
        <v>1</v>
      </c>
      <c r="BJ93" t="s">
        <v>222</v>
      </c>
      <c r="BM93">
        <v>147</v>
      </c>
      <c r="BN93">
        <v>0</v>
      </c>
      <c r="BO93" t="s">
        <v>220</v>
      </c>
      <c r="BP93">
        <v>1</v>
      </c>
      <c r="BQ93">
        <v>30</v>
      </c>
      <c r="BR93">
        <v>0</v>
      </c>
      <c r="BS93">
        <v>1</v>
      </c>
      <c r="BT93">
        <v>1</v>
      </c>
      <c r="BU93">
        <v>1</v>
      </c>
      <c r="BV93">
        <v>1</v>
      </c>
      <c r="BW93">
        <v>1</v>
      </c>
      <c r="BX93">
        <v>1</v>
      </c>
      <c r="BY93" t="s">
        <v>5</v>
      </c>
      <c r="BZ93">
        <v>0</v>
      </c>
      <c r="CA93">
        <v>0</v>
      </c>
      <c r="CE93">
        <v>30</v>
      </c>
      <c r="CF93">
        <v>0</v>
      </c>
      <c r="CG93">
        <v>0</v>
      </c>
      <c r="CM93">
        <v>0</v>
      </c>
      <c r="CN93" t="s">
        <v>5</v>
      </c>
      <c r="CO93">
        <v>0</v>
      </c>
      <c r="CP93">
        <f t="shared" si="173"/>
        <v>0</v>
      </c>
      <c r="CQ93">
        <f t="shared" si="174"/>
        <v>2386.13</v>
      </c>
      <c r="CR93">
        <f t="shared" si="175"/>
        <v>0</v>
      </c>
      <c r="CS93">
        <f t="shared" si="176"/>
        <v>0</v>
      </c>
      <c r="CT93">
        <f t="shared" si="177"/>
        <v>0</v>
      </c>
      <c r="CU93">
        <f t="shared" si="178"/>
        <v>0</v>
      </c>
      <c r="CV93">
        <f t="shared" si="179"/>
        <v>0</v>
      </c>
      <c r="CW93">
        <f t="shared" si="180"/>
        <v>0</v>
      </c>
      <c r="CX93">
        <f t="shared" si="181"/>
        <v>0</v>
      </c>
      <c r="CY93">
        <f t="shared" si="182"/>
        <v>0</v>
      </c>
      <c r="CZ93">
        <f t="shared" si="183"/>
        <v>0</v>
      </c>
      <c r="DC93" t="s">
        <v>5</v>
      </c>
      <c r="DD93" t="s">
        <v>5</v>
      </c>
      <c r="DE93" t="s">
        <v>5</v>
      </c>
      <c r="DF93" t="s">
        <v>5</v>
      </c>
      <c r="DG93" t="s">
        <v>5</v>
      </c>
      <c r="DH93" t="s">
        <v>5</v>
      </c>
      <c r="DI93" t="s">
        <v>5</v>
      </c>
      <c r="DJ93" t="s">
        <v>5</v>
      </c>
      <c r="DK93" t="s">
        <v>5</v>
      </c>
      <c r="DL93" t="s">
        <v>5</v>
      </c>
      <c r="DM93" t="s">
        <v>5</v>
      </c>
      <c r="DN93">
        <v>161</v>
      </c>
      <c r="DO93">
        <v>107</v>
      </c>
      <c r="DP93">
        <v>1.0469999999999999</v>
      </c>
      <c r="DQ93">
        <v>1.006</v>
      </c>
      <c r="DU93">
        <v>1007</v>
      </c>
      <c r="DV93" t="s">
        <v>59</v>
      </c>
      <c r="DW93" t="s">
        <v>59</v>
      </c>
      <c r="DX93">
        <v>1</v>
      </c>
      <c r="EE93">
        <v>44063966</v>
      </c>
      <c r="EF93">
        <v>30</v>
      </c>
      <c r="EG93" t="s">
        <v>53</v>
      </c>
      <c r="EH93">
        <v>0</v>
      </c>
      <c r="EI93" t="s">
        <v>5</v>
      </c>
      <c r="EJ93">
        <v>1</v>
      </c>
      <c r="EK93">
        <v>147</v>
      </c>
      <c r="EL93" t="s">
        <v>213</v>
      </c>
      <c r="EM93" t="s">
        <v>214</v>
      </c>
      <c r="EO93" t="s">
        <v>5</v>
      </c>
      <c r="EQ93">
        <v>0</v>
      </c>
      <c r="ER93">
        <v>230.95</v>
      </c>
      <c r="ES93">
        <v>230.95</v>
      </c>
      <c r="ET93">
        <v>0</v>
      </c>
      <c r="EU93">
        <v>0</v>
      </c>
      <c r="EV93">
        <v>0</v>
      </c>
      <c r="EW93">
        <v>0</v>
      </c>
      <c r="EX93">
        <v>0</v>
      </c>
      <c r="FQ93">
        <v>0</v>
      </c>
      <c r="FR93">
        <f t="shared" si="184"/>
        <v>0</v>
      </c>
      <c r="FS93">
        <v>0</v>
      </c>
      <c r="FX93">
        <v>161</v>
      </c>
      <c r="FY93">
        <v>107</v>
      </c>
      <c r="GA93" t="s">
        <v>5</v>
      </c>
      <c r="GD93">
        <v>0</v>
      </c>
      <c r="GF93">
        <v>874290911</v>
      </c>
      <c r="GG93">
        <v>2</v>
      </c>
      <c r="GH93">
        <v>1</v>
      </c>
      <c r="GI93">
        <v>2</v>
      </c>
      <c r="GJ93">
        <v>0</v>
      </c>
      <c r="GK93">
        <f>ROUND(R93*(R12)/100,2)</f>
        <v>0</v>
      </c>
      <c r="GL93">
        <f t="shared" si="185"/>
        <v>0</v>
      </c>
      <c r="GM93">
        <f t="shared" si="186"/>
        <v>0</v>
      </c>
      <c r="GN93">
        <f t="shared" si="187"/>
        <v>0</v>
      </c>
      <c r="GO93">
        <f t="shared" si="188"/>
        <v>0</v>
      </c>
      <c r="GP93">
        <f t="shared" si="189"/>
        <v>0</v>
      </c>
      <c r="GR93">
        <v>0</v>
      </c>
      <c r="GS93">
        <v>3</v>
      </c>
      <c r="GT93">
        <v>0</v>
      </c>
      <c r="GU93" t="s">
        <v>5</v>
      </c>
      <c r="GV93">
        <f t="shared" si="190"/>
        <v>0</v>
      </c>
      <c r="GW93">
        <v>1</v>
      </c>
      <c r="GX93">
        <f t="shared" si="191"/>
        <v>0</v>
      </c>
      <c r="HA93">
        <v>0</v>
      </c>
      <c r="HB93">
        <v>0</v>
      </c>
      <c r="HC93">
        <f t="shared" si="192"/>
        <v>0</v>
      </c>
      <c r="IK93">
        <v>0</v>
      </c>
    </row>
    <row r="94" spans="1:245" x14ac:dyDescent="0.2">
      <c r="A94">
        <v>18</v>
      </c>
      <c r="B94">
        <v>1</v>
      </c>
      <c r="C94">
        <v>192</v>
      </c>
      <c r="E94" t="s">
        <v>223</v>
      </c>
      <c r="F94" t="s">
        <v>182</v>
      </c>
      <c r="G94" t="s">
        <v>183</v>
      </c>
      <c r="H94" t="s">
        <v>59</v>
      </c>
      <c r="I94">
        <f>I91*J94</f>
        <v>0</v>
      </c>
      <c r="J94">
        <v>10</v>
      </c>
      <c r="O94">
        <f t="shared" si="153"/>
        <v>0</v>
      </c>
      <c r="P94">
        <f t="shared" si="154"/>
        <v>0</v>
      </c>
      <c r="Q94">
        <f t="shared" si="155"/>
        <v>0</v>
      </c>
      <c r="R94">
        <f t="shared" si="156"/>
        <v>0</v>
      </c>
      <c r="S94">
        <f t="shared" si="157"/>
        <v>0</v>
      </c>
      <c r="T94">
        <f t="shared" si="158"/>
        <v>0</v>
      </c>
      <c r="U94">
        <f t="shared" si="159"/>
        <v>0</v>
      </c>
      <c r="V94">
        <f t="shared" si="160"/>
        <v>0</v>
      </c>
      <c r="W94">
        <f t="shared" si="161"/>
        <v>0</v>
      </c>
      <c r="X94">
        <f t="shared" si="162"/>
        <v>0</v>
      </c>
      <c r="Y94">
        <f t="shared" si="163"/>
        <v>0</v>
      </c>
      <c r="AA94">
        <v>44169784</v>
      </c>
      <c r="AB94">
        <f t="shared" si="164"/>
        <v>250.65</v>
      </c>
      <c r="AC94">
        <f t="shared" si="165"/>
        <v>250.65</v>
      </c>
      <c r="AD94">
        <f t="shared" si="166"/>
        <v>0</v>
      </c>
      <c r="AE94">
        <f t="shared" si="167"/>
        <v>0</v>
      </c>
      <c r="AF94">
        <f t="shared" si="168"/>
        <v>0</v>
      </c>
      <c r="AG94">
        <f t="shared" si="169"/>
        <v>0</v>
      </c>
      <c r="AH94">
        <f t="shared" si="170"/>
        <v>0</v>
      </c>
      <c r="AI94">
        <f t="shared" si="171"/>
        <v>0</v>
      </c>
      <c r="AJ94">
        <f t="shared" si="172"/>
        <v>0</v>
      </c>
      <c r="AK94">
        <v>250.65</v>
      </c>
      <c r="AL94">
        <v>250.65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1</v>
      </c>
      <c r="AW94">
        <v>1.006</v>
      </c>
      <c r="AZ94">
        <v>1</v>
      </c>
      <c r="BA94">
        <v>1</v>
      </c>
      <c r="BB94">
        <v>1</v>
      </c>
      <c r="BC94">
        <v>8.8800000000000008</v>
      </c>
      <c r="BD94" t="s">
        <v>5</v>
      </c>
      <c r="BE94" t="s">
        <v>5</v>
      </c>
      <c r="BF94" t="s">
        <v>5</v>
      </c>
      <c r="BG94" t="s">
        <v>5</v>
      </c>
      <c r="BH94">
        <v>3</v>
      </c>
      <c r="BI94">
        <v>1</v>
      </c>
      <c r="BJ94" t="s">
        <v>184</v>
      </c>
      <c r="BM94">
        <v>147</v>
      </c>
      <c r="BN94">
        <v>0</v>
      </c>
      <c r="BO94" t="s">
        <v>182</v>
      </c>
      <c r="BP94">
        <v>1</v>
      </c>
      <c r="BQ94">
        <v>30</v>
      </c>
      <c r="BR94">
        <v>0</v>
      </c>
      <c r="BS94">
        <v>1</v>
      </c>
      <c r="BT94">
        <v>1</v>
      </c>
      <c r="BU94">
        <v>1</v>
      </c>
      <c r="BV94">
        <v>1</v>
      </c>
      <c r="BW94">
        <v>1</v>
      </c>
      <c r="BX94">
        <v>1</v>
      </c>
      <c r="BY94" t="s">
        <v>5</v>
      </c>
      <c r="BZ94">
        <v>0</v>
      </c>
      <c r="CA94">
        <v>0</v>
      </c>
      <c r="CE94">
        <v>30</v>
      </c>
      <c r="CF94">
        <v>0</v>
      </c>
      <c r="CG94">
        <v>0</v>
      </c>
      <c r="CM94">
        <v>0</v>
      </c>
      <c r="CN94" t="s">
        <v>5</v>
      </c>
      <c r="CO94">
        <v>0</v>
      </c>
      <c r="CP94">
        <f t="shared" si="173"/>
        <v>0</v>
      </c>
      <c r="CQ94">
        <f t="shared" si="174"/>
        <v>2239.09</v>
      </c>
      <c r="CR94">
        <f t="shared" si="175"/>
        <v>0</v>
      </c>
      <c r="CS94">
        <f t="shared" si="176"/>
        <v>0</v>
      </c>
      <c r="CT94">
        <f t="shared" si="177"/>
        <v>0</v>
      </c>
      <c r="CU94">
        <f t="shared" si="178"/>
        <v>0</v>
      </c>
      <c r="CV94">
        <f t="shared" si="179"/>
        <v>0</v>
      </c>
      <c r="CW94">
        <f t="shared" si="180"/>
        <v>0</v>
      </c>
      <c r="CX94">
        <f t="shared" si="181"/>
        <v>0</v>
      </c>
      <c r="CY94">
        <f t="shared" si="182"/>
        <v>0</v>
      </c>
      <c r="CZ94">
        <f t="shared" si="183"/>
        <v>0</v>
      </c>
      <c r="DC94" t="s">
        <v>5</v>
      </c>
      <c r="DD94" t="s">
        <v>5</v>
      </c>
      <c r="DE94" t="s">
        <v>5</v>
      </c>
      <c r="DF94" t="s">
        <v>5</v>
      </c>
      <c r="DG94" t="s">
        <v>5</v>
      </c>
      <c r="DH94" t="s">
        <v>5</v>
      </c>
      <c r="DI94" t="s">
        <v>5</v>
      </c>
      <c r="DJ94" t="s">
        <v>5</v>
      </c>
      <c r="DK94" t="s">
        <v>5</v>
      </c>
      <c r="DL94" t="s">
        <v>5</v>
      </c>
      <c r="DM94" t="s">
        <v>5</v>
      </c>
      <c r="DN94">
        <v>161</v>
      </c>
      <c r="DO94">
        <v>107</v>
      </c>
      <c r="DP94">
        <v>1.0469999999999999</v>
      </c>
      <c r="DQ94">
        <v>1.006</v>
      </c>
      <c r="DU94">
        <v>1007</v>
      </c>
      <c r="DV94" t="s">
        <v>59</v>
      </c>
      <c r="DW94" t="s">
        <v>59</v>
      </c>
      <c r="DX94">
        <v>1</v>
      </c>
      <c r="EE94">
        <v>44063966</v>
      </c>
      <c r="EF94">
        <v>30</v>
      </c>
      <c r="EG94" t="s">
        <v>53</v>
      </c>
      <c r="EH94">
        <v>0</v>
      </c>
      <c r="EI94" t="s">
        <v>5</v>
      </c>
      <c r="EJ94">
        <v>1</v>
      </c>
      <c r="EK94">
        <v>147</v>
      </c>
      <c r="EL94" t="s">
        <v>213</v>
      </c>
      <c r="EM94" t="s">
        <v>214</v>
      </c>
      <c r="EO94" t="s">
        <v>5</v>
      </c>
      <c r="EQ94">
        <v>0</v>
      </c>
      <c r="ER94">
        <v>250.65</v>
      </c>
      <c r="ES94">
        <v>250.65</v>
      </c>
      <c r="ET94">
        <v>0</v>
      </c>
      <c r="EU94">
        <v>0</v>
      </c>
      <c r="EV94">
        <v>0</v>
      </c>
      <c r="EW94">
        <v>0</v>
      </c>
      <c r="EX94">
        <v>0</v>
      </c>
      <c r="FQ94">
        <v>0</v>
      </c>
      <c r="FR94">
        <f t="shared" si="184"/>
        <v>0</v>
      </c>
      <c r="FS94">
        <v>0</v>
      </c>
      <c r="FX94">
        <v>161</v>
      </c>
      <c r="FY94">
        <v>107</v>
      </c>
      <c r="GA94" t="s">
        <v>5</v>
      </c>
      <c r="GD94">
        <v>0</v>
      </c>
      <c r="GF94">
        <v>564194019</v>
      </c>
      <c r="GG94">
        <v>2</v>
      </c>
      <c r="GH94">
        <v>1</v>
      </c>
      <c r="GI94">
        <v>2</v>
      </c>
      <c r="GJ94">
        <v>0</v>
      </c>
      <c r="GK94">
        <f>ROUND(R94*(R12)/100,2)</f>
        <v>0</v>
      </c>
      <c r="GL94">
        <f t="shared" si="185"/>
        <v>0</v>
      </c>
      <c r="GM94">
        <f t="shared" si="186"/>
        <v>0</v>
      </c>
      <c r="GN94">
        <f t="shared" si="187"/>
        <v>0</v>
      </c>
      <c r="GO94">
        <f t="shared" si="188"/>
        <v>0</v>
      </c>
      <c r="GP94">
        <f t="shared" si="189"/>
        <v>0</v>
      </c>
      <c r="GR94">
        <v>0</v>
      </c>
      <c r="GS94">
        <v>3</v>
      </c>
      <c r="GT94">
        <v>0</v>
      </c>
      <c r="GU94" t="s">
        <v>5</v>
      </c>
      <c r="GV94">
        <f t="shared" si="190"/>
        <v>0</v>
      </c>
      <c r="GW94">
        <v>1</v>
      </c>
      <c r="GX94">
        <f t="shared" si="191"/>
        <v>0</v>
      </c>
      <c r="HA94">
        <v>0</v>
      </c>
      <c r="HB94">
        <v>0</v>
      </c>
      <c r="HC94">
        <f t="shared" si="192"/>
        <v>0</v>
      </c>
      <c r="IK94">
        <v>0</v>
      </c>
    </row>
    <row r="95" spans="1:245" x14ac:dyDescent="0.2">
      <c r="A95">
        <v>17</v>
      </c>
      <c r="B95">
        <v>1</v>
      </c>
      <c r="C95">
        <f>ROW(SmtRes!A199)</f>
        <v>199</v>
      </c>
      <c r="D95">
        <f>ROW(EtalonRes!A198)</f>
        <v>198</v>
      </c>
      <c r="E95" t="s">
        <v>224</v>
      </c>
      <c r="F95" t="s">
        <v>129</v>
      </c>
      <c r="G95" t="s">
        <v>130</v>
      </c>
      <c r="H95" t="s">
        <v>131</v>
      </c>
      <c r="I95">
        <f>ROUND((34)/100,9)</f>
        <v>0.34</v>
      </c>
      <c r="J95">
        <v>0</v>
      </c>
      <c r="O95">
        <f t="shared" si="153"/>
        <v>2908.61</v>
      </c>
      <c r="P95">
        <f t="shared" si="154"/>
        <v>21.98</v>
      </c>
      <c r="Q95">
        <f t="shared" si="155"/>
        <v>814.13</v>
      </c>
      <c r="R95">
        <f t="shared" si="156"/>
        <v>329.16</v>
      </c>
      <c r="S95">
        <f t="shared" si="157"/>
        <v>2072.5</v>
      </c>
      <c r="T95">
        <f t="shared" si="158"/>
        <v>0</v>
      </c>
      <c r="U95">
        <f t="shared" si="159"/>
        <v>8.6503139999999998</v>
      </c>
      <c r="V95">
        <f t="shared" si="160"/>
        <v>0</v>
      </c>
      <c r="W95">
        <f t="shared" si="161"/>
        <v>0</v>
      </c>
      <c r="X95">
        <f t="shared" si="162"/>
        <v>2196.85</v>
      </c>
      <c r="Y95">
        <f t="shared" si="163"/>
        <v>849.73</v>
      </c>
      <c r="AA95">
        <v>44169784</v>
      </c>
      <c r="AB95">
        <f t="shared" si="164"/>
        <v>462.15</v>
      </c>
      <c r="AC95">
        <f t="shared" si="165"/>
        <v>14.14</v>
      </c>
      <c r="AD95">
        <f t="shared" si="166"/>
        <v>176.34</v>
      </c>
      <c r="AE95">
        <f t="shared" si="167"/>
        <v>43.15</v>
      </c>
      <c r="AF95">
        <f t="shared" si="168"/>
        <v>271.67</v>
      </c>
      <c r="AG95">
        <f t="shared" si="169"/>
        <v>0</v>
      </c>
      <c r="AH95">
        <f t="shared" si="170"/>
        <v>24.3</v>
      </c>
      <c r="AI95">
        <f t="shared" si="171"/>
        <v>0</v>
      </c>
      <c r="AJ95">
        <f t="shared" si="172"/>
        <v>0</v>
      </c>
      <c r="AK95">
        <v>462.15</v>
      </c>
      <c r="AL95">
        <v>14.14</v>
      </c>
      <c r="AM95">
        <v>176.34</v>
      </c>
      <c r="AN95">
        <v>43.15</v>
      </c>
      <c r="AO95">
        <v>271.67</v>
      </c>
      <c r="AP95">
        <v>0</v>
      </c>
      <c r="AQ95">
        <v>24.3</v>
      </c>
      <c r="AR95">
        <v>0</v>
      </c>
      <c r="AS95">
        <v>0</v>
      </c>
      <c r="AT95">
        <v>106</v>
      </c>
      <c r="AU95">
        <v>41</v>
      </c>
      <c r="AV95">
        <v>1.0469999999999999</v>
      </c>
      <c r="AW95">
        <v>1.002</v>
      </c>
      <c r="AZ95">
        <v>1</v>
      </c>
      <c r="BA95">
        <v>21.43</v>
      </c>
      <c r="BB95">
        <v>12.97</v>
      </c>
      <c r="BC95">
        <v>4.5599999999999996</v>
      </c>
      <c r="BD95" t="s">
        <v>5</v>
      </c>
      <c r="BE95" t="s">
        <v>5</v>
      </c>
      <c r="BF95" t="s">
        <v>5</v>
      </c>
      <c r="BG95" t="s">
        <v>5</v>
      </c>
      <c r="BH95">
        <v>0</v>
      </c>
      <c r="BI95">
        <v>1</v>
      </c>
      <c r="BJ95" t="s">
        <v>132</v>
      </c>
      <c r="BM95">
        <v>160</v>
      </c>
      <c r="BN95">
        <v>0</v>
      </c>
      <c r="BO95" t="s">
        <v>129</v>
      </c>
      <c r="BP95">
        <v>1</v>
      </c>
      <c r="BQ95">
        <v>30</v>
      </c>
      <c r="BR95">
        <v>0</v>
      </c>
      <c r="BS95">
        <v>21.43</v>
      </c>
      <c r="BT95">
        <v>1</v>
      </c>
      <c r="BU95">
        <v>1</v>
      </c>
      <c r="BV95">
        <v>1</v>
      </c>
      <c r="BW95">
        <v>1</v>
      </c>
      <c r="BX95">
        <v>1</v>
      </c>
      <c r="BY95" t="s">
        <v>5</v>
      </c>
      <c r="BZ95">
        <v>106</v>
      </c>
      <c r="CA95">
        <v>41</v>
      </c>
      <c r="CE95">
        <v>30</v>
      </c>
      <c r="CF95">
        <v>0</v>
      </c>
      <c r="CG95">
        <v>0</v>
      </c>
      <c r="CM95">
        <v>0</v>
      </c>
      <c r="CN95" t="s">
        <v>5</v>
      </c>
      <c r="CO95">
        <v>0</v>
      </c>
      <c r="CP95">
        <f t="shared" si="173"/>
        <v>2908.61</v>
      </c>
      <c r="CQ95">
        <f t="shared" si="174"/>
        <v>64.62</v>
      </c>
      <c r="CR95">
        <f t="shared" si="175"/>
        <v>2394.65</v>
      </c>
      <c r="CS95">
        <f t="shared" si="176"/>
        <v>968.21</v>
      </c>
      <c r="CT95">
        <f t="shared" si="177"/>
        <v>6095.55</v>
      </c>
      <c r="CU95">
        <f t="shared" si="178"/>
        <v>0</v>
      </c>
      <c r="CV95">
        <f t="shared" si="179"/>
        <v>25.4421</v>
      </c>
      <c r="CW95">
        <f t="shared" si="180"/>
        <v>0</v>
      </c>
      <c r="CX95">
        <f t="shared" si="181"/>
        <v>0</v>
      </c>
      <c r="CY95">
        <f t="shared" si="182"/>
        <v>2196.85</v>
      </c>
      <c r="CZ95">
        <f t="shared" si="183"/>
        <v>849.72499999999991</v>
      </c>
      <c r="DC95" t="s">
        <v>5</v>
      </c>
      <c r="DD95" t="s">
        <v>5</v>
      </c>
      <c r="DE95" t="s">
        <v>5</v>
      </c>
      <c r="DF95" t="s">
        <v>5</v>
      </c>
      <c r="DG95" t="s">
        <v>5</v>
      </c>
      <c r="DH95" t="s">
        <v>5</v>
      </c>
      <c r="DI95" t="s">
        <v>5</v>
      </c>
      <c r="DJ95" t="s">
        <v>5</v>
      </c>
      <c r="DK95" t="s">
        <v>5</v>
      </c>
      <c r="DL95" t="s">
        <v>5</v>
      </c>
      <c r="DM95" t="s">
        <v>5</v>
      </c>
      <c r="DN95">
        <v>134</v>
      </c>
      <c r="DO95">
        <v>83</v>
      </c>
      <c r="DP95">
        <v>1.0469999999999999</v>
      </c>
      <c r="DQ95">
        <v>1.002</v>
      </c>
      <c r="DU95">
        <v>1013</v>
      </c>
      <c r="DV95" t="s">
        <v>131</v>
      </c>
      <c r="DW95" t="s">
        <v>131</v>
      </c>
      <c r="DX95">
        <v>1</v>
      </c>
      <c r="EE95">
        <v>44063979</v>
      </c>
      <c r="EF95">
        <v>30</v>
      </c>
      <c r="EG95" t="s">
        <v>53</v>
      </c>
      <c r="EH95">
        <v>0</v>
      </c>
      <c r="EI95" t="s">
        <v>5</v>
      </c>
      <c r="EJ95">
        <v>1</v>
      </c>
      <c r="EK95">
        <v>160</v>
      </c>
      <c r="EL95" t="s">
        <v>133</v>
      </c>
      <c r="EM95" t="s">
        <v>134</v>
      </c>
      <c r="EO95" t="s">
        <v>5</v>
      </c>
      <c r="EQ95">
        <v>131072</v>
      </c>
      <c r="ER95">
        <v>462.15</v>
      </c>
      <c r="ES95">
        <v>14.14</v>
      </c>
      <c r="ET95">
        <v>176.34</v>
      </c>
      <c r="EU95">
        <v>43.15</v>
      </c>
      <c r="EV95">
        <v>271.67</v>
      </c>
      <c r="EW95">
        <v>24.3</v>
      </c>
      <c r="EX95">
        <v>0</v>
      </c>
      <c r="EY95">
        <v>0</v>
      </c>
      <c r="FQ95">
        <v>0</v>
      </c>
      <c r="FR95">
        <f t="shared" si="184"/>
        <v>0</v>
      </c>
      <c r="FS95">
        <v>0</v>
      </c>
      <c r="FX95">
        <v>134</v>
      </c>
      <c r="FY95">
        <v>83</v>
      </c>
      <c r="GA95" t="s">
        <v>5</v>
      </c>
      <c r="GD95">
        <v>0</v>
      </c>
      <c r="GF95">
        <v>73681226</v>
      </c>
      <c r="GG95">
        <v>2</v>
      </c>
      <c r="GH95">
        <v>1</v>
      </c>
      <c r="GI95">
        <v>2</v>
      </c>
      <c r="GJ95">
        <v>0</v>
      </c>
      <c r="GK95">
        <f>ROUND(R95*(R12)/100,2)</f>
        <v>516.78</v>
      </c>
      <c r="GL95">
        <f t="shared" si="185"/>
        <v>0</v>
      </c>
      <c r="GM95">
        <f t="shared" si="186"/>
        <v>6471.97</v>
      </c>
      <c r="GN95">
        <f t="shared" si="187"/>
        <v>6471.97</v>
      </c>
      <c r="GO95">
        <f t="shared" si="188"/>
        <v>0</v>
      </c>
      <c r="GP95">
        <f t="shared" si="189"/>
        <v>0</v>
      </c>
      <c r="GR95">
        <v>0</v>
      </c>
      <c r="GS95">
        <v>0</v>
      </c>
      <c r="GT95">
        <v>0</v>
      </c>
      <c r="GU95" t="s">
        <v>5</v>
      </c>
      <c r="GV95">
        <f t="shared" si="190"/>
        <v>0</v>
      </c>
      <c r="GW95">
        <v>1</v>
      </c>
      <c r="GX95">
        <f t="shared" si="191"/>
        <v>0</v>
      </c>
      <c r="HA95">
        <v>0</v>
      </c>
      <c r="HB95">
        <v>0</v>
      </c>
      <c r="HC95">
        <f t="shared" si="192"/>
        <v>0</v>
      </c>
      <c r="IK95">
        <v>0</v>
      </c>
    </row>
    <row r="96" spans="1:245" x14ac:dyDescent="0.2">
      <c r="A96">
        <v>18</v>
      </c>
      <c r="B96">
        <v>1</v>
      </c>
      <c r="C96">
        <v>199</v>
      </c>
      <c r="E96" t="s">
        <v>225</v>
      </c>
      <c r="F96" t="s">
        <v>182</v>
      </c>
      <c r="G96" t="s">
        <v>183</v>
      </c>
      <c r="H96" t="s">
        <v>59</v>
      </c>
      <c r="I96">
        <f>I95*J96</f>
        <v>5.9160000000000004</v>
      </c>
      <c r="J96">
        <v>17.399999999999999</v>
      </c>
      <c r="O96">
        <f t="shared" si="153"/>
        <v>13193.99</v>
      </c>
      <c r="P96">
        <f t="shared" si="154"/>
        <v>13193.99</v>
      </c>
      <c r="Q96">
        <f t="shared" si="155"/>
        <v>0</v>
      </c>
      <c r="R96">
        <f t="shared" si="156"/>
        <v>0</v>
      </c>
      <c r="S96">
        <f t="shared" si="157"/>
        <v>0</v>
      </c>
      <c r="T96">
        <f t="shared" si="158"/>
        <v>0</v>
      </c>
      <c r="U96">
        <f t="shared" si="159"/>
        <v>0</v>
      </c>
      <c r="V96">
        <f t="shared" si="160"/>
        <v>0</v>
      </c>
      <c r="W96">
        <f t="shared" si="161"/>
        <v>0</v>
      </c>
      <c r="X96">
        <f t="shared" si="162"/>
        <v>0</v>
      </c>
      <c r="Y96">
        <f t="shared" si="163"/>
        <v>0</v>
      </c>
      <c r="AA96">
        <v>44169784</v>
      </c>
      <c r="AB96">
        <f t="shared" si="164"/>
        <v>250.65</v>
      </c>
      <c r="AC96">
        <f t="shared" si="165"/>
        <v>250.65</v>
      </c>
      <c r="AD96">
        <f t="shared" si="166"/>
        <v>0</v>
      </c>
      <c r="AE96">
        <f t="shared" si="167"/>
        <v>0</v>
      </c>
      <c r="AF96">
        <f t="shared" si="168"/>
        <v>0</v>
      </c>
      <c r="AG96">
        <f t="shared" si="169"/>
        <v>0</v>
      </c>
      <c r="AH96">
        <f t="shared" si="170"/>
        <v>0</v>
      </c>
      <c r="AI96">
        <f t="shared" si="171"/>
        <v>0</v>
      </c>
      <c r="AJ96">
        <f t="shared" si="172"/>
        <v>0</v>
      </c>
      <c r="AK96">
        <v>250.65</v>
      </c>
      <c r="AL96">
        <v>250.65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1</v>
      </c>
      <c r="AW96">
        <v>1.002</v>
      </c>
      <c r="AZ96">
        <v>1</v>
      </c>
      <c r="BA96">
        <v>1</v>
      </c>
      <c r="BB96">
        <v>1</v>
      </c>
      <c r="BC96">
        <v>8.8800000000000008</v>
      </c>
      <c r="BD96" t="s">
        <v>5</v>
      </c>
      <c r="BE96" t="s">
        <v>5</v>
      </c>
      <c r="BF96" t="s">
        <v>5</v>
      </c>
      <c r="BG96" t="s">
        <v>5</v>
      </c>
      <c r="BH96">
        <v>3</v>
      </c>
      <c r="BI96">
        <v>1</v>
      </c>
      <c r="BJ96" t="s">
        <v>184</v>
      </c>
      <c r="BM96">
        <v>160</v>
      </c>
      <c r="BN96">
        <v>0</v>
      </c>
      <c r="BO96" t="s">
        <v>182</v>
      </c>
      <c r="BP96">
        <v>1</v>
      </c>
      <c r="BQ96">
        <v>30</v>
      </c>
      <c r="BR96">
        <v>0</v>
      </c>
      <c r="BS96">
        <v>1</v>
      </c>
      <c r="BT96">
        <v>1</v>
      </c>
      <c r="BU96">
        <v>1</v>
      </c>
      <c r="BV96">
        <v>1</v>
      </c>
      <c r="BW96">
        <v>1</v>
      </c>
      <c r="BX96">
        <v>1</v>
      </c>
      <c r="BY96" t="s">
        <v>5</v>
      </c>
      <c r="BZ96">
        <v>0</v>
      </c>
      <c r="CA96">
        <v>0</v>
      </c>
      <c r="CE96">
        <v>30</v>
      </c>
      <c r="CF96">
        <v>0</v>
      </c>
      <c r="CG96">
        <v>0</v>
      </c>
      <c r="CM96">
        <v>0</v>
      </c>
      <c r="CN96" t="s">
        <v>5</v>
      </c>
      <c r="CO96">
        <v>0</v>
      </c>
      <c r="CP96">
        <f t="shared" si="173"/>
        <v>13193.99</v>
      </c>
      <c r="CQ96">
        <f t="shared" si="174"/>
        <v>2230.21</v>
      </c>
      <c r="CR96">
        <f t="shared" si="175"/>
        <v>0</v>
      </c>
      <c r="CS96">
        <f t="shared" si="176"/>
        <v>0</v>
      </c>
      <c r="CT96">
        <f t="shared" si="177"/>
        <v>0</v>
      </c>
      <c r="CU96">
        <f t="shared" si="178"/>
        <v>0</v>
      </c>
      <c r="CV96">
        <f t="shared" si="179"/>
        <v>0</v>
      </c>
      <c r="CW96">
        <f t="shared" si="180"/>
        <v>0</v>
      </c>
      <c r="CX96">
        <f t="shared" si="181"/>
        <v>0</v>
      </c>
      <c r="CY96">
        <f t="shared" si="182"/>
        <v>0</v>
      </c>
      <c r="CZ96">
        <f t="shared" si="183"/>
        <v>0</v>
      </c>
      <c r="DC96" t="s">
        <v>5</v>
      </c>
      <c r="DD96" t="s">
        <v>5</v>
      </c>
      <c r="DE96" t="s">
        <v>5</v>
      </c>
      <c r="DF96" t="s">
        <v>5</v>
      </c>
      <c r="DG96" t="s">
        <v>5</v>
      </c>
      <c r="DH96" t="s">
        <v>5</v>
      </c>
      <c r="DI96" t="s">
        <v>5</v>
      </c>
      <c r="DJ96" t="s">
        <v>5</v>
      </c>
      <c r="DK96" t="s">
        <v>5</v>
      </c>
      <c r="DL96" t="s">
        <v>5</v>
      </c>
      <c r="DM96" t="s">
        <v>5</v>
      </c>
      <c r="DN96">
        <v>134</v>
      </c>
      <c r="DO96">
        <v>83</v>
      </c>
      <c r="DP96">
        <v>1.0469999999999999</v>
      </c>
      <c r="DQ96">
        <v>1.002</v>
      </c>
      <c r="DU96">
        <v>1007</v>
      </c>
      <c r="DV96" t="s">
        <v>59</v>
      </c>
      <c r="DW96" t="s">
        <v>59</v>
      </c>
      <c r="DX96">
        <v>1</v>
      </c>
      <c r="EE96">
        <v>44063979</v>
      </c>
      <c r="EF96">
        <v>30</v>
      </c>
      <c r="EG96" t="s">
        <v>53</v>
      </c>
      <c r="EH96">
        <v>0</v>
      </c>
      <c r="EI96" t="s">
        <v>5</v>
      </c>
      <c r="EJ96">
        <v>1</v>
      </c>
      <c r="EK96">
        <v>160</v>
      </c>
      <c r="EL96" t="s">
        <v>133</v>
      </c>
      <c r="EM96" t="s">
        <v>134</v>
      </c>
      <c r="EO96" t="s">
        <v>5</v>
      </c>
      <c r="EQ96">
        <v>0</v>
      </c>
      <c r="ER96">
        <v>250.65</v>
      </c>
      <c r="ES96">
        <v>250.65</v>
      </c>
      <c r="ET96">
        <v>0</v>
      </c>
      <c r="EU96">
        <v>0</v>
      </c>
      <c r="EV96">
        <v>0</v>
      </c>
      <c r="EW96">
        <v>0</v>
      </c>
      <c r="EX96">
        <v>0</v>
      </c>
      <c r="FQ96">
        <v>0</v>
      </c>
      <c r="FR96">
        <f t="shared" si="184"/>
        <v>0</v>
      </c>
      <c r="FS96">
        <v>0</v>
      </c>
      <c r="FX96">
        <v>134</v>
      </c>
      <c r="FY96">
        <v>83</v>
      </c>
      <c r="GA96" t="s">
        <v>5</v>
      </c>
      <c r="GD96">
        <v>0</v>
      </c>
      <c r="GF96">
        <v>564194019</v>
      </c>
      <c r="GG96">
        <v>2</v>
      </c>
      <c r="GH96">
        <v>1</v>
      </c>
      <c r="GI96">
        <v>2</v>
      </c>
      <c r="GJ96">
        <v>0</v>
      </c>
      <c r="GK96">
        <f>ROUND(R96*(R12)/100,2)</f>
        <v>0</v>
      </c>
      <c r="GL96">
        <f t="shared" si="185"/>
        <v>0</v>
      </c>
      <c r="GM96">
        <f t="shared" si="186"/>
        <v>13193.99</v>
      </c>
      <c r="GN96">
        <f t="shared" si="187"/>
        <v>13193.99</v>
      </c>
      <c r="GO96">
        <f t="shared" si="188"/>
        <v>0</v>
      </c>
      <c r="GP96">
        <f t="shared" si="189"/>
        <v>0</v>
      </c>
      <c r="GR96">
        <v>0</v>
      </c>
      <c r="GS96">
        <v>3</v>
      </c>
      <c r="GT96">
        <v>0</v>
      </c>
      <c r="GU96" t="s">
        <v>5</v>
      </c>
      <c r="GV96">
        <f t="shared" si="190"/>
        <v>0</v>
      </c>
      <c r="GW96">
        <v>1</v>
      </c>
      <c r="GX96">
        <f t="shared" si="191"/>
        <v>0</v>
      </c>
      <c r="HA96">
        <v>0</v>
      </c>
      <c r="HB96">
        <v>0</v>
      </c>
      <c r="HC96">
        <f t="shared" si="192"/>
        <v>0</v>
      </c>
      <c r="IK96">
        <v>0</v>
      </c>
    </row>
    <row r="97" spans="1:245" x14ac:dyDescent="0.2">
      <c r="A97">
        <v>19</v>
      </c>
      <c r="B97">
        <v>1</v>
      </c>
      <c r="F97" t="s">
        <v>5</v>
      </c>
      <c r="G97" t="s">
        <v>226</v>
      </c>
      <c r="H97" t="s">
        <v>5</v>
      </c>
      <c r="AA97">
        <v>1</v>
      </c>
      <c r="IK97">
        <v>0</v>
      </c>
    </row>
    <row r="98" spans="1:245" x14ac:dyDescent="0.2">
      <c r="A98">
        <v>17</v>
      </c>
      <c r="B98">
        <v>1</v>
      </c>
      <c r="C98">
        <f>ROW(SmtRes!A203)</f>
        <v>203</v>
      </c>
      <c r="D98">
        <f>ROW(EtalonRes!A202)</f>
        <v>202</v>
      </c>
      <c r="E98" t="s">
        <v>227</v>
      </c>
      <c r="F98" t="s">
        <v>228</v>
      </c>
      <c r="G98" t="s">
        <v>229</v>
      </c>
      <c r="H98" t="s">
        <v>230</v>
      </c>
      <c r="I98">
        <f>ROUND((4448.11*0.75)/100*0,9)</f>
        <v>0</v>
      </c>
      <c r="J98">
        <v>0</v>
      </c>
      <c r="O98">
        <f t="shared" ref="O98:O105" si="193">ROUND(CP98,2)</f>
        <v>0</v>
      </c>
      <c r="P98">
        <f t="shared" ref="P98:P105" si="194">ROUND((ROUND((AC98*AW98*I98),2)*BC98),2)</f>
        <v>0</v>
      </c>
      <c r="Q98">
        <f t="shared" ref="Q98:Q105" si="195">(ROUND((ROUND(((ET98)*AV98*I98),2)*BB98),2)+ROUND((ROUND(((AE98-(EU98))*AV98*I98),2)*BS98),2))</f>
        <v>0</v>
      </c>
      <c r="R98">
        <f t="shared" ref="R98:R105" si="196">ROUND((ROUND((AE98*AV98*I98),2)*BS98),2)</f>
        <v>0</v>
      </c>
      <c r="S98">
        <f t="shared" ref="S98:S105" si="197">ROUND((ROUND((AF98*AV98*I98),2)*BA98),2)</f>
        <v>0</v>
      </c>
      <c r="T98">
        <f t="shared" ref="T98:T105" si="198">ROUND(CU98*I98,2)</f>
        <v>0</v>
      </c>
      <c r="U98">
        <f t="shared" ref="U98:U105" si="199">CV98*I98</f>
        <v>0</v>
      </c>
      <c r="V98">
        <f t="shared" ref="V98:V105" si="200">CW98*I98</f>
        <v>0</v>
      </c>
      <c r="W98">
        <f t="shared" ref="W98:W105" si="201">ROUND(CX98*I98,2)</f>
        <v>0</v>
      </c>
      <c r="X98">
        <f t="shared" ref="X98:Y105" si="202">ROUND(CY98,2)</f>
        <v>0</v>
      </c>
      <c r="Y98">
        <f t="shared" si="202"/>
        <v>0</v>
      </c>
      <c r="AA98">
        <v>44169784</v>
      </c>
      <c r="AB98">
        <f t="shared" ref="AB98:AB105" si="203">ROUND((AC98+AD98+AF98),6)</f>
        <v>283.77999999999997</v>
      </c>
      <c r="AC98">
        <f t="shared" ref="AC98:AC105" si="204">ROUND((ES98),6)</f>
        <v>0</v>
      </c>
      <c r="AD98">
        <f t="shared" ref="AD98:AD105" si="205">ROUND((((ET98)-(EU98))+AE98),6)</f>
        <v>5</v>
      </c>
      <c r="AE98">
        <f t="shared" ref="AE98:AF105" si="206">ROUND((EU98),6)</f>
        <v>1.05</v>
      </c>
      <c r="AF98">
        <f t="shared" si="206"/>
        <v>278.77999999999997</v>
      </c>
      <c r="AG98">
        <f t="shared" ref="AG98:AG105" si="207">ROUND((AP98),6)</f>
        <v>0</v>
      </c>
      <c r="AH98">
        <f t="shared" ref="AH98:AI105" si="208">(EW98)</f>
        <v>26.78</v>
      </c>
      <c r="AI98">
        <f t="shared" si="208"/>
        <v>0</v>
      </c>
      <c r="AJ98">
        <f t="shared" ref="AJ98:AJ105" si="209">(AS98)</f>
        <v>0</v>
      </c>
      <c r="AK98">
        <v>283.77999999999997</v>
      </c>
      <c r="AL98">
        <v>0</v>
      </c>
      <c r="AM98">
        <v>5</v>
      </c>
      <c r="AN98">
        <v>1.05</v>
      </c>
      <c r="AO98">
        <v>278.77999999999997</v>
      </c>
      <c r="AP98">
        <v>0</v>
      </c>
      <c r="AQ98">
        <v>26.78</v>
      </c>
      <c r="AR98">
        <v>0</v>
      </c>
      <c r="AS98">
        <v>0</v>
      </c>
      <c r="AT98">
        <v>102</v>
      </c>
      <c r="AU98">
        <v>47</v>
      </c>
      <c r="AV98">
        <v>1</v>
      </c>
      <c r="AW98">
        <v>1</v>
      </c>
      <c r="AZ98">
        <v>1</v>
      </c>
      <c r="BA98">
        <v>21.43</v>
      </c>
      <c r="BB98">
        <v>8.41</v>
      </c>
      <c r="BC98">
        <v>1</v>
      </c>
      <c r="BD98" t="s">
        <v>5</v>
      </c>
      <c r="BE98" t="s">
        <v>5</v>
      </c>
      <c r="BF98" t="s">
        <v>5</v>
      </c>
      <c r="BG98" t="s">
        <v>5</v>
      </c>
      <c r="BH98">
        <v>0</v>
      </c>
      <c r="BI98">
        <v>1</v>
      </c>
      <c r="BJ98" t="s">
        <v>231</v>
      </c>
      <c r="BM98">
        <v>295</v>
      </c>
      <c r="BN98">
        <v>0</v>
      </c>
      <c r="BO98" t="s">
        <v>228</v>
      </c>
      <c r="BP98">
        <v>1</v>
      </c>
      <c r="BQ98">
        <v>30</v>
      </c>
      <c r="BR98">
        <v>0</v>
      </c>
      <c r="BS98">
        <v>21.43</v>
      </c>
      <c r="BT98">
        <v>1</v>
      </c>
      <c r="BU98">
        <v>1</v>
      </c>
      <c r="BV98">
        <v>1</v>
      </c>
      <c r="BW98">
        <v>1</v>
      </c>
      <c r="BX98">
        <v>1</v>
      </c>
      <c r="BY98" t="s">
        <v>5</v>
      </c>
      <c r="BZ98">
        <v>102</v>
      </c>
      <c r="CA98">
        <v>47</v>
      </c>
      <c r="CE98">
        <v>30</v>
      </c>
      <c r="CF98">
        <v>0</v>
      </c>
      <c r="CG98">
        <v>0</v>
      </c>
      <c r="CM98">
        <v>0</v>
      </c>
      <c r="CN98" t="s">
        <v>5</v>
      </c>
      <c r="CO98">
        <v>0</v>
      </c>
      <c r="CP98">
        <f t="shared" ref="CP98:CP105" si="210">(P98+Q98+S98)</f>
        <v>0</v>
      </c>
      <c r="CQ98">
        <f t="shared" ref="CQ98:CQ105" si="211">ROUND((ROUND((AC98*AW98*1),2)*BC98),2)</f>
        <v>0</v>
      </c>
      <c r="CR98">
        <f t="shared" ref="CR98:CR105" si="212">(ROUND((ROUND(((ET98)*AV98*1),2)*BB98),2)+ROUND((ROUND(((AE98-(EU98))*AV98*1),2)*BS98),2))</f>
        <v>42.05</v>
      </c>
      <c r="CS98">
        <f t="shared" ref="CS98:CS105" si="213">ROUND((ROUND((AE98*AV98*1),2)*BS98),2)</f>
        <v>22.5</v>
      </c>
      <c r="CT98">
        <f t="shared" ref="CT98:CT105" si="214">ROUND((ROUND((AF98*AV98*1),2)*BA98),2)</f>
        <v>5974.26</v>
      </c>
      <c r="CU98">
        <f t="shared" ref="CU98:CU105" si="215">AG98</f>
        <v>0</v>
      </c>
      <c r="CV98">
        <f t="shared" ref="CV98:CV105" si="216">(AH98*AV98)</f>
        <v>26.78</v>
      </c>
      <c r="CW98">
        <f t="shared" ref="CW98:CX105" si="217">AI98</f>
        <v>0</v>
      </c>
      <c r="CX98">
        <f t="shared" si="217"/>
        <v>0</v>
      </c>
      <c r="CY98">
        <f t="shared" ref="CY98:CY105" si="218">S98*(BZ98/100)</f>
        <v>0</v>
      </c>
      <c r="CZ98">
        <f t="shared" ref="CZ98:CZ105" si="219">S98*(CA98/100)</f>
        <v>0</v>
      </c>
      <c r="DC98" t="s">
        <v>5</v>
      </c>
      <c r="DD98" t="s">
        <v>5</v>
      </c>
      <c r="DE98" t="s">
        <v>5</v>
      </c>
      <c r="DF98" t="s">
        <v>5</v>
      </c>
      <c r="DG98" t="s">
        <v>5</v>
      </c>
      <c r="DH98" t="s">
        <v>5</v>
      </c>
      <c r="DI98" t="s">
        <v>5</v>
      </c>
      <c r="DJ98" t="s">
        <v>5</v>
      </c>
      <c r="DK98" t="s">
        <v>5</v>
      </c>
      <c r="DL98" t="s">
        <v>5</v>
      </c>
      <c r="DM98" t="s">
        <v>5</v>
      </c>
      <c r="DN98">
        <v>187</v>
      </c>
      <c r="DO98">
        <v>101</v>
      </c>
      <c r="DP98">
        <v>1</v>
      </c>
      <c r="DQ98">
        <v>1</v>
      </c>
      <c r="DU98">
        <v>1005</v>
      </c>
      <c r="DV98" t="s">
        <v>230</v>
      </c>
      <c r="DW98" t="s">
        <v>230</v>
      </c>
      <c r="DX98">
        <v>100</v>
      </c>
      <c r="EE98">
        <v>44064114</v>
      </c>
      <c r="EF98">
        <v>30</v>
      </c>
      <c r="EG98" t="s">
        <v>53</v>
      </c>
      <c r="EH98">
        <v>0</v>
      </c>
      <c r="EI98" t="s">
        <v>5</v>
      </c>
      <c r="EJ98">
        <v>1</v>
      </c>
      <c r="EK98">
        <v>295</v>
      </c>
      <c r="EL98" t="s">
        <v>232</v>
      </c>
      <c r="EM98" t="s">
        <v>233</v>
      </c>
      <c r="EO98" t="s">
        <v>5</v>
      </c>
      <c r="EQ98">
        <v>131072</v>
      </c>
      <c r="ER98">
        <v>283.77999999999997</v>
      </c>
      <c r="ES98">
        <v>0</v>
      </c>
      <c r="ET98">
        <v>5</v>
      </c>
      <c r="EU98">
        <v>1.05</v>
      </c>
      <c r="EV98">
        <v>278.77999999999997</v>
      </c>
      <c r="EW98">
        <v>26.78</v>
      </c>
      <c r="EX98">
        <v>0</v>
      </c>
      <c r="EY98">
        <v>0</v>
      </c>
      <c r="FQ98">
        <v>0</v>
      </c>
      <c r="FR98">
        <f t="shared" ref="FR98:FR105" si="220">ROUND(IF(AND(BH98=3,BI98=3),P98,0),2)</f>
        <v>0</v>
      </c>
      <c r="FS98">
        <v>0</v>
      </c>
      <c r="FX98">
        <v>187</v>
      </c>
      <c r="FY98">
        <v>101</v>
      </c>
      <c r="GA98" t="s">
        <v>5</v>
      </c>
      <c r="GD98">
        <v>0</v>
      </c>
      <c r="GF98">
        <v>1182732183</v>
      </c>
      <c r="GG98">
        <v>2</v>
      </c>
      <c r="GH98">
        <v>1</v>
      </c>
      <c r="GI98">
        <v>2</v>
      </c>
      <c r="GJ98">
        <v>0</v>
      </c>
      <c r="GK98">
        <f>ROUND(R98*(R12)/100,2)</f>
        <v>0</v>
      </c>
      <c r="GL98">
        <f t="shared" ref="GL98:GL105" si="221">ROUND(IF(AND(BH98=3,BI98=3,FS98&lt;&gt;0),P98,0),2)</f>
        <v>0</v>
      </c>
      <c r="GM98">
        <f t="shared" ref="GM98:GM105" si="222">ROUND(O98+X98+Y98+GK98,2)+GX98</f>
        <v>0</v>
      </c>
      <c r="GN98">
        <f t="shared" ref="GN98:GN105" si="223">IF(OR(BI98=0,BI98=1),ROUND(O98+X98+Y98+GK98,2),0)</f>
        <v>0</v>
      </c>
      <c r="GO98">
        <f t="shared" ref="GO98:GO105" si="224">IF(BI98=2,ROUND(O98+X98+Y98+GK98,2),0)</f>
        <v>0</v>
      </c>
      <c r="GP98">
        <f t="shared" ref="GP98:GP105" si="225">IF(BI98=4,ROUND(O98+X98+Y98+GK98,2)+GX98,0)</f>
        <v>0</v>
      </c>
      <c r="GR98">
        <v>0</v>
      </c>
      <c r="GS98">
        <v>3</v>
      </c>
      <c r="GT98">
        <v>0</v>
      </c>
      <c r="GU98" t="s">
        <v>5</v>
      </c>
      <c r="GV98">
        <f t="shared" ref="GV98:GV105" si="226">ROUND((GT98),6)</f>
        <v>0</v>
      </c>
      <c r="GW98">
        <v>1</v>
      </c>
      <c r="GX98">
        <f t="shared" ref="GX98:GX105" si="227">ROUND(HC98*I98,2)</f>
        <v>0</v>
      </c>
      <c r="HA98">
        <v>0</v>
      </c>
      <c r="HB98">
        <v>0</v>
      </c>
      <c r="HC98">
        <f t="shared" ref="HC98:HC105" si="228">GV98*GW98</f>
        <v>0</v>
      </c>
      <c r="IK98">
        <v>0</v>
      </c>
    </row>
    <row r="99" spans="1:245" x14ac:dyDescent="0.2">
      <c r="A99">
        <v>18</v>
      </c>
      <c r="B99">
        <v>1</v>
      </c>
      <c r="C99">
        <v>203</v>
      </c>
      <c r="E99" t="s">
        <v>234</v>
      </c>
      <c r="F99" t="s">
        <v>235</v>
      </c>
      <c r="G99" t="s">
        <v>236</v>
      </c>
      <c r="H99" t="s">
        <v>59</v>
      </c>
      <c r="I99">
        <f>I98*J99</f>
        <v>0</v>
      </c>
      <c r="J99">
        <v>15</v>
      </c>
      <c r="O99">
        <f t="shared" si="193"/>
        <v>0</v>
      </c>
      <c r="P99">
        <f t="shared" si="194"/>
        <v>0</v>
      </c>
      <c r="Q99">
        <f t="shared" si="195"/>
        <v>0</v>
      </c>
      <c r="R99">
        <f t="shared" si="196"/>
        <v>0</v>
      </c>
      <c r="S99">
        <f t="shared" si="197"/>
        <v>0</v>
      </c>
      <c r="T99">
        <f t="shared" si="198"/>
        <v>0</v>
      </c>
      <c r="U99">
        <f t="shared" si="199"/>
        <v>0</v>
      </c>
      <c r="V99">
        <f t="shared" si="200"/>
        <v>0</v>
      </c>
      <c r="W99">
        <f t="shared" si="201"/>
        <v>0</v>
      </c>
      <c r="X99">
        <f t="shared" si="202"/>
        <v>0</v>
      </c>
      <c r="Y99">
        <f t="shared" si="202"/>
        <v>0</v>
      </c>
      <c r="AA99">
        <v>44169784</v>
      </c>
      <c r="AB99">
        <f t="shared" si="203"/>
        <v>146.84</v>
      </c>
      <c r="AC99">
        <f t="shared" si="204"/>
        <v>146.84</v>
      </c>
      <c r="AD99">
        <f t="shared" si="205"/>
        <v>0</v>
      </c>
      <c r="AE99">
        <f t="shared" si="206"/>
        <v>0</v>
      </c>
      <c r="AF99">
        <f t="shared" si="206"/>
        <v>0</v>
      </c>
      <c r="AG99">
        <f t="shared" si="207"/>
        <v>0</v>
      </c>
      <c r="AH99">
        <f t="shared" si="208"/>
        <v>0</v>
      </c>
      <c r="AI99">
        <f t="shared" si="208"/>
        <v>0</v>
      </c>
      <c r="AJ99">
        <f t="shared" si="209"/>
        <v>0</v>
      </c>
      <c r="AK99">
        <v>146.84</v>
      </c>
      <c r="AL99">
        <v>146.84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1</v>
      </c>
      <c r="AW99">
        <v>1</v>
      </c>
      <c r="AZ99">
        <v>1</v>
      </c>
      <c r="BA99">
        <v>1</v>
      </c>
      <c r="BB99">
        <v>1</v>
      </c>
      <c r="BC99">
        <v>5.79</v>
      </c>
      <c r="BD99" t="s">
        <v>5</v>
      </c>
      <c r="BE99" t="s">
        <v>5</v>
      </c>
      <c r="BF99" t="s">
        <v>5</v>
      </c>
      <c r="BG99" t="s">
        <v>5</v>
      </c>
      <c r="BH99">
        <v>3</v>
      </c>
      <c r="BI99">
        <v>1</v>
      </c>
      <c r="BJ99" t="s">
        <v>237</v>
      </c>
      <c r="BM99">
        <v>295</v>
      </c>
      <c r="BN99">
        <v>0</v>
      </c>
      <c r="BO99" t="s">
        <v>235</v>
      </c>
      <c r="BP99">
        <v>1</v>
      </c>
      <c r="BQ99">
        <v>30</v>
      </c>
      <c r="BR99">
        <v>0</v>
      </c>
      <c r="BS99">
        <v>1</v>
      </c>
      <c r="BT99">
        <v>1</v>
      </c>
      <c r="BU99">
        <v>1</v>
      </c>
      <c r="BV99">
        <v>1</v>
      </c>
      <c r="BW99">
        <v>1</v>
      </c>
      <c r="BX99">
        <v>1</v>
      </c>
      <c r="BY99" t="s">
        <v>5</v>
      </c>
      <c r="BZ99">
        <v>0</v>
      </c>
      <c r="CA99">
        <v>0</v>
      </c>
      <c r="CE99">
        <v>30</v>
      </c>
      <c r="CF99">
        <v>0</v>
      </c>
      <c r="CG99">
        <v>0</v>
      </c>
      <c r="CM99">
        <v>0</v>
      </c>
      <c r="CN99" t="s">
        <v>5</v>
      </c>
      <c r="CO99">
        <v>0</v>
      </c>
      <c r="CP99">
        <f t="shared" si="210"/>
        <v>0</v>
      </c>
      <c r="CQ99">
        <f t="shared" si="211"/>
        <v>850.2</v>
      </c>
      <c r="CR99">
        <f t="shared" si="212"/>
        <v>0</v>
      </c>
      <c r="CS99">
        <f t="shared" si="213"/>
        <v>0</v>
      </c>
      <c r="CT99">
        <f t="shared" si="214"/>
        <v>0</v>
      </c>
      <c r="CU99">
        <f t="shared" si="215"/>
        <v>0</v>
      </c>
      <c r="CV99">
        <f t="shared" si="216"/>
        <v>0</v>
      </c>
      <c r="CW99">
        <f t="shared" si="217"/>
        <v>0</v>
      </c>
      <c r="CX99">
        <f t="shared" si="217"/>
        <v>0</v>
      </c>
      <c r="CY99">
        <f t="shared" si="218"/>
        <v>0</v>
      </c>
      <c r="CZ99">
        <f t="shared" si="219"/>
        <v>0</v>
      </c>
      <c r="DC99" t="s">
        <v>5</v>
      </c>
      <c r="DD99" t="s">
        <v>5</v>
      </c>
      <c r="DE99" t="s">
        <v>5</v>
      </c>
      <c r="DF99" t="s">
        <v>5</v>
      </c>
      <c r="DG99" t="s">
        <v>5</v>
      </c>
      <c r="DH99" t="s">
        <v>5</v>
      </c>
      <c r="DI99" t="s">
        <v>5</v>
      </c>
      <c r="DJ99" t="s">
        <v>5</v>
      </c>
      <c r="DK99" t="s">
        <v>5</v>
      </c>
      <c r="DL99" t="s">
        <v>5</v>
      </c>
      <c r="DM99" t="s">
        <v>5</v>
      </c>
      <c r="DN99">
        <v>187</v>
      </c>
      <c r="DO99">
        <v>101</v>
      </c>
      <c r="DP99">
        <v>1</v>
      </c>
      <c r="DQ99">
        <v>1</v>
      </c>
      <c r="DU99">
        <v>1007</v>
      </c>
      <c r="DV99" t="s">
        <v>59</v>
      </c>
      <c r="DW99" t="s">
        <v>59</v>
      </c>
      <c r="DX99">
        <v>1</v>
      </c>
      <c r="EE99">
        <v>44064114</v>
      </c>
      <c r="EF99">
        <v>30</v>
      </c>
      <c r="EG99" t="s">
        <v>53</v>
      </c>
      <c r="EH99">
        <v>0</v>
      </c>
      <c r="EI99" t="s">
        <v>5</v>
      </c>
      <c r="EJ99">
        <v>1</v>
      </c>
      <c r="EK99">
        <v>295</v>
      </c>
      <c r="EL99" t="s">
        <v>232</v>
      </c>
      <c r="EM99" t="s">
        <v>233</v>
      </c>
      <c r="EO99" t="s">
        <v>5</v>
      </c>
      <c r="EQ99">
        <v>0</v>
      </c>
      <c r="ER99">
        <v>146.84</v>
      </c>
      <c r="ES99">
        <v>146.84</v>
      </c>
      <c r="ET99">
        <v>0</v>
      </c>
      <c r="EU99">
        <v>0</v>
      </c>
      <c r="EV99">
        <v>0</v>
      </c>
      <c r="EW99">
        <v>0</v>
      </c>
      <c r="EX99">
        <v>0</v>
      </c>
      <c r="FQ99">
        <v>0</v>
      </c>
      <c r="FR99">
        <f t="shared" si="220"/>
        <v>0</v>
      </c>
      <c r="FS99">
        <v>0</v>
      </c>
      <c r="FX99">
        <v>187</v>
      </c>
      <c r="FY99">
        <v>101</v>
      </c>
      <c r="GA99" t="s">
        <v>5</v>
      </c>
      <c r="GD99">
        <v>0</v>
      </c>
      <c r="GF99">
        <v>92320855</v>
      </c>
      <c r="GG99">
        <v>2</v>
      </c>
      <c r="GH99">
        <v>1</v>
      </c>
      <c r="GI99">
        <v>2</v>
      </c>
      <c r="GJ99">
        <v>0</v>
      </c>
      <c r="GK99">
        <f>ROUND(R99*(R12)/100,2)</f>
        <v>0</v>
      </c>
      <c r="GL99">
        <f t="shared" si="221"/>
        <v>0</v>
      </c>
      <c r="GM99">
        <f t="shared" si="222"/>
        <v>0</v>
      </c>
      <c r="GN99">
        <f t="shared" si="223"/>
        <v>0</v>
      </c>
      <c r="GO99">
        <f t="shared" si="224"/>
        <v>0</v>
      </c>
      <c r="GP99">
        <f t="shared" si="225"/>
        <v>0</v>
      </c>
      <c r="GR99">
        <v>0</v>
      </c>
      <c r="GS99">
        <v>3</v>
      </c>
      <c r="GT99">
        <v>0</v>
      </c>
      <c r="GU99" t="s">
        <v>5</v>
      </c>
      <c r="GV99">
        <f t="shared" si="226"/>
        <v>0</v>
      </c>
      <c r="GW99">
        <v>1</v>
      </c>
      <c r="GX99">
        <f t="shared" si="227"/>
        <v>0</v>
      </c>
      <c r="HA99">
        <v>0</v>
      </c>
      <c r="HB99">
        <v>0</v>
      </c>
      <c r="HC99">
        <f t="shared" si="228"/>
        <v>0</v>
      </c>
      <c r="IK99">
        <v>0</v>
      </c>
    </row>
    <row r="100" spans="1:245" x14ac:dyDescent="0.2">
      <c r="A100">
        <v>17</v>
      </c>
      <c r="B100">
        <v>1</v>
      </c>
      <c r="C100">
        <f>ROW(SmtRes!A205)</f>
        <v>205</v>
      </c>
      <c r="D100">
        <f>ROW(EtalonRes!A204)</f>
        <v>204</v>
      </c>
      <c r="E100" t="s">
        <v>238</v>
      </c>
      <c r="F100" t="s">
        <v>239</v>
      </c>
      <c r="G100" t="s">
        <v>240</v>
      </c>
      <c r="H100" t="s">
        <v>230</v>
      </c>
      <c r="I100">
        <f>ROUND(510.09/100,9)</f>
        <v>5.1009000000000002</v>
      </c>
      <c r="J100">
        <v>0</v>
      </c>
      <c r="O100">
        <f t="shared" si="193"/>
        <v>45517.53</v>
      </c>
      <c r="P100">
        <f t="shared" si="194"/>
        <v>0</v>
      </c>
      <c r="Q100">
        <f t="shared" si="195"/>
        <v>0</v>
      </c>
      <c r="R100">
        <f t="shared" si="196"/>
        <v>0</v>
      </c>
      <c r="S100">
        <f t="shared" si="197"/>
        <v>45517.53</v>
      </c>
      <c r="T100">
        <f t="shared" si="198"/>
        <v>0</v>
      </c>
      <c r="U100">
        <f t="shared" si="199"/>
        <v>204.036</v>
      </c>
      <c r="V100">
        <f t="shared" si="200"/>
        <v>0</v>
      </c>
      <c r="W100">
        <f t="shared" si="201"/>
        <v>0</v>
      </c>
      <c r="X100">
        <f t="shared" si="202"/>
        <v>46427.88</v>
      </c>
      <c r="Y100">
        <f t="shared" si="202"/>
        <v>21393.24</v>
      </c>
      <c r="AA100">
        <v>44169784</v>
      </c>
      <c r="AB100">
        <f t="shared" si="203"/>
        <v>416.4</v>
      </c>
      <c r="AC100">
        <f t="shared" si="204"/>
        <v>0</v>
      </c>
      <c r="AD100">
        <f t="shared" si="205"/>
        <v>0</v>
      </c>
      <c r="AE100">
        <f t="shared" si="206"/>
        <v>0</v>
      </c>
      <c r="AF100">
        <f t="shared" si="206"/>
        <v>416.4</v>
      </c>
      <c r="AG100">
        <f t="shared" si="207"/>
        <v>0</v>
      </c>
      <c r="AH100">
        <f t="shared" si="208"/>
        <v>40</v>
      </c>
      <c r="AI100">
        <f t="shared" si="208"/>
        <v>0</v>
      </c>
      <c r="AJ100">
        <f t="shared" si="209"/>
        <v>0</v>
      </c>
      <c r="AK100">
        <v>416.4</v>
      </c>
      <c r="AL100">
        <v>0</v>
      </c>
      <c r="AM100">
        <v>0</v>
      </c>
      <c r="AN100">
        <v>0</v>
      </c>
      <c r="AO100">
        <v>416.4</v>
      </c>
      <c r="AP100">
        <v>0</v>
      </c>
      <c r="AQ100">
        <v>40</v>
      </c>
      <c r="AR100">
        <v>0</v>
      </c>
      <c r="AS100">
        <v>0</v>
      </c>
      <c r="AT100">
        <v>102</v>
      </c>
      <c r="AU100">
        <v>47</v>
      </c>
      <c r="AV100">
        <v>1</v>
      </c>
      <c r="AW100">
        <v>1</v>
      </c>
      <c r="AZ100">
        <v>1</v>
      </c>
      <c r="BA100">
        <v>21.43</v>
      </c>
      <c r="BB100">
        <v>1</v>
      </c>
      <c r="BC100">
        <v>1</v>
      </c>
      <c r="BD100" t="s">
        <v>5</v>
      </c>
      <c r="BE100" t="s">
        <v>5</v>
      </c>
      <c r="BF100" t="s">
        <v>5</v>
      </c>
      <c r="BG100" t="s">
        <v>5</v>
      </c>
      <c r="BH100">
        <v>0</v>
      </c>
      <c r="BI100">
        <v>1</v>
      </c>
      <c r="BJ100" t="s">
        <v>241</v>
      </c>
      <c r="BM100">
        <v>295</v>
      </c>
      <c r="BN100">
        <v>0</v>
      </c>
      <c r="BO100" t="s">
        <v>239</v>
      </c>
      <c r="BP100">
        <v>1</v>
      </c>
      <c r="BQ100">
        <v>30</v>
      </c>
      <c r="BR100">
        <v>0</v>
      </c>
      <c r="BS100">
        <v>21.43</v>
      </c>
      <c r="BT100">
        <v>1</v>
      </c>
      <c r="BU100">
        <v>1</v>
      </c>
      <c r="BV100">
        <v>1</v>
      </c>
      <c r="BW100">
        <v>1</v>
      </c>
      <c r="BX100">
        <v>1</v>
      </c>
      <c r="BY100" t="s">
        <v>5</v>
      </c>
      <c r="BZ100">
        <v>102</v>
      </c>
      <c r="CA100">
        <v>47</v>
      </c>
      <c r="CE100">
        <v>30</v>
      </c>
      <c r="CF100">
        <v>0</v>
      </c>
      <c r="CG100">
        <v>0</v>
      </c>
      <c r="CM100">
        <v>0</v>
      </c>
      <c r="CN100" t="s">
        <v>5</v>
      </c>
      <c r="CO100">
        <v>0</v>
      </c>
      <c r="CP100">
        <f t="shared" si="210"/>
        <v>45517.53</v>
      </c>
      <c r="CQ100">
        <f t="shared" si="211"/>
        <v>0</v>
      </c>
      <c r="CR100">
        <f t="shared" si="212"/>
        <v>0</v>
      </c>
      <c r="CS100">
        <f t="shared" si="213"/>
        <v>0</v>
      </c>
      <c r="CT100">
        <f t="shared" si="214"/>
        <v>8923.4500000000007</v>
      </c>
      <c r="CU100">
        <f t="shared" si="215"/>
        <v>0</v>
      </c>
      <c r="CV100">
        <f t="shared" si="216"/>
        <v>40</v>
      </c>
      <c r="CW100">
        <f t="shared" si="217"/>
        <v>0</v>
      </c>
      <c r="CX100">
        <f t="shared" si="217"/>
        <v>0</v>
      </c>
      <c r="CY100">
        <f t="shared" si="218"/>
        <v>46427.880599999997</v>
      </c>
      <c r="CZ100">
        <f t="shared" si="219"/>
        <v>21393.239099999999</v>
      </c>
      <c r="DC100" t="s">
        <v>5</v>
      </c>
      <c r="DD100" t="s">
        <v>5</v>
      </c>
      <c r="DE100" t="s">
        <v>5</v>
      </c>
      <c r="DF100" t="s">
        <v>5</v>
      </c>
      <c r="DG100" t="s">
        <v>5</v>
      </c>
      <c r="DH100" t="s">
        <v>5</v>
      </c>
      <c r="DI100" t="s">
        <v>5</v>
      </c>
      <c r="DJ100" t="s">
        <v>5</v>
      </c>
      <c r="DK100" t="s">
        <v>5</v>
      </c>
      <c r="DL100" t="s">
        <v>5</v>
      </c>
      <c r="DM100" t="s">
        <v>5</v>
      </c>
      <c r="DN100">
        <v>187</v>
      </c>
      <c r="DO100">
        <v>101</v>
      </c>
      <c r="DP100">
        <v>1</v>
      </c>
      <c r="DQ100">
        <v>1</v>
      </c>
      <c r="DU100">
        <v>1005</v>
      </c>
      <c r="DV100" t="s">
        <v>230</v>
      </c>
      <c r="DW100" t="s">
        <v>230</v>
      </c>
      <c r="DX100">
        <v>100</v>
      </c>
      <c r="EE100">
        <v>44064114</v>
      </c>
      <c r="EF100">
        <v>30</v>
      </c>
      <c r="EG100" t="s">
        <v>53</v>
      </c>
      <c r="EH100">
        <v>0</v>
      </c>
      <c r="EI100" t="s">
        <v>5</v>
      </c>
      <c r="EJ100">
        <v>1</v>
      </c>
      <c r="EK100">
        <v>295</v>
      </c>
      <c r="EL100" t="s">
        <v>232</v>
      </c>
      <c r="EM100" t="s">
        <v>233</v>
      </c>
      <c r="EO100" t="s">
        <v>5</v>
      </c>
      <c r="EQ100">
        <v>131072</v>
      </c>
      <c r="ER100">
        <v>416.4</v>
      </c>
      <c r="ES100">
        <v>0</v>
      </c>
      <c r="ET100">
        <v>0</v>
      </c>
      <c r="EU100">
        <v>0</v>
      </c>
      <c r="EV100">
        <v>416.4</v>
      </c>
      <c r="EW100">
        <v>40</v>
      </c>
      <c r="EX100">
        <v>0</v>
      </c>
      <c r="EY100">
        <v>0</v>
      </c>
      <c r="FQ100">
        <v>0</v>
      </c>
      <c r="FR100">
        <f t="shared" si="220"/>
        <v>0</v>
      </c>
      <c r="FS100">
        <v>0</v>
      </c>
      <c r="FX100">
        <v>187</v>
      </c>
      <c r="FY100">
        <v>101</v>
      </c>
      <c r="GA100" t="s">
        <v>5</v>
      </c>
      <c r="GD100">
        <v>0</v>
      </c>
      <c r="GF100">
        <v>-40892003</v>
      </c>
      <c r="GG100">
        <v>2</v>
      </c>
      <c r="GH100">
        <v>1</v>
      </c>
      <c r="GI100">
        <v>2</v>
      </c>
      <c r="GJ100">
        <v>0</v>
      </c>
      <c r="GK100">
        <f>ROUND(R100*(R12)/100,2)</f>
        <v>0</v>
      </c>
      <c r="GL100">
        <f t="shared" si="221"/>
        <v>0</v>
      </c>
      <c r="GM100">
        <f t="shared" si="222"/>
        <v>113338.65</v>
      </c>
      <c r="GN100">
        <f t="shared" si="223"/>
        <v>113338.65</v>
      </c>
      <c r="GO100">
        <f t="shared" si="224"/>
        <v>0</v>
      </c>
      <c r="GP100">
        <f t="shared" si="225"/>
        <v>0</v>
      </c>
      <c r="GR100">
        <v>0</v>
      </c>
      <c r="GS100">
        <v>0</v>
      </c>
      <c r="GT100">
        <v>0</v>
      </c>
      <c r="GU100" t="s">
        <v>5</v>
      </c>
      <c r="GV100">
        <f t="shared" si="226"/>
        <v>0</v>
      </c>
      <c r="GW100">
        <v>1</v>
      </c>
      <c r="GX100">
        <f t="shared" si="227"/>
        <v>0</v>
      </c>
      <c r="HA100">
        <v>0</v>
      </c>
      <c r="HB100">
        <v>0</v>
      </c>
      <c r="HC100">
        <f t="shared" si="228"/>
        <v>0</v>
      </c>
      <c r="IK100">
        <v>0</v>
      </c>
    </row>
    <row r="101" spans="1:245" x14ac:dyDescent="0.2">
      <c r="A101">
        <v>18</v>
      </c>
      <c r="B101">
        <v>1</v>
      </c>
      <c r="C101">
        <v>205</v>
      </c>
      <c r="E101" t="s">
        <v>242</v>
      </c>
      <c r="F101" t="s">
        <v>235</v>
      </c>
      <c r="G101" t="s">
        <v>236</v>
      </c>
      <c r="H101" t="s">
        <v>59</v>
      </c>
      <c r="I101">
        <f>I100*J101</f>
        <v>76.513499999999993</v>
      </c>
      <c r="J101">
        <v>14.999999999999998</v>
      </c>
      <c r="O101">
        <f t="shared" si="193"/>
        <v>65052.04</v>
      </c>
      <c r="P101">
        <f t="shared" si="194"/>
        <v>65052.04</v>
      </c>
      <c r="Q101">
        <f t="shared" si="195"/>
        <v>0</v>
      </c>
      <c r="R101">
        <f t="shared" si="196"/>
        <v>0</v>
      </c>
      <c r="S101">
        <f t="shared" si="197"/>
        <v>0</v>
      </c>
      <c r="T101">
        <f t="shared" si="198"/>
        <v>0</v>
      </c>
      <c r="U101">
        <f t="shared" si="199"/>
        <v>0</v>
      </c>
      <c r="V101">
        <f t="shared" si="200"/>
        <v>0</v>
      </c>
      <c r="W101">
        <f t="shared" si="201"/>
        <v>0</v>
      </c>
      <c r="X101">
        <f t="shared" si="202"/>
        <v>0</v>
      </c>
      <c r="Y101">
        <f t="shared" si="202"/>
        <v>0</v>
      </c>
      <c r="AA101">
        <v>44169784</v>
      </c>
      <c r="AB101">
        <f t="shared" si="203"/>
        <v>146.84</v>
      </c>
      <c r="AC101">
        <f t="shared" si="204"/>
        <v>146.84</v>
      </c>
      <c r="AD101">
        <f t="shared" si="205"/>
        <v>0</v>
      </c>
      <c r="AE101">
        <f t="shared" si="206"/>
        <v>0</v>
      </c>
      <c r="AF101">
        <f t="shared" si="206"/>
        <v>0</v>
      </c>
      <c r="AG101">
        <f t="shared" si="207"/>
        <v>0</v>
      </c>
      <c r="AH101">
        <f t="shared" si="208"/>
        <v>0</v>
      </c>
      <c r="AI101">
        <f t="shared" si="208"/>
        <v>0</v>
      </c>
      <c r="AJ101">
        <f t="shared" si="209"/>
        <v>0</v>
      </c>
      <c r="AK101">
        <v>146.84</v>
      </c>
      <c r="AL101">
        <v>146.84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1</v>
      </c>
      <c r="AW101">
        <v>1</v>
      </c>
      <c r="AZ101">
        <v>1</v>
      </c>
      <c r="BA101">
        <v>1</v>
      </c>
      <c r="BB101">
        <v>1</v>
      </c>
      <c r="BC101">
        <v>5.79</v>
      </c>
      <c r="BD101" t="s">
        <v>5</v>
      </c>
      <c r="BE101" t="s">
        <v>5</v>
      </c>
      <c r="BF101" t="s">
        <v>5</v>
      </c>
      <c r="BG101" t="s">
        <v>5</v>
      </c>
      <c r="BH101">
        <v>3</v>
      </c>
      <c r="BI101">
        <v>1</v>
      </c>
      <c r="BJ101" t="s">
        <v>237</v>
      </c>
      <c r="BM101">
        <v>295</v>
      </c>
      <c r="BN101">
        <v>0</v>
      </c>
      <c r="BO101" t="s">
        <v>235</v>
      </c>
      <c r="BP101">
        <v>1</v>
      </c>
      <c r="BQ101">
        <v>30</v>
      </c>
      <c r="BR101">
        <v>0</v>
      </c>
      <c r="BS101">
        <v>1</v>
      </c>
      <c r="BT101">
        <v>1</v>
      </c>
      <c r="BU101">
        <v>1</v>
      </c>
      <c r="BV101">
        <v>1</v>
      </c>
      <c r="BW101">
        <v>1</v>
      </c>
      <c r="BX101">
        <v>1</v>
      </c>
      <c r="BY101" t="s">
        <v>5</v>
      </c>
      <c r="BZ101">
        <v>0</v>
      </c>
      <c r="CA101">
        <v>0</v>
      </c>
      <c r="CE101">
        <v>30</v>
      </c>
      <c r="CF101">
        <v>0</v>
      </c>
      <c r="CG101">
        <v>0</v>
      </c>
      <c r="CM101">
        <v>0</v>
      </c>
      <c r="CN101" t="s">
        <v>5</v>
      </c>
      <c r="CO101">
        <v>0</v>
      </c>
      <c r="CP101">
        <f t="shared" si="210"/>
        <v>65052.04</v>
      </c>
      <c r="CQ101">
        <f t="shared" si="211"/>
        <v>850.2</v>
      </c>
      <c r="CR101">
        <f t="shared" si="212"/>
        <v>0</v>
      </c>
      <c r="CS101">
        <f t="shared" si="213"/>
        <v>0</v>
      </c>
      <c r="CT101">
        <f t="shared" si="214"/>
        <v>0</v>
      </c>
      <c r="CU101">
        <f t="shared" si="215"/>
        <v>0</v>
      </c>
      <c r="CV101">
        <f t="shared" si="216"/>
        <v>0</v>
      </c>
      <c r="CW101">
        <f t="shared" si="217"/>
        <v>0</v>
      </c>
      <c r="CX101">
        <f t="shared" si="217"/>
        <v>0</v>
      </c>
      <c r="CY101">
        <f t="shared" si="218"/>
        <v>0</v>
      </c>
      <c r="CZ101">
        <f t="shared" si="219"/>
        <v>0</v>
      </c>
      <c r="DC101" t="s">
        <v>5</v>
      </c>
      <c r="DD101" t="s">
        <v>5</v>
      </c>
      <c r="DE101" t="s">
        <v>5</v>
      </c>
      <c r="DF101" t="s">
        <v>5</v>
      </c>
      <c r="DG101" t="s">
        <v>5</v>
      </c>
      <c r="DH101" t="s">
        <v>5</v>
      </c>
      <c r="DI101" t="s">
        <v>5</v>
      </c>
      <c r="DJ101" t="s">
        <v>5</v>
      </c>
      <c r="DK101" t="s">
        <v>5</v>
      </c>
      <c r="DL101" t="s">
        <v>5</v>
      </c>
      <c r="DM101" t="s">
        <v>5</v>
      </c>
      <c r="DN101">
        <v>187</v>
      </c>
      <c r="DO101">
        <v>101</v>
      </c>
      <c r="DP101">
        <v>1</v>
      </c>
      <c r="DQ101">
        <v>1</v>
      </c>
      <c r="DU101">
        <v>1007</v>
      </c>
      <c r="DV101" t="s">
        <v>59</v>
      </c>
      <c r="DW101" t="s">
        <v>59</v>
      </c>
      <c r="DX101">
        <v>1</v>
      </c>
      <c r="EE101">
        <v>44064114</v>
      </c>
      <c r="EF101">
        <v>30</v>
      </c>
      <c r="EG101" t="s">
        <v>53</v>
      </c>
      <c r="EH101">
        <v>0</v>
      </c>
      <c r="EI101" t="s">
        <v>5</v>
      </c>
      <c r="EJ101">
        <v>1</v>
      </c>
      <c r="EK101">
        <v>295</v>
      </c>
      <c r="EL101" t="s">
        <v>232</v>
      </c>
      <c r="EM101" t="s">
        <v>233</v>
      </c>
      <c r="EO101" t="s">
        <v>5</v>
      </c>
      <c r="EQ101">
        <v>0</v>
      </c>
      <c r="ER101">
        <v>146.84</v>
      </c>
      <c r="ES101">
        <v>146.84</v>
      </c>
      <c r="ET101">
        <v>0</v>
      </c>
      <c r="EU101">
        <v>0</v>
      </c>
      <c r="EV101">
        <v>0</v>
      </c>
      <c r="EW101">
        <v>0</v>
      </c>
      <c r="EX101">
        <v>0</v>
      </c>
      <c r="FQ101">
        <v>0</v>
      </c>
      <c r="FR101">
        <f t="shared" si="220"/>
        <v>0</v>
      </c>
      <c r="FS101">
        <v>0</v>
      </c>
      <c r="FX101">
        <v>187</v>
      </c>
      <c r="FY101">
        <v>101</v>
      </c>
      <c r="GA101" t="s">
        <v>5</v>
      </c>
      <c r="GD101">
        <v>0</v>
      </c>
      <c r="GF101">
        <v>92320855</v>
      </c>
      <c r="GG101">
        <v>2</v>
      </c>
      <c r="GH101">
        <v>1</v>
      </c>
      <c r="GI101">
        <v>2</v>
      </c>
      <c r="GJ101">
        <v>0</v>
      </c>
      <c r="GK101">
        <f>ROUND(R101*(R12)/100,2)</f>
        <v>0</v>
      </c>
      <c r="GL101">
        <f t="shared" si="221"/>
        <v>0</v>
      </c>
      <c r="GM101">
        <f t="shared" si="222"/>
        <v>65052.04</v>
      </c>
      <c r="GN101">
        <f t="shared" si="223"/>
        <v>65052.04</v>
      </c>
      <c r="GO101">
        <f t="shared" si="224"/>
        <v>0</v>
      </c>
      <c r="GP101">
        <f t="shared" si="225"/>
        <v>0</v>
      </c>
      <c r="GR101">
        <v>0</v>
      </c>
      <c r="GS101">
        <v>3</v>
      </c>
      <c r="GT101">
        <v>0</v>
      </c>
      <c r="GU101" t="s">
        <v>5</v>
      </c>
      <c r="GV101">
        <f t="shared" si="226"/>
        <v>0</v>
      </c>
      <c r="GW101">
        <v>1</v>
      </c>
      <c r="GX101">
        <f t="shared" si="227"/>
        <v>0</v>
      </c>
      <c r="HA101">
        <v>0</v>
      </c>
      <c r="HB101">
        <v>0</v>
      </c>
      <c r="HC101">
        <f t="shared" si="228"/>
        <v>0</v>
      </c>
      <c r="IK101">
        <v>0</v>
      </c>
    </row>
    <row r="102" spans="1:245" x14ac:dyDescent="0.2">
      <c r="A102">
        <v>17</v>
      </c>
      <c r="B102">
        <v>1</v>
      </c>
      <c r="C102">
        <f>ROW(SmtRes!A207)</f>
        <v>207</v>
      </c>
      <c r="D102">
        <f>ROW(EtalonRes!A206)</f>
        <v>206</v>
      </c>
      <c r="E102" t="s">
        <v>243</v>
      </c>
      <c r="F102" t="s">
        <v>244</v>
      </c>
      <c r="G102" t="s">
        <v>245</v>
      </c>
      <c r="H102" t="s">
        <v>230</v>
      </c>
      <c r="I102">
        <f>ROUND(-I100-I98,9)</f>
        <v>-5.1009000000000002</v>
      </c>
      <c r="J102">
        <v>0</v>
      </c>
      <c r="O102">
        <f t="shared" si="193"/>
        <v>-6224.34</v>
      </c>
      <c r="P102">
        <f t="shared" si="194"/>
        <v>0</v>
      </c>
      <c r="Q102">
        <f t="shared" si="195"/>
        <v>0</v>
      </c>
      <c r="R102">
        <f t="shared" si="196"/>
        <v>0</v>
      </c>
      <c r="S102">
        <f t="shared" si="197"/>
        <v>-6224.34</v>
      </c>
      <c r="T102">
        <f t="shared" si="198"/>
        <v>0</v>
      </c>
      <c r="U102">
        <f t="shared" si="199"/>
        <v>-27.901923</v>
      </c>
      <c r="V102">
        <f t="shared" si="200"/>
        <v>0</v>
      </c>
      <c r="W102">
        <f t="shared" si="201"/>
        <v>0</v>
      </c>
      <c r="X102">
        <f t="shared" si="202"/>
        <v>-6348.83</v>
      </c>
      <c r="Y102">
        <f t="shared" si="202"/>
        <v>-2925.44</v>
      </c>
      <c r="AA102">
        <v>44169784</v>
      </c>
      <c r="AB102">
        <f t="shared" si="203"/>
        <v>56.94</v>
      </c>
      <c r="AC102">
        <f t="shared" si="204"/>
        <v>0</v>
      </c>
      <c r="AD102">
        <f t="shared" si="205"/>
        <v>0</v>
      </c>
      <c r="AE102">
        <f t="shared" si="206"/>
        <v>0</v>
      </c>
      <c r="AF102">
        <f t="shared" si="206"/>
        <v>56.94</v>
      </c>
      <c r="AG102">
        <f t="shared" si="207"/>
        <v>0</v>
      </c>
      <c r="AH102">
        <f t="shared" si="208"/>
        <v>5.47</v>
      </c>
      <c r="AI102">
        <f t="shared" si="208"/>
        <v>0</v>
      </c>
      <c r="AJ102">
        <f t="shared" si="209"/>
        <v>0</v>
      </c>
      <c r="AK102">
        <v>56.94</v>
      </c>
      <c r="AL102">
        <v>0</v>
      </c>
      <c r="AM102">
        <v>0</v>
      </c>
      <c r="AN102">
        <v>0</v>
      </c>
      <c r="AO102">
        <v>56.94</v>
      </c>
      <c r="AP102">
        <v>0</v>
      </c>
      <c r="AQ102">
        <v>5.47</v>
      </c>
      <c r="AR102">
        <v>0</v>
      </c>
      <c r="AS102">
        <v>0</v>
      </c>
      <c r="AT102">
        <v>102</v>
      </c>
      <c r="AU102">
        <v>47</v>
      </c>
      <c r="AV102">
        <v>1</v>
      </c>
      <c r="AW102">
        <v>1</v>
      </c>
      <c r="AZ102">
        <v>1</v>
      </c>
      <c r="BA102">
        <v>21.43</v>
      </c>
      <c r="BB102">
        <v>1</v>
      </c>
      <c r="BC102">
        <v>1</v>
      </c>
      <c r="BD102" t="s">
        <v>5</v>
      </c>
      <c r="BE102" t="s">
        <v>5</v>
      </c>
      <c r="BF102" t="s">
        <v>5</v>
      </c>
      <c r="BG102" t="s">
        <v>5</v>
      </c>
      <c r="BH102">
        <v>0</v>
      </c>
      <c r="BI102">
        <v>1</v>
      </c>
      <c r="BJ102" t="s">
        <v>246</v>
      </c>
      <c r="BM102">
        <v>295</v>
      </c>
      <c r="BN102">
        <v>0</v>
      </c>
      <c r="BO102" t="s">
        <v>244</v>
      </c>
      <c r="BP102">
        <v>1</v>
      </c>
      <c r="BQ102">
        <v>30</v>
      </c>
      <c r="BR102">
        <v>0</v>
      </c>
      <c r="BS102">
        <v>21.43</v>
      </c>
      <c r="BT102">
        <v>1</v>
      </c>
      <c r="BU102">
        <v>1</v>
      </c>
      <c r="BV102">
        <v>1</v>
      </c>
      <c r="BW102">
        <v>1</v>
      </c>
      <c r="BX102">
        <v>1</v>
      </c>
      <c r="BY102" t="s">
        <v>5</v>
      </c>
      <c r="BZ102">
        <v>102</v>
      </c>
      <c r="CA102">
        <v>47</v>
      </c>
      <c r="CE102">
        <v>30</v>
      </c>
      <c r="CF102">
        <v>0</v>
      </c>
      <c r="CG102">
        <v>0</v>
      </c>
      <c r="CM102">
        <v>0</v>
      </c>
      <c r="CN102" t="s">
        <v>5</v>
      </c>
      <c r="CO102">
        <v>0</v>
      </c>
      <c r="CP102">
        <f t="shared" si="210"/>
        <v>-6224.34</v>
      </c>
      <c r="CQ102">
        <f t="shared" si="211"/>
        <v>0</v>
      </c>
      <c r="CR102">
        <f t="shared" si="212"/>
        <v>0</v>
      </c>
      <c r="CS102">
        <f t="shared" si="213"/>
        <v>0</v>
      </c>
      <c r="CT102">
        <f t="shared" si="214"/>
        <v>1220.22</v>
      </c>
      <c r="CU102">
        <f t="shared" si="215"/>
        <v>0</v>
      </c>
      <c r="CV102">
        <f t="shared" si="216"/>
        <v>5.47</v>
      </c>
      <c r="CW102">
        <f t="shared" si="217"/>
        <v>0</v>
      </c>
      <c r="CX102">
        <f t="shared" si="217"/>
        <v>0</v>
      </c>
      <c r="CY102">
        <f t="shared" si="218"/>
        <v>-6348.8267999999998</v>
      </c>
      <c r="CZ102">
        <f t="shared" si="219"/>
        <v>-2925.4398000000001</v>
      </c>
      <c r="DC102" t="s">
        <v>5</v>
      </c>
      <c r="DD102" t="s">
        <v>5</v>
      </c>
      <c r="DE102" t="s">
        <v>5</v>
      </c>
      <c r="DF102" t="s">
        <v>5</v>
      </c>
      <c r="DG102" t="s">
        <v>5</v>
      </c>
      <c r="DH102" t="s">
        <v>5</v>
      </c>
      <c r="DI102" t="s">
        <v>5</v>
      </c>
      <c r="DJ102" t="s">
        <v>5</v>
      </c>
      <c r="DK102" t="s">
        <v>5</v>
      </c>
      <c r="DL102" t="s">
        <v>5</v>
      </c>
      <c r="DM102" t="s">
        <v>5</v>
      </c>
      <c r="DN102">
        <v>187</v>
      </c>
      <c r="DO102">
        <v>101</v>
      </c>
      <c r="DP102">
        <v>1</v>
      </c>
      <c r="DQ102">
        <v>1</v>
      </c>
      <c r="DU102">
        <v>1005</v>
      </c>
      <c r="DV102" t="s">
        <v>230</v>
      </c>
      <c r="DW102" t="s">
        <v>230</v>
      </c>
      <c r="DX102">
        <v>100</v>
      </c>
      <c r="EE102">
        <v>44064114</v>
      </c>
      <c r="EF102">
        <v>30</v>
      </c>
      <c r="EG102" t="s">
        <v>53</v>
      </c>
      <c r="EH102">
        <v>0</v>
      </c>
      <c r="EI102" t="s">
        <v>5</v>
      </c>
      <c r="EJ102">
        <v>1</v>
      </c>
      <c r="EK102">
        <v>295</v>
      </c>
      <c r="EL102" t="s">
        <v>232</v>
      </c>
      <c r="EM102" t="s">
        <v>233</v>
      </c>
      <c r="EO102" t="s">
        <v>5</v>
      </c>
      <c r="EQ102">
        <v>131072</v>
      </c>
      <c r="ER102">
        <v>56.94</v>
      </c>
      <c r="ES102">
        <v>0</v>
      </c>
      <c r="ET102">
        <v>0</v>
      </c>
      <c r="EU102">
        <v>0</v>
      </c>
      <c r="EV102">
        <v>56.94</v>
      </c>
      <c r="EW102">
        <v>5.47</v>
      </c>
      <c r="EX102">
        <v>0</v>
      </c>
      <c r="EY102">
        <v>0</v>
      </c>
      <c r="FQ102">
        <v>0</v>
      </c>
      <c r="FR102">
        <f t="shared" si="220"/>
        <v>0</v>
      </c>
      <c r="FS102">
        <v>0</v>
      </c>
      <c r="FX102">
        <v>187</v>
      </c>
      <c r="FY102">
        <v>101</v>
      </c>
      <c r="GA102" t="s">
        <v>5</v>
      </c>
      <c r="GD102">
        <v>0</v>
      </c>
      <c r="GF102">
        <v>1485046588</v>
      </c>
      <c r="GG102">
        <v>2</v>
      </c>
      <c r="GH102">
        <v>1</v>
      </c>
      <c r="GI102">
        <v>2</v>
      </c>
      <c r="GJ102">
        <v>0</v>
      </c>
      <c r="GK102">
        <f>ROUND(R102*(R12)/100,2)</f>
        <v>0</v>
      </c>
      <c r="GL102">
        <f t="shared" si="221"/>
        <v>0</v>
      </c>
      <c r="GM102">
        <f t="shared" si="222"/>
        <v>-15498.61</v>
      </c>
      <c r="GN102">
        <f t="shared" si="223"/>
        <v>-15498.61</v>
      </c>
      <c r="GO102">
        <f t="shared" si="224"/>
        <v>0</v>
      </c>
      <c r="GP102">
        <f t="shared" si="225"/>
        <v>0</v>
      </c>
      <c r="GR102">
        <v>0</v>
      </c>
      <c r="GS102">
        <v>0</v>
      </c>
      <c r="GT102">
        <v>0</v>
      </c>
      <c r="GU102" t="s">
        <v>5</v>
      </c>
      <c r="GV102">
        <f t="shared" si="226"/>
        <v>0</v>
      </c>
      <c r="GW102">
        <v>1</v>
      </c>
      <c r="GX102">
        <f t="shared" si="227"/>
        <v>0</v>
      </c>
      <c r="HA102">
        <v>0</v>
      </c>
      <c r="HB102">
        <v>0</v>
      </c>
      <c r="HC102">
        <f t="shared" si="228"/>
        <v>0</v>
      </c>
      <c r="IK102">
        <v>0</v>
      </c>
    </row>
    <row r="103" spans="1:245" x14ac:dyDescent="0.2">
      <c r="A103">
        <v>18</v>
      </c>
      <c r="B103">
        <v>1</v>
      </c>
      <c r="C103">
        <v>207</v>
      </c>
      <c r="E103" t="s">
        <v>247</v>
      </c>
      <c r="F103" t="s">
        <v>235</v>
      </c>
      <c r="G103" t="s">
        <v>236</v>
      </c>
      <c r="H103" t="s">
        <v>59</v>
      </c>
      <c r="I103">
        <f>I102*J103</f>
        <v>-25.5045</v>
      </c>
      <c r="J103">
        <v>5</v>
      </c>
      <c r="O103">
        <f t="shared" si="193"/>
        <v>-21684.01</v>
      </c>
      <c r="P103">
        <f t="shared" si="194"/>
        <v>-21684.01</v>
      </c>
      <c r="Q103">
        <f t="shared" si="195"/>
        <v>0</v>
      </c>
      <c r="R103">
        <f t="shared" si="196"/>
        <v>0</v>
      </c>
      <c r="S103">
        <f t="shared" si="197"/>
        <v>0</v>
      </c>
      <c r="T103">
        <f t="shared" si="198"/>
        <v>0</v>
      </c>
      <c r="U103">
        <f t="shared" si="199"/>
        <v>0</v>
      </c>
      <c r="V103">
        <f t="shared" si="200"/>
        <v>0</v>
      </c>
      <c r="W103">
        <f t="shared" si="201"/>
        <v>0</v>
      </c>
      <c r="X103">
        <f t="shared" si="202"/>
        <v>0</v>
      </c>
      <c r="Y103">
        <f t="shared" si="202"/>
        <v>0</v>
      </c>
      <c r="AA103">
        <v>44169784</v>
      </c>
      <c r="AB103">
        <f t="shared" si="203"/>
        <v>146.84</v>
      </c>
      <c r="AC103">
        <f t="shared" si="204"/>
        <v>146.84</v>
      </c>
      <c r="AD103">
        <f t="shared" si="205"/>
        <v>0</v>
      </c>
      <c r="AE103">
        <f t="shared" si="206"/>
        <v>0</v>
      </c>
      <c r="AF103">
        <f t="shared" si="206"/>
        <v>0</v>
      </c>
      <c r="AG103">
        <f t="shared" si="207"/>
        <v>0</v>
      </c>
      <c r="AH103">
        <f t="shared" si="208"/>
        <v>0</v>
      </c>
      <c r="AI103">
        <f t="shared" si="208"/>
        <v>0</v>
      </c>
      <c r="AJ103">
        <f t="shared" si="209"/>
        <v>0</v>
      </c>
      <c r="AK103">
        <v>146.84</v>
      </c>
      <c r="AL103">
        <v>146.84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1</v>
      </c>
      <c r="AW103">
        <v>1</v>
      </c>
      <c r="AZ103">
        <v>1</v>
      </c>
      <c r="BA103">
        <v>1</v>
      </c>
      <c r="BB103">
        <v>1</v>
      </c>
      <c r="BC103">
        <v>5.79</v>
      </c>
      <c r="BD103" t="s">
        <v>5</v>
      </c>
      <c r="BE103" t="s">
        <v>5</v>
      </c>
      <c r="BF103" t="s">
        <v>5</v>
      </c>
      <c r="BG103" t="s">
        <v>5</v>
      </c>
      <c r="BH103">
        <v>3</v>
      </c>
      <c r="BI103">
        <v>1</v>
      </c>
      <c r="BJ103" t="s">
        <v>237</v>
      </c>
      <c r="BM103">
        <v>295</v>
      </c>
      <c r="BN103">
        <v>0</v>
      </c>
      <c r="BO103" t="s">
        <v>235</v>
      </c>
      <c r="BP103">
        <v>1</v>
      </c>
      <c r="BQ103">
        <v>30</v>
      </c>
      <c r="BR103">
        <v>0</v>
      </c>
      <c r="BS103">
        <v>1</v>
      </c>
      <c r="BT103">
        <v>1</v>
      </c>
      <c r="BU103">
        <v>1</v>
      </c>
      <c r="BV103">
        <v>1</v>
      </c>
      <c r="BW103">
        <v>1</v>
      </c>
      <c r="BX103">
        <v>1</v>
      </c>
      <c r="BY103" t="s">
        <v>5</v>
      </c>
      <c r="BZ103">
        <v>0</v>
      </c>
      <c r="CA103">
        <v>0</v>
      </c>
      <c r="CE103">
        <v>30</v>
      </c>
      <c r="CF103">
        <v>0</v>
      </c>
      <c r="CG103">
        <v>0</v>
      </c>
      <c r="CM103">
        <v>0</v>
      </c>
      <c r="CN103" t="s">
        <v>5</v>
      </c>
      <c r="CO103">
        <v>0</v>
      </c>
      <c r="CP103">
        <f t="shared" si="210"/>
        <v>-21684.01</v>
      </c>
      <c r="CQ103">
        <f t="shared" si="211"/>
        <v>850.2</v>
      </c>
      <c r="CR103">
        <f t="shared" si="212"/>
        <v>0</v>
      </c>
      <c r="CS103">
        <f t="shared" si="213"/>
        <v>0</v>
      </c>
      <c r="CT103">
        <f t="shared" si="214"/>
        <v>0</v>
      </c>
      <c r="CU103">
        <f t="shared" si="215"/>
        <v>0</v>
      </c>
      <c r="CV103">
        <f t="shared" si="216"/>
        <v>0</v>
      </c>
      <c r="CW103">
        <f t="shared" si="217"/>
        <v>0</v>
      </c>
      <c r="CX103">
        <f t="shared" si="217"/>
        <v>0</v>
      </c>
      <c r="CY103">
        <f t="shared" si="218"/>
        <v>0</v>
      </c>
      <c r="CZ103">
        <f t="shared" si="219"/>
        <v>0</v>
      </c>
      <c r="DC103" t="s">
        <v>5</v>
      </c>
      <c r="DD103" t="s">
        <v>5</v>
      </c>
      <c r="DE103" t="s">
        <v>5</v>
      </c>
      <c r="DF103" t="s">
        <v>5</v>
      </c>
      <c r="DG103" t="s">
        <v>5</v>
      </c>
      <c r="DH103" t="s">
        <v>5</v>
      </c>
      <c r="DI103" t="s">
        <v>5</v>
      </c>
      <c r="DJ103" t="s">
        <v>5</v>
      </c>
      <c r="DK103" t="s">
        <v>5</v>
      </c>
      <c r="DL103" t="s">
        <v>5</v>
      </c>
      <c r="DM103" t="s">
        <v>5</v>
      </c>
      <c r="DN103">
        <v>187</v>
      </c>
      <c r="DO103">
        <v>101</v>
      </c>
      <c r="DP103">
        <v>1</v>
      </c>
      <c r="DQ103">
        <v>1</v>
      </c>
      <c r="DU103">
        <v>1007</v>
      </c>
      <c r="DV103" t="s">
        <v>59</v>
      </c>
      <c r="DW103" t="s">
        <v>59</v>
      </c>
      <c r="DX103">
        <v>1</v>
      </c>
      <c r="EE103">
        <v>44064114</v>
      </c>
      <c r="EF103">
        <v>30</v>
      </c>
      <c r="EG103" t="s">
        <v>53</v>
      </c>
      <c r="EH103">
        <v>0</v>
      </c>
      <c r="EI103" t="s">
        <v>5</v>
      </c>
      <c r="EJ103">
        <v>1</v>
      </c>
      <c r="EK103">
        <v>295</v>
      </c>
      <c r="EL103" t="s">
        <v>232</v>
      </c>
      <c r="EM103" t="s">
        <v>233</v>
      </c>
      <c r="EO103" t="s">
        <v>5</v>
      </c>
      <c r="EQ103">
        <v>0</v>
      </c>
      <c r="ER103">
        <v>146.84</v>
      </c>
      <c r="ES103">
        <v>146.84</v>
      </c>
      <c r="ET103">
        <v>0</v>
      </c>
      <c r="EU103">
        <v>0</v>
      </c>
      <c r="EV103">
        <v>0</v>
      </c>
      <c r="EW103">
        <v>0</v>
      </c>
      <c r="EX103">
        <v>0</v>
      </c>
      <c r="FQ103">
        <v>0</v>
      </c>
      <c r="FR103">
        <f t="shared" si="220"/>
        <v>0</v>
      </c>
      <c r="FS103">
        <v>0</v>
      </c>
      <c r="FX103">
        <v>187</v>
      </c>
      <c r="FY103">
        <v>101</v>
      </c>
      <c r="GA103" t="s">
        <v>5</v>
      </c>
      <c r="GD103">
        <v>0</v>
      </c>
      <c r="GF103">
        <v>92320855</v>
      </c>
      <c r="GG103">
        <v>2</v>
      </c>
      <c r="GH103">
        <v>1</v>
      </c>
      <c r="GI103">
        <v>2</v>
      </c>
      <c r="GJ103">
        <v>0</v>
      </c>
      <c r="GK103">
        <f>ROUND(R103*(R12)/100,2)</f>
        <v>0</v>
      </c>
      <c r="GL103">
        <f t="shared" si="221"/>
        <v>0</v>
      </c>
      <c r="GM103">
        <f t="shared" si="222"/>
        <v>-21684.01</v>
      </c>
      <c r="GN103">
        <f t="shared" si="223"/>
        <v>-21684.01</v>
      </c>
      <c r="GO103">
        <f t="shared" si="224"/>
        <v>0</v>
      </c>
      <c r="GP103">
        <f t="shared" si="225"/>
        <v>0</v>
      </c>
      <c r="GR103">
        <v>0</v>
      </c>
      <c r="GS103">
        <v>3</v>
      </c>
      <c r="GT103">
        <v>0</v>
      </c>
      <c r="GU103" t="s">
        <v>5</v>
      </c>
      <c r="GV103">
        <f t="shared" si="226"/>
        <v>0</v>
      </c>
      <c r="GW103">
        <v>1</v>
      </c>
      <c r="GX103">
        <f t="shared" si="227"/>
        <v>0</v>
      </c>
      <c r="HA103">
        <v>0</v>
      </c>
      <c r="HB103">
        <v>0</v>
      </c>
      <c r="HC103">
        <f t="shared" si="228"/>
        <v>0</v>
      </c>
      <c r="IK103">
        <v>0</v>
      </c>
    </row>
    <row r="104" spans="1:245" x14ac:dyDescent="0.2">
      <c r="A104">
        <v>17</v>
      </c>
      <c r="B104">
        <v>1</v>
      </c>
      <c r="C104">
        <f>ROW(SmtRes!A210)</f>
        <v>210</v>
      </c>
      <c r="D104">
        <f>ROW(EtalonRes!A209)</f>
        <v>209</v>
      </c>
      <c r="E104" t="s">
        <v>248</v>
      </c>
      <c r="F104" t="s">
        <v>249</v>
      </c>
      <c r="G104" t="s">
        <v>250</v>
      </c>
      <c r="H104" t="s">
        <v>230</v>
      </c>
      <c r="I104">
        <f>ROUND(I100+I98,9)</f>
        <v>5.1009000000000002</v>
      </c>
      <c r="J104">
        <v>0</v>
      </c>
      <c r="O104">
        <f t="shared" si="193"/>
        <v>8061.04</v>
      </c>
      <c r="P104">
        <f t="shared" si="194"/>
        <v>1644.47</v>
      </c>
      <c r="Q104">
        <f t="shared" si="195"/>
        <v>0</v>
      </c>
      <c r="R104">
        <f t="shared" si="196"/>
        <v>0</v>
      </c>
      <c r="S104">
        <f t="shared" si="197"/>
        <v>6416.57</v>
      </c>
      <c r="T104">
        <f t="shared" si="198"/>
        <v>0</v>
      </c>
      <c r="U104">
        <f t="shared" si="199"/>
        <v>26.779725000000003</v>
      </c>
      <c r="V104">
        <f t="shared" si="200"/>
        <v>0</v>
      </c>
      <c r="W104">
        <f t="shared" si="201"/>
        <v>0</v>
      </c>
      <c r="X104">
        <f t="shared" si="202"/>
        <v>6544.9</v>
      </c>
      <c r="Y104">
        <f t="shared" si="202"/>
        <v>3015.79</v>
      </c>
      <c r="AA104">
        <v>44169784</v>
      </c>
      <c r="AB104">
        <f t="shared" si="203"/>
        <v>129.4</v>
      </c>
      <c r="AC104">
        <f t="shared" si="204"/>
        <v>70.7</v>
      </c>
      <c r="AD104">
        <f t="shared" si="205"/>
        <v>0</v>
      </c>
      <c r="AE104">
        <f t="shared" si="206"/>
        <v>0</v>
      </c>
      <c r="AF104">
        <f t="shared" si="206"/>
        <v>58.7</v>
      </c>
      <c r="AG104">
        <f t="shared" si="207"/>
        <v>0</v>
      </c>
      <c r="AH104">
        <f t="shared" si="208"/>
        <v>5.25</v>
      </c>
      <c r="AI104">
        <f t="shared" si="208"/>
        <v>0</v>
      </c>
      <c r="AJ104">
        <f t="shared" si="209"/>
        <v>0</v>
      </c>
      <c r="AK104">
        <v>129.4</v>
      </c>
      <c r="AL104">
        <v>70.7</v>
      </c>
      <c r="AM104">
        <v>0</v>
      </c>
      <c r="AN104">
        <v>0</v>
      </c>
      <c r="AO104">
        <v>58.7</v>
      </c>
      <c r="AP104">
        <v>0</v>
      </c>
      <c r="AQ104">
        <v>5.25</v>
      </c>
      <c r="AR104">
        <v>0</v>
      </c>
      <c r="AS104">
        <v>0</v>
      </c>
      <c r="AT104">
        <v>102</v>
      </c>
      <c r="AU104">
        <v>47</v>
      </c>
      <c r="AV104">
        <v>1</v>
      </c>
      <c r="AW104">
        <v>1</v>
      </c>
      <c r="AZ104">
        <v>1</v>
      </c>
      <c r="BA104">
        <v>21.43</v>
      </c>
      <c r="BB104">
        <v>1</v>
      </c>
      <c r="BC104">
        <v>4.5599999999999996</v>
      </c>
      <c r="BD104" t="s">
        <v>5</v>
      </c>
      <c r="BE104" t="s">
        <v>5</v>
      </c>
      <c r="BF104" t="s">
        <v>5</v>
      </c>
      <c r="BG104" t="s">
        <v>5</v>
      </c>
      <c r="BH104">
        <v>0</v>
      </c>
      <c r="BI104">
        <v>1</v>
      </c>
      <c r="BJ104" t="s">
        <v>251</v>
      </c>
      <c r="BM104">
        <v>295</v>
      </c>
      <c r="BN104">
        <v>0</v>
      </c>
      <c r="BO104" t="s">
        <v>249</v>
      </c>
      <c r="BP104">
        <v>1</v>
      </c>
      <c r="BQ104">
        <v>30</v>
      </c>
      <c r="BR104">
        <v>0</v>
      </c>
      <c r="BS104">
        <v>21.43</v>
      </c>
      <c r="BT104">
        <v>1</v>
      </c>
      <c r="BU104">
        <v>1</v>
      </c>
      <c r="BV104">
        <v>1</v>
      </c>
      <c r="BW104">
        <v>1</v>
      </c>
      <c r="BX104">
        <v>1</v>
      </c>
      <c r="BY104" t="s">
        <v>5</v>
      </c>
      <c r="BZ104">
        <v>102</v>
      </c>
      <c r="CA104">
        <v>47</v>
      </c>
      <c r="CE104">
        <v>30</v>
      </c>
      <c r="CF104">
        <v>0</v>
      </c>
      <c r="CG104">
        <v>0</v>
      </c>
      <c r="CM104">
        <v>0</v>
      </c>
      <c r="CN104" t="s">
        <v>5</v>
      </c>
      <c r="CO104">
        <v>0</v>
      </c>
      <c r="CP104">
        <f t="shared" si="210"/>
        <v>8061.04</v>
      </c>
      <c r="CQ104">
        <f t="shared" si="211"/>
        <v>322.39</v>
      </c>
      <c r="CR104">
        <f t="shared" si="212"/>
        <v>0</v>
      </c>
      <c r="CS104">
        <f t="shared" si="213"/>
        <v>0</v>
      </c>
      <c r="CT104">
        <f t="shared" si="214"/>
        <v>1257.94</v>
      </c>
      <c r="CU104">
        <f t="shared" si="215"/>
        <v>0</v>
      </c>
      <c r="CV104">
        <f t="shared" si="216"/>
        <v>5.25</v>
      </c>
      <c r="CW104">
        <f t="shared" si="217"/>
        <v>0</v>
      </c>
      <c r="CX104">
        <f t="shared" si="217"/>
        <v>0</v>
      </c>
      <c r="CY104">
        <f t="shared" si="218"/>
        <v>6544.9013999999997</v>
      </c>
      <c r="CZ104">
        <f t="shared" si="219"/>
        <v>3015.7878999999998</v>
      </c>
      <c r="DC104" t="s">
        <v>5</v>
      </c>
      <c r="DD104" t="s">
        <v>5</v>
      </c>
      <c r="DE104" t="s">
        <v>5</v>
      </c>
      <c r="DF104" t="s">
        <v>5</v>
      </c>
      <c r="DG104" t="s">
        <v>5</v>
      </c>
      <c r="DH104" t="s">
        <v>5</v>
      </c>
      <c r="DI104" t="s">
        <v>5</v>
      </c>
      <c r="DJ104" t="s">
        <v>5</v>
      </c>
      <c r="DK104" t="s">
        <v>5</v>
      </c>
      <c r="DL104" t="s">
        <v>5</v>
      </c>
      <c r="DM104" t="s">
        <v>5</v>
      </c>
      <c r="DN104">
        <v>187</v>
      </c>
      <c r="DO104">
        <v>101</v>
      </c>
      <c r="DP104">
        <v>1</v>
      </c>
      <c r="DQ104">
        <v>1</v>
      </c>
      <c r="DU104">
        <v>1005</v>
      </c>
      <c r="DV104" t="s">
        <v>230</v>
      </c>
      <c r="DW104" t="s">
        <v>230</v>
      </c>
      <c r="DX104">
        <v>100</v>
      </c>
      <c r="EE104">
        <v>44064114</v>
      </c>
      <c r="EF104">
        <v>30</v>
      </c>
      <c r="EG104" t="s">
        <v>53</v>
      </c>
      <c r="EH104">
        <v>0</v>
      </c>
      <c r="EI104" t="s">
        <v>5</v>
      </c>
      <c r="EJ104">
        <v>1</v>
      </c>
      <c r="EK104">
        <v>295</v>
      </c>
      <c r="EL104" t="s">
        <v>232</v>
      </c>
      <c r="EM104" t="s">
        <v>233</v>
      </c>
      <c r="EO104" t="s">
        <v>5</v>
      </c>
      <c r="EQ104">
        <v>131072</v>
      </c>
      <c r="ER104">
        <v>129.4</v>
      </c>
      <c r="ES104">
        <v>70.7</v>
      </c>
      <c r="ET104">
        <v>0</v>
      </c>
      <c r="EU104">
        <v>0</v>
      </c>
      <c r="EV104">
        <v>58.7</v>
      </c>
      <c r="EW104">
        <v>5.25</v>
      </c>
      <c r="EX104">
        <v>0</v>
      </c>
      <c r="EY104">
        <v>0</v>
      </c>
      <c r="FQ104">
        <v>0</v>
      </c>
      <c r="FR104">
        <f t="shared" si="220"/>
        <v>0</v>
      </c>
      <c r="FS104">
        <v>0</v>
      </c>
      <c r="FX104">
        <v>187</v>
      </c>
      <c r="FY104">
        <v>101</v>
      </c>
      <c r="GA104" t="s">
        <v>5</v>
      </c>
      <c r="GD104">
        <v>0</v>
      </c>
      <c r="GF104">
        <v>-970148411</v>
      </c>
      <c r="GG104">
        <v>2</v>
      </c>
      <c r="GH104">
        <v>1</v>
      </c>
      <c r="GI104">
        <v>2</v>
      </c>
      <c r="GJ104">
        <v>0</v>
      </c>
      <c r="GK104">
        <f>ROUND(R104*(R12)/100,2)</f>
        <v>0</v>
      </c>
      <c r="GL104">
        <f t="shared" si="221"/>
        <v>0</v>
      </c>
      <c r="GM104">
        <f t="shared" si="222"/>
        <v>17621.73</v>
      </c>
      <c r="GN104">
        <f t="shared" si="223"/>
        <v>17621.73</v>
      </c>
      <c r="GO104">
        <f t="shared" si="224"/>
        <v>0</v>
      </c>
      <c r="GP104">
        <f t="shared" si="225"/>
        <v>0</v>
      </c>
      <c r="GR104">
        <v>0</v>
      </c>
      <c r="GS104">
        <v>0</v>
      </c>
      <c r="GT104">
        <v>0</v>
      </c>
      <c r="GU104" t="s">
        <v>5</v>
      </c>
      <c r="GV104">
        <f t="shared" si="226"/>
        <v>0</v>
      </c>
      <c r="GW104">
        <v>1</v>
      </c>
      <c r="GX104">
        <f t="shared" si="227"/>
        <v>0</v>
      </c>
      <c r="HA104">
        <v>0</v>
      </c>
      <c r="HB104">
        <v>0</v>
      </c>
      <c r="HC104">
        <f t="shared" si="228"/>
        <v>0</v>
      </c>
      <c r="IK104">
        <v>0</v>
      </c>
    </row>
    <row r="105" spans="1:245" x14ac:dyDescent="0.2">
      <c r="A105">
        <v>18</v>
      </c>
      <c r="B105">
        <v>1</v>
      </c>
      <c r="C105">
        <v>210</v>
      </c>
      <c r="E105" t="s">
        <v>252</v>
      </c>
      <c r="F105" t="s">
        <v>253</v>
      </c>
      <c r="G105" t="s">
        <v>254</v>
      </c>
      <c r="H105" t="s">
        <v>255</v>
      </c>
      <c r="I105">
        <f>I104*J105</f>
        <v>20.403600000000001</v>
      </c>
      <c r="J105">
        <v>4</v>
      </c>
      <c r="O105">
        <f t="shared" si="193"/>
        <v>2033.01</v>
      </c>
      <c r="P105">
        <f t="shared" si="194"/>
        <v>2033.01</v>
      </c>
      <c r="Q105">
        <f t="shared" si="195"/>
        <v>0</v>
      </c>
      <c r="R105">
        <f t="shared" si="196"/>
        <v>0</v>
      </c>
      <c r="S105">
        <f t="shared" si="197"/>
        <v>0</v>
      </c>
      <c r="T105">
        <f t="shared" si="198"/>
        <v>0</v>
      </c>
      <c r="U105">
        <f t="shared" si="199"/>
        <v>0</v>
      </c>
      <c r="V105">
        <f t="shared" si="200"/>
        <v>0</v>
      </c>
      <c r="W105">
        <f t="shared" si="201"/>
        <v>0</v>
      </c>
      <c r="X105">
        <f t="shared" si="202"/>
        <v>0</v>
      </c>
      <c r="Y105">
        <f t="shared" si="202"/>
        <v>0</v>
      </c>
      <c r="AA105">
        <v>44169784</v>
      </c>
      <c r="AB105">
        <f t="shared" si="203"/>
        <v>57.93</v>
      </c>
      <c r="AC105">
        <f t="shared" si="204"/>
        <v>57.93</v>
      </c>
      <c r="AD105">
        <f t="shared" si="205"/>
        <v>0</v>
      </c>
      <c r="AE105">
        <f t="shared" si="206"/>
        <v>0</v>
      </c>
      <c r="AF105">
        <f t="shared" si="206"/>
        <v>0</v>
      </c>
      <c r="AG105">
        <f t="shared" si="207"/>
        <v>0</v>
      </c>
      <c r="AH105">
        <f t="shared" si="208"/>
        <v>0</v>
      </c>
      <c r="AI105">
        <f t="shared" si="208"/>
        <v>0</v>
      </c>
      <c r="AJ105">
        <f t="shared" si="209"/>
        <v>0</v>
      </c>
      <c r="AK105">
        <v>57.93</v>
      </c>
      <c r="AL105">
        <v>57.93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1</v>
      </c>
      <c r="AW105">
        <v>1</v>
      </c>
      <c r="AZ105">
        <v>1</v>
      </c>
      <c r="BA105">
        <v>1</v>
      </c>
      <c r="BB105">
        <v>1</v>
      </c>
      <c r="BC105">
        <v>1.72</v>
      </c>
      <c r="BD105" t="s">
        <v>5</v>
      </c>
      <c r="BE105" t="s">
        <v>5</v>
      </c>
      <c r="BF105" t="s">
        <v>5</v>
      </c>
      <c r="BG105" t="s">
        <v>5</v>
      </c>
      <c r="BH105">
        <v>3</v>
      </c>
      <c r="BI105">
        <v>1</v>
      </c>
      <c r="BJ105" t="s">
        <v>256</v>
      </c>
      <c r="BM105">
        <v>295</v>
      </c>
      <c r="BN105">
        <v>0</v>
      </c>
      <c r="BO105" t="s">
        <v>253</v>
      </c>
      <c r="BP105">
        <v>1</v>
      </c>
      <c r="BQ105">
        <v>30</v>
      </c>
      <c r="BR105">
        <v>0</v>
      </c>
      <c r="BS105">
        <v>1</v>
      </c>
      <c r="BT105">
        <v>1</v>
      </c>
      <c r="BU105">
        <v>1</v>
      </c>
      <c r="BV105">
        <v>1</v>
      </c>
      <c r="BW105">
        <v>1</v>
      </c>
      <c r="BX105">
        <v>1</v>
      </c>
      <c r="BY105" t="s">
        <v>5</v>
      </c>
      <c r="BZ105">
        <v>0</v>
      </c>
      <c r="CA105">
        <v>0</v>
      </c>
      <c r="CE105">
        <v>30</v>
      </c>
      <c r="CF105">
        <v>0</v>
      </c>
      <c r="CG105">
        <v>0</v>
      </c>
      <c r="CM105">
        <v>0</v>
      </c>
      <c r="CN105" t="s">
        <v>5</v>
      </c>
      <c r="CO105">
        <v>0</v>
      </c>
      <c r="CP105">
        <f t="shared" si="210"/>
        <v>2033.01</v>
      </c>
      <c r="CQ105">
        <f t="shared" si="211"/>
        <v>99.64</v>
      </c>
      <c r="CR105">
        <f t="shared" si="212"/>
        <v>0</v>
      </c>
      <c r="CS105">
        <f t="shared" si="213"/>
        <v>0</v>
      </c>
      <c r="CT105">
        <f t="shared" si="214"/>
        <v>0</v>
      </c>
      <c r="CU105">
        <f t="shared" si="215"/>
        <v>0</v>
      </c>
      <c r="CV105">
        <f t="shared" si="216"/>
        <v>0</v>
      </c>
      <c r="CW105">
        <f t="shared" si="217"/>
        <v>0</v>
      </c>
      <c r="CX105">
        <f t="shared" si="217"/>
        <v>0</v>
      </c>
      <c r="CY105">
        <f t="shared" si="218"/>
        <v>0</v>
      </c>
      <c r="CZ105">
        <f t="shared" si="219"/>
        <v>0</v>
      </c>
      <c r="DC105" t="s">
        <v>5</v>
      </c>
      <c r="DD105" t="s">
        <v>5</v>
      </c>
      <c r="DE105" t="s">
        <v>5</v>
      </c>
      <c r="DF105" t="s">
        <v>5</v>
      </c>
      <c r="DG105" t="s">
        <v>5</v>
      </c>
      <c r="DH105" t="s">
        <v>5</v>
      </c>
      <c r="DI105" t="s">
        <v>5</v>
      </c>
      <c r="DJ105" t="s">
        <v>5</v>
      </c>
      <c r="DK105" t="s">
        <v>5</v>
      </c>
      <c r="DL105" t="s">
        <v>5</v>
      </c>
      <c r="DM105" t="s">
        <v>5</v>
      </c>
      <c r="DN105">
        <v>187</v>
      </c>
      <c r="DO105">
        <v>101</v>
      </c>
      <c r="DP105">
        <v>1</v>
      </c>
      <c r="DQ105">
        <v>1</v>
      </c>
      <c r="DU105">
        <v>1009</v>
      </c>
      <c r="DV105" t="s">
        <v>255</v>
      </c>
      <c r="DW105" t="s">
        <v>255</v>
      </c>
      <c r="DX105">
        <v>1</v>
      </c>
      <c r="EE105">
        <v>44064114</v>
      </c>
      <c r="EF105">
        <v>30</v>
      </c>
      <c r="EG105" t="s">
        <v>53</v>
      </c>
      <c r="EH105">
        <v>0</v>
      </c>
      <c r="EI105" t="s">
        <v>5</v>
      </c>
      <c r="EJ105">
        <v>1</v>
      </c>
      <c r="EK105">
        <v>295</v>
      </c>
      <c r="EL105" t="s">
        <v>232</v>
      </c>
      <c r="EM105" t="s">
        <v>233</v>
      </c>
      <c r="EO105" t="s">
        <v>5</v>
      </c>
      <c r="EQ105">
        <v>0</v>
      </c>
      <c r="ER105">
        <v>57.93</v>
      </c>
      <c r="ES105">
        <v>57.93</v>
      </c>
      <c r="ET105">
        <v>0</v>
      </c>
      <c r="EU105">
        <v>0</v>
      </c>
      <c r="EV105">
        <v>0</v>
      </c>
      <c r="EW105">
        <v>0</v>
      </c>
      <c r="EX105">
        <v>0</v>
      </c>
      <c r="FQ105">
        <v>0</v>
      </c>
      <c r="FR105">
        <f t="shared" si="220"/>
        <v>0</v>
      </c>
      <c r="FS105">
        <v>0</v>
      </c>
      <c r="FX105">
        <v>187</v>
      </c>
      <c r="FY105">
        <v>101</v>
      </c>
      <c r="GA105" t="s">
        <v>5</v>
      </c>
      <c r="GD105">
        <v>0</v>
      </c>
      <c r="GF105">
        <v>735025367</v>
      </c>
      <c r="GG105">
        <v>2</v>
      </c>
      <c r="GH105">
        <v>1</v>
      </c>
      <c r="GI105">
        <v>2</v>
      </c>
      <c r="GJ105">
        <v>0</v>
      </c>
      <c r="GK105">
        <f>ROUND(R105*(R12)/100,2)</f>
        <v>0</v>
      </c>
      <c r="GL105">
        <f t="shared" si="221"/>
        <v>0</v>
      </c>
      <c r="GM105">
        <f t="shared" si="222"/>
        <v>2033.01</v>
      </c>
      <c r="GN105">
        <f t="shared" si="223"/>
        <v>2033.01</v>
      </c>
      <c r="GO105">
        <f t="shared" si="224"/>
        <v>0</v>
      </c>
      <c r="GP105">
        <f t="shared" si="225"/>
        <v>0</v>
      </c>
      <c r="GR105">
        <v>0</v>
      </c>
      <c r="GS105">
        <v>3</v>
      </c>
      <c r="GT105">
        <v>0</v>
      </c>
      <c r="GU105" t="s">
        <v>5</v>
      </c>
      <c r="GV105">
        <f t="shared" si="226"/>
        <v>0</v>
      </c>
      <c r="GW105">
        <v>1</v>
      </c>
      <c r="GX105">
        <f t="shared" si="227"/>
        <v>0</v>
      </c>
      <c r="HA105">
        <v>0</v>
      </c>
      <c r="HB105">
        <v>0</v>
      </c>
      <c r="HC105">
        <f t="shared" si="228"/>
        <v>0</v>
      </c>
      <c r="IK105">
        <v>0</v>
      </c>
    </row>
    <row r="107" spans="1:245" x14ac:dyDescent="0.2">
      <c r="A107" s="2">
        <v>51</v>
      </c>
      <c r="B107" s="2">
        <f>B24</f>
        <v>1</v>
      </c>
      <c r="C107" s="2">
        <f>A24</f>
        <v>4</v>
      </c>
      <c r="D107" s="2">
        <f>ROW(A24)</f>
        <v>24</v>
      </c>
      <c r="E107" s="2"/>
      <c r="F107" s="2" t="str">
        <f>IF(F24&lt;&gt;"",F24,"")</f>
        <v>Новый раздел</v>
      </c>
      <c r="G107" s="2" t="str">
        <f>IF(G24&lt;&gt;"",G24,"")</f>
        <v>Строительные работы.</v>
      </c>
      <c r="H107" s="2">
        <v>0</v>
      </c>
      <c r="I107" s="2"/>
      <c r="J107" s="2"/>
      <c r="K107" s="2"/>
      <c r="L107" s="2"/>
      <c r="M107" s="2"/>
      <c r="N107" s="2"/>
      <c r="O107" s="2">
        <f t="shared" ref="O107:T107" si="229">ROUND(AB107,2)</f>
        <v>629253.31000000006</v>
      </c>
      <c r="P107" s="2">
        <f t="shared" si="229"/>
        <v>466792.48</v>
      </c>
      <c r="Q107" s="2">
        <f t="shared" si="229"/>
        <v>57059.94</v>
      </c>
      <c r="R107" s="2">
        <f t="shared" si="229"/>
        <v>25201.9</v>
      </c>
      <c r="S107" s="2">
        <f t="shared" si="229"/>
        <v>105400.89</v>
      </c>
      <c r="T107" s="2">
        <f t="shared" si="229"/>
        <v>0</v>
      </c>
      <c r="U107" s="2">
        <f>AH107</f>
        <v>450.37135220819999</v>
      </c>
      <c r="V107" s="2">
        <f>AI107</f>
        <v>0</v>
      </c>
      <c r="W107" s="2">
        <f>ROUND(AJ107,2)</f>
        <v>0</v>
      </c>
      <c r="X107" s="2">
        <f>ROUND(AK107,2)</f>
        <v>105999.26</v>
      </c>
      <c r="Y107" s="2">
        <f>ROUND(AL107,2)</f>
        <v>47203.98</v>
      </c>
      <c r="Z107" s="2"/>
      <c r="AA107" s="2"/>
      <c r="AB107" s="2">
        <f>ROUND(SUMIF(AA28:AA105,"=44169784",O28:O105),2)</f>
        <v>629253.31000000006</v>
      </c>
      <c r="AC107" s="2">
        <f>ROUND(SUMIF(AA28:AA105,"=44169784",P28:P105),2)</f>
        <v>466792.48</v>
      </c>
      <c r="AD107" s="2">
        <f>ROUND(SUMIF(AA28:AA105,"=44169784",Q28:Q105),2)</f>
        <v>57059.94</v>
      </c>
      <c r="AE107" s="2">
        <f>ROUND(SUMIF(AA28:AA105,"=44169784",R28:R105),2)</f>
        <v>25201.9</v>
      </c>
      <c r="AF107" s="2">
        <f>ROUND(SUMIF(AA28:AA105,"=44169784",S28:S105),2)</f>
        <v>105400.89</v>
      </c>
      <c r="AG107" s="2">
        <f>ROUND(SUMIF(AA28:AA105,"=44169784",T28:T105),2)</f>
        <v>0</v>
      </c>
      <c r="AH107" s="2">
        <f>SUMIF(AA28:AA105,"=44169784",U28:U105)</f>
        <v>450.37135220819999</v>
      </c>
      <c r="AI107" s="2">
        <f>SUMIF(AA28:AA105,"=44169784",V28:V105)</f>
        <v>0</v>
      </c>
      <c r="AJ107" s="2">
        <f>ROUND(SUMIF(AA28:AA105,"=44169784",W28:W105),2)</f>
        <v>0</v>
      </c>
      <c r="AK107" s="2">
        <f>ROUND(SUMIF(AA28:AA105,"=44169784",X28:X105),2)</f>
        <v>105999.26</v>
      </c>
      <c r="AL107" s="2">
        <f>ROUND(SUMIF(AA28:AA105,"=44169784",Y28:Y105),2)</f>
        <v>47203.98</v>
      </c>
      <c r="AM107" s="2"/>
      <c r="AN107" s="2"/>
      <c r="AO107" s="2">
        <f t="shared" ref="AO107:BD107" si="230">ROUND(BX107,2)</f>
        <v>0</v>
      </c>
      <c r="AP107" s="2">
        <f t="shared" si="230"/>
        <v>0</v>
      </c>
      <c r="AQ107" s="2">
        <f t="shared" si="230"/>
        <v>0</v>
      </c>
      <c r="AR107" s="2">
        <f t="shared" si="230"/>
        <v>822023.56</v>
      </c>
      <c r="AS107" s="2">
        <f t="shared" si="230"/>
        <v>822023.56</v>
      </c>
      <c r="AT107" s="2">
        <f t="shared" si="230"/>
        <v>0</v>
      </c>
      <c r="AU107" s="2">
        <f t="shared" si="230"/>
        <v>0</v>
      </c>
      <c r="AV107" s="2">
        <f t="shared" si="230"/>
        <v>466792.48</v>
      </c>
      <c r="AW107" s="2">
        <f t="shared" si="230"/>
        <v>466792.48</v>
      </c>
      <c r="AX107" s="2">
        <f t="shared" si="230"/>
        <v>0</v>
      </c>
      <c r="AY107" s="2">
        <f t="shared" si="230"/>
        <v>466792.48</v>
      </c>
      <c r="AZ107" s="2">
        <f t="shared" si="230"/>
        <v>0</v>
      </c>
      <c r="BA107" s="2">
        <f t="shared" si="230"/>
        <v>0</v>
      </c>
      <c r="BB107" s="2">
        <f t="shared" si="230"/>
        <v>0</v>
      </c>
      <c r="BC107" s="2">
        <f t="shared" si="230"/>
        <v>0</v>
      </c>
      <c r="BD107" s="2">
        <f t="shared" si="230"/>
        <v>0</v>
      </c>
      <c r="BE107" s="2"/>
      <c r="BF107" s="2"/>
      <c r="BG107" s="2"/>
      <c r="BH107" s="2"/>
      <c r="BI107" s="2"/>
      <c r="BJ107" s="2"/>
      <c r="BK107" s="2"/>
      <c r="BL107" s="2"/>
      <c r="BM107" s="2"/>
      <c r="BN107" s="2"/>
      <c r="BO107" s="2"/>
      <c r="BP107" s="2"/>
      <c r="BQ107" s="2"/>
      <c r="BR107" s="2"/>
      <c r="BS107" s="2"/>
      <c r="BT107" s="2"/>
      <c r="BU107" s="2"/>
      <c r="BV107" s="2"/>
      <c r="BW107" s="2"/>
      <c r="BX107" s="2">
        <f>ROUND(SUMIF(AA28:AA105,"=44169784",FQ28:FQ105),2)</f>
        <v>0</v>
      </c>
      <c r="BY107" s="2">
        <f>ROUND(SUMIF(AA28:AA105,"=44169784",FR28:FR105),2)</f>
        <v>0</v>
      </c>
      <c r="BZ107" s="2">
        <f>ROUND(SUMIF(AA28:AA105,"=44169784",GL28:GL105),2)</f>
        <v>0</v>
      </c>
      <c r="CA107" s="2">
        <f>ROUND(SUMIF(AA28:AA105,"=44169784",GM28:GM105),2)</f>
        <v>822023.56</v>
      </c>
      <c r="CB107" s="2">
        <f>ROUND(SUMIF(AA28:AA105,"=44169784",GN28:GN105),2)</f>
        <v>822023.56</v>
      </c>
      <c r="CC107" s="2">
        <f>ROUND(SUMIF(AA28:AA105,"=44169784",GO28:GO105),2)</f>
        <v>0</v>
      </c>
      <c r="CD107" s="2">
        <f>ROUND(SUMIF(AA28:AA105,"=44169784",GP28:GP105),2)</f>
        <v>0</v>
      </c>
      <c r="CE107" s="2">
        <f>AC107-BX107</f>
        <v>466792.48</v>
      </c>
      <c r="CF107" s="2">
        <f>AC107-BY107</f>
        <v>466792.48</v>
      </c>
      <c r="CG107" s="2">
        <f>BX107-BZ107</f>
        <v>0</v>
      </c>
      <c r="CH107" s="2">
        <f>AC107-BX107-BY107+BZ107</f>
        <v>466792.48</v>
      </c>
      <c r="CI107" s="2">
        <f>BY107-BZ107</f>
        <v>0</v>
      </c>
      <c r="CJ107" s="2">
        <f>ROUND(SUMIF(AA28:AA105,"=44169784",GX28:GX105),2)</f>
        <v>0</v>
      </c>
      <c r="CK107" s="2">
        <f>ROUND(SUMIF(AA28:AA105,"=44169784",GY28:GY105),2)</f>
        <v>0</v>
      </c>
      <c r="CL107" s="2">
        <f>ROUND(SUMIF(AA28:AA105,"=44169784",GZ28:GZ105),2)</f>
        <v>0</v>
      </c>
      <c r="CM107" s="2">
        <f>ROUND(SUMIF(AA28:AA105,"=44169784",HD28:HD105),2)</f>
        <v>0</v>
      </c>
      <c r="CN107" s="2"/>
      <c r="CO107" s="2"/>
      <c r="CP107" s="2"/>
      <c r="CQ107" s="2"/>
      <c r="CR107" s="2"/>
      <c r="CS107" s="2"/>
      <c r="CT107" s="2"/>
      <c r="CU107" s="2"/>
      <c r="CV107" s="2"/>
      <c r="CW107" s="2"/>
      <c r="CX107" s="2"/>
      <c r="CY107" s="2"/>
      <c r="CZ107" s="2"/>
      <c r="DA107" s="2"/>
      <c r="DB107" s="2"/>
      <c r="DC107" s="2"/>
      <c r="DD107" s="2"/>
      <c r="DE107" s="2"/>
      <c r="DF107" s="2"/>
      <c r="DG107" s="3"/>
      <c r="DH107" s="3"/>
      <c r="DI107" s="3"/>
      <c r="DJ107" s="3"/>
      <c r="DK107" s="3"/>
      <c r="DL107" s="3"/>
      <c r="DM107" s="3"/>
      <c r="DN107" s="3"/>
      <c r="DO107" s="3"/>
      <c r="DP107" s="3"/>
      <c r="DQ107" s="3"/>
      <c r="DR107" s="3"/>
      <c r="DS107" s="3"/>
      <c r="DT107" s="3"/>
      <c r="DU107" s="3"/>
      <c r="DV107" s="3"/>
      <c r="DW107" s="3"/>
      <c r="DX107" s="3"/>
      <c r="DY107" s="3"/>
      <c r="DZ107" s="3"/>
      <c r="EA107" s="3"/>
      <c r="EB107" s="3"/>
      <c r="EC107" s="3"/>
      <c r="ED107" s="3"/>
      <c r="EE107" s="3"/>
      <c r="EF107" s="3"/>
      <c r="EG107" s="3"/>
      <c r="EH107" s="3"/>
      <c r="EI107" s="3"/>
      <c r="EJ107" s="3"/>
      <c r="EK107" s="3"/>
      <c r="EL107" s="3"/>
      <c r="EM107" s="3"/>
      <c r="EN107" s="3"/>
      <c r="EO107" s="3"/>
      <c r="EP107" s="3"/>
      <c r="EQ107" s="3"/>
      <c r="ER107" s="3"/>
      <c r="ES107" s="3"/>
      <c r="ET107" s="3"/>
      <c r="EU107" s="3"/>
      <c r="EV107" s="3"/>
      <c r="EW107" s="3"/>
      <c r="EX107" s="3"/>
      <c r="EY107" s="3"/>
      <c r="EZ107" s="3"/>
      <c r="FA107" s="3"/>
      <c r="FB107" s="3"/>
      <c r="FC107" s="3"/>
      <c r="FD107" s="3"/>
      <c r="FE107" s="3"/>
      <c r="FF107" s="3"/>
      <c r="FG107" s="3"/>
      <c r="FH107" s="3"/>
      <c r="FI107" s="3"/>
      <c r="FJ107" s="3"/>
      <c r="FK107" s="3"/>
      <c r="FL107" s="3"/>
      <c r="FM107" s="3"/>
      <c r="FN107" s="3"/>
      <c r="FO107" s="3"/>
      <c r="FP107" s="3"/>
      <c r="FQ107" s="3"/>
      <c r="FR107" s="3"/>
      <c r="FS107" s="3"/>
      <c r="FT107" s="3"/>
      <c r="FU107" s="3"/>
      <c r="FV107" s="3"/>
      <c r="FW107" s="3"/>
      <c r="FX107" s="3"/>
      <c r="FY107" s="3"/>
      <c r="FZ107" s="3"/>
      <c r="GA107" s="3"/>
      <c r="GB107" s="3"/>
      <c r="GC107" s="3"/>
      <c r="GD107" s="3"/>
      <c r="GE107" s="3"/>
      <c r="GF107" s="3"/>
      <c r="GG107" s="3"/>
      <c r="GH107" s="3"/>
      <c r="GI107" s="3"/>
      <c r="GJ107" s="3"/>
      <c r="GK107" s="3"/>
      <c r="GL107" s="3"/>
      <c r="GM107" s="3"/>
      <c r="GN107" s="3"/>
      <c r="GO107" s="3"/>
      <c r="GP107" s="3"/>
      <c r="GQ107" s="3"/>
      <c r="GR107" s="3"/>
      <c r="GS107" s="3"/>
      <c r="GT107" s="3"/>
      <c r="GU107" s="3"/>
      <c r="GV107" s="3"/>
      <c r="GW107" s="3"/>
      <c r="GX107" s="3">
        <v>0</v>
      </c>
    </row>
    <row r="109" spans="1:245" x14ac:dyDescent="0.2">
      <c r="A109" s="4">
        <v>50</v>
      </c>
      <c r="B109" s="4">
        <v>0</v>
      </c>
      <c r="C109" s="4">
        <v>0</v>
      </c>
      <c r="D109" s="4">
        <v>2</v>
      </c>
      <c r="E109" s="4">
        <v>0</v>
      </c>
      <c r="F109" s="4">
        <f>ROUND(F138,O109)</f>
        <v>822023.56</v>
      </c>
      <c r="G109" s="4" t="s">
        <v>5</v>
      </c>
      <c r="H109" s="4" t="s">
        <v>5</v>
      </c>
      <c r="I109" s="4"/>
      <c r="J109" s="4"/>
      <c r="K109" s="4">
        <v>212</v>
      </c>
      <c r="L109" s="4">
        <v>1</v>
      </c>
      <c r="M109" s="4">
        <v>3</v>
      </c>
      <c r="N109" s="4" t="s">
        <v>5</v>
      </c>
      <c r="O109" s="4">
        <v>2</v>
      </c>
      <c r="P109" s="4"/>
      <c r="Q109" s="4"/>
      <c r="R109" s="4"/>
      <c r="S109" s="4"/>
      <c r="T109" s="4"/>
      <c r="U109" s="4"/>
      <c r="V109" s="4"/>
      <c r="W109" s="4"/>
    </row>
    <row r="110" spans="1:245" x14ac:dyDescent="0.2">
      <c r="A110" s="4">
        <v>50</v>
      </c>
      <c r="B110" s="4">
        <v>0</v>
      </c>
      <c r="C110" s="4">
        <v>0</v>
      </c>
      <c r="D110" s="4">
        <v>2</v>
      </c>
      <c r="E110" s="4">
        <v>0</v>
      </c>
      <c r="F110" s="4">
        <v>2499839.2200000002</v>
      </c>
      <c r="G110" s="4" t="s">
        <v>5</v>
      </c>
      <c r="H110" s="4" t="s">
        <v>5</v>
      </c>
      <c r="I110" s="4"/>
      <c r="J110" s="4"/>
      <c r="K110" s="4">
        <v>212</v>
      </c>
      <c r="L110" s="4">
        <v>2</v>
      </c>
      <c r="M110" s="4">
        <v>3</v>
      </c>
      <c r="N110" s="4" t="s">
        <v>5</v>
      </c>
      <c r="O110" s="4">
        <v>-1</v>
      </c>
      <c r="P110" s="4"/>
      <c r="Q110" s="4"/>
      <c r="R110" s="4"/>
      <c r="S110" s="4"/>
      <c r="T110" s="4"/>
      <c r="U110" s="4"/>
      <c r="V110" s="4"/>
      <c r="W110" s="4"/>
    </row>
    <row r="111" spans="1:245" x14ac:dyDescent="0.2">
      <c r="A111" s="4">
        <v>50</v>
      </c>
      <c r="B111" s="4">
        <v>0</v>
      </c>
      <c r="C111" s="4">
        <v>0</v>
      </c>
      <c r="D111" s="4">
        <v>1</v>
      </c>
      <c r="E111" s="4">
        <v>201</v>
      </c>
      <c r="F111" s="4">
        <f>ROUND(Source!O107,O111)</f>
        <v>629253.31000000006</v>
      </c>
      <c r="G111" s="4" t="s">
        <v>257</v>
      </c>
      <c r="H111" s="4" t="s">
        <v>258</v>
      </c>
      <c r="I111" s="4"/>
      <c r="J111" s="4"/>
      <c r="K111" s="4">
        <v>201</v>
      </c>
      <c r="L111" s="4">
        <v>3</v>
      </c>
      <c r="M111" s="4">
        <v>3</v>
      </c>
      <c r="N111" s="4" t="s">
        <v>5</v>
      </c>
      <c r="O111" s="4">
        <v>2</v>
      </c>
      <c r="P111" s="4"/>
      <c r="Q111" s="4"/>
      <c r="R111" s="4"/>
      <c r="S111" s="4"/>
      <c r="T111" s="4"/>
      <c r="U111" s="4"/>
      <c r="V111" s="4"/>
      <c r="W111" s="4"/>
    </row>
    <row r="112" spans="1:245" x14ac:dyDescent="0.2">
      <c r="A112" s="4">
        <v>50</v>
      </c>
      <c r="B112" s="4">
        <v>0</v>
      </c>
      <c r="C112" s="4">
        <v>0</v>
      </c>
      <c r="D112" s="4">
        <v>1</v>
      </c>
      <c r="E112" s="4">
        <v>202</v>
      </c>
      <c r="F112" s="4">
        <f>ROUND(Source!P107,O112)</f>
        <v>466792.48</v>
      </c>
      <c r="G112" s="4" t="s">
        <v>259</v>
      </c>
      <c r="H112" s="4" t="s">
        <v>260</v>
      </c>
      <c r="I112" s="4"/>
      <c r="J112" s="4"/>
      <c r="K112" s="4">
        <v>202</v>
      </c>
      <c r="L112" s="4">
        <v>4</v>
      </c>
      <c r="M112" s="4">
        <v>3</v>
      </c>
      <c r="N112" s="4" t="s">
        <v>5</v>
      </c>
      <c r="O112" s="4">
        <v>2</v>
      </c>
      <c r="P112" s="4"/>
      <c r="Q112" s="4"/>
      <c r="R112" s="4"/>
      <c r="S112" s="4"/>
      <c r="T112" s="4"/>
      <c r="U112" s="4"/>
      <c r="V112" s="4"/>
      <c r="W112" s="4"/>
    </row>
    <row r="113" spans="1:23" x14ac:dyDescent="0.2">
      <c r="A113" s="4">
        <v>50</v>
      </c>
      <c r="B113" s="4">
        <v>0</v>
      </c>
      <c r="C113" s="4">
        <v>0</v>
      </c>
      <c r="D113" s="4">
        <v>1</v>
      </c>
      <c r="E113" s="4">
        <v>222</v>
      </c>
      <c r="F113" s="4">
        <f>ROUND(Source!AO107,O113)</f>
        <v>0</v>
      </c>
      <c r="G113" s="4" t="s">
        <v>261</v>
      </c>
      <c r="H113" s="4" t="s">
        <v>262</v>
      </c>
      <c r="I113" s="4"/>
      <c r="J113" s="4"/>
      <c r="K113" s="4">
        <v>222</v>
      </c>
      <c r="L113" s="4">
        <v>5</v>
      </c>
      <c r="M113" s="4">
        <v>3</v>
      </c>
      <c r="N113" s="4" t="s">
        <v>5</v>
      </c>
      <c r="O113" s="4">
        <v>2</v>
      </c>
      <c r="P113" s="4"/>
      <c r="Q113" s="4"/>
      <c r="R113" s="4"/>
      <c r="S113" s="4"/>
      <c r="T113" s="4"/>
      <c r="U113" s="4"/>
      <c r="V113" s="4"/>
      <c r="W113" s="4"/>
    </row>
    <row r="114" spans="1:23" x14ac:dyDescent="0.2">
      <c r="A114" s="4">
        <v>50</v>
      </c>
      <c r="B114" s="4">
        <v>0</v>
      </c>
      <c r="C114" s="4">
        <v>0</v>
      </c>
      <c r="D114" s="4">
        <v>1</v>
      </c>
      <c r="E114" s="4">
        <v>225</v>
      </c>
      <c r="F114" s="4">
        <f>ROUND(Source!AV107,O114)</f>
        <v>466792.48</v>
      </c>
      <c r="G114" s="4" t="s">
        <v>263</v>
      </c>
      <c r="H114" s="4" t="s">
        <v>264</v>
      </c>
      <c r="I114" s="4"/>
      <c r="J114" s="4"/>
      <c r="K114" s="4">
        <v>225</v>
      </c>
      <c r="L114" s="4">
        <v>6</v>
      </c>
      <c r="M114" s="4">
        <v>3</v>
      </c>
      <c r="N114" s="4" t="s">
        <v>5</v>
      </c>
      <c r="O114" s="4">
        <v>2</v>
      </c>
      <c r="P114" s="4"/>
      <c r="Q114" s="4"/>
      <c r="R114" s="4"/>
      <c r="S114" s="4"/>
      <c r="T114" s="4"/>
      <c r="U114" s="4"/>
      <c r="V114" s="4"/>
      <c r="W114" s="4"/>
    </row>
    <row r="115" spans="1:23" x14ac:dyDescent="0.2">
      <c r="A115" s="4">
        <v>50</v>
      </c>
      <c r="B115" s="4">
        <v>0</v>
      </c>
      <c r="C115" s="4">
        <v>0</v>
      </c>
      <c r="D115" s="4">
        <v>1</v>
      </c>
      <c r="E115" s="4">
        <v>226</v>
      </c>
      <c r="F115" s="4">
        <f>ROUND(Source!AW107,O115)</f>
        <v>466792.48</v>
      </c>
      <c r="G115" s="4" t="s">
        <v>265</v>
      </c>
      <c r="H115" s="4" t="s">
        <v>266</v>
      </c>
      <c r="I115" s="4"/>
      <c r="J115" s="4"/>
      <c r="K115" s="4">
        <v>226</v>
      </c>
      <c r="L115" s="4">
        <v>7</v>
      </c>
      <c r="M115" s="4">
        <v>3</v>
      </c>
      <c r="N115" s="4" t="s">
        <v>5</v>
      </c>
      <c r="O115" s="4">
        <v>2</v>
      </c>
      <c r="P115" s="4"/>
      <c r="Q115" s="4"/>
      <c r="R115" s="4"/>
      <c r="S115" s="4"/>
      <c r="T115" s="4"/>
      <c r="U115" s="4"/>
      <c r="V115" s="4"/>
      <c r="W115" s="4"/>
    </row>
    <row r="116" spans="1:23" x14ac:dyDescent="0.2">
      <c r="A116" s="4">
        <v>50</v>
      </c>
      <c r="B116" s="4">
        <v>0</v>
      </c>
      <c r="C116" s="4">
        <v>0</v>
      </c>
      <c r="D116" s="4">
        <v>1</v>
      </c>
      <c r="E116" s="4">
        <v>227</v>
      </c>
      <c r="F116" s="4">
        <f>ROUND(Source!AX107,O116)</f>
        <v>0</v>
      </c>
      <c r="G116" s="4" t="s">
        <v>267</v>
      </c>
      <c r="H116" s="4" t="s">
        <v>268</v>
      </c>
      <c r="I116" s="4"/>
      <c r="J116" s="4"/>
      <c r="K116" s="4">
        <v>227</v>
      </c>
      <c r="L116" s="4">
        <v>8</v>
      </c>
      <c r="M116" s="4">
        <v>3</v>
      </c>
      <c r="N116" s="4" t="s">
        <v>5</v>
      </c>
      <c r="O116" s="4">
        <v>2</v>
      </c>
      <c r="P116" s="4"/>
      <c r="Q116" s="4"/>
      <c r="R116" s="4"/>
      <c r="S116" s="4"/>
      <c r="T116" s="4"/>
      <c r="U116" s="4"/>
      <c r="V116" s="4"/>
      <c r="W116" s="4"/>
    </row>
    <row r="117" spans="1:23" x14ac:dyDescent="0.2">
      <c r="A117" s="4">
        <v>50</v>
      </c>
      <c r="B117" s="4">
        <v>0</v>
      </c>
      <c r="C117" s="4">
        <v>0</v>
      </c>
      <c r="D117" s="4">
        <v>1</v>
      </c>
      <c r="E117" s="4">
        <v>228</v>
      </c>
      <c r="F117" s="4">
        <f>ROUND(Source!AY107,O117)</f>
        <v>466792.48</v>
      </c>
      <c r="G117" s="4" t="s">
        <v>269</v>
      </c>
      <c r="H117" s="4" t="s">
        <v>270</v>
      </c>
      <c r="I117" s="4"/>
      <c r="J117" s="4"/>
      <c r="K117" s="4">
        <v>228</v>
      </c>
      <c r="L117" s="4">
        <v>9</v>
      </c>
      <c r="M117" s="4">
        <v>3</v>
      </c>
      <c r="N117" s="4" t="s">
        <v>5</v>
      </c>
      <c r="O117" s="4">
        <v>2</v>
      </c>
      <c r="P117" s="4"/>
      <c r="Q117" s="4"/>
      <c r="R117" s="4"/>
      <c r="S117" s="4"/>
      <c r="T117" s="4"/>
      <c r="U117" s="4"/>
      <c r="V117" s="4"/>
      <c r="W117" s="4"/>
    </row>
    <row r="118" spans="1:23" x14ac:dyDescent="0.2">
      <c r="A118" s="4">
        <v>50</v>
      </c>
      <c r="B118" s="4">
        <v>0</v>
      </c>
      <c r="C118" s="4">
        <v>0</v>
      </c>
      <c r="D118" s="4">
        <v>1</v>
      </c>
      <c r="E118" s="4">
        <v>216</v>
      </c>
      <c r="F118" s="4">
        <f>ROUND(Source!AP107,O118)</f>
        <v>0</v>
      </c>
      <c r="G118" s="4" t="s">
        <v>271</v>
      </c>
      <c r="H118" s="4" t="s">
        <v>272</v>
      </c>
      <c r="I118" s="4"/>
      <c r="J118" s="4"/>
      <c r="K118" s="4">
        <v>216</v>
      </c>
      <c r="L118" s="4">
        <v>10</v>
      </c>
      <c r="M118" s="4">
        <v>3</v>
      </c>
      <c r="N118" s="4" t="s">
        <v>5</v>
      </c>
      <c r="O118" s="4">
        <v>2</v>
      </c>
      <c r="P118" s="4"/>
      <c r="Q118" s="4"/>
      <c r="R118" s="4"/>
      <c r="S118" s="4"/>
      <c r="T118" s="4"/>
      <c r="U118" s="4"/>
      <c r="V118" s="4"/>
      <c r="W118" s="4"/>
    </row>
    <row r="119" spans="1:23" x14ac:dyDescent="0.2">
      <c r="A119" s="4">
        <v>50</v>
      </c>
      <c r="B119" s="4">
        <v>0</v>
      </c>
      <c r="C119" s="4">
        <v>0</v>
      </c>
      <c r="D119" s="4">
        <v>1</v>
      </c>
      <c r="E119" s="4">
        <v>223</v>
      </c>
      <c r="F119" s="4">
        <f>ROUND(Source!AQ107,O119)</f>
        <v>0</v>
      </c>
      <c r="G119" s="4" t="s">
        <v>273</v>
      </c>
      <c r="H119" s="4" t="s">
        <v>274</v>
      </c>
      <c r="I119" s="4"/>
      <c r="J119" s="4"/>
      <c r="K119" s="4">
        <v>223</v>
      </c>
      <c r="L119" s="4">
        <v>11</v>
      </c>
      <c r="M119" s="4">
        <v>3</v>
      </c>
      <c r="N119" s="4" t="s">
        <v>5</v>
      </c>
      <c r="O119" s="4">
        <v>2</v>
      </c>
      <c r="P119" s="4"/>
      <c r="Q119" s="4"/>
      <c r="R119" s="4"/>
      <c r="S119" s="4"/>
      <c r="T119" s="4"/>
      <c r="U119" s="4"/>
      <c r="V119" s="4"/>
      <c r="W119" s="4"/>
    </row>
    <row r="120" spans="1:23" x14ac:dyDescent="0.2">
      <c r="A120" s="4">
        <v>50</v>
      </c>
      <c r="B120" s="4">
        <v>0</v>
      </c>
      <c r="C120" s="4">
        <v>0</v>
      </c>
      <c r="D120" s="4">
        <v>1</v>
      </c>
      <c r="E120" s="4">
        <v>229</v>
      </c>
      <c r="F120" s="4">
        <f>ROUND(Source!AZ107,O120)</f>
        <v>0</v>
      </c>
      <c r="G120" s="4" t="s">
        <v>275</v>
      </c>
      <c r="H120" s="4" t="s">
        <v>276</v>
      </c>
      <c r="I120" s="4"/>
      <c r="J120" s="4"/>
      <c r="K120" s="4">
        <v>229</v>
      </c>
      <c r="L120" s="4">
        <v>12</v>
      </c>
      <c r="M120" s="4">
        <v>3</v>
      </c>
      <c r="N120" s="4" t="s">
        <v>5</v>
      </c>
      <c r="O120" s="4">
        <v>2</v>
      </c>
      <c r="P120" s="4"/>
      <c r="Q120" s="4"/>
      <c r="R120" s="4"/>
      <c r="S120" s="4"/>
      <c r="T120" s="4"/>
      <c r="U120" s="4"/>
      <c r="V120" s="4"/>
      <c r="W120" s="4"/>
    </row>
    <row r="121" spans="1:23" x14ac:dyDescent="0.2">
      <c r="A121" s="4">
        <v>50</v>
      </c>
      <c r="B121" s="4">
        <v>0</v>
      </c>
      <c r="C121" s="4">
        <v>0</v>
      </c>
      <c r="D121" s="4">
        <v>1</v>
      </c>
      <c r="E121" s="4">
        <v>203</v>
      </c>
      <c r="F121" s="4">
        <f>ROUND(Source!Q107,O121)</f>
        <v>57059.94</v>
      </c>
      <c r="G121" s="4" t="s">
        <v>277</v>
      </c>
      <c r="H121" s="4" t="s">
        <v>278</v>
      </c>
      <c r="I121" s="4"/>
      <c r="J121" s="4"/>
      <c r="K121" s="4">
        <v>203</v>
      </c>
      <c r="L121" s="4">
        <v>13</v>
      </c>
      <c r="M121" s="4">
        <v>3</v>
      </c>
      <c r="N121" s="4" t="s">
        <v>5</v>
      </c>
      <c r="O121" s="4">
        <v>2</v>
      </c>
      <c r="P121" s="4"/>
      <c r="Q121" s="4"/>
      <c r="R121" s="4"/>
      <c r="S121" s="4"/>
      <c r="T121" s="4"/>
      <c r="U121" s="4"/>
      <c r="V121" s="4"/>
      <c r="W121" s="4"/>
    </row>
    <row r="122" spans="1:23" x14ac:dyDescent="0.2">
      <c r="A122" s="4">
        <v>50</v>
      </c>
      <c r="B122" s="4">
        <v>0</v>
      </c>
      <c r="C122" s="4">
        <v>0</v>
      </c>
      <c r="D122" s="4">
        <v>1</v>
      </c>
      <c r="E122" s="4">
        <v>231</v>
      </c>
      <c r="F122" s="4">
        <f>ROUND(Source!BB107,O122)</f>
        <v>0</v>
      </c>
      <c r="G122" s="4" t="s">
        <v>279</v>
      </c>
      <c r="H122" s="4" t="s">
        <v>280</v>
      </c>
      <c r="I122" s="4"/>
      <c r="J122" s="4"/>
      <c r="K122" s="4">
        <v>231</v>
      </c>
      <c r="L122" s="4">
        <v>14</v>
      </c>
      <c r="M122" s="4">
        <v>3</v>
      </c>
      <c r="N122" s="4" t="s">
        <v>5</v>
      </c>
      <c r="O122" s="4">
        <v>2</v>
      </c>
      <c r="P122" s="4"/>
      <c r="Q122" s="4"/>
      <c r="R122" s="4"/>
      <c r="S122" s="4"/>
      <c r="T122" s="4"/>
      <c r="U122" s="4"/>
      <c r="V122" s="4"/>
      <c r="W122" s="4"/>
    </row>
    <row r="123" spans="1:23" x14ac:dyDescent="0.2">
      <c r="A123" s="4">
        <v>50</v>
      </c>
      <c r="B123" s="4">
        <v>0</v>
      </c>
      <c r="C123" s="4">
        <v>0</v>
      </c>
      <c r="D123" s="4">
        <v>1</v>
      </c>
      <c r="E123" s="4">
        <v>204</v>
      </c>
      <c r="F123" s="4">
        <f>ROUND(Source!R107,O123)</f>
        <v>25201.9</v>
      </c>
      <c r="G123" s="4" t="s">
        <v>281</v>
      </c>
      <c r="H123" s="4" t="s">
        <v>282</v>
      </c>
      <c r="I123" s="4"/>
      <c r="J123" s="4"/>
      <c r="K123" s="4">
        <v>204</v>
      </c>
      <c r="L123" s="4">
        <v>15</v>
      </c>
      <c r="M123" s="4">
        <v>3</v>
      </c>
      <c r="N123" s="4" t="s">
        <v>5</v>
      </c>
      <c r="O123" s="4">
        <v>2</v>
      </c>
      <c r="P123" s="4"/>
      <c r="Q123" s="4"/>
      <c r="R123" s="4"/>
      <c r="S123" s="4"/>
      <c r="T123" s="4"/>
      <c r="U123" s="4"/>
      <c r="V123" s="4"/>
      <c r="W123" s="4"/>
    </row>
    <row r="124" spans="1:23" x14ac:dyDescent="0.2">
      <c r="A124" s="4">
        <v>50</v>
      </c>
      <c r="B124" s="4">
        <v>0</v>
      </c>
      <c r="C124" s="4">
        <v>0</v>
      </c>
      <c r="D124" s="4">
        <v>1</v>
      </c>
      <c r="E124" s="4">
        <v>205</v>
      </c>
      <c r="F124" s="4">
        <f>ROUND(Source!S107,O124)</f>
        <v>105400.89</v>
      </c>
      <c r="G124" s="4" t="s">
        <v>283</v>
      </c>
      <c r="H124" s="4" t="s">
        <v>284</v>
      </c>
      <c r="I124" s="4"/>
      <c r="J124" s="4"/>
      <c r="K124" s="4">
        <v>205</v>
      </c>
      <c r="L124" s="4">
        <v>16</v>
      </c>
      <c r="M124" s="4">
        <v>3</v>
      </c>
      <c r="N124" s="4" t="s">
        <v>5</v>
      </c>
      <c r="O124" s="4">
        <v>2</v>
      </c>
      <c r="P124" s="4"/>
      <c r="Q124" s="4"/>
      <c r="R124" s="4"/>
      <c r="S124" s="4"/>
      <c r="T124" s="4"/>
      <c r="U124" s="4"/>
      <c r="V124" s="4"/>
      <c r="W124" s="4"/>
    </row>
    <row r="125" spans="1:23" x14ac:dyDescent="0.2">
      <c r="A125" s="4">
        <v>50</v>
      </c>
      <c r="B125" s="4">
        <v>0</v>
      </c>
      <c r="C125" s="4">
        <v>0</v>
      </c>
      <c r="D125" s="4">
        <v>1</v>
      </c>
      <c r="E125" s="4">
        <v>232</v>
      </c>
      <c r="F125" s="4">
        <f>ROUND(Source!BC107,O125)</f>
        <v>0</v>
      </c>
      <c r="G125" s="4" t="s">
        <v>285</v>
      </c>
      <c r="H125" s="4" t="s">
        <v>286</v>
      </c>
      <c r="I125" s="4"/>
      <c r="J125" s="4"/>
      <c r="K125" s="4">
        <v>232</v>
      </c>
      <c r="L125" s="4">
        <v>17</v>
      </c>
      <c r="M125" s="4">
        <v>3</v>
      </c>
      <c r="N125" s="4" t="s">
        <v>5</v>
      </c>
      <c r="O125" s="4">
        <v>2</v>
      </c>
      <c r="P125" s="4"/>
      <c r="Q125" s="4"/>
      <c r="R125" s="4"/>
      <c r="S125" s="4"/>
      <c r="T125" s="4"/>
      <c r="U125" s="4"/>
      <c r="V125" s="4"/>
      <c r="W125" s="4"/>
    </row>
    <row r="126" spans="1:23" x14ac:dyDescent="0.2">
      <c r="A126" s="4">
        <v>50</v>
      </c>
      <c r="B126" s="4">
        <v>0</v>
      </c>
      <c r="C126" s="4">
        <v>0</v>
      </c>
      <c r="D126" s="4">
        <v>1</v>
      </c>
      <c r="E126" s="4">
        <v>214</v>
      </c>
      <c r="F126" s="4">
        <f>ROUND(Source!AS107,O126)</f>
        <v>822023.56</v>
      </c>
      <c r="G126" s="4" t="s">
        <v>287</v>
      </c>
      <c r="H126" s="4" t="s">
        <v>288</v>
      </c>
      <c r="I126" s="4"/>
      <c r="J126" s="4"/>
      <c r="K126" s="4">
        <v>214</v>
      </c>
      <c r="L126" s="4">
        <v>18</v>
      </c>
      <c r="M126" s="4">
        <v>3</v>
      </c>
      <c r="N126" s="4" t="s">
        <v>5</v>
      </c>
      <c r="O126" s="4">
        <v>2</v>
      </c>
      <c r="P126" s="4"/>
      <c r="Q126" s="4"/>
      <c r="R126" s="4"/>
      <c r="S126" s="4"/>
      <c r="T126" s="4"/>
      <c r="U126" s="4"/>
      <c r="V126" s="4"/>
      <c r="W126" s="4"/>
    </row>
    <row r="127" spans="1:23" x14ac:dyDescent="0.2">
      <c r="A127" s="4">
        <v>50</v>
      </c>
      <c r="B127" s="4">
        <v>0</v>
      </c>
      <c r="C127" s="4">
        <v>0</v>
      </c>
      <c r="D127" s="4">
        <v>1</v>
      </c>
      <c r="E127" s="4">
        <v>215</v>
      </c>
      <c r="F127" s="4">
        <f>ROUND(Source!AT107,O127)</f>
        <v>0</v>
      </c>
      <c r="G127" s="4" t="s">
        <v>289</v>
      </c>
      <c r="H127" s="4" t="s">
        <v>290</v>
      </c>
      <c r="I127" s="4"/>
      <c r="J127" s="4"/>
      <c r="K127" s="4">
        <v>215</v>
      </c>
      <c r="L127" s="4">
        <v>19</v>
      </c>
      <c r="M127" s="4">
        <v>3</v>
      </c>
      <c r="N127" s="4" t="s">
        <v>5</v>
      </c>
      <c r="O127" s="4">
        <v>2</v>
      </c>
      <c r="P127" s="4"/>
      <c r="Q127" s="4"/>
      <c r="R127" s="4"/>
      <c r="S127" s="4"/>
      <c r="T127" s="4"/>
      <c r="U127" s="4"/>
      <c r="V127" s="4"/>
      <c r="W127" s="4"/>
    </row>
    <row r="128" spans="1:23" x14ac:dyDescent="0.2">
      <c r="A128" s="4">
        <v>50</v>
      </c>
      <c r="B128" s="4">
        <v>0</v>
      </c>
      <c r="C128" s="4">
        <v>0</v>
      </c>
      <c r="D128" s="4">
        <v>1</v>
      </c>
      <c r="E128" s="4">
        <v>217</v>
      </c>
      <c r="F128" s="4">
        <f>ROUND(Source!AU107,O128)</f>
        <v>0</v>
      </c>
      <c r="G128" s="4" t="s">
        <v>291</v>
      </c>
      <c r="H128" s="4" t="s">
        <v>292</v>
      </c>
      <c r="I128" s="4"/>
      <c r="J128" s="4"/>
      <c r="K128" s="4">
        <v>217</v>
      </c>
      <c r="L128" s="4">
        <v>20</v>
      </c>
      <c r="M128" s="4">
        <v>3</v>
      </c>
      <c r="N128" s="4" t="s">
        <v>5</v>
      </c>
      <c r="O128" s="4">
        <v>2</v>
      </c>
      <c r="P128" s="4"/>
      <c r="Q128" s="4"/>
      <c r="R128" s="4"/>
      <c r="S128" s="4"/>
      <c r="T128" s="4"/>
      <c r="U128" s="4"/>
      <c r="V128" s="4"/>
      <c r="W128" s="4"/>
    </row>
    <row r="129" spans="1:245" x14ac:dyDescent="0.2">
      <c r="A129" s="4">
        <v>50</v>
      </c>
      <c r="B129" s="4">
        <v>0</v>
      </c>
      <c r="C129" s="4">
        <v>0</v>
      </c>
      <c r="D129" s="4">
        <v>1</v>
      </c>
      <c r="E129" s="4">
        <v>230</v>
      </c>
      <c r="F129" s="4">
        <f>ROUND(Source!BA107,O129)</f>
        <v>0</v>
      </c>
      <c r="G129" s="4" t="s">
        <v>293</v>
      </c>
      <c r="H129" s="4" t="s">
        <v>294</v>
      </c>
      <c r="I129" s="4"/>
      <c r="J129" s="4"/>
      <c r="K129" s="4">
        <v>230</v>
      </c>
      <c r="L129" s="4">
        <v>21</v>
      </c>
      <c r="M129" s="4">
        <v>3</v>
      </c>
      <c r="N129" s="4" t="s">
        <v>5</v>
      </c>
      <c r="O129" s="4">
        <v>2</v>
      </c>
      <c r="P129" s="4"/>
      <c r="Q129" s="4"/>
      <c r="R129" s="4"/>
      <c r="S129" s="4"/>
      <c r="T129" s="4"/>
      <c r="U129" s="4"/>
      <c r="V129" s="4"/>
      <c r="W129" s="4"/>
    </row>
    <row r="130" spans="1:245" x14ac:dyDescent="0.2">
      <c r="A130" s="4">
        <v>50</v>
      </c>
      <c r="B130" s="4">
        <v>0</v>
      </c>
      <c r="C130" s="4">
        <v>0</v>
      </c>
      <c r="D130" s="4">
        <v>1</v>
      </c>
      <c r="E130" s="4">
        <v>206</v>
      </c>
      <c r="F130" s="4">
        <f>ROUND(Source!T107,O130)</f>
        <v>0</v>
      </c>
      <c r="G130" s="4" t="s">
        <v>295</v>
      </c>
      <c r="H130" s="4" t="s">
        <v>296</v>
      </c>
      <c r="I130" s="4"/>
      <c r="J130" s="4"/>
      <c r="K130" s="4">
        <v>206</v>
      </c>
      <c r="L130" s="4">
        <v>22</v>
      </c>
      <c r="M130" s="4">
        <v>3</v>
      </c>
      <c r="N130" s="4" t="s">
        <v>5</v>
      </c>
      <c r="O130" s="4">
        <v>2</v>
      </c>
      <c r="P130" s="4"/>
      <c r="Q130" s="4"/>
      <c r="R130" s="4"/>
      <c r="S130" s="4"/>
      <c r="T130" s="4"/>
      <c r="U130" s="4"/>
      <c r="V130" s="4"/>
      <c r="W130" s="4"/>
    </row>
    <row r="131" spans="1:245" x14ac:dyDescent="0.2">
      <c r="A131" s="4">
        <v>50</v>
      </c>
      <c r="B131" s="4">
        <v>0</v>
      </c>
      <c r="C131" s="4">
        <v>0</v>
      </c>
      <c r="D131" s="4">
        <v>1</v>
      </c>
      <c r="E131" s="4">
        <v>207</v>
      </c>
      <c r="F131" s="4">
        <f>Source!U107</f>
        <v>450.37135220819999</v>
      </c>
      <c r="G131" s="4" t="s">
        <v>297</v>
      </c>
      <c r="H131" s="4" t="s">
        <v>298</v>
      </c>
      <c r="I131" s="4"/>
      <c r="J131" s="4"/>
      <c r="K131" s="4">
        <v>207</v>
      </c>
      <c r="L131" s="4">
        <v>23</v>
      </c>
      <c r="M131" s="4">
        <v>3</v>
      </c>
      <c r="N131" s="4" t="s">
        <v>5</v>
      </c>
      <c r="O131" s="4">
        <v>-1</v>
      </c>
      <c r="P131" s="4"/>
      <c r="Q131" s="4"/>
      <c r="R131" s="4"/>
      <c r="S131" s="4"/>
      <c r="T131" s="4"/>
      <c r="U131" s="4"/>
      <c r="V131" s="4"/>
      <c r="W131" s="4"/>
    </row>
    <row r="132" spans="1:245" x14ac:dyDescent="0.2">
      <c r="A132" s="4">
        <v>50</v>
      </c>
      <c r="B132" s="4">
        <v>0</v>
      </c>
      <c r="C132" s="4">
        <v>0</v>
      </c>
      <c r="D132" s="4">
        <v>1</v>
      </c>
      <c r="E132" s="4">
        <v>208</v>
      </c>
      <c r="F132" s="4">
        <f>Source!V107</f>
        <v>0</v>
      </c>
      <c r="G132" s="4" t="s">
        <v>299</v>
      </c>
      <c r="H132" s="4" t="s">
        <v>300</v>
      </c>
      <c r="I132" s="4"/>
      <c r="J132" s="4"/>
      <c r="K132" s="4">
        <v>208</v>
      </c>
      <c r="L132" s="4">
        <v>24</v>
      </c>
      <c r="M132" s="4">
        <v>3</v>
      </c>
      <c r="N132" s="4" t="s">
        <v>5</v>
      </c>
      <c r="O132" s="4">
        <v>-1</v>
      </c>
      <c r="P132" s="4"/>
      <c r="Q132" s="4"/>
      <c r="R132" s="4"/>
      <c r="S132" s="4"/>
      <c r="T132" s="4"/>
      <c r="U132" s="4"/>
      <c r="V132" s="4"/>
      <c r="W132" s="4"/>
    </row>
    <row r="133" spans="1:245" x14ac:dyDescent="0.2">
      <c r="A133" s="4">
        <v>50</v>
      </c>
      <c r="B133" s="4">
        <v>0</v>
      </c>
      <c r="C133" s="4">
        <v>0</v>
      </c>
      <c r="D133" s="4">
        <v>1</v>
      </c>
      <c r="E133" s="4">
        <v>209</v>
      </c>
      <c r="F133" s="4">
        <f>ROUND(Source!W107,O133)</f>
        <v>0</v>
      </c>
      <c r="G133" s="4" t="s">
        <v>301</v>
      </c>
      <c r="H133" s="4" t="s">
        <v>302</v>
      </c>
      <c r="I133" s="4"/>
      <c r="J133" s="4"/>
      <c r="K133" s="4">
        <v>209</v>
      </c>
      <c r="L133" s="4">
        <v>25</v>
      </c>
      <c r="M133" s="4">
        <v>3</v>
      </c>
      <c r="N133" s="4" t="s">
        <v>5</v>
      </c>
      <c r="O133" s="4">
        <v>2</v>
      </c>
      <c r="P133" s="4"/>
      <c r="Q133" s="4"/>
      <c r="R133" s="4"/>
      <c r="S133" s="4"/>
      <c r="T133" s="4"/>
      <c r="U133" s="4"/>
      <c r="V133" s="4"/>
      <c r="W133" s="4"/>
    </row>
    <row r="134" spans="1:245" x14ac:dyDescent="0.2">
      <c r="A134" s="4">
        <v>50</v>
      </c>
      <c r="B134" s="4">
        <v>0</v>
      </c>
      <c r="C134" s="4">
        <v>0</v>
      </c>
      <c r="D134" s="4">
        <v>1</v>
      </c>
      <c r="E134" s="4">
        <v>233</v>
      </c>
      <c r="F134" s="4">
        <f>ROUND(Source!BD107,O134)</f>
        <v>0</v>
      </c>
      <c r="G134" s="4" t="s">
        <v>303</v>
      </c>
      <c r="H134" s="4" t="s">
        <v>304</v>
      </c>
      <c r="I134" s="4"/>
      <c r="J134" s="4"/>
      <c r="K134" s="4">
        <v>233</v>
      </c>
      <c r="L134" s="4">
        <v>26</v>
      </c>
      <c r="M134" s="4">
        <v>3</v>
      </c>
      <c r="N134" s="4" t="s">
        <v>5</v>
      </c>
      <c r="O134" s="4">
        <v>2</v>
      </c>
      <c r="P134" s="4"/>
      <c r="Q134" s="4"/>
      <c r="R134" s="4"/>
      <c r="S134" s="4"/>
      <c r="T134" s="4"/>
      <c r="U134" s="4"/>
      <c r="V134" s="4"/>
      <c r="W134" s="4"/>
    </row>
    <row r="135" spans="1:245" x14ac:dyDescent="0.2">
      <c r="A135" s="4">
        <v>50</v>
      </c>
      <c r="B135" s="4">
        <v>0</v>
      </c>
      <c r="C135" s="4">
        <v>0</v>
      </c>
      <c r="D135" s="4">
        <v>1</v>
      </c>
      <c r="E135" s="4">
        <v>210</v>
      </c>
      <c r="F135" s="4">
        <f>ROUND(Source!X107,O135)</f>
        <v>105999.26</v>
      </c>
      <c r="G135" s="4" t="s">
        <v>305</v>
      </c>
      <c r="H135" s="4" t="s">
        <v>306</v>
      </c>
      <c r="I135" s="4"/>
      <c r="J135" s="4"/>
      <c r="K135" s="4">
        <v>210</v>
      </c>
      <c r="L135" s="4">
        <v>27</v>
      </c>
      <c r="M135" s="4">
        <v>3</v>
      </c>
      <c r="N135" s="4" t="s">
        <v>5</v>
      </c>
      <c r="O135" s="4">
        <v>2</v>
      </c>
      <c r="P135" s="4"/>
      <c r="Q135" s="4"/>
      <c r="R135" s="4"/>
      <c r="S135" s="4"/>
      <c r="T135" s="4"/>
      <c r="U135" s="4"/>
      <c r="V135" s="4"/>
      <c r="W135" s="4"/>
    </row>
    <row r="136" spans="1:245" x14ac:dyDescent="0.2">
      <c r="A136" s="4">
        <v>50</v>
      </c>
      <c r="B136" s="4">
        <v>0</v>
      </c>
      <c r="C136" s="4">
        <v>0</v>
      </c>
      <c r="D136" s="4">
        <v>1</v>
      </c>
      <c r="E136" s="4">
        <v>211</v>
      </c>
      <c r="F136" s="4">
        <f>ROUND(Source!Y107,O136)</f>
        <v>47203.98</v>
      </c>
      <c r="G136" s="4" t="s">
        <v>307</v>
      </c>
      <c r="H136" s="4" t="s">
        <v>308</v>
      </c>
      <c r="I136" s="4"/>
      <c r="J136" s="4"/>
      <c r="K136" s="4">
        <v>211</v>
      </c>
      <c r="L136" s="4">
        <v>28</v>
      </c>
      <c r="M136" s="4">
        <v>3</v>
      </c>
      <c r="N136" s="4" t="s">
        <v>5</v>
      </c>
      <c r="O136" s="4">
        <v>2</v>
      </c>
      <c r="P136" s="4"/>
      <c r="Q136" s="4"/>
      <c r="R136" s="4"/>
      <c r="S136" s="4"/>
      <c r="T136" s="4"/>
      <c r="U136" s="4"/>
      <c r="V136" s="4"/>
      <c r="W136" s="4"/>
    </row>
    <row r="137" spans="1:245" x14ac:dyDescent="0.2">
      <c r="A137" s="4">
        <v>50</v>
      </c>
      <c r="B137" s="4">
        <v>0</v>
      </c>
      <c r="C137" s="4">
        <v>0</v>
      </c>
      <c r="D137" s="4">
        <v>1</v>
      </c>
      <c r="E137" s="4">
        <v>224</v>
      </c>
      <c r="F137" s="4">
        <f>ROUND(Source!AR107,O137)</f>
        <v>822023.56</v>
      </c>
      <c r="G137" s="4" t="s">
        <v>309</v>
      </c>
      <c r="H137" s="4" t="s">
        <v>310</v>
      </c>
      <c r="I137" s="4"/>
      <c r="J137" s="4"/>
      <c r="K137" s="4">
        <v>224</v>
      </c>
      <c r="L137" s="4">
        <v>29</v>
      </c>
      <c r="M137" s="4">
        <v>3</v>
      </c>
      <c r="N137" s="4" t="s">
        <v>5</v>
      </c>
      <c r="O137" s="4">
        <v>2</v>
      </c>
      <c r="P137" s="4"/>
      <c r="Q137" s="4"/>
      <c r="R137" s="4"/>
      <c r="S137" s="4"/>
      <c r="T137" s="4"/>
      <c r="U137" s="4"/>
      <c r="V137" s="4"/>
      <c r="W137" s="4"/>
    </row>
    <row r="138" spans="1:245" x14ac:dyDescent="0.2">
      <c r="A138" s="4">
        <v>50</v>
      </c>
      <c r="B138" s="4">
        <v>1</v>
      </c>
      <c r="C138" s="4">
        <v>0</v>
      </c>
      <c r="D138" s="4">
        <v>2</v>
      </c>
      <c r="E138" s="4">
        <v>0</v>
      </c>
      <c r="F138" s="4">
        <f>ROUND(F137,O138)</f>
        <v>822023.56</v>
      </c>
      <c r="G138" s="4" t="s">
        <v>311</v>
      </c>
      <c r="H138" s="4" t="s">
        <v>312</v>
      </c>
      <c r="I138" s="4"/>
      <c r="J138" s="4"/>
      <c r="K138" s="4">
        <v>212</v>
      </c>
      <c r="L138" s="4">
        <v>30</v>
      </c>
      <c r="M138" s="4">
        <v>0</v>
      </c>
      <c r="N138" s="4" t="s">
        <v>5</v>
      </c>
      <c r="O138" s="4">
        <v>2</v>
      </c>
      <c r="P138" s="4"/>
      <c r="Q138" s="4"/>
      <c r="R138" s="4"/>
      <c r="S138" s="4"/>
      <c r="T138" s="4"/>
      <c r="U138" s="4"/>
      <c r="V138" s="4"/>
      <c r="W138" s="4"/>
    </row>
    <row r="140" spans="1:245" x14ac:dyDescent="0.2">
      <c r="A140" s="1">
        <v>4</v>
      </c>
      <c r="B140" s="1">
        <v>1</v>
      </c>
      <c r="C140" s="1"/>
      <c r="D140" s="1">
        <f>ROW(A147)</f>
        <v>147</v>
      </c>
      <c r="E140" s="1"/>
      <c r="F140" s="1" t="s">
        <v>20</v>
      </c>
      <c r="G140" s="1" t="s">
        <v>313</v>
      </c>
      <c r="H140" s="1" t="s">
        <v>5</v>
      </c>
      <c r="I140" s="1">
        <v>0</v>
      </c>
      <c r="J140" s="1"/>
      <c r="K140" s="1">
        <v>0</v>
      </c>
      <c r="L140" s="1"/>
      <c r="M140" s="1"/>
      <c r="N140" s="1"/>
      <c r="O140" s="1"/>
      <c r="P140" s="1"/>
      <c r="Q140" s="1"/>
      <c r="R140" s="1"/>
      <c r="S140" s="1"/>
      <c r="T140" s="1"/>
      <c r="U140" s="1" t="s">
        <v>5</v>
      </c>
      <c r="V140" s="1">
        <v>0</v>
      </c>
      <c r="W140" s="1"/>
      <c r="X140" s="1"/>
      <c r="Y140" s="1"/>
      <c r="Z140" s="1"/>
      <c r="AA140" s="1"/>
      <c r="AB140" s="1" t="s">
        <v>5</v>
      </c>
      <c r="AC140" s="1" t="s">
        <v>5</v>
      </c>
      <c r="AD140" s="1" t="s">
        <v>5</v>
      </c>
      <c r="AE140" s="1" t="s">
        <v>5</v>
      </c>
      <c r="AF140" s="1" t="s">
        <v>5</v>
      </c>
      <c r="AG140" s="1" t="s">
        <v>5</v>
      </c>
      <c r="AH140" s="1"/>
      <c r="AI140" s="1"/>
      <c r="AJ140" s="1"/>
      <c r="AK140" s="1"/>
      <c r="AL140" s="1"/>
      <c r="AM140" s="1"/>
      <c r="AN140" s="1"/>
      <c r="AO140" s="1"/>
      <c r="AP140" s="1" t="s">
        <v>5</v>
      </c>
      <c r="AQ140" s="1" t="s">
        <v>5</v>
      </c>
      <c r="AR140" s="1" t="s">
        <v>5</v>
      </c>
      <c r="AS140" s="1"/>
      <c r="AT140" s="1"/>
      <c r="AU140" s="1"/>
      <c r="AV140" s="1"/>
      <c r="AW140" s="1"/>
      <c r="AX140" s="1"/>
      <c r="AY140" s="1"/>
      <c r="AZ140" s="1" t="s">
        <v>5</v>
      </c>
      <c r="BA140" s="1"/>
      <c r="BB140" s="1" t="s">
        <v>5</v>
      </c>
      <c r="BC140" s="1" t="s">
        <v>5</v>
      </c>
      <c r="BD140" s="1" t="s">
        <v>5</v>
      </c>
      <c r="BE140" s="1" t="s">
        <v>5</v>
      </c>
      <c r="BF140" s="1" t="s">
        <v>5</v>
      </c>
      <c r="BG140" s="1" t="s">
        <v>5</v>
      </c>
      <c r="BH140" s="1" t="s">
        <v>5</v>
      </c>
      <c r="BI140" s="1" t="s">
        <v>5</v>
      </c>
      <c r="BJ140" s="1" t="s">
        <v>5</v>
      </c>
      <c r="BK140" s="1" t="s">
        <v>5</v>
      </c>
      <c r="BL140" s="1" t="s">
        <v>5</v>
      </c>
      <c r="BM140" s="1" t="s">
        <v>5</v>
      </c>
      <c r="BN140" s="1" t="s">
        <v>5</v>
      </c>
      <c r="BO140" s="1" t="s">
        <v>5</v>
      </c>
      <c r="BP140" s="1" t="s">
        <v>5</v>
      </c>
      <c r="BQ140" s="1"/>
      <c r="BR140" s="1"/>
      <c r="BS140" s="1"/>
      <c r="BT140" s="1"/>
      <c r="BU140" s="1"/>
      <c r="BV140" s="1"/>
      <c r="BW140" s="1"/>
      <c r="BX140" s="1">
        <v>0</v>
      </c>
      <c r="BY140" s="1"/>
      <c r="BZ140" s="1"/>
      <c r="CA140" s="1"/>
      <c r="CB140" s="1"/>
      <c r="CC140" s="1"/>
      <c r="CD140" s="1"/>
      <c r="CE140" s="1"/>
      <c r="CF140" s="1"/>
      <c r="CG140" s="1"/>
      <c r="CH140" s="1"/>
      <c r="CI140" s="1"/>
      <c r="CJ140" s="1">
        <v>0</v>
      </c>
    </row>
    <row r="142" spans="1:245" x14ac:dyDescent="0.2">
      <c r="A142" s="2">
        <v>52</v>
      </c>
      <c r="B142" s="2">
        <f t="shared" ref="B142:G142" si="231">B147</f>
        <v>1</v>
      </c>
      <c r="C142" s="2">
        <f t="shared" si="231"/>
        <v>4</v>
      </c>
      <c r="D142" s="2">
        <f t="shared" si="231"/>
        <v>140</v>
      </c>
      <c r="E142" s="2">
        <f t="shared" si="231"/>
        <v>0</v>
      </c>
      <c r="F142" s="2" t="str">
        <f t="shared" si="231"/>
        <v>Новый раздел</v>
      </c>
      <c r="G142" s="2" t="str">
        <f t="shared" si="231"/>
        <v>Прочие работы</v>
      </c>
      <c r="H142" s="2"/>
      <c r="I142" s="2"/>
      <c r="J142" s="2"/>
      <c r="K142" s="2"/>
      <c r="L142" s="2"/>
      <c r="M142" s="2"/>
      <c r="N142" s="2"/>
      <c r="O142" s="2">
        <f t="shared" ref="O142:AT142" si="232">O147</f>
        <v>70575.75</v>
      </c>
      <c r="P142" s="2">
        <f t="shared" si="232"/>
        <v>0</v>
      </c>
      <c r="Q142" s="2">
        <f t="shared" si="232"/>
        <v>70575.75</v>
      </c>
      <c r="R142" s="2">
        <f t="shared" si="232"/>
        <v>0</v>
      </c>
      <c r="S142" s="2">
        <f t="shared" si="232"/>
        <v>0</v>
      </c>
      <c r="T142" s="2">
        <f t="shared" si="232"/>
        <v>0</v>
      </c>
      <c r="U142" s="2">
        <f t="shared" si="232"/>
        <v>0</v>
      </c>
      <c r="V142" s="2">
        <f t="shared" si="232"/>
        <v>0</v>
      </c>
      <c r="W142" s="2">
        <f t="shared" si="232"/>
        <v>0</v>
      </c>
      <c r="X142" s="2">
        <f t="shared" si="232"/>
        <v>0</v>
      </c>
      <c r="Y142" s="2">
        <f t="shared" si="232"/>
        <v>0</v>
      </c>
      <c r="Z142" s="2">
        <f t="shared" si="232"/>
        <v>0</v>
      </c>
      <c r="AA142" s="2">
        <f t="shared" si="232"/>
        <v>0</v>
      </c>
      <c r="AB142" s="2">
        <f t="shared" si="232"/>
        <v>70575.75</v>
      </c>
      <c r="AC142" s="2">
        <f t="shared" si="232"/>
        <v>0</v>
      </c>
      <c r="AD142" s="2">
        <f t="shared" si="232"/>
        <v>70575.75</v>
      </c>
      <c r="AE142" s="2">
        <f t="shared" si="232"/>
        <v>0</v>
      </c>
      <c r="AF142" s="2">
        <f t="shared" si="232"/>
        <v>0</v>
      </c>
      <c r="AG142" s="2">
        <f t="shared" si="232"/>
        <v>0</v>
      </c>
      <c r="AH142" s="2">
        <f t="shared" si="232"/>
        <v>0</v>
      </c>
      <c r="AI142" s="2">
        <f t="shared" si="232"/>
        <v>0</v>
      </c>
      <c r="AJ142" s="2">
        <f t="shared" si="232"/>
        <v>0</v>
      </c>
      <c r="AK142" s="2">
        <f t="shared" si="232"/>
        <v>0</v>
      </c>
      <c r="AL142" s="2">
        <f t="shared" si="232"/>
        <v>0</v>
      </c>
      <c r="AM142" s="2">
        <f t="shared" si="232"/>
        <v>0</v>
      </c>
      <c r="AN142" s="2">
        <f t="shared" si="232"/>
        <v>0</v>
      </c>
      <c r="AO142" s="2">
        <f t="shared" si="232"/>
        <v>0</v>
      </c>
      <c r="AP142" s="2">
        <f t="shared" si="232"/>
        <v>0</v>
      </c>
      <c r="AQ142" s="2">
        <f t="shared" si="232"/>
        <v>0</v>
      </c>
      <c r="AR142" s="2">
        <f t="shared" si="232"/>
        <v>70575.75</v>
      </c>
      <c r="AS142" s="2">
        <f t="shared" si="232"/>
        <v>0</v>
      </c>
      <c r="AT142" s="2">
        <f t="shared" si="232"/>
        <v>0</v>
      </c>
      <c r="AU142" s="2">
        <f t="shared" ref="AU142:BZ142" si="233">AU147</f>
        <v>70575.75</v>
      </c>
      <c r="AV142" s="2">
        <f t="shared" si="233"/>
        <v>0</v>
      </c>
      <c r="AW142" s="2">
        <f t="shared" si="233"/>
        <v>0</v>
      </c>
      <c r="AX142" s="2">
        <f t="shared" si="233"/>
        <v>0</v>
      </c>
      <c r="AY142" s="2">
        <f t="shared" si="233"/>
        <v>0</v>
      </c>
      <c r="AZ142" s="2">
        <f t="shared" si="233"/>
        <v>0</v>
      </c>
      <c r="BA142" s="2">
        <f t="shared" si="233"/>
        <v>0</v>
      </c>
      <c r="BB142" s="2">
        <f t="shared" si="233"/>
        <v>0</v>
      </c>
      <c r="BC142" s="2">
        <f t="shared" si="233"/>
        <v>0</v>
      </c>
      <c r="BD142" s="2">
        <f t="shared" si="233"/>
        <v>0</v>
      </c>
      <c r="BE142" s="2">
        <f t="shared" si="233"/>
        <v>0</v>
      </c>
      <c r="BF142" s="2">
        <f t="shared" si="233"/>
        <v>0</v>
      </c>
      <c r="BG142" s="2">
        <f t="shared" si="233"/>
        <v>0</v>
      </c>
      <c r="BH142" s="2">
        <f t="shared" si="233"/>
        <v>0</v>
      </c>
      <c r="BI142" s="2">
        <f t="shared" si="233"/>
        <v>0</v>
      </c>
      <c r="BJ142" s="2">
        <f t="shared" si="233"/>
        <v>0</v>
      </c>
      <c r="BK142" s="2">
        <f t="shared" si="233"/>
        <v>0</v>
      </c>
      <c r="BL142" s="2">
        <f t="shared" si="233"/>
        <v>0</v>
      </c>
      <c r="BM142" s="2">
        <f t="shared" si="233"/>
        <v>0</v>
      </c>
      <c r="BN142" s="2">
        <f t="shared" si="233"/>
        <v>0</v>
      </c>
      <c r="BO142" s="2">
        <f t="shared" si="233"/>
        <v>0</v>
      </c>
      <c r="BP142" s="2">
        <f t="shared" si="233"/>
        <v>0</v>
      </c>
      <c r="BQ142" s="2">
        <f t="shared" si="233"/>
        <v>0</v>
      </c>
      <c r="BR142" s="2">
        <f t="shared" si="233"/>
        <v>0</v>
      </c>
      <c r="BS142" s="2">
        <f t="shared" si="233"/>
        <v>0</v>
      </c>
      <c r="BT142" s="2">
        <f t="shared" si="233"/>
        <v>0</v>
      </c>
      <c r="BU142" s="2">
        <f t="shared" si="233"/>
        <v>0</v>
      </c>
      <c r="BV142" s="2">
        <f t="shared" si="233"/>
        <v>0</v>
      </c>
      <c r="BW142" s="2">
        <f t="shared" si="233"/>
        <v>0</v>
      </c>
      <c r="BX142" s="2">
        <f t="shared" si="233"/>
        <v>0</v>
      </c>
      <c r="BY142" s="2">
        <f t="shared" si="233"/>
        <v>0</v>
      </c>
      <c r="BZ142" s="2">
        <f t="shared" si="233"/>
        <v>0</v>
      </c>
      <c r="CA142" s="2">
        <f t="shared" ref="CA142:DF142" si="234">CA147</f>
        <v>70575.75</v>
      </c>
      <c r="CB142" s="2">
        <f t="shared" si="234"/>
        <v>0</v>
      </c>
      <c r="CC142" s="2">
        <f t="shared" si="234"/>
        <v>0</v>
      </c>
      <c r="CD142" s="2">
        <f t="shared" si="234"/>
        <v>70575.75</v>
      </c>
      <c r="CE142" s="2">
        <f t="shared" si="234"/>
        <v>0</v>
      </c>
      <c r="CF142" s="2">
        <f t="shared" si="234"/>
        <v>0</v>
      </c>
      <c r="CG142" s="2">
        <f t="shared" si="234"/>
        <v>0</v>
      </c>
      <c r="CH142" s="2">
        <f t="shared" si="234"/>
        <v>0</v>
      </c>
      <c r="CI142" s="2">
        <f t="shared" si="234"/>
        <v>0</v>
      </c>
      <c r="CJ142" s="2">
        <f t="shared" si="234"/>
        <v>0</v>
      </c>
      <c r="CK142" s="2">
        <f t="shared" si="234"/>
        <v>0</v>
      </c>
      <c r="CL142" s="2">
        <f t="shared" si="234"/>
        <v>0</v>
      </c>
      <c r="CM142" s="2">
        <f t="shared" si="234"/>
        <v>0</v>
      </c>
      <c r="CN142" s="2">
        <f t="shared" si="234"/>
        <v>0</v>
      </c>
      <c r="CO142" s="2">
        <f t="shared" si="234"/>
        <v>0</v>
      </c>
      <c r="CP142" s="2">
        <f t="shared" si="234"/>
        <v>0</v>
      </c>
      <c r="CQ142" s="2">
        <f t="shared" si="234"/>
        <v>0</v>
      </c>
      <c r="CR142" s="2">
        <f t="shared" si="234"/>
        <v>0</v>
      </c>
      <c r="CS142" s="2">
        <f t="shared" si="234"/>
        <v>0</v>
      </c>
      <c r="CT142" s="2">
        <f t="shared" si="234"/>
        <v>0</v>
      </c>
      <c r="CU142" s="2">
        <f t="shared" si="234"/>
        <v>0</v>
      </c>
      <c r="CV142" s="2">
        <f t="shared" si="234"/>
        <v>0</v>
      </c>
      <c r="CW142" s="2">
        <f t="shared" si="234"/>
        <v>0</v>
      </c>
      <c r="CX142" s="2">
        <f t="shared" si="234"/>
        <v>0</v>
      </c>
      <c r="CY142" s="2">
        <f t="shared" si="234"/>
        <v>0</v>
      </c>
      <c r="CZ142" s="2">
        <f t="shared" si="234"/>
        <v>0</v>
      </c>
      <c r="DA142" s="2">
        <f t="shared" si="234"/>
        <v>0</v>
      </c>
      <c r="DB142" s="2">
        <f t="shared" si="234"/>
        <v>0</v>
      </c>
      <c r="DC142" s="2">
        <f t="shared" si="234"/>
        <v>0</v>
      </c>
      <c r="DD142" s="2">
        <f t="shared" si="234"/>
        <v>0</v>
      </c>
      <c r="DE142" s="2">
        <f t="shared" si="234"/>
        <v>0</v>
      </c>
      <c r="DF142" s="2">
        <f t="shared" si="234"/>
        <v>0</v>
      </c>
      <c r="DG142" s="3">
        <f t="shared" ref="DG142:EL142" si="235">DG147</f>
        <v>0</v>
      </c>
      <c r="DH142" s="3">
        <f t="shared" si="235"/>
        <v>0</v>
      </c>
      <c r="DI142" s="3">
        <f t="shared" si="235"/>
        <v>0</v>
      </c>
      <c r="DJ142" s="3">
        <f t="shared" si="235"/>
        <v>0</v>
      </c>
      <c r="DK142" s="3">
        <f t="shared" si="235"/>
        <v>0</v>
      </c>
      <c r="DL142" s="3">
        <f t="shared" si="235"/>
        <v>0</v>
      </c>
      <c r="DM142" s="3">
        <f t="shared" si="235"/>
        <v>0</v>
      </c>
      <c r="DN142" s="3">
        <f t="shared" si="235"/>
        <v>0</v>
      </c>
      <c r="DO142" s="3">
        <f t="shared" si="235"/>
        <v>0</v>
      </c>
      <c r="DP142" s="3">
        <f t="shared" si="235"/>
        <v>0</v>
      </c>
      <c r="DQ142" s="3">
        <f t="shared" si="235"/>
        <v>0</v>
      </c>
      <c r="DR142" s="3">
        <f t="shared" si="235"/>
        <v>0</v>
      </c>
      <c r="DS142" s="3">
        <f t="shared" si="235"/>
        <v>0</v>
      </c>
      <c r="DT142" s="3">
        <f t="shared" si="235"/>
        <v>0</v>
      </c>
      <c r="DU142" s="3">
        <f t="shared" si="235"/>
        <v>0</v>
      </c>
      <c r="DV142" s="3">
        <f t="shared" si="235"/>
        <v>0</v>
      </c>
      <c r="DW142" s="3">
        <f t="shared" si="235"/>
        <v>0</v>
      </c>
      <c r="DX142" s="3">
        <f t="shared" si="235"/>
        <v>0</v>
      </c>
      <c r="DY142" s="3">
        <f t="shared" si="235"/>
        <v>0</v>
      </c>
      <c r="DZ142" s="3">
        <f t="shared" si="235"/>
        <v>0</v>
      </c>
      <c r="EA142" s="3">
        <f t="shared" si="235"/>
        <v>0</v>
      </c>
      <c r="EB142" s="3">
        <f t="shared" si="235"/>
        <v>0</v>
      </c>
      <c r="EC142" s="3">
        <f t="shared" si="235"/>
        <v>0</v>
      </c>
      <c r="ED142" s="3">
        <f t="shared" si="235"/>
        <v>0</v>
      </c>
      <c r="EE142" s="3">
        <f t="shared" si="235"/>
        <v>0</v>
      </c>
      <c r="EF142" s="3">
        <f t="shared" si="235"/>
        <v>0</v>
      </c>
      <c r="EG142" s="3">
        <f t="shared" si="235"/>
        <v>0</v>
      </c>
      <c r="EH142" s="3">
        <f t="shared" si="235"/>
        <v>0</v>
      </c>
      <c r="EI142" s="3">
        <f t="shared" si="235"/>
        <v>0</v>
      </c>
      <c r="EJ142" s="3">
        <f t="shared" si="235"/>
        <v>0</v>
      </c>
      <c r="EK142" s="3">
        <f t="shared" si="235"/>
        <v>0</v>
      </c>
      <c r="EL142" s="3">
        <f t="shared" si="235"/>
        <v>0</v>
      </c>
      <c r="EM142" s="3">
        <f t="shared" ref="EM142:FR142" si="236">EM147</f>
        <v>0</v>
      </c>
      <c r="EN142" s="3">
        <f t="shared" si="236"/>
        <v>0</v>
      </c>
      <c r="EO142" s="3">
        <f t="shared" si="236"/>
        <v>0</v>
      </c>
      <c r="EP142" s="3">
        <f t="shared" si="236"/>
        <v>0</v>
      </c>
      <c r="EQ142" s="3">
        <f t="shared" si="236"/>
        <v>0</v>
      </c>
      <c r="ER142" s="3">
        <f t="shared" si="236"/>
        <v>0</v>
      </c>
      <c r="ES142" s="3">
        <f t="shared" si="236"/>
        <v>0</v>
      </c>
      <c r="ET142" s="3">
        <f t="shared" si="236"/>
        <v>0</v>
      </c>
      <c r="EU142" s="3">
        <f t="shared" si="236"/>
        <v>0</v>
      </c>
      <c r="EV142" s="3">
        <f t="shared" si="236"/>
        <v>0</v>
      </c>
      <c r="EW142" s="3">
        <f t="shared" si="236"/>
        <v>0</v>
      </c>
      <c r="EX142" s="3">
        <f t="shared" si="236"/>
        <v>0</v>
      </c>
      <c r="EY142" s="3">
        <f t="shared" si="236"/>
        <v>0</v>
      </c>
      <c r="EZ142" s="3">
        <f t="shared" si="236"/>
        <v>0</v>
      </c>
      <c r="FA142" s="3">
        <f t="shared" si="236"/>
        <v>0</v>
      </c>
      <c r="FB142" s="3">
        <f t="shared" si="236"/>
        <v>0</v>
      </c>
      <c r="FC142" s="3">
        <f t="shared" si="236"/>
        <v>0</v>
      </c>
      <c r="FD142" s="3">
        <f t="shared" si="236"/>
        <v>0</v>
      </c>
      <c r="FE142" s="3">
        <f t="shared" si="236"/>
        <v>0</v>
      </c>
      <c r="FF142" s="3">
        <f t="shared" si="236"/>
        <v>0</v>
      </c>
      <c r="FG142" s="3">
        <f t="shared" si="236"/>
        <v>0</v>
      </c>
      <c r="FH142" s="3">
        <f t="shared" si="236"/>
        <v>0</v>
      </c>
      <c r="FI142" s="3">
        <f t="shared" si="236"/>
        <v>0</v>
      </c>
      <c r="FJ142" s="3">
        <f t="shared" si="236"/>
        <v>0</v>
      </c>
      <c r="FK142" s="3">
        <f t="shared" si="236"/>
        <v>0</v>
      </c>
      <c r="FL142" s="3">
        <f t="shared" si="236"/>
        <v>0</v>
      </c>
      <c r="FM142" s="3">
        <f t="shared" si="236"/>
        <v>0</v>
      </c>
      <c r="FN142" s="3">
        <f t="shared" si="236"/>
        <v>0</v>
      </c>
      <c r="FO142" s="3">
        <f t="shared" si="236"/>
        <v>0</v>
      </c>
      <c r="FP142" s="3">
        <f t="shared" si="236"/>
        <v>0</v>
      </c>
      <c r="FQ142" s="3">
        <f t="shared" si="236"/>
        <v>0</v>
      </c>
      <c r="FR142" s="3">
        <f t="shared" si="236"/>
        <v>0</v>
      </c>
      <c r="FS142" s="3">
        <f t="shared" ref="FS142:GX142" si="237">FS147</f>
        <v>0</v>
      </c>
      <c r="FT142" s="3">
        <f t="shared" si="237"/>
        <v>0</v>
      </c>
      <c r="FU142" s="3">
        <f t="shared" si="237"/>
        <v>0</v>
      </c>
      <c r="FV142" s="3">
        <f t="shared" si="237"/>
        <v>0</v>
      </c>
      <c r="FW142" s="3">
        <f t="shared" si="237"/>
        <v>0</v>
      </c>
      <c r="FX142" s="3">
        <f t="shared" si="237"/>
        <v>0</v>
      </c>
      <c r="FY142" s="3">
        <f t="shared" si="237"/>
        <v>0</v>
      </c>
      <c r="FZ142" s="3">
        <f t="shared" si="237"/>
        <v>0</v>
      </c>
      <c r="GA142" s="3">
        <f t="shared" si="237"/>
        <v>0</v>
      </c>
      <c r="GB142" s="3">
        <f t="shared" si="237"/>
        <v>0</v>
      </c>
      <c r="GC142" s="3">
        <f t="shared" si="237"/>
        <v>0</v>
      </c>
      <c r="GD142" s="3">
        <f t="shared" si="237"/>
        <v>0</v>
      </c>
      <c r="GE142" s="3">
        <f t="shared" si="237"/>
        <v>0</v>
      </c>
      <c r="GF142" s="3">
        <f t="shared" si="237"/>
        <v>0</v>
      </c>
      <c r="GG142" s="3">
        <f t="shared" si="237"/>
        <v>0</v>
      </c>
      <c r="GH142" s="3">
        <f t="shared" si="237"/>
        <v>0</v>
      </c>
      <c r="GI142" s="3">
        <f t="shared" si="237"/>
        <v>0</v>
      </c>
      <c r="GJ142" s="3">
        <f t="shared" si="237"/>
        <v>0</v>
      </c>
      <c r="GK142" s="3">
        <f t="shared" si="237"/>
        <v>0</v>
      </c>
      <c r="GL142" s="3">
        <f t="shared" si="237"/>
        <v>0</v>
      </c>
      <c r="GM142" s="3">
        <f t="shared" si="237"/>
        <v>0</v>
      </c>
      <c r="GN142" s="3">
        <f t="shared" si="237"/>
        <v>0</v>
      </c>
      <c r="GO142" s="3">
        <f t="shared" si="237"/>
        <v>0</v>
      </c>
      <c r="GP142" s="3">
        <f t="shared" si="237"/>
        <v>0</v>
      </c>
      <c r="GQ142" s="3">
        <f t="shared" si="237"/>
        <v>0</v>
      </c>
      <c r="GR142" s="3">
        <f t="shared" si="237"/>
        <v>0</v>
      </c>
      <c r="GS142" s="3">
        <f t="shared" si="237"/>
        <v>0</v>
      </c>
      <c r="GT142" s="3">
        <f t="shared" si="237"/>
        <v>0</v>
      </c>
      <c r="GU142" s="3">
        <f t="shared" si="237"/>
        <v>0</v>
      </c>
      <c r="GV142" s="3">
        <f t="shared" si="237"/>
        <v>0</v>
      </c>
      <c r="GW142" s="3">
        <f t="shared" si="237"/>
        <v>0</v>
      </c>
      <c r="GX142" s="3">
        <f t="shared" si="237"/>
        <v>0</v>
      </c>
    </row>
    <row r="144" spans="1:245" x14ac:dyDescent="0.2">
      <c r="A144">
        <v>17</v>
      </c>
      <c r="B144">
        <v>1</v>
      </c>
      <c r="C144">
        <f>ROW(SmtRes!A211)</f>
        <v>211</v>
      </c>
      <c r="D144">
        <f>ROW(EtalonRes!A210)</f>
        <v>210</v>
      </c>
      <c r="E144" t="s">
        <v>196</v>
      </c>
      <c r="F144" t="s">
        <v>314</v>
      </c>
      <c r="G144" t="s">
        <v>315</v>
      </c>
      <c r="H144" t="s">
        <v>38</v>
      </c>
      <c r="I144">
        <f>ROUND((I88+I78+I56+I33),9)</f>
        <v>144.30054000000001</v>
      </c>
      <c r="J144">
        <v>0</v>
      </c>
      <c r="O144">
        <f>ROUND(CP144,2)</f>
        <v>39386.639999999999</v>
      </c>
      <c r="P144">
        <f>ROUND((ROUND((AC144*AW144*I144),2)*BC144),2)</f>
        <v>0</v>
      </c>
      <c r="Q144">
        <f>(ROUND((ROUND(((ET144)*AV144*I144),2)*BB144),2)+ROUND((ROUND(((AE144-(EU144))*AV144*I144),2)*BS144),2))</f>
        <v>39386.639999999999</v>
      </c>
      <c r="R144">
        <f>ROUND((ROUND((AE144*AV144*I144),2)*BS144),2)</f>
        <v>0</v>
      </c>
      <c r="S144">
        <f>ROUND((ROUND((AF144*AV144*I144),2)*BA144),2)</f>
        <v>0</v>
      </c>
      <c r="T144">
        <f>ROUND(CU144*I144,2)</f>
        <v>0</v>
      </c>
      <c r="U144">
        <f>CV144*I144</f>
        <v>0</v>
      </c>
      <c r="V144">
        <f>CW144*I144</f>
        <v>0</v>
      </c>
      <c r="W144">
        <f>ROUND(CX144*I144,2)</f>
        <v>0</v>
      </c>
      <c r="X144">
        <f>ROUND(CY144,2)</f>
        <v>0</v>
      </c>
      <c r="Y144">
        <f>ROUND(CZ144,2)</f>
        <v>0</v>
      </c>
      <c r="AA144">
        <v>44169784</v>
      </c>
      <c r="AB144">
        <f>ROUND((AC144+AD144+AF144),6)</f>
        <v>34.29</v>
      </c>
      <c r="AC144">
        <f>ROUND((ES144),6)</f>
        <v>0</v>
      </c>
      <c r="AD144">
        <f>ROUND((((ET144)-(EU144))+AE144),6)</f>
        <v>34.29</v>
      </c>
      <c r="AE144">
        <f>ROUND((EU144),6)</f>
        <v>0</v>
      </c>
      <c r="AF144">
        <f>ROUND((EV144),6)</f>
        <v>0</v>
      </c>
      <c r="AG144">
        <f>ROUND((AP144),6)</f>
        <v>0</v>
      </c>
      <c r="AH144">
        <f>(EW144)</f>
        <v>0</v>
      </c>
      <c r="AI144">
        <f>(EX144)</f>
        <v>0</v>
      </c>
      <c r="AJ144">
        <f>(AS144)</f>
        <v>0</v>
      </c>
      <c r="AK144">
        <v>34.29</v>
      </c>
      <c r="AL144">
        <v>0</v>
      </c>
      <c r="AM144">
        <v>34.29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1</v>
      </c>
      <c r="AW144">
        <v>1</v>
      </c>
      <c r="AZ144">
        <v>1</v>
      </c>
      <c r="BA144">
        <v>21.43</v>
      </c>
      <c r="BB144">
        <v>7.96</v>
      </c>
      <c r="BC144">
        <v>1</v>
      </c>
      <c r="BD144" t="s">
        <v>5</v>
      </c>
      <c r="BE144" t="s">
        <v>5</v>
      </c>
      <c r="BF144" t="s">
        <v>5</v>
      </c>
      <c r="BG144" t="s">
        <v>5</v>
      </c>
      <c r="BH144">
        <v>0</v>
      </c>
      <c r="BI144">
        <v>4</v>
      </c>
      <c r="BJ144" t="s">
        <v>316</v>
      </c>
      <c r="BM144">
        <v>1110</v>
      </c>
      <c r="BN144">
        <v>0</v>
      </c>
      <c r="BO144" t="s">
        <v>314</v>
      </c>
      <c r="BP144">
        <v>1</v>
      </c>
      <c r="BQ144">
        <v>150</v>
      </c>
      <c r="BR144">
        <v>0</v>
      </c>
      <c r="BS144">
        <v>21.43</v>
      </c>
      <c r="BT144">
        <v>1</v>
      </c>
      <c r="BU144">
        <v>1</v>
      </c>
      <c r="BV144">
        <v>1</v>
      </c>
      <c r="BW144">
        <v>1</v>
      </c>
      <c r="BX144">
        <v>1</v>
      </c>
      <c r="BY144" t="s">
        <v>5</v>
      </c>
      <c r="BZ144">
        <v>0</v>
      </c>
      <c r="CA144">
        <v>0</v>
      </c>
      <c r="CE144">
        <v>30</v>
      </c>
      <c r="CF144">
        <v>0</v>
      </c>
      <c r="CG144">
        <v>0</v>
      </c>
      <c r="CM144">
        <v>0</v>
      </c>
      <c r="CN144" t="s">
        <v>5</v>
      </c>
      <c r="CO144">
        <v>0</v>
      </c>
      <c r="CP144">
        <f>(P144+Q144+S144)</f>
        <v>39386.639999999999</v>
      </c>
      <c r="CQ144">
        <f>ROUND((ROUND((AC144*AW144*1),2)*BC144),2)</f>
        <v>0</v>
      </c>
      <c r="CR144">
        <f>(ROUND((ROUND(((ET144)*AV144*1),2)*BB144),2)+ROUND((ROUND(((AE144-(EU144))*AV144*1),2)*BS144),2))</f>
        <v>272.95</v>
      </c>
      <c r="CS144">
        <f>ROUND((ROUND((AE144*AV144*1),2)*BS144),2)</f>
        <v>0</v>
      </c>
      <c r="CT144">
        <f>ROUND((ROUND((AF144*AV144*1),2)*BA144),2)</f>
        <v>0</v>
      </c>
      <c r="CU144">
        <f>AG144</f>
        <v>0</v>
      </c>
      <c r="CV144">
        <f>(AH144*AV144)</f>
        <v>0</v>
      </c>
      <c r="CW144">
        <f>AI144</f>
        <v>0</v>
      </c>
      <c r="CX144">
        <f>AJ144</f>
        <v>0</v>
      </c>
      <c r="CY144">
        <f>S144*(BZ144/100)</f>
        <v>0</v>
      </c>
      <c r="CZ144">
        <f>S144*(CA144/100)</f>
        <v>0</v>
      </c>
      <c r="DC144" t="s">
        <v>5</v>
      </c>
      <c r="DD144" t="s">
        <v>5</v>
      </c>
      <c r="DE144" t="s">
        <v>5</v>
      </c>
      <c r="DF144" t="s">
        <v>5</v>
      </c>
      <c r="DG144" t="s">
        <v>5</v>
      </c>
      <c r="DH144" t="s">
        <v>5</v>
      </c>
      <c r="DI144" t="s">
        <v>5</v>
      </c>
      <c r="DJ144" t="s">
        <v>5</v>
      </c>
      <c r="DK144" t="s">
        <v>5</v>
      </c>
      <c r="DL144" t="s">
        <v>5</v>
      </c>
      <c r="DM144" t="s">
        <v>5</v>
      </c>
      <c r="DN144">
        <v>0</v>
      </c>
      <c r="DO144">
        <v>0</v>
      </c>
      <c r="DP144">
        <v>1</v>
      </c>
      <c r="DQ144">
        <v>1</v>
      </c>
      <c r="DU144">
        <v>1013</v>
      </c>
      <c r="DV144" t="s">
        <v>38</v>
      </c>
      <c r="DW144" t="s">
        <v>38</v>
      </c>
      <c r="DX144">
        <v>1</v>
      </c>
      <c r="EE144">
        <v>44064929</v>
      </c>
      <c r="EF144">
        <v>150</v>
      </c>
      <c r="EG144" t="s">
        <v>317</v>
      </c>
      <c r="EH144">
        <v>0</v>
      </c>
      <c r="EI144" t="s">
        <v>5</v>
      </c>
      <c r="EJ144">
        <v>4</v>
      </c>
      <c r="EK144">
        <v>1110</v>
      </c>
      <c r="EL144" t="s">
        <v>318</v>
      </c>
      <c r="EM144" t="s">
        <v>319</v>
      </c>
      <c r="EO144" t="s">
        <v>5</v>
      </c>
      <c r="EQ144">
        <v>131072</v>
      </c>
      <c r="ER144">
        <v>34.29</v>
      </c>
      <c r="ES144">
        <v>0</v>
      </c>
      <c r="ET144">
        <v>34.29</v>
      </c>
      <c r="EU144">
        <v>0</v>
      </c>
      <c r="EV144">
        <v>0</v>
      </c>
      <c r="EW144">
        <v>0</v>
      </c>
      <c r="EX144">
        <v>0</v>
      </c>
      <c r="EY144">
        <v>0</v>
      </c>
      <c r="FQ144">
        <v>0</v>
      </c>
      <c r="FR144">
        <f>ROUND(IF(AND(BH144=3,BI144=3),P144,0),2)</f>
        <v>0</v>
      </c>
      <c r="FS144">
        <v>0</v>
      </c>
      <c r="FX144">
        <v>0</v>
      </c>
      <c r="FY144">
        <v>0</v>
      </c>
      <c r="GA144" t="s">
        <v>5</v>
      </c>
      <c r="GD144">
        <v>1</v>
      </c>
      <c r="GF144">
        <v>534327622</v>
      </c>
      <c r="GG144">
        <v>2</v>
      </c>
      <c r="GH144">
        <v>1</v>
      </c>
      <c r="GI144">
        <v>2</v>
      </c>
      <c r="GJ144">
        <v>0</v>
      </c>
      <c r="GK144">
        <v>0</v>
      </c>
      <c r="GL144">
        <f>ROUND(IF(AND(BH144=3,BI144=3,FS144&lt;&gt;0),P144,0),2)</f>
        <v>0</v>
      </c>
      <c r="GM144">
        <f>ROUND(O144+X144+Y144,2)+GX144</f>
        <v>39386.639999999999</v>
      </c>
      <c r="GN144">
        <f>IF(OR(BI144=0,BI144=1),ROUND(O144+X144+Y144,2),0)</f>
        <v>0</v>
      </c>
      <c r="GO144">
        <f>IF(BI144=2,ROUND(O144+X144+Y144,2),0)</f>
        <v>0</v>
      </c>
      <c r="GP144">
        <f>IF(BI144=4,ROUND(O144+X144+Y144,2)+GX144,0)</f>
        <v>39386.639999999999</v>
      </c>
      <c r="GR144">
        <v>0</v>
      </c>
      <c r="GS144">
        <v>3</v>
      </c>
      <c r="GT144">
        <v>0</v>
      </c>
      <c r="GU144" t="s">
        <v>5</v>
      </c>
      <c r="GV144">
        <f>ROUND((GT144),6)</f>
        <v>0</v>
      </c>
      <c r="GW144">
        <v>1</v>
      </c>
      <c r="GX144">
        <f>ROUND(HC144*I144,2)</f>
        <v>0</v>
      </c>
      <c r="HA144">
        <v>0</v>
      </c>
      <c r="HB144">
        <v>0</v>
      </c>
      <c r="HC144">
        <f>GV144*GW144</f>
        <v>0</v>
      </c>
      <c r="IK144">
        <v>0</v>
      </c>
    </row>
    <row r="145" spans="1:245" x14ac:dyDescent="0.2">
      <c r="A145">
        <v>17</v>
      </c>
      <c r="B145">
        <v>1</v>
      </c>
      <c r="D145">
        <f>ROW(EtalonRes!A211)</f>
        <v>211</v>
      </c>
      <c r="E145" t="s">
        <v>204</v>
      </c>
      <c r="F145" t="s">
        <v>320</v>
      </c>
      <c r="G145" t="s">
        <v>321</v>
      </c>
      <c r="H145" t="s">
        <v>38</v>
      </c>
      <c r="I145">
        <f>ROUND(I144,9)</f>
        <v>144.30054000000001</v>
      </c>
      <c r="J145">
        <v>0</v>
      </c>
      <c r="O145">
        <f>ROUND(CP145,2)</f>
        <v>31189.11</v>
      </c>
      <c r="P145">
        <f>ROUND((ROUND((AC145*AW145*I145),2)*BC145),2)</f>
        <v>0</v>
      </c>
      <c r="Q145">
        <f>(ROUND((ROUND(((ET145)*AV145*I145),2)*BB145),2)+ROUND((ROUND(((AE145-(EU145))*AV145*I145),2)*BS145),2))</f>
        <v>31189.11</v>
      </c>
      <c r="R145">
        <f>ROUND((ROUND((AE145*AV145*I145),2)*BS145),2)</f>
        <v>0</v>
      </c>
      <c r="S145">
        <f>ROUND((ROUND((AF145*AV145*I145),2)*BA145),2)</f>
        <v>0</v>
      </c>
      <c r="T145">
        <f>ROUND(CU145*I145,2)</f>
        <v>0</v>
      </c>
      <c r="U145">
        <f>CV145*I145</f>
        <v>0</v>
      </c>
      <c r="V145">
        <f>CW145*I145</f>
        <v>0</v>
      </c>
      <c r="W145">
        <f>ROUND(CX145*I145,2)</f>
        <v>0</v>
      </c>
      <c r="X145">
        <f>ROUND(CY145,2)</f>
        <v>0</v>
      </c>
      <c r="Y145">
        <f>ROUND(CZ145,2)</f>
        <v>0</v>
      </c>
      <c r="AA145">
        <v>44169784</v>
      </c>
      <c r="AB145">
        <f>ROUND((AC145+AD145+AF145),6)</f>
        <v>101</v>
      </c>
      <c r="AC145">
        <f>ROUND((ES145),6)</f>
        <v>0</v>
      </c>
      <c r="AD145">
        <f>ROUND((((ET145)-(EU145))+AE145),6)</f>
        <v>101</v>
      </c>
      <c r="AE145">
        <f>ROUND((EU145),6)</f>
        <v>0</v>
      </c>
      <c r="AF145">
        <f>ROUND((EV145),6)</f>
        <v>0</v>
      </c>
      <c r="AG145">
        <f>ROUND((AP145),6)</f>
        <v>0</v>
      </c>
      <c r="AH145">
        <f>(EW145)</f>
        <v>0</v>
      </c>
      <c r="AI145">
        <f>(EX145)</f>
        <v>0</v>
      </c>
      <c r="AJ145">
        <f>(AS145)</f>
        <v>0</v>
      </c>
      <c r="AK145">
        <v>101</v>
      </c>
      <c r="AL145">
        <v>0</v>
      </c>
      <c r="AM145">
        <v>101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1</v>
      </c>
      <c r="AW145">
        <v>1</v>
      </c>
      <c r="AZ145">
        <v>1</v>
      </c>
      <c r="BA145">
        <v>21.43</v>
      </c>
      <c r="BB145">
        <v>2.14</v>
      </c>
      <c r="BC145">
        <v>1</v>
      </c>
      <c r="BD145" t="s">
        <v>5</v>
      </c>
      <c r="BE145" t="s">
        <v>5</v>
      </c>
      <c r="BF145" t="s">
        <v>5</v>
      </c>
      <c r="BG145" t="s">
        <v>5</v>
      </c>
      <c r="BH145">
        <v>0</v>
      </c>
      <c r="BI145">
        <v>4</v>
      </c>
      <c r="BJ145" t="s">
        <v>322</v>
      </c>
      <c r="BM145">
        <v>1110</v>
      </c>
      <c r="BN145">
        <v>0</v>
      </c>
      <c r="BO145" t="s">
        <v>320</v>
      </c>
      <c r="BP145">
        <v>1</v>
      </c>
      <c r="BQ145">
        <v>150</v>
      </c>
      <c r="BR145">
        <v>0</v>
      </c>
      <c r="BS145">
        <v>21.43</v>
      </c>
      <c r="BT145">
        <v>1</v>
      </c>
      <c r="BU145">
        <v>1</v>
      </c>
      <c r="BV145">
        <v>1</v>
      </c>
      <c r="BW145">
        <v>1</v>
      </c>
      <c r="BX145">
        <v>1</v>
      </c>
      <c r="BY145" t="s">
        <v>5</v>
      </c>
      <c r="BZ145">
        <v>0</v>
      </c>
      <c r="CA145">
        <v>0</v>
      </c>
      <c r="CE145">
        <v>30</v>
      </c>
      <c r="CF145">
        <v>0</v>
      </c>
      <c r="CG145">
        <v>0</v>
      </c>
      <c r="CM145">
        <v>0</v>
      </c>
      <c r="CN145" t="s">
        <v>5</v>
      </c>
      <c r="CO145">
        <v>0</v>
      </c>
      <c r="CP145">
        <f>(P145+Q145+S145)</f>
        <v>31189.11</v>
      </c>
      <c r="CQ145">
        <f>ROUND((ROUND((AC145*AW145*1),2)*BC145),2)</f>
        <v>0</v>
      </c>
      <c r="CR145">
        <f>(ROUND((ROUND(((ET145)*AV145*1),2)*BB145),2)+ROUND((ROUND(((AE145-(EU145))*AV145*1),2)*BS145),2))</f>
        <v>216.14</v>
      </c>
      <c r="CS145">
        <f>ROUND((ROUND((AE145*AV145*1),2)*BS145),2)</f>
        <v>0</v>
      </c>
      <c r="CT145">
        <f>ROUND((ROUND((AF145*AV145*1),2)*BA145),2)</f>
        <v>0</v>
      </c>
      <c r="CU145">
        <f>AG145</f>
        <v>0</v>
      </c>
      <c r="CV145">
        <f>(AH145*AV145)</f>
        <v>0</v>
      </c>
      <c r="CW145">
        <f>AI145</f>
        <v>0</v>
      </c>
      <c r="CX145">
        <f>AJ145</f>
        <v>0</v>
      </c>
      <c r="CY145">
        <f>S145*(BZ145/100)</f>
        <v>0</v>
      </c>
      <c r="CZ145">
        <f>S145*(CA145/100)</f>
        <v>0</v>
      </c>
      <c r="DC145" t="s">
        <v>5</v>
      </c>
      <c r="DD145" t="s">
        <v>5</v>
      </c>
      <c r="DE145" t="s">
        <v>5</v>
      </c>
      <c r="DF145" t="s">
        <v>5</v>
      </c>
      <c r="DG145" t="s">
        <v>5</v>
      </c>
      <c r="DH145" t="s">
        <v>5</v>
      </c>
      <c r="DI145" t="s">
        <v>5</v>
      </c>
      <c r="DJ145" t="s">
        <v>5</v>
      </c>
      <c r="DK145" t="s">
        <v>5</v>
      </c>
      <c r="DL145" t="s">
        <v>5</v>
      </c>
      <c r="DM145" t="s">
        <v>5</v>
      </c>
      <c r="DN145">
        <v>0</v>
      </c>
      <c r="DO145">
        <v>0</v>
      </c>
      <c r="DP145">
        <v>1</v>
      </c>
      <c r="DQ145">
        <v>1</v>
      </c>
      <c r="DU145">
        <v>1013</v>
      </c>
      <c r="DV145" t="s">
        <v>38</v>
      </c>
      <c r="DW145" t="s">
        <v>38</v>
      </c>
      <c r="DX145">
        <v>1</v>
      </c>
      <c r="EE145">
        <v>44064929</v>
      </c>
      <c r="EF145">
        <v>150</v>
      </c>
      <c r="EG145" t="s">
        <v>317</v>
      </c>
      <c r="EH145">
        <v>0</v>
      </c>
      <c r="EI145" t="s">
        <v>5</v>
      </c>
      <c r="EJ145">
        <v>4</v>
      </c>
      <c r="EK145">
        <v>1110</v>
      </c>
      <c r="EL145" t="s">
        <v>318</v>
      </c>
      <c r="EM145" t="s">
        <v>319</v>
      </c>
      <c r="EO145" t="s">
        <v>5</v>
      </c>
      <c r="EQ145">
        <v>131072</v>
      </c>
      <c r="ER145">
        <v>101</v>
      </c>
      <c r="ES145">
        <v>0</v>
      </c>
      <c r="ET145">
        <v>101</v>
      </c>
      <c r="EU145">
        <v>0</v>
      </c>
      <c r="EV145">
        <v>0</v>
      </c>
      <c r="EW145">
        <v>0</v>
      </c>
      <c r="EX145">
        <v>0</v>
      </c>
      <c r="EY145">
        <v>0</v>
      </c>
      <c r="FQ145">
        <v>0</v>
      </c>
      <c r="FR145">
        <f>ROUND(IF(AND(BH145=3,BI145=3),P145,0),2)</f>
        <v>0</v>
      </c>
      <c r="FS145">
        <v>0</v>
      </c>
      <c r="FX145">
        <v>0</v>
      </c>
      <c r="FY145">
        <v>0</v>
      </c>
      <c r="GA145" t="s">
        <v>5</v>
      </c>
      <c r="GD145">
        <v>1</v>
      </c>
      <c r="GF145">
        <v>1935715050</v>
      </c>
      <c r="GG145">
        <v>2</v>
      </c>
      <c r="GH145">
        <v>1</v>
      </c>
      <c r="GI145">
        <v>2</v>
      </c>
      <c r="GJ145">
        <v>0</v>
      </c>
      <c r="GK145">
        <v>0</v>
      </c>
      <c r="GL145">
        <f>ROUND(IF(AND(BH145=3,BI145=3,FS145&lt;&gt;0),P145,0),2)</f>
        <v>0</v>
      </c>
      <c r="GM145">
        <f>ROUND(O145+X145+Y145,2)+GX145</f>
        <v>31189.11</v>
      </c>
      <c r="GN145">
        <f>IF(OR(BI145=0,BI145=1),ROUND(O145+X145+Y145,2),0)</f>
        <v>0</v>
      </c>
      <c r="GO145">
        <f>IF(BI145=2,ROUND(O145+X145+Y145,2),0)</f>
        <v>0</v>
      </c>
      <c r="GP145">
        <f>IF(BI145=4,ROUND(O145+X145+Y145,2)+GX145,0)</f>
        <v>31189.11</v>
      </c>
      <c r="GR145">
        <v>0</v>
      </c>
      <c r="GS145">
        <v>0</v>
      </c>
      <c r="GT145">
        <v>0</v>
      </c>
      <c r="GU145" t="s">
        <v>5</v>
      </c>
      <c r="GV145">
        <f>ROUND((GT145),6)</f>
        <v>0</v>
      </c>
      <c r="GW145">
        <v>1</v>
      </c>
      <c r="GX145">
        <f>ROUND(HC145*I145,2)</f>
        <v>0</v>
      </c>
      <c r="HA145">
        <v>0</v>
      </c>
      <c r="HB145">
        <v>0</v>
      </c>
      <c r="HC145">
        <f>GV145*GW145</f>
        <v>0</v>
      </c>
      <c r="IK145">
        <v>0</v>
      </c>
    </row>
    <row r="147" spans="1:245" x14ac:dyDescent="0.2">
      <c r="A147" s="2">
        <v>51</v>
      </c>
      <c r="B147" s="2">
        <f>B140</f>
        <v>1</v>
      </c>
      <c r="C147" s="2">
        <f>A140</f>
        <v>4</v>
      </c>
      <c r="D147" s="2">
        <f>ROW(A140)</f>
        <v>140</v>
      </c>
      <c r="E147" s="2"/>
      <c r="F147" s="2" t="str">
        <f>IF(F140&lt;&gt;"",F140,"")</f>
        <v>Новый раздел</v>
      </c>
      <c r="G147" s="2" t="str">
        <f>IF(G140&lt;&gt;"",G140,"")</f>
        <v>Прочие работы</v>
      </c>
      <c r="H147" s="2">
        <v>0</v>
      </c>
      <c r="I147" s="2"/>
      <c r="J147" s="2"/>
      <c r="K147" s="2"/>
      <c r="L147" s="2"/>
      <c r="M147" s="2"/>
      <c r="N147" s="2"/>
      <c r="O147" s="2">
        <f t="shared" ref="O147:T147" si="238">ROUND(AB147,2)</f>
        <v>70575.75</v>
      </c>
      <c r="P147" s="2">
        <f t="shared" si="238"/>
        <v>0</v>
      </c>
      <c r="Q147" s="2">
        <f t="shared" si="238"/>
        <v>70575.75</v>
      </c>
      <c r="R147" s="2">
        <f t="shared" si="238"/>
        <v>0</v>
      </c>
      <c r="S147" s="2">
        <f t="shared" si="238"/>
        <v>0</v>
      </c>
      <c r="T147" s="2">
        <f t="shared" si="238"/>
        <v>0</v>
      </c>
      <c r="U147" s="2">
        <f>AH147</f>
        <v>0</v>
      </c>
      <c r="V147" s="2">
        <f>AI147</f>
        <v>0</v>
      </c>
      <c r="W147" s="2">
        <f>ROUND(AJ147,2)</f>
        <v>0</v>
      </c>
      <c r="X147" s="2">
        <f>ROUND(AK147,2)</f>
        <v>0</v>
      </c>
      <c r="Y147" s="2">
        <f>ROUND(AL147,2)</f>
        <v>0</v>
      </c>
      <c r="Z147" s="2"/>
      <c r="AA147" s="2"/>
      <c r="AB147" s="2">
        <f>ROUND(SUMIF(AA144:AA145,"=44169784",O144:O145),2)</f>
        <v>70575.75</v>
      </c>
      <c r="AC147" s="2">
        <f>ROUND(SUMIF(AA144:AA145,"=44169784",P144:P145),2)</f>
        <v>0</v>
      </c>
      <c r="AD147" s="2">
        <f>ROUND(SUMIF(AA144:AA145,"=44169784",Q144:Q145),2)</f>
        <v>70575.75</v>
      </c>
      <c r="AE147" s="2">
        <f>ROUND(SUMIF(AA144:AA145,"=44169784",R144:R145),2)</f>
        <v>0</v>
      </c>
      <c r="AF147" s="2">
        <f>ROUND(SUMIF(AA144:AA145,"=44169784",S144:S145),2)</f>
        <v>0</v>
      </c>
      <c r="AG147" s="2">
        <f>ROUND(SUMIF(AA144:AA145,"=44169784",T144:T145),2)</f>
        <v>0</v>
      </c>
      <c r="AH147" s="2">
        <f>SUMIF(AA144:AA145,"=44169784",U144:U145)</f>
        <v>0</v>
      </c>
      <c r="AI147" s="2">
        <f>SUMIF(AA144:AA145,"=44169784",V144:V145)</f>
        <v>0</v>
      </c>
      <c r="AJ147" s="2">
        <f>ROUND(SUMIF(AA144:AA145,"=44169784",W144:W145),2)</f>
        <v>0</v>
      </c>
      <c r="AK147" s="2">
        <f>ROUND(SUMIF(AA144:AA145,"=44169784",X144:X145),2)</f>
        <v>0</v>
      </c>
      <c r="AL147" s="2">
        <f>ROUND(SUMIF(AA144:AA145,"=44169784",Y144:Y145),2)</f>
        <v>0</v>
      </c>
      <c r="AM147" s="2"/>
      <c r="AN147" s="2"/>
      <c r="AO147" s="2">
        <f t="shared" ref="AO147:BD147" si="239">ROUND(BX147,2)</f>
        <v>0</v>
      </c>
      <c r="AP147" s="2">
        <f t="shared" si="239"/>
        <v>0</v>
      </c>
      <c r="AQ147" s="2">
        <f t="shared" si="239"/>
        <v>0</v>
      </c>
      <c r="AR147" s="2">
        <f t="shared" si="239"/>
        <v>70575.75</v>
      </c>
      <c r="AS147" s="2">
        <f t="shared" si="239"/>
        <v>0</v>
      </c>
      <c r="AT147" s="2">
        <f t="shared" si="239"/>
        <v>0</v>
      </c>
      <c r="AU147" s="2">
        <f t="shared" si="239"/>
        <v>70575.75</v>
      </c>
      <c r="AV147" s="2">
        <f t="shared" si="239"/>
        <v>0</v>
      </c>
      <c r="AW147" s="2">
        <f t="shared" si="239"/>
        <v>0</v>
      </c>
      <c r="AX147" s="2">
        <f t="shared" si="239"/>
        <v>0</v>
      </c>
      <c r="AY147" s="2">
        <f t="shared" si="239"/>
        <v>0</v>
      </c>
      <c r="AZ147" s="2">
        <f t="shared" si="239"/>
        <v>0</v>
      </c>
      <c r="BA147" s="2">
        <f t="shared" si="239"/>
        <v>0</v>
      </c>
      <c r="BB147" s="2">
        <f t="shared" si="239"/>
        <v>0</v>
      </c>
      <c r="BC147" s="2">
        <f t="shared" si="239"/>
        <v>0</v>
      </c>
      <c r="BD147" s="2">
        <f t="shared" si="239"/>
        <v>0</v>
      </c>
      <c r="BE147" s="2"/>
      <c r="BF147" s="2"/>
      <c r="BG147" s="2"/>
      <c r="BH147" s="2"/>
      <c r="BI147" s="2"/>
      <c r="BJ147" s="2"/>
      <c r="BK147" s="2"/>
      <c r="BL147" s="2"/>
      <c r="BM147" s="2"/>
      <c r="BN147" s="2"/>
      <c r="BO147" s="2"/>
      <c r="BP147" s="2"/>
      <c r="BQ147" s="2"/>
      <c r="BR147" s="2"/>
      <c r="BS147" s="2"/>
      <c r="BT147" s="2"/>
      <c r="BU147" s="2"/>
      <c r="BV147" s="2"/>
      <c r="BW147" s="2"/>
      <c r="BX147" s="2">
        <f>ROUND(SUMIF(AA144:AA145,"=44169784",FQ144:FQ145),2)</f>
        <v>0</v>
      </c>
      <c r="BY147" s="2">
        <f>ROUND(SUMIF(AA144:AA145,"=44169784",FR144:FR145),2)</f>
        <v>0</v>
      </c>
      <c r="BZ147" s="2">
        <f>ROUND(SUMIF(AA144:AA145,"=44169784",GL144:GL145),2)</f>
        <v>0</v>
      </c>
      <c r="CA147" s="2">
        <f>ROUND(SUMIF(AA144:AA145,"=44169784",GM144:GM145),2)</f>
        <v>70575.75</v>
      </c>
      <c r="CB147" s="2">
        <f>ROUND(SUMIF(AA144:AA145,"=44169784",GN144:GN145),2)</f>
        <v>0</v>
      </c>
      <c r="CC147" s="2">
        <f>ROUND(SUMIF(AA144:AA145,"=44169784",GO144:GO145),2)</f>
        <v>0</v>
      </c>
      <c r="CD147" s="2">
        <f>ROUND(SUMIF(AA144:AA145,"=44169784",GP144:GP145),2)</f>
        <v>70575.75</v>
      </c>
      <c r="CE147" s="2">
        <f>AC147-BX147</f>
        <v>0</v>
      </c>
      <c r="CF147" s="2">
        <f>AC147-BY147</f>
        <v>0</v>
      </c>
      <c r="CG147" s="2">
        <f>BX147-BZ147</f>
        <v>0</v>
      </c>
      <c r="CH147" s="2">
        <f>AC147-BX147-BY147+BZ147</f>
        <v>0</v>
      </c>
      <c r="CI147" s="2">
        <f>BY147-BZ147</f>
        <v>0</v>
      </c>
      <c r="CJ147" s="2">
        <f>ROUND(SUMIF(AA144:AA145,"=44169784",GX144:GX145),2)</f>
        <v>0</v>
      </c>
      <c r="CK147" s="2">
        <f>ROUND(SUMIF(AA144:AA145,"=44169784",GY144:GY145),2)</f>
        <v>0</v>
      </c>
      <c r="CL147" s="2">
        <f>ROUND(SUMIF(AA144:AA145,"=44169784",GZ144:GZ145),2)</f>
        <v>0</v>
      </c>
      <c r="CM147" s="2">
        <f>ROUND(SUMIF(AA144:AA145,"=44169784",HD144:HD145),2)</f>
        <v>0</v>
      </c>
      <c r="CN147" s="2"/>
      <c r="CO147" s="2"/>
      <c r="CP147" s="2"/>
      <c r="CQ147" s="2"/>
      <c r="CR147" s="2"/>
      <c r="CS147" s="2"/>
      <c r="CT147" s="2"/>
      <c r="CU147" s="2"/>
      <c r="CV147" s="2"/>
      <c r="CW147" s="2"/>
      <c r="CX147" s="2"/>
      <c r="CY147" s="2"/>
      <c r="CZ147" s="2"/>
      <c r="DA147" s="2"/>
      <c r="DB147" s="2"/>
      <c r="DC147" s="2"/>
      <c r="DD147" s="2"/>
      <c r="DE147" s="2"/>
      <c r="DF147" s="2"/>
      <c r="DG147" s="3"/>
      <c r="DH147" s="3"/>
      <c r="DI147" s="3"/>
      <c r="DJ147" s="3"/>
      <c r="DK147" s="3"/>
      <c r="DL147" s="3"/>
      <c r="DM147" s="3"/>
      <c r="DN147" s="3"/>
      <c r="DO147" s="3"/>
      <c r="DP147" s="3"/>
      <c r="DQ147" s="3"/>
      <c r="DR147" s="3"/>
      <c r="DS147" s="3"/>
      <c r="DT147" s="3"/>
      <c r="DU147" s="3"/>
      <c r="DV147" s="3"/>
      <c r="DW147" s="3"/>
      <c r="DX147" s="3"/>
      <c r="DY147" s="3"/>
      <c r="DZ147" s="3"/>
      <c r="EA147" s="3"/>
      <c r="EB147" s="3"/>
      <c r="EC147" s="3"/>
      <c r="ED147" s="3"/>
      <c r="EE147" s="3"/>
      <c r="EF147" s="3"/>
      <c r="EG147" s="3"/>
      <c r="EH147" s="3"/>
      <c r="EI147" s="3"/>
      <c r="EJ147" s="3"/>
      <c r="EK147" s="3"/>
      <c r="EL147" s="3"/>
      <c r="EM147" s="3"/>
      <c r="EN147" s="3"/>
      <c r="EO147" s="3"/>
      <c r="EP147" s="3"/>
      <c r="EQ147" s="3"/>
      <c r="ER147" s="3"/>
      <c r="ES147" s="3"/>
      <c r="ET147" s="3"/>
      <c r="EU147" s="3"/>
      <c r="EV147" s="3"/>
      <c r="EW147" s="3"/>
      <c r="EX147" s="3"/>
      <c r="EY147" s="3"/>
      <c r="EZ147" s="3"/>
      <c r="FA147" s="3"/>
      <c r="FB147" s="3"/>
      <c r="FC147" s="3"/>
      <c r="FD147" s="3"/>
      <c r="FE147" s="3"/>
      <c r="FF147" s="3"/>
      <c r="FG147" s="3"/>
      <c r="FH147" s="3"/>
      <c r="FI147" s="3"/>
      <c r="FJ147" s="3"/>
      <c r="FK147" s="3"/>
      <c r="FL147" s="3"/>
      <c r="FM147" s="3"/>
      <c r="FN147" s="3"/>
      <c r="FO147" s="3"/>
      <c r="FP147" s="3"/>
      <c r="FQ147" s="3"/>
      <c r="FR147" s="3"/>
      <c r="FS147" s="3"/>
      <c r="FT147" s="3"/>
      <c r="FU147" s="3"/>
      <c r="FV147" s="3"/>
      <c r="FW147" s="3"/>
      <c r="FX147" s="3"/>
      <c r="FY147" s="3"/>
      <c r="FZ147" s="3"/>
      <c r="GA147" s="3"/>
      <c r="GB147" s="3"/>
      <c r="GC147" s="3"/>
      <c r="GD147" s="3"/>
      <c r="GE147" s="3"/>
      <c r="GF147" s="3"/>
      <c r="GG147" s="3"/>
      <c r="GH147" s="3"/>
      <c r="GI147" s="3"/>
      <c r="GJ147" s="3"/>
      <c r="GK147" s="3"/>
      <c r="GL147" s="3"/>
      <c r="GM147" s="3"/>
      <c r="GN147" s="3"/>
      <c r="GO147" s="3"/>
      <c r="GP147" s="3"/>
      <c r="GQ147" s="3"/>
      <c r="GR147" s="3"/>
      <c r="GS147" s="3"/>
      <c r="GT147" s="3"/>
      <c r="GU147" s="3"/>
      <c r="GV147" s="3"/>
      <c r="GW147" s="3"/>
      <c r="GX147" s="3">
        <v>0</v>
      </c>
    </row>
    <row r="149" spans="1:245" x14ac:dyDescent="0.2">
      <c r="A149" s="4">
        <v>50</v>
      </c>
      <c r="B149" s="4">
        <v>0</v>
      </c>
      <c r="C149" s="4">
        <v>0</v>
      </c>
      <c r="D149" s="4">
        <v>1</v>
      </c>
      <c r="E149" s="4">
        <v>201</v>
      </c>
      <c r="F149" s="4">
        <f>ROUND(Source!O147,O149)</f>
        <v>70575.75</v>
      </c>
      <c r="G149" s="4" t="s">
        <v>257</v>
      </c>
      <c r="H149" s="4" t="s">
        <v>258</v>
      </c>
      <c r="I149" s="4"/>
      <c r="J149" s="4"/>
      <c r="K149" s="4">
        <v>201</v>
      </c>
      <c r="L149" s="4">
        <v>1</v>
      </c>
      <c r="M149" s="4">
        <v>3</v>
      </c>
      <c r="N149" s="4" t="s">
        <v>5</v>
      </c>
      <c r="O149" s="4">
        <v>2</v>
      </c>
      <c r="P149" s="4"/>
      <c r="Q149" s="4"/>
      <c r="R149" s="4"/>
      <c r="S149" s="4"/>
      <c r="T149" s="4"/>
      <c r="U149" s="4"/>
      <c r="V149" s="4"/>
      <c r="W149" s="4"/>
    </row>
    <row r="150" spans="1:245" x14ac:dyDescent="0.2">
      <c r="A150" s="4">
        <v>50</v>
      </c>
      <c r="B150" s="4">
        <v>0</v>
      </c>
      <c r="C150" s="4">
        <v>0</v>
      </c>
      <c r="D150" s="4">
        <v>1</v>
      </c>
      <c r="E150" s="4">
        <v>202</v>
      </c>
      <c r="F150" s="4">
        <f>ROUND(Source!P147,O150)</f>
        <v>0</v>
      </c>
      <c r="G150" s="4" t="s">
        <v>259</v>
      </c>
      <c r="H150" s="4" t="s">
        <v>260</v>
      </c>
      <c r="I150" s="4"/>
      <c r="J150" s="4"/>
      <c r="K150" s="4">
        <v>202</v>
      </c>
      <c r="L150" s="4">
        <v>2</v>
      </c>
      <c r="M150" s="4">
        <v>3</v>
      </c>
      <c r="N150" s="4" t="s">
        <v>5</v>
      </c>
      <c r="O150" s="4">
        <v>2</v>
      </c>
      <c r="P150" s="4"/>
      <c r="Q150" s="4"/>
      <c r="R150" s="4"/>
      <c r="S150" s="4"/>
      <c r="T150" s="4"/>
      <c r="U150" s="4"/>
      <c r="V150" s="4"/>
      <c r="W150" s="4"/>
    </row>
    <row r="151" spans="1:245" x14ac:dyDescent="0.2">
      <c r="A151" s="4">
        <v>50</v>
      </c>
      <c r="B151" s="4">
        <v>0</v>
      </c>
      <c r="C151" s="4">
        <v>0</v>
      </c>
      <c r="D151" s="4">
        <v>1</v>
      </c>
      <c r="E151" s="4">
        <v>222</v>
      </c>
      <c r="F151" s="4">
        <f>ROUND(Source!AO147,O151)</f>
        <v>0</v>
      </c>
      <c r="G151" s="4" t="s">
        <v>261</v>
      </c>
      <c r="H151" s="4" t="s">
        <v>262</v>
      </c>
      <c r="I151" s="4"/>
      <c r="J151" s="4"/>
      <c r="K151" s="4">
        <v>222</v>
      </c>
      <c r="L151" s="4">
        <v>3</v>
      </c>
      <c r="M151" s="4">
        <v>3</v>
      </c>
      <c r="N151" s="4" t="s">
        <v>5</v>
      </c>
      <c r="O151" s="4">
        <v>2</v>
      </c>
      <c r="P151" s="4"/>
      <c r="Q151" s="4"/>
      <c r="R151" s="4"/>
      <c r="S151" s="4"/>
      <c r="T151" s="4"/>
      <c r="U151" s="4"/>
      <c r="V151" s="4"/>
      <c r="W151" s="4"/>
    </row>
    <row r="152" spans="1:245" x14ac:dyDescent="0.2">
      <c r="A152" s="4">
        <v>50</v>
      </c>
      <c r="B152" s="4">
        <v>0</v>
      </c>
      <c r="C152" s="4">
        <v>0</v>
      </c>
      <c r="D152" s="4">
        <v>1</v>
      </c>
      <c r="E152" s="4">
        <v>225</v>
      </c>
      <c r="F152" s="4">
        <f>ROUND(Source!AV147,O152)</f>
        <v>0</v>
      </c>
      <c r="G152" s="4" t="s">
        <v>263</v>
      </c>
      <c r="H152" s="4" t="s">
        <v>264</v>
      </c>
      <c r="I152" s="4"/>
      <c r="J152" s="4"/>
      <c r="K152" s="4">
        <v>225</v>
      </c>
      <c r="L152" s="4">
        <v>4</v>
      </c>
      <c r="M152" s="4">
        <v>3</v>
      </c>
      <c r="N152" s="4" t="s">
        <v>5</v>
      </c>
      <c r="O152" s="4">
        <v>2</v>
      </c>
      <c r="P152" s="4"/>
      <c r="Q152" s="4"/>
      <c r="R152" s="4"/>
      <c r="S152" s="4"/>
      <c r="T152" s="4"/>
      <c r="U152" s="4"/>
      <c r="V152" s="4"/>
      <c r="W152" s="4"/>
    </row>
    <row r="153" spans="1:245" x14ac:dyDescent="0.2">
      <c r="A153" s="4">
        <v>50</v>
      </c>
      <c r="B153" s="4">
        <v>0</v>
      </c>
      <c r="C153" s="4">
        <v>0</v>
      </c>
      <c r="D153" s="4">
        <v>1</v>
      </c>
      <c r="E153" s="4">
        <v>226</v>
      </c>
      <c r="F153" s="4">
        <f>ROUND(Source!AW147,O153)</f>
        <v>0</v>
      </c>
      <c r="G153" s="4" t="s">
        <v>265</v>
      </c>
      <c r="H153" s="4" t="s">
        <v>266</v>
      </c>
      <c r="I153" s="4"/>
      <c r="J153" s="4"/>
      <c r="K153" s="4">
        <v>226</v>
      </c>
      <c r="L153" s="4">
        <v>5</v>
      </c>
      <c r="M153" s="4">
        <v>3</v>
      </c>
      <c r="N153" s="4" t="s">
        <v>5</v>
      </c>
      <c r="O153" s="4">
        <v>2</v>
      </c>
      <c r="P153" s="4"/>
      <c r="Q153" s="4"/>
      <c r="R153" s="4"/>
      <c r="S153" s="4"/>
      <c r="T153" s="4"/>
      <c r="U153" s="4"/>
      <c r="V153" s="4"/>
      <c r="W153" s="4"/>
    </row>
    <row r="154" spans="1:245" x14ac:dyDescent="0.2">
      <c r="A154" s="4">
        <v>50</v>
      </c>
      <c r="B154" s="4">
        <v>0</v>
      </c>
      <c r="C154" s="4">
        <v>0</v>
      </c>
      <c r="D154" s="4">
        <v>1</v>
      </c>
      <c r="E154" s="4">
        <v>227</v>
      </c>
      <c r="F154" s="4">
        <f>ROUND(Source!AX147,O154)</f>
        <v>0</v>
      </c>
      <c r="G154" s="4" t="s">
        <v>267</v>
      </c>
      <c r="H154" s="4" t="s">
        <v>268</v>
      </c>
      <c r="I154" s="4"/>
      <c r="J154" s="4"/>
      <c r="K154" s="4">
        <v>227</v>
      </c>
      <c r="L154" s="4">
        <v>6</v>
      </c>
      <c r="M154" s="4">
        <v>3</v>
      </c>
      <c r="N154" s="4" t="s">
        <v>5</v>
      </c>
      <c r="O154" s="4">
        <v>2</v>
      </c>
      <c r="P154" s="4"/>
      <c r="Q154" s="4"/>
      <c r="R154" s="4"/>
      <c r="S154" s="4"/>
      <c r="T154" s="4"/>
      <c r="U154" s="4"/>
      <c r="V154" s="4"/>
      <c r="W154" s="4"/>
    </row>
    <row r="155" spans="1:245" x14ac:dyDescent="0.2">
      <c r="A155" s="4">
        <v>50</v>
      </c>
      <c r="B155" s="4">
        <v>0</v>
      </c>
      <c r="C155" s="4">
        <v>0</v>
      </c>
      <c r="D155" s="4">
        <v>1</v>
      </c>
      <c r="E155" s="4">
        <v>228</v>
      </c>
      <c r="F155" s="4">
        <f>ROUND(Source!AY147,O155)</f>
        <v>0</v>
      </c>
      <c r="G155" s="4" t="s">
        <v>269</v>
      </c>
      <c r="H155" s="4" t="s">
        <v>270</v>
      </c>
      <c r="I155" s="4"/>
      <c r="J155" s="4"/>
      <c r="K155" s="4">
        <v>228</v>
      </c>
      <c r="L155" s="4">
        <v>7</v>
      </c>
      <c r="M155" s="4">
        <v>3</v>
      </c>
      <c r="N155" s="4" t="s">
        <v>5</v>
      </c>
      <c r="O155" s="4">
        <v>2</v>
      </c>
      <c r="P155" s="4"/>
      <c r="Q155" s="4"/>
      <c r="R155" s="4"/>
      <c r="S155" s="4"/>
      <c r="T155" s="4"/>
      <c r="U155" s="4"/>
      <c r="V155" s="4"/>
      <c r="W155" s="4"/>
    </row>
    <row r="156" spans="1:245" x14ac:dyDescent="0.2">
      <c r="A156" s="4">
        <v>50</v>
      </c>
      <c r="B156" s="4">
        <v>0</v>
      </c>
      <c r="C156" s="4">
        <v>0</v>
      </c>
      <c r="D156" s="4">
        <v>1</v>
      </c>
      <c r="E156" s="4">
        <v>216</v>
      </c>
      <c r="F156" s="4">
        <f>ROUND(Source!AP147,O156)</f>
        <v>0</v>
      </c>
      <c r="G156" s="4" t="s">
        <v>271</v>
      </c>
      <c r="H156" s="4" t="s">
        <v>272</v>
      </c>
      <c r="I156" s="4"/>
      <c r="J156" s="4"/>
      <c r="K156" s="4">
        <v>216</v>
      </c>
      <c r="L156" s="4">
        <v>8</v>
      </c>
      <c r="M156" s="4">
        <v>3</v>
      </c>
      <c r="N156" s="4" t="s">
        <v>5</v>
      </c>
      <c r="O156" s="4">
        <v>2</v>
      </c>
      <c r="P156" s="4"/>
      <c r="Q156" s="4"/>
      <c r="R156" s="4"/>
      <c r="S156" s="4"/>
      <c r="T156" s="4"/>
      <c r="U156" s="4"/>
      <c r="V156" s="4"/>
      <c r="W156" s="4"/>
    </row>
    <row r="157" spans="1:245" x14ac:dyDescent="0.2">
      <c r="A157" s="4">
        <v>50</v>
      </c>
      <c r="B157" s="4">
        <v>0</v>
      </c>
      <c r="C157" s="4">
        <v>0</v>
      </c>
      <c r="D157" s="4">
        <v>1</v>
      </c>
      <c r="E157" s="4">
        <v>223</v>
      </c>
      <c r="F157" s="4">
        <f>ROUND(Source!AQ147,O157)</f>
        <v>0</v>
      </c>
      <c r="G157" s="4" t="s">
        <v>273</v>
      </c>
      <c r="H157" s="4" t="s">
        <v>274</v>
      </c>
      <c r="I157" s="4"/>
      <c r="J157" s="4"/>
      <c r="K157" s="4">
        <v>223</v>
      </c>
      <c r="L157" s="4">
        <v>9</v>
      </c>
      <c r="M157" s="4">
        <v>3</v>
      </c>
      <c r="N157" s="4" t="s">
        <v>5</v>
      </c>
      <c r="O157" s="4">
        <v>2</v>
      </c>
      <c r="P157" s="4"/>
      <c r="Q157" s="4"/>
      <c r="R157" s="4"/>
      <c r="S157" s="4"/>
      <c r="T157" s="4"/>
      <c r="U157" s="4"/>
      <c r="V157" s="4"/>
      <c r="W157" s="4"/>
    </row>
    <row r="158" spans="1:245" x14ac:dyDescent="0.2">
      <c r="A158" s="4">
        <v>50</v>
      </c>
      <c r="B158" s="4">
        <v>0</v>
      </c>
      <c r="C158" s="4">
        <v>0</v>
      </c>
      <c r="D158" s="4">
        <v>1</v>
      </c>
      <c r="E158" s="4">
        <v>229</v>
      </c>
      <c r="F158" s="4">
        <f>ROUND(Source!AZ147,O158)</f>
        <v>0</v>
      </c>
      <c r="G158" s="4" t="s">
        <v>275</v>
      </c>
      <c r="H158" s="4" t="s">
        <v>276</v>
      </c>
      <c r="I158" s="4"/>
      <c r="J158" s="4"/>
      <c r="K158" s="4">
        <v>229</v>
      </c>
      <c r="L158" s="4">
        <v>10</v>
      </c>
      <c r="M158" s="4">
        <v>3</v>
      </c>
      <c r="N158" s="4" t="s">
        <v>5</v>
      </c>
      <c r="O158" s="4">
        <v>2</v>
      </c>
      <c r="P158" s="4"/>
      <c r="Q158" s="4"/>
      <c r="R158" s="4"/>
      <c r="S158" s="4"/>
      <c r="T158" s="4"/>
      <c r="U158" s="4"/>
      <c r="V158" s="4"/>
      <c r="W158" s="4"/>
    </row>
    <row r="159" spans="1:245" x14ac:dyDescent="0.2">
      <c r="A159" s="4">
        <v>50</v>
      </c>
      <c r="B159" s="4">
        <v>0</v>
      </c>
      <c r="C159" s="4">
        <v>0</v>
      </c>
      <c r="D159" s="4">
        <v>1</v>
      </c>
      <c r="E159" s="4">
        <v>203</v>
      </c>
      <c r="F159" s="4">
        <f>ROUND(Source!Q147,O159)</f>
        <v>70575.75</v>
      </c>
      <c r="G159" s="4" t="s">
        <v>277</v>
      </c>
      <c r="H159" s="4" t="s">
        <v>278</v>
      </c>
      <c r="I159" s="4"/>
      <c r="J159" s="4"/>
      <c r="K159" s="4">
        <v>203</v>
      </c>
      <c r="L159" s="4">
        <v>11</v>
      </c>
      <c r="M159" s="4">
        <v>3</v>
      </c>
      <c r="N159" s="4" t="s">
        <v>5</v>
      </c>
      <c r="O159" s="4">
        <v>2</v>
      </c>
      <c r="P159" s="4"/>
      <c r="Q159" s="4"/>
      <c r="R159" s="4"/>
      <c r="S159" s="4"/>
      <c r="T159" s="4"/>
      <c r="U159" s="4"/>
      <c r="V159" s="4"/>
      <c r="W159" s="4"/>
    </row>
    <row r="160" spans="1:245" x14ac:dyDescent="0.2">
      <c r="A160" s="4">
        <v>50</v>
      </c>
      <c r="B160" s="4">
        <v>0</v>
      </c>
      <c r="C160" s="4">
        <v>0</v>
      </c>
      <c r="D160" s="4">
        <v>1</v>
      </c>
      <c r="E160" s="4">
        <v>231</v>
      </c>
      <c r="F160" s="4">
        <f>ROUND(Source!BB147,O160)</f>
        <v>0</v>
      </c>
      <c r="G160" s="4" t="s">
        <v>279</v>
      </c>
      <c r="H160" s="4" t="s">
        <v>280</v>
      </c>
      <c r="I160" s="4"/>
      <c r="J160" s="4"/>
      <c r="K160" s="4">
        <v>231</v>
      </c>
      <c r="L160" s="4">
        <v>12</v>
      </c>
      <c r="M160" s="4">
        <v>3</v>
      </c>
      <c r="N160" s="4" t="s">
        <v>5</v>
      </c>
      <c r="O160" s="4">
        <v>2</v>
      </c>
      <c r="P160" s="4"/>
      <c r="Q160" s="4"/>
      <c r="R160" s="4"/>
      <c r="S160" s="4"/>
      <c r="T160" s="4"/>
      <c r="U160" s="4"/>
      <c r="V160" s="4"/>
      <c r="W160" s="4"/>
    </row>
    <row r="161" spans="1:23" x14ac:dyDescent="0.2">
      <c r="A161" s="4">
        <v>50</v>
      </c>
      <c r="B161" s="4">
        <v>0</v>
      </c>
      <c r="C161" s="4">
        <v>0</v>
      </c>
      <c r="D161" s="4">
        <v>1</v>
      </c>
      <c r="E161" s="4">
        <v>204</v>
      </c>
      <c r="F161" s="4">
        <f>ROUND(Source!R147,O161)</f>
        <v>0</v>
      </c>
      <c r="G161" s="4" t="s">
        <v>281</v>
      </c>
      <c r="H161" s="4" t="s">
        <v>282</v>
      </c>
      <c r="I161" s="4"/>
      <c r="J161" s="4"/>
      <c r="K161" s="4">
        <v>204</v>
      </c>
      <c r="L161" s="4">
        <v>13</v>
      </c>
      <c r="M161" s="4">
        <v>3</v>
      </c>
      <c r="N161" s="4" t="s">
        <v>5</v>
      </c>
      <c r="O161" s="4">
        <v>2</v>
      </c>
      <c r="P161" s="4"/>
      <c r="Q161" s="4"/>
      <c r="R161" s="4"/>
      <c r="S161" s="4"/>
      <c r="T161" s="4"/>
      <c r="U161" s="4"/>
      <c r="V161" s="4"/>
      <c r="W161" s="4"/>
    </row>
    <row r="162" spans="1:23" x14ac:dyDescent="0.2">
      <c r="A162" s="4">
        <v>50</v>
      </c>
      <c r="B162" s="4">
        <v>0</v>
      </c>
      <c r="C162" s="4">
        <v>0</v>
      </c>
      <c r="D162" s="4">
        <v>1</v>
      </c>
      <c r="E162" s="4">
        <v>205</v>
      </c>
      <c r="F162" s="4">
        <f>ROUND(Source!S147,O162)</f>
        <v>0</v>
      </c>
      <c r="G162" s="4" t="s">
        <v>283</v>
      </c>
      <c r="H162" s="4" t="s">
        <v>284</v>
      </c>
      <c r="I162" s="4"/>
      <c r="J162" s="4"/>
      <c r="K162" s="4">
        <v>205</v>
      </c>
      <c r="L162" s="4">
        <v>14</v>
      </c>
      <c r="M162" s="4">
        <v>3</v>
      </c>
      <c r="N162" s="4" t="s">
        <v>5</v>
      </c>
      <c r="O162" s="4">
        <v>2</v>
      </c>
      <c r="P162" s="4"/>
      <c r="Q162" s="4"/>
      <c r="R162" s="4"/>
      <c r="S162" s="4"/>
      <c r="T162" s="4"/>
      <c r="U162" s="4"/>
      <c r="V162" s="4"/>
      <c r="W162" s="4"/>
    </row>
    <row r="163" spans="1:23" x14ac:dyDescent="0.2">
      <c r="A163" s="4">
        <v>50</v>
      </c>
      <c r="B163" s="4">
        <v>0</v>
      </c>
      <c r="C163" s="4">
        <v>0</v>
      </c>
      <c r="D163" s="4">
        <v>1</v>
      </c>
      <c r="E163" s="4">
        <v>232</v>
      </c>
      <c r="F163" s="4">
        <f>ROUND(Source!BC147,O163)</f>
        <v>0</v>
      </c>
      <c r="G163" s="4" t="s">
        <v>285</v>
      </c>
      <c r="H163" s="4" t="s">
        <v>286</v>
      </c>
      <c r="I163" s="4"/>
      <c r="J163" s="4"/>
      <c r="K163" s="4">
        <v>232</v>
      </c>
      <c r="L163" s="4">
        <v>15</v>
      </c>
      <c r="M163" s="4">
        <v>3</v>
      </c>
      <c r="N163" s="4" t="s">
        <v>5</v>
      </c>
      <c r="O163" s="4">
        <v>2</v>
      </c>
      <c r="P163" s="4"/>
      <c r="Q163" s="4"/>
      <c r="R163" s="4"/>
      <c r="S163" s="4"/>
      <c r="T163" s="4"/>
      <c r="U163" s="4"/>
      <c r="V163" s="4"/>
      <c r="W163" s="4"/>
    </row>
    <row r="164" spans="1:23" x14ac:dyDescent="0.2">
      <c r="A164" s="4">
        <v>50</v>
      </c>
      <c r="B164" s="4">
        <v>0</v>
      </c>
      <c r="C164" s="4">
        <v>0</v>
      </c>
      <c r="D164" s="4">
        <v>1</v>
      </c>
      <c r="E164" s="4">
        <v>214</v>
      </c>
      <c r="F164" s="4">
        <f>ROUND(Source!AS147,O164)</f>
        <v>0</v>
      </c>
      <c r="G164" s="4" t="s">
        <v>287</v>
      </c>
      <c r="H164" s="4" t="s">
        <v>288</v>
      </c>
      <c r="I164" s="4"/>
      <c r="J164" s="4"/>
      <c r="K164" s="4">
        <v>214</v>
      </c>
      <c r="L164" s="4">
        <v>16</v>
      </c>
      <c r="M164" s="4">
        <v>3</v>
      </c>
      <c r="N164" s="4" t="s">
        <v>5</v>
      </c>
      <c r="O164" s="4">
        <v>2</v>
      </c>
      <c r="P164" s="4"/>
      <c r="Q164" s="4"/>
      <c r="R164" s="4"/>
      <c r="S164" s="4"/>
      <c r="T164" s="4"/>
      <c r="U164" s="4"/>
      <c r="V164" s="4"/>
      <c r="W164" s="4"/>
    </row>
    <row r="165" spans="1:23" x14ac:dyDescent="0.2">
      <c r="A165" s="4">
        <v>50</v>
      </c>
      <c r="B165" s="4">
        <v>0</v>
      </c>
      <c r="C165" s="4">
        <v>0</v>
      </c>
      <c r="D165" s="4">
        <v>1</v>
      </c>
      <c r="E165" s="4">
        <v>215</v>
      </c>
      <c r="F165" s="4">
        <f>ROUND(Source!AT147,O165)</f>
        <v>0</v>
      </c>
      <c r="G165" s="4" t="s">
        <v>289</v>
      </c>
      <c r="H165" s="4" t="s">
        <v>290</v>
      </c>
      <c r="I165" s="4"/>
      <c r="J165" s="4"/>
      <c r="K165" s="4">
        <v>215</v>
      </c>
      <c r="L165" s="4">
        <v>17</v>
      </c>
      <c r="M165" s="4">
        <v>3</v>
      </c>
      <c r="N165" s="4" t="s">
        <v>5</v>
      </c>
      <c r="O165" s="4">
        <v>2</v>
      </c>
      <c r="P165" s="4"/>
      <c r="Q165" s="4"/>
      <c r="R165" s="4"/>
      <c r="S165" s="4"/>
      <c r="T165" s="4"/>
      <c r="U165" s="4"/>
      <c r="V165" s="4"/>
      <c r="W165" s="4"/>
    </row>
    <row r="166" spans="1:23" x14ac:dyDescent="0.2">
      <c r="A166" s="4">
        <v>50</v>
      </c>
      <c r="B166" s="4">
        <v>0</v>
      </c>
      <c r="C166" s="4">
        <v>0</v>
      </c>
      <c r="D166" s="4">
        <v>1</v>
      </c>
      <c r="E166" s="4">
        <v>217</v>
      </c>
      <c r="F166" s="4">
        <f>ROUND(Source!AU147,O166)</f>
        <v>70575.75</v>
      </c>
      <c r="G166" s="4" t="s">
        <v>291</v>
      </c>
      <c r="H166" s="4" t="s">
        <v>292</v>
      </c>
      <c r="I166" s="4"/>
      <c r="J166" s="4"/>
      <c r="K166" s="4">
        <v>217</v>
      </c>
      <c r="L166" s="4">
        <v>18</v>
      </c>
      <c r="M166" s="4">
        <v>3</v>
      </c>
      <c r="N166" s="4" t="s">
        <v>5</v>
      </c>
      <c r="O166" s="4">
        <v>2</v>
      </c>
      <c r="P166" s="4"/>
      <c r="Q166" s="4"/>
      <c r="R166" s="4"/>
      <c r="S166" s="4"/>
      <c r="T166" s="4"/>
      <c r="U166" s="4"/>
      <c r="V166" s="4"/>
      <c r="W166" s="4"/>
    </row>
    <row r="167" spans="1:23" x14ac:dyDescent="0.2">
      <c r="A167" s="4">
        <v>50</v>
      </c>
      <c r="B167" s="4">
        <v>0</v>
      </c>
      <c r="C167" s="4">
        <v>0</v>
      </c>
      <c r="D167" s="4">
        <v>1</v>
      </c>
      <c r="E167" s="4">
        <v>230</v>
      </c>
      <c r="F167" s="4">
        <f>ROUND(Source!BA147,O167)</f>
        <v>0</v>
      </c>
      <c r="G167" s="4" t="s">
        <v>293</v>
      </c>
      <c r="H167" s="4" t="s">
        <v>294</v>
      </c>
      <c r="I167" s="4"/>
      <c r="J167" s="4"/>
      <c r="K167" s="4">
        <v>230</v>
      </c>
      <c r="L167" s="4">
        <v>19</v>
      </c>
      <c r="M167" s="4">
        <v>3</v>
      </c>
      <c r="N167" s="4" t="s">
        <v>5</v>
      </c>
      <c r="O167" s="4">
        <v>2</v>
      </c>
      <c r="P167" s="4"/>
      <c r="Q167" s="4"/>
      <c r="R167" s="4"/>
      <c r="S167" s="4"/>
      <c r="T167" s="4"/>
      <c r="U167" s="4"/>
      <c r="V167" s="4"/>
      <c r="W167" s="4"/>
    </row>
    <row r="168" spans="1:23" x14ac:dyDescent="0.2">
      <c r="A168" s="4">
        <v>50</v>
      </c>
      <c r="B168" s="4">
        <v>0</v>
      </c>
      <c r="C168" s="4">
        <v>0</v>
      </c>
      <c r="D168" s="4">
        <v>1</v>
      </c>
      <c r="E168" s="4">
        <v>206</v>
      </c>
      <c r="F168" s="4">
        <f>ROUND(Source!T147,O168)</f>
        <v>0</v>
      </c>
      <c r="G168" s="4" t="s">
        <v>295</v>
      </c>
      <c r="H168" s="4" t="s">
        <v>296</v>
      </c>
      <c r="I168" s="4"/>
      <c r="J168" s="4"/>
      <c r="K168" s="4">
        <v>206</v>
      </c>
      <c r="L168" s="4">
        <v>20</v>
      </c>
      <c r="M168" s="4">
        <v>3</v>
      </c>
      <c r="N168" s="4" t="s">
        <v>5</v>
      </c>
      <c r="O168" s="4">
        <v>2</v>
      </c>
      <c r="P168" s="4"/>
      <c r="Q168" s="4"/>
      <c r="R168" s="4"/>
      <c r="S168" s="4"/>
      <c r="T168" s="4"/>
      <c r="U168" s="4"/>
      <c r="V168" s="4"/>
      <c r="W168" s="4"/>
    </row>
    <row r="169" spans="1:23" x14ac:dyDescent="0.2">
      <c r="A169" s="4">
        <v>50</v>
      </c>
      <c r="B169" s="4">
        <v>0</v>
      </c>
      <c r="C169" s="4">
        <v>0</v>
      </c>
      <c r="D169" s="4">
        <v>1</v>
      </c>
      <c r="E169" s="4">
        <v>207</v>
      </c>
      <c r="F169" s="4">
        <f>Source!U147</f>
        <v>0</v>
      </c>
      <c r="G169" s="4" t="s">
        <v>297</v>
      </c>
      <c r="H169" s="4" t="s">
        <v>298</v>
      </c>
      <c r="I169" s="4"/>
      <c r="J169" s="4"/>
      <c r="K169" s="4">
        <v>207</v>
      </c>
      <c r="L169" s="4">
        <v>21</v>
      </c>
      <c r="M169" s="4">
        <v>3</v>
      </c>
      <c r="N169" s="4" t="s">
        <v>5</v>
      </c>
      <c r="O169" s="4">
        <v>-1</v>
      </c>
      <c r="P169" s="4"/>
      <c r="Q169" s="4"/>
      <c r="R169" s="4"/>
      <c r="S169" s="4"/>
      <c r="T169" s="4"/>
      <c r="U169" s="4"/>
      <c r="V169" s="4"/>
      <c r="W169" s="4"/>
    </row>
    <row r="170" spans="1:23" x14ac:dyDescent="0.2">
      <c r="A170" s="4">
        <v>50</v>
      </c>
      <c r="B170" s="4">
        <v>0</v>
      </c>
      <c r="C170" s="4">
        <v>0</v>
      </c>
      <c r="D170" s="4">
        <v>1</v>
      </c>
      <c r="E170" s="4">
        <v>208</v>
      </c>
      <c r="F170" s="4">
        <f>Source!V147</f>
        <v>0</v>
      </c>
      <c r="G170" s="4" t="s">
        <v>299</v>
      </c>
      <c r="H170" s="4" t="s">
        <v>300</v>
      </c>
      <c r="I170" s="4"/>
      <c r="J170" s="4"/>
      <c r="K170" s="4">
        <v>208</v>
      </c>
      <c r="L170" s="4">
        <v>22</v>
      </c>
      <c r="M170" s="4">
        <v>3</v>
      </c>
      <c r="N170" s="4" t="s">
        <v>5</v>
      </c>
      <c r="O170" s="4">
        <v>-1</v>
      </c>
      <c r="P170" s="4"/>
      <c r="Q170" s="4"/>
      <c r="R170" s="4"/>
      <c r="S170" s="4"/>
      <c r="T170" s="4"/>
      <c r="U170" s="4"/>
      <c r="V170" s="4"/>
      <c r="W170" s="4"/>
    </row>
    <row r="171" spans="1:23" x14ac:dyDescent="0.2">
      <c r="A171" s="4">
        <v>50</v>
      </c>
      <c r="B171" s="4">
        <v>0</v>
      </c>
      <c r="C171" s="4">
        <v>0</v>
      </c>
      <c r="D171" s="4">
        <v>1</v>
      </c>
      <c r="E171" s="4">
        <v>209</v>
      </c>
      <c r="F171" s="4">
        <f>ROUND(Source!W147,O171)</f>
        <v>0</v>
      </c>
      <c r="G171" s="4" t="s">
        <v>301</v>
      </c>
      <c r="H171" s="4" t="s">
        <v>302</v>
      </c>
      <c r="I171" s="4"/>
      <c r="J171" s="4"/>
      <c r="K171" s="4">
        <v>209</v>
      </c>
      <c r="L171" s="4">
        <v>23</v>
      </c>
      <c r="M171" s="4">
        <v>3</v>
      </c>
      <c r="N171" s="4" t="s">
        <v>5</v>
      </c>
      <c r="O171" s="4">
        <v>2</v>
      </c>
      <c r="P171" s="4"/>
      <c r="Q171" s="4"/>
      <c r="R171" s="4"/>
      <c r="S171" s="4"/>
      <c r="T171" s="4"/>
      <c r="U171" s="4"/>
      <c r="V171" s="4"/>
      <c r="W171" s="4"/>
    </row>
    <row r="172" spans="1:23" x14ac:dyDescent="0.2">
      <c r="A172" s="4">
        <v>50</v>
      </c>
      <c r="B172" s="4">
        <v>0</v>
      </c>
      <c r="C172" s="4">
        <v>0</v>
      </c>
      <c r="D172" s="4">
        <v>1</v>
      </c>
      <c r="E172" s="4">
        <v>233</v>
      </c>
      <c r="F172" s="4">
        <f>ROUND(Source!BD147,O172)</f>
        <v>0</v>
      </c>
      <c r="G172" s="4" t="s">
        <v>303</v>
      </c>
      <c r="H172" s="4" t="s">
        <v>304</v>
      </c>
      <c r="I172" s="4"/>
      <c r="J172" s="4"/>
      <c r="K172" s="4">
        <v>233</v>
      </c>
      <c r="L172" s="4">
        <v>24</v>
      </c>
      <c r="M172" s="4">
        <v>3</v>
      </c>
      <c r="N172" s="4" t="s">
        <v>5</v>
      </c>
      <c r="O172" s="4">
        <v>2</v>
      </c>
      <c r="P172" s="4"/>
      <c r="Q172" s="4"/>
      <c r="R172" s="4"/>
      <c r="S172" s="4"/>
      <c r="T172" s="4"/>
      <c r="U172" s="4"/>
      <c r="V172" s="4"/>
      <c r="W172" s="4"/>
    </row>
    <row r="173" spans="1:23" x14ac:dyDescent="0.2">
      <c r="A173" s="4">
        <v>50</v>
      </c>
      <c r="B173" s="4">
        <v>0</v>
      </c>
      <c r="C173" s="4">
        <v>0</v>
      </c>
      <c r="D173" s="4">
        <v>1</v>
      </c>
      <c r="E173" s="4">
        <v>210</v>
      </c>
      <c r="F173" s="4">
        <f>ROUND(Source!X147,O173)</f>
        <v>0</v>
      </c>
      <c r="G173" s="4" t="s">
        <v>305</v>
      </c>
      <c r="H173" s="4" t="s">
        <v>306</v>
      </c>
      <c r="I173" s="4"/>
      <c r="J173" s="4"/>
      <c r="K173" s="4">
        <v>210</v>
      </c>
      <c r="L173" s="4">
        <v>25</v>
      </c>
      <c r="M173" s="4">
        <v>3</v>
      </c>
      <c r="N173" s="4" t="s">
        <v>5</v>
      </c>
      <c r="O173" s="4">
        <v>2</v>
      </c>
      <c r="P173" s="4"/>
      <c r="Q173" s="4"/>
      <c r="R173" s="4"/>
      <c r="S173" s="4"/>
      <c r="T173" s="4"/>
      <c r="U173" s="4"/>
      <c r="V173" s="4"/>
      <c r="W173" s="4"/>
    </row>
    <row r="174" spans="1:23" x14ac:dyDescent="0.2">
      <c r="A174" s="4">
        <v>50</v>
      </c>
      <c r="B174" s="4">
        <v>0</v>
      </c>
      <c r="C174" s="4">
        <v>0</v>
      </c>
      <c r="D174" s="4">
        <v>1</v>
      </c>
      <c r="E174" s="4">
        <v>211</v>
      </c>
      <c r="F174" s="4">
        <f>ROUND(Source!Y147,O174)</f>
        <v>0</v>
      </c>
      <c r="G174" s="4" t="s">
        <v>307</v>
      </c>
      <c r="H174" s="4" t="s">
        <v>308</v>
      </c>
      <c r="I174" s="4"/>
      <c r="J174" s="4"/>
      <c r="K174" s="4">
        <v>211</v>
      </c>
      <c r="L174" s="4">
        <v>26</v>
      </c>
      <c r="M174" s="4">
        <v>3</v>
      </c>
      <c r="N174" s="4" t="s">
        <v>5</v>
      </c>
      <c r="O174" s="4">
        <v>2</v>
      </c>
      <c r="P174" s="4"/>
      <c r="Q174" s="4"/>
      <c r="R174" s="4"/>
      <c r="S174" s="4"/>
      <c r="T174" s="4"/>
      <c r="U174" s="4"/>
      <c r="V174" s="4"/>
      <c r="W174" s="4"/>
    </row>
    <row r="175" spans="1:23" x14ac:dyDescent="0.2">
      <c r="A175" s="4">
        <v>50</v>
      </c>
      <c r="B175" s="4">
        <v>0</v>
      </c>
      <c r="C175" s="4">
        <v>0</v>
      </c>
      <c r="D175" s="4">
        <v>1</v>
      </c>
      <c r="E175" s="4">
        <v>224</v>
      </c>
      <c r="F175" s="4">
        <f>ROUND(Source!AR147,O175)</f>
        <v>70575.75</v>
      </c>
      <c r="G175" s="4" t="s">
        <v>309</v>
      </c>
      <c r="H175" s="4" t="s">
        <v>310</v>
      </c>
      <c r="I175" s="4"/>
      <c r="J175" s="4"/>
      <c r="K175" s="4">
        <v>224</v>
      </c>
      <c r="L175" s="4">
        <v>27</v>
      </c>
      <c r="M175" s="4">
        <v>3</v>
      </c>
      <c r="N175" s="4" t="s">
        <v>5</v>
      </c>
      <c r="O175" s="4">
        <v>2</v>
      </c>
      <c r="P175" s="4"/>
      <c r="Q175" s="4"/>
      <c r="R175" s="4"/>
      <c r="S175" s="4"/>
      <c r="T175" s="4"/>
      <c r="U175" s="4"/>
      <c r="V175" s="4"/>
      <c r="W175" s="4"/>
    </row>
    <row r="176" spans="1:23" x14ac:dyDescent="0.2">
      <c r="A176" s="4">
        <v>50</v>
      </c>
      <c r="B176" s="4">
        <v>1</v>
      </c>
      <c r="C176" s="4">
        <v>0</v>
      </c>
      <c r="D176" s="4">
        <v>2</v>
      </c>
      <c r="E176" s="4">
        <v>0</v>
      </c>
      <c r="F176" s="4">
        <f>ROUND(F149+F161*1.67+F173+F174,O176)</f>
        <v>70575.75</v>
      </c>
      <c r="G176" s="4" t="s">
        <v>311</v>
      </c>
      <c r="H176" s="4" t="s">
        <v>312</v>
      </c>
      <c r="I176" s="4"/>
      <c r="J176" s="4"/>
      <c r="K176" s="4">
        <v>212</v>
      </c>
      <c r="L176" s="4">
        <v>28</v>
      </c>
      <c r="M176" s="4">
        <v>0</v>
      </c>
      <c r="N176" s="4" t="s">
        <v>5</v>
      </c>
      <c r="O176" s="4">
        <v>2</v>
      </c>
      <c r="P176" s="4"/>
      <c r="Q176" s="4"/>
      <c r="R176" s="4"/>
      <c r="S176" s="4"/>
      <c r="T176" s="4"/>
      <c r="U176" s="4"/>
      <c r="V176" s="4"/>
      <c r="W176" s="4"/>
    </row>
    <row r="178" spans="1:206" x14ac:dyDescent="0.2">
      <c r="A178" s="2">
        <v>51</v>
      </c>
      <c r="B178" s="2">
        <f>B20</f>
        <v>1</v>
      </c>
      <c r="C178" s="2">
        <f>A20</f>
        <v>3</v>
      </c>
      <c r="D178" s="2">
        <f>ROW(A20)</f>
        <v>20</v>
      </c>
      <c r="E178" s="2"/>
      <c r="F178" s="2">
        <f>IF(F20&lt;&gt;"",F20,"")</f>
        <v>4</v>
      </c>
      <c r="G178" s="2" t="str">
        <f>IF(G20&lt;&gt;"",G20,"")</f>
        <v>Восстановление благоустройства</v>
      </c>
      <c r="H178" s="2">
        <v>0</v>
      </c>
      <c r="I178" s="2"/>
      <c r="J178" s="2"/>
      <c r="K178" s="2"/>
      <c r="L178" s="2"/>
      <c r="M178" s="2"/>
      <c r="N178" s="2"/>
      <c r="O178" s="2">
        <f t="shared" ref="O178:T178" si="240">ROUND(O107+O147+AB178,2)</f>
        <v>699829.06</v>
      </c>
      <c r="P178" s="2">
        <f t="shared" si="240"/>
        <v>466792.48</v>
      </c>
      <c r="Q178" s="2">
        <f t="shared" si="240"/>
        <v>127635.69</v>
      </c>
      <c r="R178" s="2">
        <f t="shared" si="240"/>
        <v>25201.9</v>
      </c>
      <c r="S178" s="2">
        <f t="shared" si="240"/>
        <v>105400.89</v>
      </c>
      <c r="T178" s="2">
        <f t="shared" si="240"/>
        <v>0</v>
      </c>
      <c r="U178" s="2">
        <f>U107+U147+AH178</f>
        <v>450.37135220819999</v>
      </c>
      <c r="V178" s="2">
        <f>V107+V147+AI178</f>
        <v>0</v>
      </c>
      <c r="W178" s="2">
        <f>ROUND(W107+W147+AJ178,2)</f>
        <v>0</v>
      </c>
      <c r="X178" s="2">
        <f>ROUND(X107+X147+AK178,2)</f>
        <v>105999.26</v>
      </c>
      <c r="Y178" s="2">
        <f>ROUND(Y107+Y147+AL178,2)</f>
        <v>47203.98</v>
      </c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>
        <f t="shared" ref="AO178:BD178" si="241">ROUND(AO107+AO147+BX178,2)</f>
        <v>0</v>
      </c>
      <c r="AP178" s="2">
        <f t="shared" si="241"/>
        <v>0</v>
      </c>
      <c r="AQ178" s="2">
        <f t="shared" si="241"/>
        <v>0</v>
      </c>
      <c r="AR178" s="2">
        <f t="shared" si="241"/>
        <v>892599.31</v>
      </c>
      <c r="AS178" s="2">
        <f t="shared" si="241"/>
        <v>822023.56</v>
      </c>
      <c r="AT178" s="2">
        <f t="shared" si="241"/>
        <v>0</v>
      </c>
      <c r="AU178" s="2">
        <f t="shared" si="241"/>
        <v>70575.75</v>
      </c>
      <c r="AV178" s="2">
        <f t="shared" si="241"/>
        <v>466792.48</v>
      </c>
      <c r="AW178" s="2">
        <f t="shared" si="241"/>
        <v>466792.48</v>
      </c>
      <c r="AX178" s="2">
        <f t="shared" si="241"/>
        <v>0</v>
      </c>
      <c r="AY178" s="2">
        <f t="shared" si="241"/>
        <v>466792.48</v>
      </c>
      <c r="AZ178" s="2">
        <f t="shared" si="241"/>
        <v>0</v>
      </c>
      <c r="BA178" s="2">
        <f t="shared" si="241"/>
        <v>0</v>
      </c>
      <c r="BB178" s="2">
        <f t="shared" si="241"/>
        <v>0</v>
      </c>
      <c r="BC178" s="2">
        <f t="shared" si="241"/>
        <v>0</v>
      </c>
      <c r="BD178" s="2">
        <f t="shared" si="241"/>
        <v>0</v>
      </c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2"/>
      <c r="BP178" s="2"/>
      <c r="BQ178" s="2"/>
      <c r="BR178" s="2"/>
      <c r="BS178" s="2"/>
      <c r="BT178" s="2"/>
      <c r="BU178" s="2"/>
      <c r="BV178" s="2"/>
      <c r="BW178" s="2"/>
      <c r="BX178" s="2"/>
      <c r="BY178" s="2"/>
      <c r="BZ178" s="2"/>
      <c r="CA178" s="2"/>
      <c r="CB178" s="2"/>
      <c r="CC178" s="2"/>
      <c r="CD178" s="2"/>
      <c r="CE178" s="2"/>
      <c r="CF178" s="2"/>
      <c r="CG178" s="2"/>
      <c r="CH178" s="2"/>
      <c r="CI178" s="2"/>
      <c r="CJ178" s="2"/>
      <c r="CK178" s="2"/>
      <c r="CL178" s="2"/>
      <c r="CM178" s="2"/>
      <c r="CN178" s="2"/>
      <c r="CO178" s="2"/>
      <c r="CP178" s="2"/>
      <c r="CQ178" s="2"/>
      <c r="CR178" s="2"/>
      <c r="CS178" s="2"/>
      <c r="CT178" s="2"/>
      <c r="CU178" s="2"/>
      <c r="CV178" s="2"/>
      <c r="CW178" s="2"/>
      <c r="CX178" s="2"/>
      <c r="CY178" s="2"/>
      <c r="CZ178" s="2"/>
      <c r="DA178" s="2"/>
      <c r="DB178" s="2"/>
      <c r="DC178" s="2"/>
      <c r="DD178" s="2"/>
      <c r="DE178" s="2"/>
      <c r="DF178" s="2"/>
      <c r="DG178" s="3"/>
      <c r="DH178" s="3"/>
      <c r="DI178" s="3"/>
      <c r="DJ178" s="3"/>
      <c r="DK178" s="3"/>
      <c r="DL178" s="3"/>
      <c r="DM178" s="3"/>
      <c r="DN178" s="3"/>
      <c r="DO178" s="3"/>
      <c r="DP178" s="3"/>
      <c r="DQ178" s="3"/>
      <c r="DR178" s="3"/>
      <c r="DS178" s="3"/>
      <c r="DT178" s="3"/>
      <c r="DU178" s="3"/>
      <c r="DV178" s="3"/>
      <c r="DW178" s="3"/>
      <c r="DX178" s="3"/>
      <c r="DY178" s="3"/>
      <c r="DZ178" s="3"/>
      <c r="EA178" s="3"/>
      <c r="EB178" s="3"/>
      <c r="EC178" s="3"/>
      <c r="ED178" s="3"/>
      <c r="EE178" s="3"/>
      <c r="EF178" s="3"/>
      <c r="EG178" s="3"/>
      <c r="EH178" s="3"/>
      <c r="EI178" s="3"/>
      <c r="EJ178" s="3"/>
      <c r="EK178" s="3"/>
      <c r="EL178" s="3"/>
      <c r="EM178" s="3"/>
      <c r="EN178" s="3"/>
      <c r="EO178" s="3"/>
      <c r="EP178" s="3"/>
      <c r="EQ178" s="3"/>
      <c r="ER178" s="3"/>
      <c r="ES178" s="3"/>
      <c r="ET178" s="3"/>
      <c r="EU178" s="3"/>
      <c r="EV178" s="3"/>
      <c r="EW178" s="3"/>
      <c r="EX178" s="3"/>
      <c r="EY178" s="3"/>
      <c r="EZ178" s="3"/>
      <c r="FA178" s="3"/>
      <c r="FB178" s="3"/>
      <c r="FC178" s="3"/>
      <c r="FD178" s="3"/>
      <c r="FE178" s="3"/>
      <c r="FF178" s="3"/>
      <c r="FG178" s="3"/>
      <c r="FH178" s="3"/>
      <c r="FI178" s="3"/>
      <c r="FJ178" s="3"/>
      <c r="FK178" s="3"/>
      <c r="FL178" s="3"/>
      <c r="FM178" s="3"/>
      <c r="FN178" s="3"/>
      <c r="FO178" s="3"/>
      <c r="FP178" s="3"/>
      <c r="FQ178" s="3"/>
      <c r="FR178" s="3"/>
      <c r="FS178" s="3"/>
      <c r="FT178" s="3"/>
      <c r="FU178" s="3"/>
      <c r="FV178" s="3"/>
      <c r="FW178" s="3"/>
      <c r="FX178" s="3"/>
      <c r="FY178" s="3"/>
      <c r="FZ178" s="3"/>
      <c r="GA178" s="3"/>
      <c r="GB178" s="3"/>
      <c r="GC178" s="3"/>
      <c r="GD178" s="3"/>
      <c r="GE178" s="3"/>
      <c r="GF178" s="3"/>
      <c r="GG178" s="3"/>
      <c r="GH178" s="3"/>
      <c r="GI178" s="3"/>
      <c r="GJ178" s="3"/>
      <c r="GK178" s="3"/>
      <c r="GL178" s="3"/>
      <c r="GM178" s="3"/>
      <c r="GN178" s="3"/>
      <c r="GO178" s="3"/>
      <c r="GP178" s="3"/>
      <c r="GQ178" s="3"/>
      <c r="GR178" s="3"/>
      <c r="GS178" s="3"/>
      <c r="GT178" s="3"/>
      <c r="GU178" s="3"/>
      <c r="GV178" s="3"/>
      <c r="GW178" s="3"/>
      <c r="GX178" s="3">
        <v>0</v>
      </c>
    </row>
    <row r="180" spans="1:206" x14ac:dyDescent="0.2">
      <c r="A180" s="4">
        <v>50</v>
      </c>
      <c r="B180" s="4">
        <v>0</v>
      </c>
      <c r="C180" s="4">
        <v>0</v>
      </c>
      <c r="D180" s="4">
        <v>1</v>
      </c>
      <c r="E180" s="4">
        <v>201</v>
      </c>
      <c r="F180" s="4">
        <f>ROUND(Source!O178,O180)</f>
        <v>699829.06</v>
      </c>
      <c r="G180" s="4" t="s">
        <v>257</v>
      </c>
      <c r="H180" s="4" t="s">
        <v>258</v>
      </c>
      <c r="I180" s="4"/>
      <c r="J180" s="4"/>
      <c r="K180" s="4">
        <v>201</v>
      </c>
      <c r="L180" s="4">
        <v>1</v>
      </c>
      <c r="M180" s="4">
        <v>3</v>
      </c>
      <c r="N180" s="4" t="s">
        <v>5</v>
      </c>
      <c r="O180" s="4">
        <v>2</v>
      </c>
      <c r="P180" s="4"/>
      <c r="Q180" s="4"/>
      <c r="R180" s="4"/>
      <c r="S180" s="4"/>
      <c r="T180" s="4"/>
      <c r="U180" s="4"/>
      <c r="V180" s="4"/>
      <c r="W180" s="4"/>
    </row>
    <row r="181" spans="1:206" x14ac:dyDescent="0.2">
      <c r="A181" s="4">
        <v>50</v>
      </c>
      <c r="B181" s="4">
        <v>0</v>
      </c>
      <c r="C181" s="4">
        <v>0</v>
      </c>
      <c r="D181" s="4">
        <v>1</v>
      </c>
      <c r="E181" s="4">
        <v>202</v>
      </c>
      <c r="F181" s="4">
        <f>ROUND(Source!P178,O181)</f>
        <v>466792.48</v>
      </c>
      <c r="G181" s="4" t="s">
        <v>259</v>
      </c>
      <c r="H181" s="4" t="s">
        <v>260</v>
      </c>
      <c r="I181" s="4"/>
      <c r="J181" s="4"/>
      <c r="K181" s="4">
        <v>202</v>
      </c>
      <c r="L181" s="4">
        <v>2</v>
      </c>
      <c r="M181" s="4">
        <v>3</v>
      </c>
      <c r="N181" s="4" t="s">
        <v>5</v>
      </c>
      <c r="O181" s="4">
        <v>2</v>
      </c>
      <c r="P181" s="4"/>
      <c r="Q181" s="4"/>
      <c r="R181" s="4"/>
      <c r="S181" s="4"/>
      <c r="T181" s="4"/>
      <c r="U181" s="4"/>
      <c r="V181" s="4"/>
      <c r="W181" s="4"/>
    </row>
    <row r="182" spans="1:206" x14ac:dyDescent="0.2">
      <c r="A182" s="4">
        <v>50</v>
      </c>
      <c r="B182" s="4">
        <v>0</v>
      </c>
      <c r="C182" s="4">
        <v>0</v>
      </c>
      <c r="D182" s="4">
        <v>1</v>
      </c>
      <c r="E182" s="4">
        <v>222</v>
      </c>
      <c r="F182" s="4">
        <f>ROUND(Source!AO178,O182)</f>
        <v>0</v>
      </c>
      <c r="G182" s="4" t="s">
        <v>261</v>
      </c>
      <c r="H182" s="4" t="s">
        <v>262</v>
      </c>
      <c r="I182" s="4"/>
      <c r="J182" s="4"/>
      <c r="K182" s="4">
        <v>222</v>
      </c>
      <c r="L182" s="4">
        <v>3</v>
      </c>
      <c r="M182" s="4">
        <v>3</v>
      </c>
      <c r="N182" s="4" t="s">
        <v>5</v>
      </c>
      <c r="O182" s="4">
        <v>2</v>
      </c>
      <c r="P182" s="4"/>
      <c r="Q182" s="4"/>
      <c r="R182" s="4"/>
      <c r="S182" s="4"/>
      <c r="T182" s="4"/>
      <c r="U182" s="4"/>
      <c r="V182" s="4"/>
      <c r="W182" s="4"/>
    </row>
    <row r="183" spans="1:206" x14ac:dyDescent="0.2">
      <c r="A183" s="4">
        <v>50</v>
      </c>
      <c r="B183" s="4">
        <v>0</v>
      </c>
      <c r="C183" s="4">
        <v>0</v>
      </c>
      <c r="D183" s="4">
        <v>1</v>
      </c>
      <c r="E183" s="4">
        <v>225</v>
      </c>
      <c r="F183" s="4">
        <f>ROUND(Source!AV178,O183)</f>
        <v>466792.48</v>
      </c>
      <c r="G183" s="4" t="s">
        <v>263</v>
      </c>
      <c r="H183" s="4" t="s">
        <v>264</v>
      </c>
      <c r="I183" s="4"/>
      <c r="J183" s="4"/>
      <c r="K183" s="4">
        <v>225</v>
      </c>
      <c r="L183" s="4">
        <v>4</v>
      </c>
      <c r="M183" s="4">
        <v>3</v>
      </c>
      <c r="N183" s="4" t="s">
        <v>5</v>
      </c>
      <c r="O183" s="4">
        <v>2</v>
      </c>
      <c r="P183" s="4"/>
      <c r="Q183" s="4"/>
      <c r="R183" s="4"/>
      <c r="S183" s="4"/>
      <c r="T183" s="4"/>
      <c r="U183" s="4"/>
      <c r="V183" s="4"/>
      <c r="W183" s="4"/>
    </row>
    <row r="184" spans="1:206" x14ac:dyDescent="0.2">
      <c r="A184" s="4">
        <v>50</v>
      </c>
      <c r="B184" s="4">
        <v>0</v>
      </c>
      <c r="C184" s="4">
        <v>0</v>
      </c>
      <c r="D184" s="4">
        <v>1</v>
      </c>
      <c r="E184" s="4">
        <v>226</v>
      </c>
      <c r="F184" s="4">
        <f>ROUND(Source!AW178,O184)</f>
        <v>466792.48</v>
      </c>
      <c r="G184" s="4" t="s">
        <v>265</v>
      </c>
      <c r="H184" s="4" t="s">
        <v>266</v>
      </c>
      <c r="I184" s="4"/>
      <c r="J184" s="4"/>
      <c r="K184" s="4">
        <v>226</v>
      </c>
      <c r="L184" s="4">
        <v>5</v>
      </c>
      <c r="M184" s="4">
        <v>3</v>
      </c>
      <c r="N184" s="4" t="s">
        <v>5</v>
      </c>
      <c r="O184" s="4">
        <v>2</v>
      </c>
      <c r="P184" s="4"/>
      <c r="Q184" s="4"/>
      <c r="R184" s="4"/>
      <c r="S184" s="4"/>
      <c r="T184" s="4"/>
      <c r="U184" s="4"/>
      <c r="V184" s="4"/>
      <c r="W184" s="4"/>
    </row>
    <row r="185" spans="1:206" x14ac:dyDescent="0.2">
      <c r="A185" s="4">
        <v>50</v>
      </c>
      <c r="B185" s="4">
        <v>0</v>
      </c>
      <c r="C185" s="4">
        <v>0</v>
      </c>
      <c r="D185" s="4">
        <v>1</v>
      </c>
      <c r="E185" s="4">
        <v>227</v>
      </c>
      <c r="F185" s="4">
        <f>ROUND(Source!AX178,O185)</f>
        <v>0</v>
      </c>
      <c r="G185" s="4" t="s">
        <v>267</v>
      </c>
      <c r="H185" s="4" t="s">
        <v>268</v>
      </c>
      <c r="I185" s="4"/>
      <c r="J185" s="4"/>
      <c r="K185" s="4">
        <v>227</v>
      </c>
      <c r="L185" s="4">
        <v>6</v>
      </c>
      <c r="M185" s="4">
        <v>3</v>
      </c>
      <c r="N185" s="4" t="s">
        <v>5</v>
      </c>
      <c r="O185" s="4">
        <v>2</v>
      </c>
      <c r="P185" s="4"/>
      <c r="Q185" s="4"/>
      <c r="R185" s="4"/>
      <c r="S185" s="4"/>
      <c r="T185" s="4"/>
      <c r="U185" s="4"/>
      <c r="V185" s="4"/>
      <c r="W185" s="4"/>
    </row>
    <row r="186" spans="1:206" x14ac:dyDescent="0.2">
      <c r="A186" s="4">
        <v>50</v>
      </c>
      <c r="B186" s="4">
        <v>0</v>
      </c>
      <c r="C186" s="4">
        <v>0</v>
      </c>
      <c r="D186" s="4">
        <v>1</v>
      </c>
      <c r="E186" s="4">
        <v>228</v>
      </c>
      <c r="F186" s="4">
        <f>ROUND(Source!AY178,O186)</f>
        <v>466792.48</v>
      </c>
      <c r="G186" s="4" t="s">
        <v>269</v>
      </c>
      <c r="H186" s="4" t="s">
        <v>270</v>
      </c>
      <c r="I186" s="4"/>
      <c r="J186" s="4"/>
      <c r="K186" s="4">
        <v>228</v>
      </c>
      <c r="L186" s="4">
        <v>7</v>
      </c>
      <c r="M186" s="4">
        <v>3</v>
      </c>
      <c r="N186" s="4" t="s">
        <v>5</v>
      </c>
      <c r="O186" s="4">
        <v>2</v>
      </c>
      <c r="P186" s="4"/>
      <c r="Q186" s="4"/>
      <c r="R186" s="4"/>
      <c r="S186" s="4"/>
      <c r="T186" s="4"/>
      <c r="U186" s="4"/>
      <c r="V186" s="4"/>
      <c r="W186" s="4"/>
    </row>
    <row r="187" spans="1:206" x14ac:dyDescent="0.2">
      <c r="A187" s="4">
        <v>50</v>
      </c>
      <c r="B187" s="4">
        <v>0</v>
      </c>
      <c r="C187" s="4">
        <v>0</v>
      </c>
      <c r="D187" s="4">
        <v>1</v>
      </c>
      <c r="E187" s="4">
        <v>216</v>
      </c>
      <c r="F187" s="4">
        <f>ROUND(Source!AP178,O187)</f>
        <v>0</v>
      </c>
      <c r="G187" s="4" t="s">
        <v>271</v>
      </c>
      <c r="H187" s="4" t="s">
        <v>272</v>
      </c>
      <c r="I187" s="4"/>
      <c r="J187" s="4"/>
      <c r="K187" s="4">
        <v>216</v>
      </c>
      <c r="L187" s="4">
        <v>8</v>
      </c>
      <c r="M187" s="4">
        <v>3</v>
      </c>
      <c r="N187" s="4" t="s">
        <v>5</v>
      </c>
      <c r="O187" s="4">
        <v>2</v>
      </c>
      <c r="P187" s="4"/>
      <c r="Q187" s="4"/>
      <c r="R187" s="4"/>
      <c r="S187" s="4"/>
      <c r="T187" s="4"/>
      <c r="U187" s="4"/>
      <c r="V187" s="4"/>
      <c r="W187" s="4"/>
    </row>
    <row r="188" spans="1:206" x14ac:dyDescent="0.2">
      <c r="A188" s="4">
        <v>50</v>
      </c>
      <c r="B188" s="4">
        <v>0</v>
      </c>
      <c r="C188" s="4">
        <v>0</v>
      </c>
      <c r="D188" s="4">
        <v>1</v>
      </c>
      <c r="E188" s="4">
        <v>223</v>
      </c>
      <c r="F188" s="4">
        <f>ROUND(Source!AQ178,O188)</f>
        <v>0</v>
      </c>
      <c r="G188" s="4" t="s">
        <v>273</v>
      </c>
      <c r="H188" s="4" t="s">
        <v>274</v>
      </c>
      <c r="I188" s="4"/>
      <c r="J188" s="4"/>
      <c r="K188" s="4">
        <v>223</v>
      </c>
      <c r="L188" s="4">
        <v>9</v>
      </c>
      <c r="M188" s="4">
        <v>3</v>
      </c>
      <c r="N188" s="4" t="s">
        <v>5</v>
      </c>
      <c r="O188" s="4">
        <v>2</v>
      </c>
      <c r="P188" s="4"/>
      <c r="Q188" s="4"/>
      <c r="R188" s="4"/>
      <c r="S188" s="4"/>
      <c r="T188" s="4"/>
      <c r="U188" s="4"/>
      <c r="V188" s="4"/>
      <c r="W188" s="4"/>
    </row>
    <row r="189" spans="1:206" x14ac:dyDescent="0.2">
      <c r="A189" s="4">
        <v>50</v>
      </c>
      <c r="B189" s="4">
        <v>0</v>
      </c>
      <c r="C189" s="4">
        <v>0</v>
      </c>
      <c r="D189" s="4">
        <v>1</v>
      </c>
      <c r="E189" s="4">
        <v>229</v>
      </c>
      <c r="F189" s="4">
        <f>ROUND(Source!AZ178,O189)</f>
        <v>0</v>
      </c>
      <c r="G189" s="4" t="s">
        <v>275</v>
      </c>
      <c r="H189" s="4" t="s">
        <v>276</v>
      </c>
      <c r="I189" s="4"/>
      <c r="J189" s="4"/>
      <c r="K189" s="4">
        <v>229</v>
      </c>
      <c r="L189" s="4">
        <v>10</v>
      </c>
      <c r="M189" s="4">
        <v>3</v>
      </c>
      <c r="N189" s="4" t="s">
        <v>5</v>
      </c>
      <c r="O189" s="4">
        <v>2</v>
      </c>
      <c r="P189" s="4"/>
      <c r="Q189" s="4"/>
      <c r="R189" s="4"/>
      <c r="S189" s="4"/>
      <c r="T189" s="4"/>
      <c r="U189" s="4"/>
      <c r="V189" s="4"/>
      <c r="W189" s="4"/>
    </row>
    <row r="190" spans="1:206" x14ac:dyDescent="0.2">
      <c r="A190" s="4">
        <v>50</v>
      </c>
      <c r="B190" s="4">
        <v>0</v>
      </c>
      <c r="C190" s="4">
        <v>0</v>
      </c>
      <c r="D190" s="4">
        <v>1</v>
      </c>
      <c r="E190" s="4">
        <v>203</v>
      </c>
      <c r="F190" s="4">
        <f>ROUND(Source!Q178,O190)</f>
        <v>127635.69</v>
      </c>
      <c r="G190" s="4" t="s">
        <v>277</v>
      </c>
      <c r="H190" s="4" t="s">
        <v>278</v>
      </c>
      <c r="I190" s="4"/>
      <c r="J190" s="4"/>
      <c r="K190" s="4">
        <v>203</v>
      </c>
      <c r="L190" s="4">
        <v>11</v>
      </c>
      <c r="M190" s="4">
        <v>3</v>
      </c>
      <c r="N190" s="4" t="s">
        <v>5</v>
      </c>
      <c r="O190" s="4">
        <v>2</v>
      </c>
      <c r="P190" s="4"/>
      <c r="Q190" s="4"/>
      <c r="R190" s="4"/>
      <c r="S190" s="4"/>
      <c r="T190" s="4"/>
      <c r="U190" s="4"/>
      <c r="V190" s="4"/>
      <c r="W190" s="4"/>
    </row>
    <row r="191" spans="1:206" x14ac:dyDescent="0.2">
      <c r="A191" s="4">
        <v>50</v>
      </c>
      <c r="B191" s="4">
        <v>0</v>
      </c>
      <c r="C191" s="4">
        <v>0</v>
      </c>
      <c r="D191" s="4">
        <v>1</v>
      </c>
      <c r="E191" s="4">
        <v>231</v>
      </c>
      <c r="F191" s="4">
        <f>ROUND(Source!BB178,O191)</f>
        <v>0</v>
      </c>
      <c r="G191" s="4" t="s">
        <v>279</v>
      </c>
      <c r="H191" s="4" t="s">
        <v>280</v>
      </c>
      <c r="I191" s="4"/>
      <c r="J191" s="4"/>
      <c r="K191" s="4">
        <v>231</v>
      </c>
      <c r="L191" s="4">
        <v>12</v>
      </c>
      <c r="M191" s="4">
        <v>3</v>
      </c>
      <c r="N191" s="4" t="s">
        <v>5</v>
      </c>
      <c r="O191" s="4">
        <v>2</v>
      </c>
      <c r="P191" s="4"/>
      <c r="Q191" s="4"/>
      <c r="R191" s="4"/>
      <c r="S191" s="4"/>
      <c r="T191" s="4"/>
      <c r="U191" s="4"/>
      <c r="V191" s="4"/>
      <c r="W191" s="4"/>
    </row>
    <row r="192" spans="1:206" x14ac:dyDescent="0.2">
      <c r="A192" s="4">
        <v>50</v>
      </c>
      <c r="B192" s="4">
        <v>0</v>
      </c>
      <c r="C192" s="4">
        <v>0</v>
      </c>
      <c r="D192" s="4">
        <v>1</v>
      </c>
      <c r="E192" s="4">
        <v>204</v>
      </c>
      <c r="F192" s="4">
        <f>ROUND(Source!R178,O192)</f>
        <v>25201.9</v>
      </c>
      <c r="G192" s="4" t="s">
        <v>281</v>
      </c>
      <c r="H192" s="4" t="s">
        <v>282</v>
      </c>
      <c r="I192" s="4"/>
      <c r="J192" s="4"/>
      <c r="K192" s="4">
        <v>204</v>
      </c>
      <c r="L192" s="4">
        <v>13</v>
      </c>
      <c r="M192" s="4">
        <v>3</v>
      </c>
      <c r="N192" s="4" t="s">
        <v>5</v>
      </c>
      <c r="O192" s="4">
        <v>2</v>
      </c>
      <c r="P192" s="4"/>
      <c r="Q192" s="4"/>
      <c r="R192" s="4"/>
      <c r="S192" s="4"/>
      <c r="T192" s="4"/>
      <c r="U192" s="4"/>
      <c r="V192" s="4"/>
      <c r="W192" s="4"/>
    </row>
    <row r="193" spans="1:23" x14ac:dyDescent="0.2">
      <c r="A193" s="4">
        <v>50</v>
      </c>
      <c r="B193" s="4">
        <v>0</v>
      </c>
      <c r="C193" s="4">
        <v>0</v>
      </c>
      <c r="D193" s="4">
        <v>1</v>
      </c>
      <c r="E193" s="4">
        <v>205</v>
      </c>
      <c r="F193" s="4">
        <f>ROUND(Source!S178,O193)</f>
        <v>105400.89</v>
      </c>
      <c r="G193" s="4" t="s">
        <v>283</v>
      </c>
      <c r="H193" s="4" t="s">
        <v>284</v>
      </c>
      <c r="I193" s="4"/>
      <c r="J193" s="4"/>
      <c r="K193" s="4">
        <v>205</v>
      </c>
      <c r="L193" s="4">
        <v>14</v>
      </c>
      <c r="M193" s="4">
        <v>3</v>
      </c>
      <c r="N193" s="4" t="s">
        <v>5</v>
      </c>
      <c r="O193" s="4">
        <v>2</v>
      </c>
      <c r="P193" s="4"/>
      <c r="Q193" s="4"/>
      <c r="R193" s="4"/>
      <c r="S193" s="4"/>
      <c r="T193" s="4"/>
      <c r="U193" s="4"/>
      <c r="V193" s="4"/>
      <c r="W193" s="4"/>
    </row>
    <row r="194" spans="1:23" x14ac:dyDescent="0.2">
      <c r="A194" s="4">
        <v>50</v>
      </c>
      <c r="B194" s="4">
        <v>0</v>
      </c>
      <c r="C194" s="4">
        <v>0</v>
      </c>
      <c r="D194" s="4">
        <v>1</v>
      </c>
      <c r="E194" s="4">
        <v>232</v>
      </c>
      <c r="F194" s="4">
        <f>ROUND(Source!BC178,O194)</f>
        <v>0</v>
      </c>
      <c r="G194" s="4" t="s">
        <v>285</v>
      </c>
      <c r="H194" s="4" t="s">
        <v>286</v>
      </c>
      <c r="I194" s="4"/>
      <c r="J194" s="4"/>
      <c r="K194" s="4">
        <v>232</v>
      </c>
      <c r="L194" s="4">
        <v>15</v>
      </c>
      <c r="M194" s="4">
        <v>3</v>
      </c>
      <c r="N194" s="4" t="s">
        <v>5</v>
      </c>
      <c r="O194" s="4">
        <v>2</v>
      </c>
      <c r="P194" s="4"/>
      <c r="Q194" s="4"/>
      <c r="R194" s="4"/>
      <c r="S194" s="4"/>
      <c r="T194" s="4"/>
      <c r="U194" s="4"/>
      <c r="V194" s="4"/>
      <c r="W194" s="4"/>
    </row>
    <row r="195" spans="1:23" x14ac:dyDescent="0.2">
      <c r="A195" s="4">
        <v>50</v>
      </c>
      <c r="B195" s="4">
        <v>0</v>
      </c>
      <c r="C195" s="4">
        <v>0</v>
      </c>
      <c r="D195" s="4">
        <v>1</v>
      </c>
      <c r="E195" s="4">
        <v>214</v>
      </c>
      <c r="F195" s="4">
        <f>ROUND(Source!AS178,O195)</f>
        <v>822023.56</v>
      </c>
      <c r="G195" s="4" t="s">
        <v>287</v>
      </c>
      <c r="H195" s="4" t="s">
        <v>288</v>
      </c>
      <c r="I195" s="4"/>
      <c r="J195" s="4"/>
      <c r="K195" s="4">
        <v>214</v>
      </c>
      <c r="L195" s="4">
        <v>16</v>
      </c>
      <c r="M195" s="4">
        <v>3</v>
      </c>
      <c r="N195" s="4" t="s">
        <v>5</v>
      </c>
      <c r="O195" s="4">
        <v>2</v>
      </c>
      <c r="P195" s="4"/>
      <c r="Q195" s="4"/>
      <c r="R195" s="4"/>
      <c r="S195" s="4"/>
      <c r="T195" s="4"/>
      <c r="U195" s="4"/>
      <c r="V195" s="4"/>
      <c r="W195" s="4"/>
    </row>
    <row r="196" spans="1:23" x14ac:dyDescent="0.2">
      <c r="A196" s="4">
        <v>50</v>
      </c>
      <c r="B196" s="4">
        <v>0</v>
      </c>
      <c r="C196" s="4">
        <v>0</v>
      </c>
      <c r="D196" s="4">
        <v>1</v>
      </c>
      <c r="E196" s="4">
        <v>215</v>
      </c>
      <c r="F196" s="4">
        <f>ROUND(Source!AT178,O196)</f>
        <v>0</v>
      </c>
      <c r="G196" s="4" t="s">
        <v>289</v>
      </c>
      <c r="H196" s="4" t="s">
        <v>290</v>
      </c>
      <c r="I196" s="4"/>
      <c r="J196" s="4"/>
      <c r="K196" s="4">
        <v>215</v>
      </c>
      <c r="L196" s="4">
        <v>17</v>
      </c>
      <c r="M196" s="4">
        <v>3</v>
      </c>
      <c r="N196" s="4" t="s">
        <v>5</v>
      </c>
      <c r="O196" s="4">
        <v>2</v>
      </c>
      <c r="P196" s="4"/>
      <c r="Q196" s="4"/>
      <c r="R196" s="4"/>
      <c r="S196" s="4"/>
      <c r="T196" s="4"/>
      <c r="U196" s="4"/>
      <c r="V196" s="4"/>
      <c r="W196" s="4"/>
    </row>
    <row r="197" spans="1:23" x14ac:dyDescent="0.2">
      <c r="A197" s="4">
        <v>50</v>
      </c>
      <c r="B197" s="4">
        <v>0</v>
      </c>
      <c r="C197" s="4">
        <v>0</v>
      </c>
      <c r="D197" s="4">
        <v>1</v>
      </c>
      <c r="E197" s="4">
        <v>217</v>
      </c>
      <c r="F197" s="4">
        <f>ROUND(Source!AU178,O197)</f>
        <v>70575.75</v>
      </c>
      <c r="G197" s="4" t="s">
        <v>291</v>
      </c>
      <c r="H197" s="4" t="s">
        <v>292</v>
      </c>
      <c r="I197" s="4"/>
      <c r="J197" s="4"/>
      <c r="K197" s="4">
        <v>217</v>
      </c>
      <c r="L197" s="4">
        <v>18</v>
      </c>
      <c r="M197" s="4">
        <v>3</v>
      </c>
      <c r="N197" s="4" t="s">
        <v>5</v>
      </c>
      <c r="O197" s="4">
        <v>2</v>
      </c>
      <c r="P197" s="4"/>
      <c r="Q197" s="4"/>
      <c r="R197" s="4"/>
      <c r="S197" s="4"/>
      <c r="T197" s="4"/>
      <c r="U197" s="4"/>
      <c r="V197" s="4"/>
      <c r="W197" s="4"/>
    </row>
    <row r="198" spans="1:23" x14ac:dyDescent="0.2">
      <c r="A198" s="4">
        <v>50</v>
      </c>
      <c r="B198" s="4">
        <v>0</v>
      </c>
      <c r="C198" s="4">
        <v>0</v>
      </c>
      <c r="D198" s="4">
        <v>1</v>
      </c>
      <c r="E198" s="4">
        <v>230</v>
      </c>
      <c r="F198" s="4">
        <f>ROUND(Source!BA178,O198)</f>
        <v>0</v>
      </c>
      <c r="G198" s="4" t="s">
        <v>293</v>
      </c>
      <c r="H198" s="4" t="s">
        <v>294</v>
      </c>
      <c r="I198" s="4"/>
      <c r="J198" s="4"/>
      <c r="K198" s="4">
        <v>230</v>
      </c>
      <c r="L198" s="4">
        <v>19</v>
      </c>
      <c r="M198" s="4">
        <v>3</v>
      </c>
      <c r="N198" s="4" t="s">
        <v>5</v>
      </c>
      <c r="O198" s="4">
        <v>2</v>
      </c>
      <c r="P198" s="4"/>
      <c r="Q198" s="4"/>
      <c r="R198" s="4"/>
      <c r="S198" s="4"/>
      <c r="T198" s="4"/>
      <c r="U198" s="4"/>
      <c r="V198" s="4"/>
      <c r="W198" s="4"/>
    </row>
    <row r="199" spans="1:23" x14ac:dyDescent="0.2">
      <c r="A199" s="4">
        <v>50</v>
      </c>
      <c r="B199" s="4">
        <v>0</v>
      </c>
      <c r="C199" s="4">
        <v>0</v>
      </c>
      <c r="D199" s="4">
        <v>1</v>
      </c>
      <c r="E199" s="4">
        <v>206</v>
      </c>
      <c r="F199" s="4">
        <f>ROUND(Source!T178,O199)</f>
        <v>0</v>
      </c>
      <c r="G199" s="4" t="s">
        <v>295</v>
      </c>
      <c r="H199" s="4" t="s">
        <v>296</v>
      </c>
      <c r="I199" s="4"/>
      <c r="J199" s="4"/>
      <c r="K199" s="4">
        <v>206</v>
      </c>
      <c r="L199" s="4">
        <v>20</v>
      </c>
      <c r="M199" s="4">
        <v>3</v>
      </c>
      <c r="N199" s="4" t="s">
        <v>5</v>
      </c>
      <c r="O199" s="4">
        <v>2</v>
      </c>
      <c r="P199" s="4"/>
      <c r="Q199" s="4"/>
      <c r="R199" s="4"/>
      <c r="S199" s="4"/>
      <c r="T199" s="4"/>
      <c r="U199" s="4"/>
      <c r="V199" s="4"/>
      <c r="W199" s="4"/>
    </row>
    <row r="200" spans="1:23" x14ac:dyDescent="0.2">
      <c r="A200" s="4">
        <v>50</v>
      </c>
      <c r="B200" s="4">
        <v>0</v>
      </c>
      <c r="C200" s="4">
        <v>0</v>
      </c>
      <c r="D200" s="4">
        <v>1</v>
      </c>
      <c r="E200" s="4">
        <v>207</v>
      </c>
      <c r="F200" s="4">
        <f>Source!U178</f>
        <v>450.37135220819999</v>
      </c>
      <c r="G200" s="4" t="s">
        <v>297</v>
      </c>
      <c r="H200" s="4" t="s">
        <v>298</v>
      </c>
      <c r="I200" s="4"/>
      <c r="J200" s="4"/>
      <c r="K200" s="4">
        <v>207</v>
      </c>
      <c r="L200" s="4">
        <v>21</v>
      </c>
      <c r="M200" s="4">
        <v>3</v>
      </c>
      <c r="N200" s="4" t="s">
        <v>5</v>
      </c>
      <c r="O200" s="4">
        <v>-1</v>
      </c>
      <c r="P200" s="4"/>
      <c r="Q200" s="4"/>
      <c r="R200" s="4"/>
      <c r="S200" s="4"/>
      <c r="T200" s="4"/>
      <c r="U200" s="4"/>
      <c r="V200" s="4"/>
      <c r="W200" s="4"/>
    </row>
    <row r="201" spans="1:23" x14ac:dyDescent="0.2">
      <c r="A201" s="4">
        <v>50</v>
      </c>
      <c r="B201" s="4">
        <v>0</v>
      </c>
      <c r="C201" s="4">
        <v>0</v>
      </c>
      <c r="D201" s="4">
        <v>1</v>
      </c>
      <c r="E201" s="4">
        <v>208</v>
      </c>
      <c r="F201" s="4">
        <f>Source!V178</f>
        <v>0</v>
      </c>
      <c r="G201" s="4" t="s">
        <v>299</v>
      </c>
      <c r="H201" s="4" t="s">
        <v>300</v>
      </c>
      <c r="I201" s="4"/>
      <c r="J201" s="4"/>
      <c r="K201" s="4">
        <v>208</v>
      </c>
      <c r="L201" s="4">
        <v>22</v>
      </c>
      <c r="M201" s="4">
        <v>3</v>
      </c>
      <c r="N201" s="4" t="s">
        <v>5</v>
      </c>
      <c r="O201" s="4">
        <v>-1</v>
      </c>
      <c r="P201" s="4"/>
      <c r="Q201" s="4"/>
      <c r="R201" s="4"/>
      <c r="S201" s="4"/>
      <c r="T201" s="4"/>
      <c r="U201" s="4"/>
      <c r="V201" s="4"/>
      <c r="W201" s="4"/>
    </row>
    <row r="202" spans="1:23" x14ac:dyDescent="0.2">
      <c r="A202" s="4">
        <v>50</v>
      </c>
      <c r="B202" s="4">
        <v>0</v>
      </c>
      <c r="C202" s="4">
        <v>0</v>
      </c>
      <c r="D202" s="4">
        <v>1</v>
      </c>
      <c r="E202" s="4">
        <v>209</v>
      </c>
      <c r="F202" s="4">
        <f>ROUND(Source!W178,O202)</f>
        <v>0</v>
      </c>
      <c r="G202" s="4" t="s">
        <v>301</v>
      </c>
      <c r="H202" s="4" t="s">
        <v>302</v>
      </c>
      <c r="I202" s="4"/>
      <c r="J202" s="4"/>
      <c r="K202" s="4">
        <v>209</v>
      </c>
      <c r="L202" s="4">
        <v>23</v>
      </c>
      <c r="M202" s="4">
        <v>3</v>
      </c>
      <c r="N202" s="4" t="s">
        <v>5</v>
      </c>
      <c r="O202" s="4">
        <v>2</v>
      </c>
      <c r="P202" s="4"/>
      <c r="Q202" s="4"/>
      <c r="R202" s="4"/>
      <c r="S202" s="4"/>
      <c r="T202" s="4"/>
      <c r="U202" s="4"/>
      <c r="V202" s="4"/>
      <c r="W202" s="4"/>
    </row>
    <row r="203" spans="1:23" x14ac:dyDescent="0.2">
      <c r="A203" s="4">
        <v>50</v>
      </c>
      <c r="B203" s="4">
        <v>0</v>
      </c>
      <c r="C203" s="4">
        <v>0</v>
      </c>
      <c r="D203" s="4">
        <v>1</v>
      </c>
      <c r="E203" s="4">
        <v>233</v>
      </c>
      <c r="F203" s="4">
        <f>ROUND(Source!BD178,O203)</f>
        <v>0</v>
      </c>
      <c r="G203" s="4" t="s">
        <v>303</v>
      </c>
      <c r="H203" s="4" t="s">
        <v>304</v>
      </c>
      <c r="I203" s="4"/>
      <c r="J203" s="4"/>
      <c r="K203" s="4">
        <v>233</v>
      </c>
      <c r="L203" s="4">
        <v>24</v>
      </c>
      <c r="M203" s="4">
        <v>3</v>
      </c>
      <c r="N203" s="4" t="s">
        <v>5</v>
      </c>
      <c r="O203" s="4">
        <v>2</v>
      </c>
      <c r="P203" s="4"/>
      <c r="Q203" s="4"/>
      <c r="R203" s="4"/>
      <c r="S203" s="4"/>
      <c r="T203" s="4"/>
      <c r="U203" s="4"/>
      <c r="V203" s="4"/>
      <c r="W203" s="4"/>
    </row>
    <row r="204" spans="1:23" x14ac:dyDescent="0.2">
      <c r="A204" s="4">
        <v>50</v>
      </c>
      <c r="B204" s="4">
        <v>0</v>
      </c>
      <c r="C204" s="4">
        <v>0</v>
      </c>
      <c r="D204" s="4">
        <v>1</v>
      </c>
      <c r="E204" s="4">
        <v>210</v>
      </c>
      <c r="F204" s="4">
        <f>ROUND(Source!X178,O204)</f>
        <v>105999.26</v>
      </c>
      <c r="G204" s="4" t="s">
        <v>305</v>
      </c>
      <c r="H204" s="4" t="s">
        <v>306</v>
      </c>
      <c r="I204" s="4"/>
      <c r="J204" s="4"/>
      <c r="K204" s="4">
        <v>210</v>
      </c>
      <c r="L204" s="4">
        <v>25</v>
      </c>
      <c r="M204" s="4">
        <v>3</v>
      </c>
      <c r="N204" s="4" t="s">
        <v>5</v>
      </c>
      <c r="O204" s="4">
        <v>2</v>
      </c>
      <c r="P204" s="4"/>
      <c r="Q204" s="4"/>
      <c r="R204" s="4"/>
      <c r="S204" s="4"/>
      <c r="T204" s="4"/>
      <c r="U204" s="4"/>
      <c r="V204" s="4"/>
      <c r="W204" s="4"/>
    </row>
    <row r="205" spans="1:23" x14ac:dyDescent="0.2">
      <c r="A205" s="4">
        <v>50</v>
      </c>
      <c r="B205" s="4">
        <v>0</v>
      </c>
      <c r="C205" s="4">
        <v>0</v>
      </c>
      <c r="D205" s="4">
        <v>1</v>
      </c>
      <c r="E205" s="4">
        <v>211</v>
      </c>
      <c r="F205" s="4">
        <f>ROUND(Source!Y178,O205)</f>
        <v>47203.98</v>
      </c>
      <c r="G205" s="4" t="s">
        <v>307</v>
      </c>
      <c r="H205" s="4" t="s">
        <v>308</v>
      </c>
      <c r="I205" s="4"/>
      <c r="J205" s="4"/>
      <c r="K205" s="4">
        <v>211</v>
      </c>
      <c r="L205" s="4">
        <v>26</v>
      </c>
      <c r="M205" s="4">
        <v>3</v>
      </c>
      <c r="N205" s="4" t="s">
        <v>5</v>
      </c>
      <c r="O205" s="4">
        <v>2</v>
      </c>
      <c r="P205" s="4"/>
      <c r="Q205" s="4"/>
      <c r="R205" s="4"/>
      <c r="S205" s="4"/>
      <c r="T205" s="4"/>
      <c r="U205" s="4"/>
      <c r="V205" s="4"/>
      <c r="W205" s="4"/>
    </row>
    <row r="206" spans="1:23" x14ac:dyDescent="0.2">
      <c r="A206" s="4">
        <v>50</v>
      </c>
      <c r="B206" s="4">
        <v>0</v>
      </c>
      <c r="C206" s="4">
        <v>0</v>
      </c>
      <c r="D206" s="4">
        <v>1</v>
      </c>
      <c r="E206" s="4">
        <v>224</v>
      </c>
      <c r="F206" s="4">
        <f>ROUND(Source!AR178,O206)</f>
        <v>892599.31</v>
      </c>
      <c r="G206" s="4" t="s">
        <v>309</v>
      </c>
      <c r="H206" s="4" t="s">
        <v>310</v>
      </c>
      <c r="I206" s="4"/>
      <c r="J206" s="4"/>
      <c r="K206" s="4">
        <v>224</v>
      </c>
      <c r="L206" s="4">
        <v>27</v>
      </c>
      <c r="M206" s="4">
        <v>3</v>
      </c>
      <c r="N206" s="4" t="s">
        <v>5</v>
      </c>
      <c r="O206" s="4">
        <v>2</v>
      </c>
      <c r="P206" s="4"/>
      <c r="Q206" s="4"/>
      <c r="R206" s="4"/>
      <c r="S206" s="4"/>
      <c r="T206" s="4"/>
      <c r="U206" s="4"/>
      <c r="V206" s="4"/>
      <c r="W206" s="4"/>
    </row>
    <row r="207" spans="1:23" x14ac:dyDescent="0.2">
      <c r="A207" s="4">
        <v>50</v>
      </c>
      <c r="B207" s="4">
        <v>1</v>
      </c>
      <c r="C207" s="4">
        <v>0</v>
      </c>
      <c r="D207" s="4">
        <v>2</v>
      </c>
      <c r="E207" s="4">
        <v>0</v>
      </c>
      <c r="F207" s="4">
        <f>ROUND(F138,O207)</f>
        <v>822023.56</v>
      </c>
      <c r="G207" s="4" t="s">
        <v>323</v>
      </c>
      <c r="H207" s="4" t="s">
        <v>53</v>
      </c>
      <c r="I207" s="4"/>
      <c r="J207" s="4"/>
      <c r="K207" s="4">
        <v>212</v>
      </c>
      <c r="L207" s="4">
        <v>28</v>
      </c>
      <c r="M207" s="4">
        <v>0</v>
      </c>
      <c r="N207" s="4" t="s">
        <v>5</v>
      </c>
      <c r="O207" s="4">
        <v>2</v>
      </c>
      <c r="P207" s="4"/>
      <c r="Q207" s="4"/>
      <c r="R207" s="4"/>
      <c r="S207" s="4"/>
      <c r="T207" s="4"/>
      <c r="U207" s="4"/>
      <c r="V207" s="4"/>
      <c r="W207" s="4"/>
    </row>
    <row r="208" spans="1:23" x14ac:dyDescent="0.2">
      <c r="A208" s="4">
        <v>50</v>
      </c>
      <c r="B208" s="4">
        <v>1</v>
      </c>
      <c r="C208" s="4">
        <v>0</v>
      </c>
      <c r="D208" s="4">
        <v>2</v>
      </c>
      <c r="E208" s="4">
        <v>0</v>
      </c>
      <c r="F208" s="4">
        <f>ROUND(F207*0.015,O208)</f>
        <v>12330.35</v>
      </c>
      <c r="G208" s="4" t="s">
        <v>324</v>
      </c>
      <c r="H208" s="4" t="s">
        <v>325</v>
      </c>
      <c r="I208" s="4"/>
      <c r="J208" s="4"/>
      <c r="K208" s="4">
        <v>212</v>
      </c>
      <c r="L208" s="4">
        <v>29</v>
      </c>
      <c r="M208" s="4">
        <v>0</v>
      </c>
      <c r="N208" s="4" t="s">
        <v>5</v>
      </c>
      <c r="O208" s="4">
        <v>2</v>
      </c>
      <c r="P208" s="4"/>
      <c r="Q208" s="4"/>
      <c r="R208" s="4"/>
      <c r="S208" s="4"/>
      <c r="T208" s="4"/>
      <c r="U208" s="4"/>
      <c r="V208" s="4"/>
      <c r="W208" s="4"/>
    </row>
    <row r="209" spans="1:206" x14ac:dyDescent="0.2">
      <c r="A209" s="4">
        <v>50</v>
      </c>
      <c r="B209" s="4">
        <v>1</v>
      </c>
      <c r="C209" s="4">
        <v>0</v>
      </c>
      <c r="D209" s="4">
        <v>2</v>
      </c>
      <c r="E209" s="4">
        <v>0</v>
      </c>
      <c r="F209" s="4">
        <f>ROUND(F176,O209)</f>
        <v>70575.75</v>
      </c>
      <c r="G209" s="4" t="s">
        <v>326</v>
      </c>
      <c r="H209" s="4" t="s">
        <v>291</v>
      </c>
      <c r="I209" s="4"/>
      <c r="J209" s="4"/>
      <c r="K209" s="4">
        <v>212</v>
      </c>
      <c r="L209" s="4">
        <v>30</v>
      </c>
      <c r="M209" s="4">
        <v>0</v>
      </c>
      <c r="N209" s="4" t="s">
        <v>5</v>
      </c>
      <c r="O209" s="4">
        <v>2</v>
      </c>
      <c r="P209" s="4"/>
      <c r="Q209" s="4"/>
      <c r="R209" s="4"/>
      <c r="S209" s="4"/>
      <c r="T209" s="4"/>
      <c r="U209" s="4"/>
      <c r="V209" s="4"/>
      <c r="W209" s="4"/>
    </row>
    <row r="210" spans="1:206" x14ac:dyDescent="0.2">
      <c r="A210" s="4">
        <v>50</v>
      </c>
      <c r="B210" s="4">
        <v>1</v>
      </c>
      <c r="C210" s="4">
        <v>0</v>
      </c>
      <c r="D210" s="4">
        <v>2</v>
      </c>
      <c r="E210" s="4">
        <v>0</v>
      </c>
      <c r="F210" s="4">
        <f>ROUND(F209+F208+F207,O210)</f>
        <v>904929.66</v>
      </c>
      <c r="G210" s="4" t="s">
        <v>327</v>
      </c>
      <c r="H210" s="4" t="s">
        <v>328</v>
      </c>
      <c r="I210" s="4"/>
      <c r="J210" s="4"/>
      <c r="K210" s="4">
        <v>212</v>
      </c>
      <c r="L210" s="4">
        <v>31</v>
      </c>
      <c r="M210" s="4">
        <v>0</v>
      </c>
      <c r="N210" s="4" t="s">
        <v>5</v>
      </c>
      <c r="O210" s="4">
        <v>2</v>
      </c>
      <c r="P210" s="4"/>
      <c r="Q210" s="4"/>
      <c r="R210" s="4"/>
      <c r="S210" s="4"/>
      <c r="T210" s="4"/>
      <c r="U210" s="4"/>
      <c r="V210" s="4"/>
      <c r="W210" s="4"/>
    </row>
    <row r="211" spans="1:206" x14ac:dyDescent="0.2">
      <c r="A211" s="4">
        <v>50</v>
      </c>
      <c r="B211" s="4">
        <v>1</v>
      </c>
      <c r="C211" s="4">
        <v>0</v>
      </c>
      <c r="D211" s="4">
        <v>2</v>
      </c>
      <c r="E211" s="4">
        <v>0</v>
      </c>
      <c r="F211" s="4">
        <f>ROUND(F210*0.18,O211)</f>
        <v>162887.34</v>
      </c>
      <c r="G211" s="4" t="s">
        <v>329</v>
      </c>
      <c r="H211" s="4" t="s">
        <v>330</v>
      </c>
      <c r="I211" s="4"/>
      <c r="J211" s="4"/>
      <c r="K211" s="4">
        <v>212</v>
      </c>
      <c r="L211" s="4">
        <v>32</v>
      </c>
      <c r="M211" s="4">
        <v>0</v>
      </c>
      <c r="N211" s="4" t="s">
        <v>5</v>
      </c>
      <c r="O211" s="4">
        <v>2</v>
      </c>
      <c r="P211" s="4"/>
      <c r="Q211" s="4"/>
      <c r="R211" s="4"/>
      <c r="S211" s="4"/>
      <c r="T211" s="4"/>
      <c r="U211" s="4"/>
      <c r="V211" s="4"/>
      <c r="W211" s="4"/>
    </row>
    <row r="212" spans="1:206" x14ac:dyDescent="0.2">
      <c r="A212" s="4">
        <v>50</v>
      </c>
      <c r="B212" s="4">
        <v>1</v>
      </c>
      <c r="C212" s="4">
        <v>0</v>
      </c>
      <c r="D212" s="4">
        <v>2</v>
      </c>
      <c r="E212" s="4">
        <v>0</v>
      </c>
      <c r="F212" s="4">
        <f>ROUND(F211+F210,O212)</f>
        <v>1067817</v>
      </c>
      <c r="G212" s="4" t="s">
        <v>331</v>
      </c>
      <c r="H212" s="4" t="s">
        <v>332</v>
      </c>
      <c r="I212" s="4"/>
      <c r="J212" s="4"/>
      <c r="K212" s="4">
        <v>212</v>
      </c>
      <c r="L212" s="4">
        <v>33</v>
      </c>
      <c r="M212" s="4">
        <v>0</v>
      </c>
      <c r="N212" s="4" t="s">
        <v>5</v>
      </c>
      <c r="O212" s="4">
        <v>2</v>
      </c>
      <c r="P212" s="4"/>
      <c r="Q212" s="4"/>
      <c r="R212" s="4"/>
      <c r="S212" s="4"/>
      <c r="T212" s="4"/>
      <c r="U212" s="4"/>
      <c r="V212" s="4"/>
      <c r="W212" s="4"/>
    </row>
    <row r="214" spans="1:206" x14ac:dyDescent="0.2">
      <c r="A214" s="2">
        <v>51</v>
      </c>
      <c r="B214" s="2">
        <f>B12</f>
        <v>250</v>
      </c>
      <c r="C214" s="2">
        <f>A12</f>
        <v>1</v>
      </c>
      <c r="D214" s="2">
        <f>ROW(A12)</f>
        <v>12</v>
      </c>
      <c r="E214" s="2"/>
      <c r="F214" s="2" t="str">
        <f>IF(F12&lt;&gt;"",F12,"")</f>
        <v>50-2016-БО_(Копия)</v>
      </c>
      <c r="G214" s="2" t="str">
        <f>IF(G12&lt;&gt;"",G12,"")</f>
        <v>Технологическое присоединение к электрической сети энергопринимающих устройств 20кВ ООО "Энергии Технологии" к КРУ 20 кВ ТЭС "Международная" ООО "Ситиэнерго" для электроснабжения энергопринимающих  устройств, по адресу: г.Москва, ул. Беговая, д.32</v>
      </c>
      <c r="H214" s="2">
        <v>0</v>
      </c>
      <c r="I214" s="2"/>
      <c r="J214" s="2"/>
      <c r="K214" s="2"/>
      <c r="L214" s="2"/>
      <c r="M214" s="2"/>
      <c r="N214" s="2"/>
      <c r="O214" s="2">
        <f t="shared" ref="O214:T214" si="242">ROUND(O178,2)</f>
        <v>699829.06</v>
      </c>
      <c r="P214" s="2">
        <f t="shared" si="242"/>
        <v>466792.48</v>
      </c>
      <c r="Q214" s="2">
        <f t="shared" si="242"/>
        <v>127635.69</v>
      </c>
      <c r="R214" s="2">
        <f t="shared" si="242"/>
        <v>25201.9</v>
      </c>
      <c r="S214" s="2">
        <f t="shared" si="242"/>
        <v>105400.89</v>
      </c>
      <c r="T214" s="2">
        <f t="shared" si="242"/>
        <v>0</v>
      </c>
      <c r="U214" s="2">
        <f>U178</f>
        <v>450.37135220819999</v>
      </c>
      <c r="V214" s="2">
        <f>V178</f>
        <v>0</v>
      </c>
      <c r="W214" s="2">
        <f>ROUND(W178,2)</f>
        <v>0</v>
      </c>
      <c r="X214" s="2">
        <f>ROUND(X178,2)</f>
        <v>105999.26</v>
      </c>
      <c r="Y214" s="2">
        <f>ROUND(Y178,2)</f>
        <v>47203.98</v>
      </c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>
        <f t="shared" ref="AO214:BD214" si="243">ROUND(AO178,2)</f>
        <v>0</v>
      </c>
      <c r="AP214" s="2">
        <f t="shared" si="243"/>
        <v>0</v>
      </c>
      <c r="AQ214" s="2">
        <f t="shared" si="243"/>
        <v>0</v>
      </c>
      <c r="AR214" s="2">
        <f t="shared" si="243"/>
        <v>892599.31</v>
      </c>
      <c r="AS214" s="2">
        <f t="shared" si="243"/>
        <v>822023.56</v>
      </c>
      <c r="AT214" s="2">
        <f t="shared" si="243"/>
        <v>0</v>
      </c>
      <c r="AU214" s="2">
        <f t="shared" si="243"/>
        <v>70575.75</v>
      </c>
      <c r="AV214" s="2">
        <f t="shared" si="243"/>
        <v>466792.48</v>
      </c>
      <c r="AW214" s="2">
        <f t="shared" si="243"/>
        <v>466792.48</v>
      </c>
      <c r="AX214" s="2">
        <f t="shared" si="243"/>
        <v>0</v>
      </c>
      <c r="AY214" s="2">
        <f t="shared" si="243"/>
        <v>466792.48</v>
      </c>
      <c r="AZ214" s="2">
        <f t="shared" si="243"/>
        <v>0</v>
      </c>
      <c r="BA214" s="2">
        <f t="shared" si="243"/>
        <v>0</v>
      </c>
      <c r="BB214" s="2">
        <f t="shared" si="243"/>
        <v>0</v>
      </c>
      <c r="BC214" s="2">
        <f t="shared" si="243"/>
        <v>0</v>
      </c>
      <c r="BD214" s="2">
        <f t="shared" si="243"/>
        <v>0</v>
      </c>
      <c r="BE214" s="2"/>
      <c r="BF214" s="2"/>
      <c r="BG214" s="2"/>
      <c r="BH214" s="2"/>
      <c r="BI214" s="2"/>
      <c r="BJ214" s="2"/>
      <c r="BK214" s="2"/>
      <c r="BL214" s="2"/>
      <c r="BM214" s="2"/>
      <c r="BN214" s="2"/>
      <c r="BO214" s="2"/>
      <c r="BP214" s="2"/>
      <c r="BQ214" s="2"/>
      <c r="BR214" s="2"/>
      <c r="BS214" s="2"/>
      <c r="BT214" s="2"/>
      <c r="BU214" s="2"/>
      <c r="BV214" s="2"/>
      <c r="BW214" s="2"/>
      <c r="BX214" s="2"/>
      <c r="BY214" s="2"/>
      <c r="BZ214" s="2"/>
      <c r="CA214" s="2"/>
      <c r="CB214" s="2"/>
      <c r="CC214" s="2"/>
      <c r="CD214" s="2"/>
      <c r="CE214" s="2"/>
      <c r="CF214" s="2"/>
      <c r="CG214" s="2"/>
      <c r="CH214" s="2"/>
      <c r="CI214" s="2"/>
      <c r="CJ214" s="2"/>
      <c r="CK214" s="2"/>
      <c r="CL214" s="2"/>
      <c r="CM214" s="2"/>
      <c r="CN214" s="2"/>
      <c r="CO214" s="2"/>
      <c r="CP214" s="2"/>
      <c r="CQ214" s="2"/>
      <c r="CR214" s="2"/>
      <c r="CS214" s="2"/>
      <c r="CT214" s="2"/>
      <c r="CU214" s="2"/>
      <c r="CV214" s="2"/>
      <c r="CW214" s="2"/>
      <c r="CX214" s="2"/>
      <c r="CY214" s="2"/>
      <c r="CZ214" s="2"/>
      <c r="DA214" s="2"/>
      <c r="DB214" s="2"/>
      <c r="DC214" s="2"/>
      <c r="DD214" s="2"/>
      <c r="DE214" s="2"/>
      <c r="DF214" s="2"/>
      <c r="DG214" s="3"/>
      <c r="DH214" s="3"/>
      <c r="DI214" s="3"/>
      <c r="DJ214" s="3"/>
      <c r="DK214" s="3"/>
      <c r="DL214" s="3"/>
      <c r="DM214" s="3"/>
      <c r="DN214" s="3"/>
      <c r="DO214" s="3"/>
      <c r="DP214" s="3"/>
      <c r="DQ214" s="3"/>
      <c r="DR214" s="3"/>
      <c r="DS214" s="3"/>
      <c r="DT214" s="3"/>
      <c r="DU214" s="3"/>
      <c r="DV214" s="3"/>
      <c r="DW214" s="3"/>
      <c r="DX214" s="3"/>
      <c r="DY214" s="3"/>
      <c r="DZ214" s="3"/>
      <c r="EA214" s="3"/>
      <c r="EB214" s="3"/>
      <c r="EC214" s="3"/>
      <c r="ED214" s="3"/>
      <c r="EE214" s="3"/>
      <c r="EF214" s="3"/>
      <c r="EG214" s="3"/>
      <c r="EH214" s="3"/>
      <c r="EI214" s="3"/>
      <c r="EJ214" s="3"/>
      <c r="EK214" s="3"/>
      <c r="EL214" s="3"/>
      <c r="EM214" s="3"/>
      <c r="EN214" s="3"/>
      <c r="EO214" s="3"/>
      <c r="EP214" s="3"/>
      <c r="EQ214" s="3"/>
      <c r="ER214" s="3"/>
      <c r="ES214" s="3"/>
      <c r="ET214" s="3"/>
      <c r="EU214" s="3"/>
      <c r="EV214" s="3"/>
      <c r="EW214" s="3"/>
      <c r="EX214" s="3"/>
      <c r="EY214" s="3"/>
      <c r="EZ214" s="3"/>
      <c r="FA214" s="3"/>
      <c r="FB214" s="3"/>
      <c r="FC214" s="3"/>
      <c r="FD214" s="3"/>
      <c r="FE214" s="3"/>
      <c r="FF214" s="3"/>
      <c r="FG214" s="3"/>
      <c r="FH214" s="3"/>
      <c r="FI214" s="3"/>
      <c r="FJ214" s="3"/>
      <c r="FK214" s="3"/>
      <c r="FL214" s="3"/>
      <c r="FM214" s="3"/>
      <c r="FN214" s="3"/>
      <c r="FO214" s="3"/>
      <c r="FP214" s="3"/>
      <c r="FQ214" s="3"/>
      <c r="FR214" s="3"/>
      <c r="FS214" s="3"/>
      <c r="FT214" s="3"/>
      <c r="FU214" s="3"/>
      <c r="FV214" s="3"/>
      <c r="FW214" s="3"/>
      <c r="FX214" s="3"/>
      <c r="FY214" s="3"/>
      <c r="FZ214" s="3"/>
      <c r="GA214" s="3"/>
      <c r="GB214" s="3"/>
      <c r="GC214" s="3"/>
      <c r="GD214" s="3"/>
      <c r="GE214" s="3"/>
      <c r="GF214" s="3"/>
      <c r="GG214" s="3"/>
      <c r="GH214" s="3"/>
      <c r="GI214" s="3"/>
      <c r="GJ214" s="3"/>
      <c r="GK214" s="3"/>
      <c r="GL214" s="3"/>
      <c r="GM214" s="3"/>
      <c r="GN214" s="3"/>
      <c r="GO214" s="3"/>
      <c r="GP214" s="3"/>
      <c r="GQ214" s="3"/>
      <c r="GR214" s="3"/>
      <c r="GS214" s="3"/>
      <c r="GT214" s="3"/>
      <c r="GU214" s="3"/>
      <c r="GV214" s="3"/>
      <c r="GW214" s="3"/>
      <c r="GX214" s="3">
        <v>0</v>
      </c>
    </row>
    <row r="216" spans="1:206" x14ac:dyDescent="0.2">
      <c r="A216" s="4">
        <v>50</v>
      </c>
      <c r="B216" s="4">
        <v>0</v>
      </c>
      <c r="C216" s="4">
        <v>0</v>
      </c>
      <c r="D216" s="4">
        <v>1</v>
      </c>
      <c r="E216" s="4">
        <v>201</v>
      </c>
      <c r="F216" s="4">
        <f>ROUND(Source!O214,O216)</f>
        <v>699829.06</v>
      </c>
      <c r="G216" s="4" t="s">
        <v>257</v>
      </c>
      <c r="H216" s="4" t="s">
        <v>258</v>
      </c>
      <c r="I216" s="4"/>
      <c r="J216" s="4"/>
      <c r="K216" s="4">
        <v>201</v>
      </c>
      <c r="L216" s="4">
        <v>1</v>
      </c>
      <c r="M216" s="4">
        <v>3</v>
      </c>
      <c r="N216" s="4" t="s">
        <v>5</v>
      </c>
      <c r="O216" s="4">
        <v>2</v>
      </c>
      <c r="P216" s="4"/>
      <c r="Q216" s="4"/>
      <c r="R216" s="4"/>
      <c r="S216" s="4"/>
      <c r="T216" s="4"/>
      <c r="U216" s="4"/>
      <c r="V216" s="4"/>
      <c r="W216" s="4"/>
    </row>
    <row r="217" spans="1:206" x14ac:dyDescent="0.2">
      <c r="A217" s="4">
        <v>50</v>
      </c>
      <c r="B217" s="4">
        <v>0</v>
      </c>
      <c r="C217" s="4">
        <v>0</v>
      </c>
      <c r="D217" s="4">
        <v>1</v>
      </c>
      <c r="E217" s="4">
        <v>202</v>
      </c>
      <c r="F217" s="4">
        <f>ROUND(Source!P214,O217)</f>
        <v>466792.48</v>
      </c>
      <c r="G217" s="4" t="s">
        <v>259</v>
      </c>
      <c r="H217" s="4" t="s">
        <v>260</v>
      </c>
      <c r="I217" s="4"/>
      <c r="J217" s="4"/>
      <c r="K217" s="4">
        <v>202</v>
      </c>
      <c r="L217" s="4">
        <v>2</v>
      </c>
      <c r="M217" s="4">
        <v>3</v>
      </c>
      <c r="N217" s="4" t="s">
        <v>5</v>
      </c>
      <c r="O217" s="4">
        <v>2</v>
      </c>
      <c r="P217" s="4"/>
      <c r="Q217" s="4"/>
      <c r="R217" s="4"/>
      <c r="S217" s="4"/>
      <c r="T217" s="4"/>
      <c r="U217" s="4"/>
      <c r="V217" s="4"/>
      <c r="W217" s="4"/>
    </row>
    <row r="218" spans="1:206" x14ac:dyDescent="0.2">
      <c r="A218" s="4">
        <v>50</v>
      </c>
      <c r="B218" s="4">
        <v>0</v>
      </c>
      <c r="C218" s="4">
        <v>0</v>
      </c>
      <c r="D218" s="4">
        <v>1</v>
      </c>
      <c r="E218" s="4">
        <v>222</v>
      </c>
      <c r="F218" s="4">
        <f>ROUND(Source!AO214,O218)</f>
        <v>0</v>
      </c>
      <c r="G218" s="4" t="s">
        <v>261</v>
      </c>
      <c r="H218" s="4" t="s">
        <v>262</v>
      </c>
      <c r="I218" s="4"/>
      <c r="J218" s="4"/>
      <c r="K218" s="4">
        <v>222</v>
      </c>
      <c r="L218" s="4">
        <v>3</v>
      </c>
      <c r="M218" s="4">
        <v>3</v>
      </c>
      <c r="N218" s="4" t="s">
        <v>5</v>
      </c>
      <c r="O218" s="4">
        <v>2</v>
      </c>
      <c r="P218" s="4"/>
      <c r="Q218" s="4"/>
      <c r="R218" s="4"/>
      <c r="S218" s="4"/>
      <c r="T218" s="4"/>
      <c r="U218" s="4"/>
      <c r="V218" s="4"/>
      <c r="W218" s="4"/>
    </row>
    <row r="219" spans="1:206" x14ac:dyDescent="0.2">
      <c r="A219" s="4">
        <v>50</v>
      </c>
      <c r="B219" s="4">
        <v>0</v>
      </c>
      <c r="C219" s="4">
        <v>0</v>
      </c>
      <c r="D219" s="4">
        <v>1</v>
      </c>
      <c r="E219" s="4">
        <v>225</v>
      </c>
      <c r="F219" s="4">
        <f>ROUND(Source!AV214,O219)</f>
        <v>466792.48</v>
      </c>
      <c r="G219" s="4" t="s">
        <v>263</v>
      </c>
      <c r="H219" s="4" t="s">
        <v>264</v>
      </c>
      <c r="I219" s="4"/>
      <c r="J219" s="4"/>
      <c r="K219" s="4">
        <v>225</v>
      </c>
      <c r="L219" s="4">
        <v>4</v>
      </c>
      <c r="M219" s="4">
        <v>3</v>
      </c>
      <c r="N219" s="4" t="s">
        <v>5</v>
      </c>
      <c r="O219" s="4">
        <v>2</v>
      </c>
      <c r="P219" s="4"/>
      <c r="Q219" s="4"/>
      <c r="R219" s="4"/>
      <c r="S219" s="4"/>
      <c r="T219" s="4"/>
      <c r="U219" s="4"/>
      <c r="V219" s="4"/>
      <c r="W219" s="4"/>
    </row>
    <row r="220" spans="1:206" x14ac:dyDescent="0.2">
      <c r="A220" s="4">
        <v>50</v>
      </c>
      <c r="B220" s="4">
        <v>0</v>
      </c>
      <c r="C220" s="4">
        <v>0</v>
      </c>
      <c r="D220" s="4">
        <v>1</v>
      </c>
      <c r="E220" s="4">
        <v>226</v>
      </c>
      <c r="F220" s="4">
        <f>ROUND(Source!AW214,O220)</f>
        <v>466792.48</v>
      </c>
      <c r="G220" s="4" t="s">
        <v>265</v>
      </c>
      <c r="H220" s="4" t="s">
        <v>266</v>
      </c>
      <c r="I220" s="4"/>
      <c r="J220" s="4"/>
      <c r="K220" s="4">
        <v>226</v>
      </c>
      <c r="L220" s="4">
        <v>5</v>
      </c>
      <c r="M220" s="4">
        <v>3</v>
      </c>
      <c r="N220" s="4" t="s">
        <v>5</v>
      </c>
      <c r="O220" s="4">
        <v>2</v>
      </c>
      <c r="P220" s="4"/>
      <c r="Q220" s="4"/>
      <c r="R220" s="4"/>
      <c r="S220" s="4"/>
      <c r="T220" s="4"/>
      <c r="U220" s="4"/>
      <c r="V220" s="4"/>
      <c r="W220" s="4"/>
    </row>
    <row r="221" spans="1:206" x14ac:dyDescent="0.2">
      <c r="A221" s="4">
        <v>50</v>
      </c>
      <c r="B221" s="4">
        <v>0</v>
      </c>
      <c r="C221" s="4">
        <v>0</v>
      </c>
      <c r="D221" s="4">
        <v>1</v>
      </c>
      <c r="E221" s="4">
        <v>227</v>
      </c>
      <c r="F221" s="4">
        <f>ROUND(Source!AX214,O221)</f>
        <v>0</v>
      </c>
      <c r="G221" s="4" t="s">
        <v>267</v>
      </c>
      <c r="H221" s="4" t="s">
        <v>268</v>
      </c>
      <c r="I221" s="4"/>
      <c r="J221" s="4"/>
      <c r="K221" s="4">
        <v>227</v>
      </c>
      <c r="L221" s="4">
        <v>6</v>
      </c>
      <c r="M221" s="4">
        <v>3</v>
      </c>
      <c r="N221" s="4" t="s">
        <v>5</v>
      </c>
      <c r="O221" s="4">
        <v>2</v>
      </c>
      <c r="P221" s="4"/>
      <c r="Q221" s="4"/>
      <c r="R221" s="4"/>
      <c r="S221" s="4"/>
      <c r="T221" s="4"/>
      <c r="U221" s="4"/>
      <c r="V221" s="4"/>
      <c r="W221" s="4"/>
    </row>
    <row r="222" spans="1:206" x14ac:dyDescent="0.2">
      <c r="A222" s="4">
        <v>50</v>
      </c>
      <c r="B222" s="4">
        <v>0</v>
      </c>
      <c r="C222" s="4">
        <v>0</v>
      </c>
      <c r="D222" s="4">
        <v>1</v>
      </c>
      <c r="E222" s="4">
        <v>228</v>
      </c>
      <c r="F222" s="4">
        <f>ROUND(Source!AY214,O222)</f>
        <v>466792.48</v>
      </c>
      <c r="G222" s="4" t="s">
        <v>269</v>
      </c>
      <c r="H222" s="4" t="s">
        <v>270</v>
      </c>
      <c r="I222" s="4"/>
      <c r="J222" s="4"/>
      <c r="K222" s="4">
        <v>228</v>
      </c>
      <c r="L222" s="4">
        <v>7</v>
      </c>
      <c r="M222" s="4">
        <v>3</v>
      </c>
      <c r="N222" s="4" t="s">
        <v>5</v>
      </c>
      <c r="O222" s="4">
        <v>2</v>
      </c>
      <c r="P222" s="4"/>
      <c r="Q222" s="4"/>
      <c r="R222" s="4"/>
      <c r="S222" s="4"/>
      <c r="T222" s="4"/>
      <c r="U222" s="4"/>
      <c r="V222" s="4"/>
      <c r="W222" s="4"/>
    </row>
    <row r="223" spans="1:206" x14ac:dyDescent="0.2">
      <c r="A223" s="4">
        <v>50</v>
      </c>
      <c r="B223" s="4">
        <v>0</v>
      </c>
      <c r="C223" s="4">
        <v>0</v>
      </c>
      <c r="D223" s="4">
        <v>1</v>
      </c>
      <c r="E223" s="4">
        <v>216</v>
      </c>
      <c r="F223" s="4">
        <f>ROUND(Source!AP214,O223)</f>
        <v>0</v>
      </c>
      <c r="G223" s="4" t="s">
        <v>271</v>
      </c>
      <c r="H223" s="4" t="s">
        <v>272</v>
      </c>
      <c r="I223" s="4"/>
      <c r="J223" s="4"/>
      <c r="K223" s="4">
        <v>216</v>
      </c>
      <c r="L223" s="4">
        <v>8</v>
      </c>
      <c r="M223" s="4">
        <v>3</v>
      </c>
      <c r="N223" s="4" t="s">
        <v>5</v>
      </c>
      <c r="O223" s="4">
        <v>2</v>
      </c>
      <c r="P223" s="4"/>
      <c r="Q223" s="4"/>
      <c r="R223" s="4"/>
      <c r="S223" s="4"/>
      <c r="T223" s="4"/>
      <c r="U223" s="4"/>
      <c r="V223" s="4"/>
      <c r="W223" s="4"/>
    </row>
    <row r="224" spans="1:206" x14ac:dyDescent="0.2">
      <c r="A224" s="4">
        <v>50</v>
      </c>
      <c r="B224" s="4">
        <v>0</v>
      </c>
      <c r="C224" s="4">
        <v>0</v>
      </c>
      <c r="D224" s="4">
        <v>1</v>
      </c>
      <c r="E224" s="4">
        <v>223</v>
      </c>
      <c r="F224" s="4">
        <f>ROUND(Source!AQ214,O224)</f>
        <v>0</v>
      </c>
      <c r="G224" s="4" t="s">
        <v>273</v>
      </c>
      <c r="H224" s="4" t="s">
        <v>274</v>
      </c>
      <c r="I224" s="4"/>
      <c r="J224" s="4"/>
      <c r="K224" s="4">
        <v>223</v>
      </c>
      <c r="L224" s="4">
        <v>9</v>
      </c>
      <c r="M224" s="4">
        <v>3</v>
      </c>
      <c r="N224" s="4" t="s">
        <v>5</v>
      </c>
      <c r="O224" s="4">
        <v>2</v>
      </c>
      <c r="P224" s="4"/>
      <c r="Q224" s="4"/>
      <c r="R224" s="4"/>
      <c r="S224" s="4"/>
      <c r="T224" s="4"/>
      <c r="U224" s="4"/>
      <c r="V224" s="4"/>
      <c r="W224" s="4"/>
    </row>
    <row r="225" spans="1:23" x14ac:dyDescent="0.2">
      <c r="A225" s="4">
        <v>50</v>
      </c>
      <c r="B225" s="4">
        <v>0</v>
      </c>
      <c r="C225" s="4">
        <v>0</v>
      </c>
      <c r="D225" s="4">
        <v>1</v>
      </c>
      <c r="E225" s="4">
        <v>229</v>
      </c>
      <c r="F225" s="4">
        <f>ROUND(Source!AZ214,O225)</f>
        <v>0</v>
      </c>
      <c r="G225" s="4" t="s">
        <v>275</v>
      </c>
      <c r="H225" s="4" t="s">
        <v>276</v>
      </c>
      <c r="I225" s="4"/>
      <c r="J225" s="4"/>
      <c r="K225" s="4">
        <v>229</v>
      </c>
      <c r="L225" s="4">
        <v>10</v>
      </c>
      <c r="M225" s="4">
        <v>3</v>
      </c>
      <c r="N225" s="4" t="s">
        <v>5</v>
      </c>
      <c r="O225" s="4">
        <v>2</v>
      </c>
      <c r="P225" s="4"/>
      <c r="Q225" s="4"/>
      <c r="R225" s="4"/>
      <c r="S225" s="4"/>
      <c r="T225" s="4"/>
      <c r="U225" s="4"/>
      <c r="V225" s="4"/>
      <c r="W225" s="4"/>
    </row>
    <row r="226" spans="1:23" x14ac:dyDescent="0.2">
      <c r="A226" s="4">
        <v>50</v>
      </c>
      <c r="B226" s="4">
        <v>0</v>
      </c>
      <c r="C226" s="4">
        <v>0</v>
      </c>
      <c r="D226" s="4">
        <v>1</v>
      </c>
      <c r="E226" s="4">
        <v>203</v>
      </c>
      <c r="F226" s="4">
        <f>ROUND(Source!Q214,O226)</f>
        <v>127635.69</v>
      </c>
      <c r="G226" s="4" t="s">
        <v>277</v>
      </c>
      <c r="H226" s="4" t="s">
        <v>278</v>
      </c>
      <c r="I226" s="4"/>
      <c r="J226" s="4"/>
      <c r="K226" s="4">
        <v>203</v>
      </c>
      <c r="L226" s="4">
        <v>11</v>
      </c>
      <c r="M226" s="4">
        <v>3</v>
      </c>
      <c r="N226" s="4" t="s">
        <v>5</v>
      </c>
      <c r="O226" s="4">
        <v>2</v>
      </c>
      <c r="P226" s="4"/>
      <c r="Q226" s="4"/>
      <c r="R226" s="4"/>
      <c r="S226" s="4"/>
      <c r="T226" s="4"/>
      <c r="U226" s="4"/>
      <c r="V226" s="4"/>
      <c r="W226" s="4"/>
    </row>
    <row r="227" spans="1:23" x14ac:dyDescent="0.2">
      <c r="A227" s="4">
        <v>50</v>
      </c>
      <c r="B227" s="4">
        <v>0</v>
      </c>
      <c r="C227" s="4">
        <v>0</v>
      </c>
      <c r="D227" s="4">
        <v>1</v>
      </c>
      <c r="E227" s="4">
        <v>231</v>
      </c>
      <c r="F227" s="4">
        <f>ROUND(Source!BB214,O227)</f>
        <v>0</v>
      </c>
      <c r="G227" s="4" t="s">
        <v>279</v>
      </c>
      <c r="H227" s="4" t="s">
        <v>280</v>
      </c>
      <c r="I227" s="4"/>
      <c r="J227" s="4"/>
      <c r="K227" s="4">
        <v>231</v>
      </c>
      <c r="L227" s="4">
        <v>12</v>
      </c>
      <c r="M227" s="4">
        <v>3</v>
      </c>
      <c r="N227" s="4" t="s">
        <v>5</v>
      </c>
      <c r="O227" s="4">
        <v>2</v>
      </c>
      <c r="P227" s="4"/>
      <c r="Q227" s="4"/>
      <c r="R227" s="4"/>
      <c r="S227" s="4"/>
      <c r="T227" s="4"/>
      <c r="U227" s="4"/>
      <c r="V227" s="4"/>
      <c r="W227" s="4"/>
    </row>
    <row r="228" spans="1:23" x14ac:dyDescent="0.2">
      <c r="A228" s="4">
        <v>50</v>
      </c>
      <c r="B228" s="4">
        <v>0</v>
      </c>
      <c r="C228" s="4">
        <v>0</v>
      </c>
      <c r="D228" s="4">
        <v>1</v>
      </c>
      <c r="E228" s="4">
        <v>204</v>
      </c>
      <c r="F228" s="4">
        <f>ROUND(Source!R214,O228)</f>
        <v>25201.9</v>
      </c>
      <c r="G228" s="4" t="s">
        <v>281</v>
      </c>
      <c r="H228" s="4" t="s">
        <v>282</v>
      </c>
      <c r="I228" s="4"/>
      <c r="J228" s="4"/>
      <c r="K228" s="4">
        <v>204</v>
      </c>
      <c r="L228" s="4">
        <v>13</v>
      </c>
      <c r="M228" s="4">
        <v>3</v>
      </c>
      <c r="N228" s="4" t="s">
        <v>5</v>
      </c>
      <c r="O228" s="4">
        <v>2</v>
      </c>
      <c r="P228" s="4"/>
      <c r="Q228" s="4"/>
      <c r="R228" s="4"/>
      <c r="S228" s="4"/>
      <c r="T228" s="4"/>
      <c r="U228" s="4"/>
      <c r="V228" s="4"/>
      <c r="W228" s="4"/>
    </row>
    <row r="229" spans="1:23" x14ac:dyDescent="0.2">
      <c r="A229" s="4">
        <v>50</v>
      </c>
      <c r="B229" s="4">
        <v>0</v>
      </c>
      <c r="C229" s="4">
        <v>0</v>
      </c>
      <c r="D229" s="4">
        <v>1</v>
      </c>
      <c r="E229" s="4">
        <v>205</v>
      </c>
      <c r="F229" s="4">
        <f>ROUND(Source!S214,O229)</f>
        <v>105400.89</v>
      </c>
      <c r="G229" s="4" t="s">
        <v>283</v>
      </c>
      <c r="H229" s="4" t="s">
        <v>284</v>
      </c>
      <c r="I229" s="4"/>
      <c r="J229" s="4"/>
      <c r="K229" s="4">
        <v>205</v>
      </c>
      <c r="L229" s="4">
        <v>14</v>
      </c>
      <c r="M229" s="4">
        <v>3</v>
      </c>
      <c r="N229" s="4" t="s">
        <v>5</v>
      </c>
      <c r="O229" s="4">
        <v>2</v>
      </c>
      <c r="P229" s="4"/>
      <c r="Q229" s="4"/>
      <c r="R229" s="4"/>
      <c r="S229" s="4"/>
      <c r="T229" s="4"/>
      <c r="U229" s="4"/>
      <c r="V229" s="4"/>
      <c r="W229" s="4"/>
    </row>
    <row r="230" spans="1:23" x14ac:dyDescent="0.2">
      <c r="A230" s="4">
        <v>50</v>
      </c>
      <c r="B230" s="4">
        <v>0</v>
      </c>
      <c r="C230" s="4">
        <v>0</v>
      </c>
      <c r="D230" s="4">
        <v>1</v>
      </c>
      <c r="E230" s="4">
        <v>232</v>
      </c>
      <c r="F230" s="4">
        <f>ROUND(Source!BC214,O230)</f>
        <v>0</v>
      </c>
      <c r="G230" s="4" t="s">
        <v>285</v>
      </c>
      <c r="H230" s="4" t="s">
        <v>286</v>
      </c>
      <c r="I230" s="4"/>
      <c r="J230" s="4"/>
      <c r="K230" s="4">
        <v>232</v>
      </c>
      <c r="L230" s="4">
        <v>15</v>
      </c>
      <c r="M230" s="4">
        <v>3</v>
      </c>
      <c r="N230" s="4" t="s">
        <v>5</v>
      </c>
      <c r="O230" s="4">
        <v>2</v>
      </c>
      <c r="P230" s="4"/>
      <c r="Q230" s="4"/>
      <c r="R230" s="4"/>
      <c r="S230" s="4"/>
      <c r="T230" s="4"/>
      <c r="U230" s="4"/>
      <c r="V230" s="4"/>
      <c r="W230" s="4"/>
    </row>
    <row r="231" spans="1:23" x14ac:dyDescent="0.2">
      <c r="A231" s="4">
        <v>50</v>
      </c>
      <c r="B231" s="4">
        <v>0</v>
      </c>
      <c r="C231" s="4">
        <v>0</v>
      </c>
      <c r="D231" s="4">
        <v>1</v>
      </c>
      <c r="E231" s="4">
        <v>214</v>
      </c>
      <c r="F231" s="4">
        <f>ROUND(Source!AS214,O231)</f>
        <v>822023.56</v>
      </c>
      <c r="G231" s="4" t="s">
        <v>287</v>
      </c>
      <c r="H231" s="4" t="s">
        <v>288</v>
      </c>
      <c r="I231" s="4"/>
      <c r="J231" s="4"/>
      <c r="K231" s="4">
        <v>214</v>
      </c>
      <c r="L231" s="4">
        <v>16</v>
      </c>
      <c r="M231" s="4">
        <v>3</v>
      </c>
      <c r="N231" s="4" t="s">
        <v>5</v>
      </c>
      <c r="O231" s="4">
        <v>2</v>
      </c>
      <c r="P231" s="4"/>
      <c r="Q231" s="4"/>
      <c r="R231" s="4"/>
      <c r="S231" s="4"/>
      <c r="T231" s="4"/>
      <c r="U231" s="4"/>
      <c r="V231" s="4"/>
      <c r="W231" s="4"/>
    </row>
    <row r="232" spans="1:23" x14ac:dyDescent="0.2">
      <c r="A232" s="4">
        <v>50</v>
      </c>
      <c r="B232" s="4">
        <v>0</v>
      </c>
      <c r="C232" s="4">
        <v>0</v>
      </c>
      <c r="D232" s="4">
        <v>1</v>
      </c>
      <c r="E232" s="4">
        <v>215</v>
      </c>
      <c r="F232" s="4">
        <f>ROUND(Source!AT214,O232)</f>
        <v>0</v>
      </c>
      <c r="G232" s="4" t="s">
        <v>289</v>
      </c>
      <c r="H232" s="4" t="s">
        <v>290</v>
      </c>
      <c r="I232" s="4"/>
      <c r="J232" s="4"/>
      <c r="K232" s="4">
        <v>215</v>
      </c>
      <c r="L232" s="4">
        <v>17</v>
      </c>
      <c r="M232" s="4">
        <v>3</v>
      </c>
      <c r="N232" s="4" t="s">
        <v>5</v>
      </c>
      <c r="O232" s="4">
        <v>2</v>
      </c>
      <c r="P232" s="4"/>
      <c r="Q232" s="4"/>
      <c r="R232" s="4"/>
      <c r="S232" s="4"/>
      <c r="T232" s="4"/>
      <c r="U232" s="4"/>
      <c r="V232" s="4"/>
      <c r="W232" s="4"/>
    </row>
    <row r="233" spans="1:23" x14ac:dyDescent="0.2">
      <c r="A233" s="4">
        <v>50</v>
      </c>
      <c r="B233" s="4">
        <v>0</v>
      </c>
      <c r="C233" s="4">
        <v>0</v>
      </c>
      <c r="D233" s="4">
        <v>1</v>
      </c>
      <c r="E233" s="4">
        <v>217</v>
      </c>
      <c r="F233" s="4">
        <f>ROUND(Source!AU214,O233)</f>
        <v>70575.75</v>
      </c>
      <c r="G233" s="4" t="s">
        <v>291</v>
      </c>
      <c r="H233" s="4" t="s">
        <v>292</v>
      </c>
      <c r="I233" s="4"/>
      <c r="J233" s="4"/>
      <c r="K233" s="4">
        <v>217</v>
      </c>
      <c r="L233" s="4">
        <v>18</v>
      </c>
      <c r="M233" s="4">
        <v>3</v>
      </c>
      <c r="N233" s="4" t="s">
        <v>5</v>
      </c>
      <c r="O233" s="4">
        <v>2</v>
      </c>
      <c r="P233" s="4"/>
      <c r="Q233" s="4"/>
      <c r="R233" s="4"/>
      <c r="S233" s="4"/>
      <c r="T233" s="4"/>
      <c r="U233" s="4"/>
      <c r="V233" s="4"/>
      <c r="W233" s="4"/>
    </row>
    <row r="234" spans="1:23" x14ac:dyDescent="0.2">
      <c r="A234" s="4">
        <v>50</v>
      </c>
      <c r="B234" s="4">
        <v>0</v>
      </c>
      <c r="C234" s="4">
        <v>0</v>
      </c>
      <c r="D234" s="4">
        <v>1</v>
      </c>
      <c r="E234" s="4">
        <v>230</v>
      </c>
      <c r="F234" s="4">
        <f>ROUND(Source!BA214,O234)</f>
        <v>0</v>
      </c>
      <c r="G234" s="4" t="s">
        <v>293</v>
      </c>
      <c r="H234" s="4" t="s">
        <v>294</v>
      </c>
      <c r="I234" s="4"/>
      <c r="J234" s="4"/>
      <c r="K234" s="4">
        <v>230</v>
      </c>
      <c r="L234" s="4">
        <v>19</v>
      </c>
      <c r="M234" s="4">
        <v>3</v>
      </c>
      <c r="N234" s="4" t="s">
        <v>5</v>
      </c>
      <c r="O234" s="4">
        <v>2</v>
      </c>
      <c r="P234" s="4"/>
      <c r="Q234" s="4"/>
      <c r="R234" s="4"/>
      <c r="S234" s="4"/>
      <c r="T234" s="4"/>
      <c r="U234" s="4"/>
      <c r="V234" s="4"/>
      <c r="W234" s="4"/>
    </row>
    <row r="235" spans="1:23" x14ac:dyDescent="0.2">
      <c r="A235" s="4">
        <v>50</v>
      </c>
      <c r="B235" s="4">
        <v>0</v>
      </c>
      <c r="C235" s="4">
        <v>0</v>
      </c>
      <c r="D235" s="4">
        <v>1</v>
      </c>
      <c r="E235" s="4">
        <v>206</v>
      </c>
      <c r="F235" s="4">
        <f>ROUND(Source!T214,O235)</f>
        <v>0</v>
      </c>
      <c r="G235" s="4" t="s">
        <v>295</v>
      </c>
      <c r="H235" s="4" t="s">
        <v>296</v>
      </c>
      <c r="I235" s="4"/>
      <c r="J235" s="4"/>
      <c r="K235" s="4">
        <v>206</v>
      </c>
      <c r="L235" s="4">
        <v>20</v>
      </c>
      <c r="M235" s="4">
        <v>3</v>
      </c>
      <c r="N235" s="4" t="s">
        <v>5</v>
      </c>
      <c r="O235" s="4">
        <v>2</v>
      </c>
      <c r="P235" s="4"/>
      <c r="Q235" s="4"/>
      <c r="R235" s="4"/>
      <c r="S235" s="4"/>
      <c r="T235" s="4"/>
      <c r="U235" s="4"/>
      <c r="V235" s="4"/>
      <c r="W235" s="4"/>
    </row>
    <row r="236" spans="1:23" x14ac:dyDescent="0.2">
      <c r="A236" s="4">
        <v>50</v>
      </c>
      <c r="B236" s="4">
        <v>0</v>
      </c>
      <c r="C236" s="4">
        <v>0</v>
      </c>
      <c r="D236" s="4">
        <v>1</v>
      </c>
      <c r="E236" s="4">
        <v>207</v>
      </c>
      <c r="F236" s="4">
        <f>Source!U214</f>
        <v>450.37135220819999</v>
      </c>
      <c r="G236" s="4" t="s">
        <v>297</v>
      </c>
      <c r="H236" s="4" t="s">
        <v>298</v>
      </c>
      <c r="I236" s="4"/>
      <c r="J236" s="4"/>
      <c r="K236" s="4">
        <v>207</v>
      </c>
      <c r="L236" s="4">
        <v>21</v>
      </c>
      <c r="M236" s="4">
        <v>3</v>
      </c>
      <c r="N236" s="4" t="s">
        <v>5</v>
      </c>
      <c r="O236" s="4">
        <v>-1</v>
      </c>
      <c r="P236" s="4"/>
      <c r="Q236" s="4"/>
      <c r="R236" s="4"/>
      <c r="S236" s="4"/>
      <c r="T236" s="4"/>
      <c r="U236" s="4"/>
      <c r="V236" s="4"/>
      <c r="W236" s="4"/>
    </row>
    <row r="237" spans="1:23" x14ac:dyDescent="0.2">
      <c r="A237" s="4">
        <v>50</v>
      </c>
      <c r="B237" s="4">
        <v>0</v>
      </c>
      <c r="C237" s="4">
        <v>0</v>
      </c>
      <c r="D237" s="4">
        <v>1</v>
      </c>
      <c r="E237" s="4">
        <v>208</v>
      </c>
      <c r="F237" s="4">
        <f>Source!V214</f>
        <v>0</v>
      </c>
      <c r="G237" s="4" t="s">
        <v>299</v>
      </c>
      <c r="H237" s="4" t="s">
        <v>300</v>
      </c>
      <c r="I237" s="4"/>
      <c r="J237" s="4"/>
      <c r="K237" s="4">
        <v>208</v>
      </c>
      <c r="L237" s="4">
        <v>22</v>
      </c>
      <c r="M237" s="4">
        <v>3</v>
      </c>
      <c r="N237" s="4" t="s">
        <v>5</v>
      </c>
      <c r="O237" s="4">
        <v>-1</v>
      </c>
      <c r="P237" s="4"/>
      <c r="Q237" s="4"/>
      <c r="R237" s="4"/>
      <c r="S237" s="4"/>
      <c r="T237" s="4"/>
      <c r="U237" s="4"/>
      <c r="V237" s="4"/>
      <c r="W237" s="4"/>
    </row>
    <row r="238" spans="1:23" x14ac:dyDescent="0.2">
      <c r="A238" s="4">
        <v>50</v>
      </c>
      <c r="B238" s="4">
        <v>0</v>
      </c>
      <c r="C238" s="4">
        <v>0</v>
      </c>
      <c r="D238" s="4">
        <v>1</v>
      </c>
      <c r="E238" s="4">
        <v>209</v>
      </c>
      <c r="F238" s="4">
        <f>ROUND(Source!W214,O238)</f>
        <v>0</v>
      </c>
      <c r="G238" s="4" t="s">
        <v>301</v>
      </c>
      <c r="H238" s="4" t="s">
        <v>302</v>
      </c>
      <c r="I238" s="4"/>
      <c r="J238" s="4"/>
      <c r="K238" s="4">
        <v>209</v>
      </c>
      <c r="L238" s="4">
        <v>23</v>
      </c>
      <c r="M238" s="4">
        <v>3</v>
      </c>
      <c r="N238" s="4" t="s">
        <v>5</v>
      </c>
      <c r="O238" s="4">
        <v>2</v>
      </c>
      <c r="P238" s="4"/>
      <c r="Q238" s="4"/>
      <c r="R238" s="4"/>
      <c r="S238" s="4"/>
      <c r="T238" s="4"/>
      <c r="U238" s="4"/>
      <c r="V238" s="4"/>
      <c r="W238" s="4"/>
    </row>
    <row r="239" spans="1:23" x14ac:dyDescent="0.2">
      <c r="A239" s="4">
        <v>50</v>
      </c>
      <c r="B239" s="4">
        <v>0</v>
      </c>
      <c r="C239" s="4">
        <v>0</v>
      </c>
      <c r="D239" s="4">
        <v>1</v>
      </c>
      <c r="E239" s="4">
        <v>233</v>
      </c>
      <c r="F239" s="4">
        <f>ROUND(Source!BD214,O239)</f>
        <v>0</v>
      </c>
      <c r="G239" s="4" t="s">
        <v>303</v>
      </c>
      <c r="H239" s="4" t="s">
        <v>304</v>
      </c>
      <c r="I239" s="4"/>
      <c r="J239" s="4"/>
      <c r="K239" s="4">
        <v>233</v>
      </c>
      <c r="L239" s="4">
        <v>24</v>
      </c>
      <c r="M239" s="4">
        <v>3</v>
      </c>
      <c r="N239" s="4" t="s">
        <v>5</v>
      </c>
      <c r="O239" s="4">
        <v>2</v>
      </c>
      <c r="P239" s="4"/>
      <c r="Q239" s="4"/>
      <c r="R239" s="4"/>
      <c r="S239" s="4"/>
      <c r="T239" s="4"/>
      <c r="U239" s="4"/>
      <c r="V239" s="4"/>
      <c r="W239" s="4"/>
    </row>
    <row r="240" spans="1:23" x14ac:dyDescent="0.2">
      <c r="A240" s="4">
        <v>50</v>
      </c>
      <c r="B240" s="4">
        <v>0</v>
      </c>
      <c r="C240" s="4">
        <v>0</v>
      </c>
      <c r="D240" s="4">
        <v>1</v>
      </c>
      <c r="E240" s="4">
        <v>210</v>
      </c>
      <c r="F240" s="4">
        <f>ROUND(Source!X214,O240)</f>
        <v>105999.26</v>
      </c>
      <c r="G240" s="4" t="s">
        <v>305</v>
      </c>
      <c r="H240" s="4" t="s">
        <v>306</v>
      </c>
      <c r="I240" s="4"/>
      <c r="J240" s="4"/>
      <c r="K240" s="4">
        <v>210</v>
      </c>
      <c r="L240" s="4">
        <v>25</v>
      </c>
      <c r="M240" s="4">
        <v>3</v>
      </c>
      <c r="N240" s="4" t="s">
        <v>5</v>
      </c>
      <c r="O240" s="4">
        <v>2</v>
      </c>
      <c r="P240" s="4"/>
      <c r="Q240" s="4"/>
      <c r="R240" s="4"/>
      <c r="S240" s="4"/>
      <c r="T240" s="4"/>
      <c r="U240" s="4"/>
      <c r="V240" s="4"/>
      <c r="W240" s="4"/>
    </row>
    <row r="241" spans="1:27" x14ac:dyDescent="0.2">
      <c r="A241" s="4">
        <v>50</v>
      </c>
      <c r="B241" s="4">
        <v>0</v>
      </c>
      <c r="C241" s="4">
        <v>0</v>
      </c>
      <c r="D241" s="4">
        <v>1</v>
      </c>
      <c r="E241" s="4">
        <v>211</v>
      </c>
      <c r="F241" s="4">
        <f>ROUND(Source!Y214,O241)</f>
        <v>47203.98</v>
      </c>
      <c r="G241" s="4" t="s">
        <v>307</v>
      </c>
      <c r="H241" s="4" t="s">
        <v>308</v>
      </c>
      <c r="I241" s="4"/>
      <c r="J241" s="4"/>
      <c r="K241" s="4">
        <v>211</v>
      </c>
      <c r="L241" s="4">
        <v>26</v>
      </c>
      <c r="M241" s="4">
        <v>3</v>
      </c>
      <c r="N241" s="4" t="s">
        <v>5</v>
      </c>
      <c r="O241" s="4">
        <v>2</v>
      </c>
      <c r="P241" s="4"/>
      <c r="Q241" s="4"/>
      <c r="R241" s="4"/>
      <c r="S241" s="4"/>
      <c r="T241" s="4"/>
      <c r="U241" s="4"/>
      <c r="V241" s="4"/>
      <c r="W241" s="4"/>
    </row>
    <row r="242" spans="1:27" x14ac:dyDescent="0.2">
      <c r="A242" s="4">
        <v>50</v>
      </c>
      <c r="B242" s="4">
        <v>0</v>
      </c>
      <c r="C242" s="4">
        <v>0</v>
      </c>
      <c r="D242" s="4">
        <v>1</v>
      </c>
      <c r="E242" s="4">
        <v>224</v>
      </c>
      <c r="F242" s="4">
        <f>ROUND(Source!AR214,O242)</f>
        <v>892599.31</v>
      </c>
      <c r="G242" s="4" t="s">
        <v>309</v>
      </c>
      <c r="H242" s="4" t="s">
        <v>310</v>
      </c>
      <c r="I242" s="4"/>
      <c r="J242" s="4"/>
      <c r="K242" s="4">
        <v>224</v>
      </c>
      <c r="L242" s="4">
        <v>27</v>
      </c>
      <c r="M242" s="4">
        <v>3</v>
      </c>
      <c r="N242" s="4" t="s">
        <v>5</v>
      </c>
      <c r="O242" s="4">
        <v>2</v>
      </c>
      <c r="P242" s="4"/>
      <c r="Q242" s="4"/>
      <c r="R242" s="4"/>
      <c r="S242" s="4"/>
      <c r="T242" s="4"/>
      <c r="U242" s="4"/>
      <c r="V242" s="4"/>
      <c r="W242" s="4"/>
    </row>
    <row r="243" spans="1:27" x14ac:dyDescent="0.2">
      <c r="A243" s="4">
        <v>50</v>
      </c>
      <c r="B243" s="4">
        <v>1</v>
      </c>
      <c r="C243" s="4">
        <v>0</v>
      </c>
      <c r="D243" s="4">
        <v>2</v>
      </c>
      <c r="E243" s="4">
        <v>0</v>
      </c>
      <c r="F243" s="4">
        <f>ROUND(F216+F240+F241+F228*1.67,O243)</f>
        <v>895119.47</v>
      </c>
      <c r="G243" s="4" t="s">
        <v>333</v>
      </c>
      <c r="H243" s="4" t="s">
        <v>333</v>
      </c>
      <c r="I243" s="4"/>
      <c r="J243" s="4"/>
      <c r="K243" s="4">
        <v>212</v>
      </c>
      <c r="L243" s="4">
        <v>28</v>
      </c>
      <c r="M243" s="4">
        <v>0</v>
      </c>
      <c r="N243" s="4" t="s">
        <v>5</v>
      </c>
      <c r="O243" s="4">
        <v>2</v>
      </c>
      <c r="P243" s="4"/>
      <c r="Q243" s="4"/>
      <c r="R243" s="4"/>
      <c r="S243" s="4"/>
      <c r="T243" s="4"/>
      <c r="U243" s="4"/>
      <c r="V243" s="4"/>
      <c r="W243" s="4"/>
    </row>
    <row r="244" spans="1:27" x14ac:dyDescent="0.2">
      <c r="A244" s="4">
        <v>50</v>
      </c>
      <c r="B244" s="4">
        <v>1</v>
      </c>
      <c r="C244" s="4">
        <v>0</v>
      </c>
      <c r="D244" s="4">
        <v>2</v>
      </c>
      <c r="E244" s="4">
        <v>0</v>
      </c>
      <c r="F244" s="4">
        <f>ROUND(F243*0.18,O244)</f>
        <v>161121.5</v>
      </c>
      <c r="G244" s="4" t="s">
        <v>334</v>
      </c>
      <c r="H244" s="4" t="s">
        <v>335</v>
      </c>
      <c r="I244" s="4"/>
      <c r="J244" s="4"/>
      <c r="K244" s="4">
        <v>212</v>
      </c>
      <c r="L244" s="4">
        <v>29</v>
      </c>
      <c r="M244" s="4">
        <v>0</v>
      </c>
      <c r="N244" s="4" t="s">
        <v>5</v>
      </c>
      <c r="O244" s="4">
        <v>2</v>
      </c>
      <c r="P244" s="4"/>
      <c r="Q244" s="4"/>
      <c r="R244" s="4"/>
      <c r="S244" s="4"/>
      <c r="T244" s="4"/>
      <c r="U244" s="4"/>
      <c r="V244" s="4"/>
      <c r="W244" s="4"/>
    </row>
    <row r="245" spans="1:27" x14ac:dyDescent="0.2">
      <c r="A245" s="4">
        <v>50</v>
      </c>
      <c r="B245" s="4">
        <v>1</v>
      </c>
      <c r="C245" s="4">
        <v>0</v>
      </c>
      <c r="D245" s="4">
        <v>2</v>
      </c>
      <c r="E245" s="4">
        <v>213</v>
      </c>
      <c r="F245" s="4">
        <f>ROUND(F243+F244,O245)</f>
        <v>1056240.97</v>
      </c>
      <c r="G245" s="4" t="s">
        <v>328</v>
      </c>
      <c r="H245" s="4" t="s">
        <v>328</v>
      </c>
      <c r="I245" s="4"/>
      <c r="J245" s="4"/>
      <c r="K245" s="4">
        <v>212</v>
      </c>
      <c r="L245" s="4">
        <v>30</v>
      </c>
      <c r="M245" s="4">
        <v>0</v>
      </c>
      <c r="N245" s="4" t="s">
        <v>5</v>
      </c>
      <c r="O245" s="4">
        <v>2</v>
      </c>
      <c r="P245" s="4"/>
      <c r="Q245" s="4"/>
      <c r="R245" s="4"/>
      <c r="S245" s="4"/>
      <c r="T245" s="4"/>
      <c r="U245" s="4"/>
      <c r="V245" s="4"/>
      <c r="W245" s="4"/>
    </row>
    <row r="248" spans="1:27" x14ac:dyDescent="0.2">
      <c r="A248">
        <v>-1</v>
      </c>
    </row>
    <row r="250" spans="1:27" x14ac:dyDescent="0.2">
      <c r="A250" s="3">
        <v>75</v>
      </c>
      <c r="B250" s="3" t="s">
        <v>336</v>
      </c>
      <c r="C250" s="3">
        <v>2019</v>
      </c>
      <c r="D250" s="3">
        <v>0</v>
      </c>
      <c r="E250" s="3">
        <v>2</v>
      </c>
      <c r="F250" s="3"/>
      <c r="G250" s="3">
        <v>0</v>
      </c>
      <c r="H250" s="3">
        <v>2</v>
      </c>
      <c r="I250" s="3">
        <v>1</v>
      </c>
      <c r="J250" s="3">
        <v>1</v>
      </c>
      <c r="K250" s="3">
        <v>93</v>
      </c>
      <c r="L250" s="3">
        <v>64</v>
      </c>
      <c r="M250" s="3">
        <v>0</v>
      </c>
      <c r="N250" s="3">
        <v>44169784</v>
      </c>
      <c r="O250" s="3">
        <v>1</v>
      </c>
    </row>
    <row r="251" spans="1:27" x14ac:dyDescent="0.2">
      <c r="A251" s="5">
        <v>1</v>
      </c>
      <c r="B251" s="5" t="s">
        <v>337</v>
      </c>
      <c r="C251" s="5" t="s">
        <v>338</v>
      </c>
      <c r="D251" s="5">
        <v>2019</v>
      </c>
      <c r="E251" s="5">
        <v>2</v>
      </c>
      <c r="F251" s="5">
        <v>1</v>
      </c>
      <c r="G251" s="5">
        <v>1</v>
      </c>
      <c r="H251" s="5">
        <v>0</v>
      </c>
      <c r="I251" s="5">
        <v>2</v>
      </c>
      <c r="J251" s="5">
        <v>1</v>
      </c>
      <c r="K251" s="5">
        <v>1</v>
      </c>
      <c r="L251" s="5">
        <v>1</v>
      </c>
      <c r="M251" s="5">
        <v>1</v>
      </c>
      <c r="N251" s="5">
        <v>1</v>
      </c>
      <c r="O251" s="5">
        <v>1</v>
      </c>
      <c r="P251" s="5">
        <v>1</v>
      </c>
      <c r="Q251" s="5">
        <v>1</v>
      </c>
      <c r="R251" s="5" t="s">
        <v>5</v>
      </c>
      <c r="S251" s="5" t="s">
        <v>5</v>
      </c>
      <c r="T251" s="5" t="s">
        <v>5</v>
      </c>
      <c r="U251" s="5" t="s">
        <v>5</v>
      </c>
      <c r="V251" s="5" t="s">
        <v>5</v>
      </c>
      <c r="W251" s="5" t="s">
        <v>5</v>
      </c>
      <c r="X251" s="5" t="s">
        <v>5</v>
      </c>
      <c r="Y251" s="5" t="s">
        <v>5</v>
      </c>
      <c r="Z251" s="5" t="s">
        <v>5</v>
      </c>
      <c r="AA251" s="5" t="s">
        <v>339</v>
      </c>
    </row>
    <row r="255" spans="1:27" x14ac:dyDescent="0.2">
      <c r="A255">
        <v>65</v>
      </c>
      <c r="C255">
        <v>1</v>
      </c>
      <c r="D255">
        <v>0</v>
      </c>
      <c r="E255">
        <v>245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C55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340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0</v>
      </c>
      <c r="L1">
        <v>28578</v>
      </c>
      <c r="M1">
        <v>10</v>
      </c>
      <c r="N1">
        <v>11</v>
      </c>
      <c r="O1">
        <v>0</v>
      </c>
      <c r="P1">
        <v>0</v>
      </c>
      <c r="Q1">
        <v>3</v>
      </c>
    </row>
    <row r="12" spans="1:133" x14ac:dyDescent="0.2">
      <c r="A12" s="1">
        <v>1</v>
      </c>
      <c r="B12" s="1">
        <v>54</v>
      </c>
      <c r="C12" s="1">
        <v>0</v>
      </c>
      <c r="D12" s="1"/>
      <c r="E12" s="1">
        <v>0</v>
      </c>
      <c r="F12" s="1" t="s">
        <v>4</v>
      </c>
      <c r="G12" s="1" t="s">
        <v>490</v>
      </c>
      <c r="H12" s="1" t="s">
        <v>5</v>
      </c>
      <c r="I12" s="1">
        <v>0</v>
      </c>
      <c r="J12" s="1" t="s">
        <v>6</v>
      </c>
      <c r="K12" s="1">
        <v>0</v>
      </c>
      <c r="L12" s="1"/>
      <c r="M12" s="1"/>
      <c r="N12" s="1"/>
      <c r="O12" s="1">
        <v>0</v>
      </c>
      <c r="P12" s="1">
        <v>0</v>
      </c>
      <c r="Q12" s="1">
        <v>0</v>
      </c>
      <c r="R12" s="1">
        <v>157</v>
      </c>
      <c r="S12" s="1"/>
      <c r="T12" s="1"/>
      <c r="U12" s="1" t="s">
        <v>5</v>
      </c>
      <c r="V12" s="1">
        <v>0</v>
      </c>
      <c r="W12" s="1" t="s">
        <v>5</v>
      </c>
      <c r="X12" s="1" t="s">
        <v>5</v>
      </c>
      <c r="Y12" s="1" t="s">
        <v>5</v>
      </c>
      <c r="Z12" s="1" t="s">
        <v>5</v>
      </c>
      <c r="AA12" s="1" t="s">
        <v>5</v>
      </c>
      <c r="AB12" s="1" t="s">
        <v>5</v>
      </c>
      <c r="AC12" s="1" t="s">
        <v>5</v>
      </c>
      <c r="AD12" s="1" t="s">
        <v>5</v>
      </c>
      <c r="AE12" s="1" t="s">
        <v>5</v>
      </c>
      <c r="AF12" s="1" t="s">
        <v>5</v>
      </c>
      <c r="AG12" s="1" t="s">
        <v>5</v>
      </c>
      <c r="AH12" s="1" t="s">
        <v>7</v>
      </c>
      <c r="AI12" s="1" t="s">
        <v>8</v>
      </c>
      <c r="AJ12" s="1" t="s">
        <v>9</v>
      </c>
      <c r="AK12" s="1"/>
      <c r="AL12" s="1" t="s">
        <v>10</v>
      </c>
      <c r="AM12" s="1" t="s">
        <v>8</v>
      </c>
      <c r="AN12" s="1" t="s">
        <v>11</v>
      </c>
      <c r="AO12" s="1"/>
      <c r="AP12" s="1" t="s">
        <v>5</v>
      </c>
      <c r="AQ12" s="1" t="s">
        <v>5</v>
      </c>
      <c r="AR12" s="1" t="s">
        <v>5</v>
      </c>
      <c r="AS12" s="1"/>
      <c r="AT12" s="1"/>
      <c r="AU12" s="1"/>
      <c r="AV12" s="1"/>
      <c r="AW12" s="1"/>
      <c r="AX12" s="1" t="s">
        <v>9</v>
      </c>
      <c r="AY12" s="1" t="s">
        <v>11</v>
      </c>
      <c r="AZ12" s="1" t="s">
        <v>5</v>
      </c>
      <c r="BA12" s="1"/>
      <c r="BB12" s="1"/>
      <c r="BC12" s="1"/>
      <c r="BD12" s="1"/>
      <c r="BE12" s="1"/>
      <c r="BF12" s="1"/>
      <c r="BG12" s="1"/>
      <c r="BH12" s="1" t="s">
        <v>12</v>
      </c>
      <c r="BI12" s="1" t="s">
        <v>13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0</v>
      </c>
      <c r="BW12" s="1">
        <v>0</v>
      </c>
      <c r="BX12" s="1">
        <v>0</v>
      </c>
      <c r="BY12" s="1" t="s">
        <v>14</v>
      </c>
      <c r="BZ12" s="1" t="s">
        <v>15</v>
      </c>
      <c r="CA12" s="1" t="s">
        <v>16</v>
      </c>
      <c r="CB12" s="1" t="s">
        <v>16</v>
      </c>
      <c r="CC12" s="1" t="s">
        <v>16</v>
      </c>
      <c r="CD12" s="1" t="s">
        <v>16</v>
      </c>
      <c r="CE12" s="1" t="s">
        <v>17</v>
      </c>
      <c r="CF12" s="1">
        <v>0</v>
      </c>
      <c r="CG12" s="1">
        <v>0</v>
      </c>
      <c r="CH12" s="1">
        <v>8</v>
      </c>
      <c r="CI12" s="1" t="s">
        <v>5</v>
      </c>
      <c r="CJ12" s="1" t="s">
        <v>5</v>
      </c>
      <c r="CK12" s="1">
        <v>53</v>
      </c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4" spans="1:133" x14ac:dyDescent="0.2">
      <c r="A14" s="1">
        <v>22</v>
      </c>
      <c r="B14" s="1">
        <v>0</v>
      </c>
      <c r="C14" s="1">
        <v>0</v>
      </c>
      <c r="D14" s="1">
        <v>44169784</v>
      </c>
      <c r="E14" s="1">
        <v>0</v>
      </c>
      <c r="F14" s="1">
        <v>3</v>
      </c>
      <c r="G14" s="1"/>
      <c r="H14" s="1"/>
      <c r="I14" s="1"/>
      <c r="J14" s="1"/>
      <c r="K14" s="1"/>
      <c r="L14" s="1"/>
      <c r="M14" s="1"/>
      <c r="N14" s="1"/>
      <c r="O14" s="1"/>
    </row>
    <row r="16" spans="1:133" x14ac:dyDescent="0.2">
      <c r="A16" s="6">
        <v>3</v>
      </c>
      <c r="B16" s="6">
        <v>1</v>
      </c>
      <c r="C16" s="6" t="s">
        <v>18</v>
      </c>
      <c r="D16" s="6" t="s">
        <v>19</v>
      </c>
      <c r="E16" s="7">
        <f>(Source!F195)/1000</f>
        <v>822.02356000000009</v>
      </c>
      <c r="F16" s="7">
        <f>(Source!F196)/1000</f>
        <v>0</v>
      </c>
      <c r="G16" s="7">
        <f>(Source!F187)/1000</f>
        <v>0</v>
      </c>
      <c r="H16" s="7">
        <f>(Source!F197)/1000+(Source!F198)/1000</f>
        <v>70.575749999999999</v>
      </c>
      <c r="I16" s="7">
        <f>E16+F16+G16+H16</f>
        <v>892.59931000000006</v>
      </c>
      <c r="J16" s="7">
        <f>(Source!F193)/1000</f>
        <v>105.40089</v>
      </c>
      <c r="AI16" s="6">
        <v>0</v>
      </c>
      <c r="AJ16" s="6">
        <v>-1</v>
      </c>
      <c r="AK16" s="6" t="s">
        <v>5</v>
      </c>
      <c r="AL16" s="6" t="s">
        <v>5</v>
      </c>
      <c r="AM16" s="6" t="s">
        <v>5</v>
      </c>
      <c r="AN16" s="6">
        <v>0</v>
      </c>
      <c r="AO16" s="6" t="s">
        <v>5</v>
      </c>
      <c r="AP16" s="6" t="s">
        <v>5</v>
      </c>
      <c r="AT16" s="7">
        <v>699829.29</v>
      </c>
      <c r="AU16" s="7">
        <v>466792.18</v>
      </c>
      <c r="AV16" s="7">
        <v>0</v>
      </c>
      <c r="AW16" s="7">
        <v>0</v>
      </c>
      <c r="AX16" s="7">
        <v>0</v>
      </c>
      <c r="AY16" s="7">
        <v>127635.76</v>
      </c>
      <c r="AZ16" s="7">
        <v>25202.560000000001</v>
      </c>
      <c r="BA16" s="7">
        <v>105401.35</v>
      </c>
      <c r="BB16" s="7">
        <v>822025.53</v>
      </c>
      <c r="BC16" s="7">
        <v>0</v>
      </c>
      <c r="BD16" s="7">
        <v>70575.72</v>
      </c>
      <c r="BE16" s="7">
        <v>0</v>
      </c>
      <c r="BF16" s="7">
        <v>450.37135220819999</v>
      </c>
      <c r="BG16" s="7">
        <v>0</v>
      </c>
      <c r="BH16" s="7">
        <v>0</v>
      </c>
      <c r="BI16" s="7">
        <v>105999.75</v>
      </c>
      <c r="BJ16" s="7">
        <v>47204.17</v>
      </c>
      <c r="BK16" s="7">
        <v>892601.25</v>
      </c>
    </row>
    <row r="18" spans="1:19" x14ac:dyDescent="0.2">
      <c r="A18">
        <v>51</v>
      </c>
      <c r="E18" s="8">
        <f>SUMIF(A16:A17,3,E16:E17)</f>
        <v>822.02356000000009</v>
      </c>
      <c r="F18" s="8">
        <f>SUMIF(A16:A17,3,F16:F17)</f>
        <v>0</v>
      </c>
      <c r="G18" s="8">
        <f>SUMIF(A16:A17,3,G16:G17)</f>
        <v>0</v>
      </c>
      <c r="H18" s="8">
        <f>SUMIF(A16:A17,3,H16:H17)</f>
        <v>70.575749999999999</v>
      </c>
      <c r="I18" s="8">
        <f>SUMIF(A16:A17,3,I16:I17)</f>
        <v>892.59931000000006</v>
      </c>
      <c r="J18" s="8">
        <f>SUMIF(A16:A17,3,J16:J17)</f>
        <v>105.40089</v>
      </c>
      <c r="K18" s="8"/>
      <c r="L18" s="8"/>
      <c r="M18" s="8"/>
      <c r="N18" s="8"/>
      <c r="O18" s="8"/>
      <c r="P18" s="8"/>
      <c r="Q18" s="8"/>
      <c r="R18" s="8"/>
      <c r="S18" s="8"/>
    </row>
    <row r="20" spans="1:19" x14ac:dyDescent="0.2">
      <c r="A20" s="4">
        <v>50</v>
      </c>
      <c r="B20" s="4">
        <v>0</v>
      </c>
      <c r="C20" s="4">
        <v>0</v>
      </c>
      <c r="D20" s="4">
        <v>1</v>
      </c>
      <c r="E20" s="4">
        <v>201</v>
      </c>
      <c r="F20" s="4">
        <v>699829.29</v>
      </c>
      <c r="G20" s="4" t="s">
        <v>257</v>
      </c>
      <c r="H20" s="4" t="s">
        <v>258</v>
      </c>
      <c r="I20" s="4"/>
      <c r="J20" s="4"/>
      <c r="K20" s="4">
        <v>201</v>
      </c>
      <c r="L20" s="4">
        <v>1</v>
      </c>
      <c r="M20" s="4">
        <v>3</v>
      </c>
      <c r="N20" s="4" t="s">
        <v>5</v>
      </c>
      <c r="O20" s="4">
        <v>2</v>
      </c>
      <c r="P20" s="4"/>
    </row>
    <row r="21" spans="1:19" x14ac:dyDescent="0.2">
      <c r="A21" s="4">
        <v>50</v>
      </c>
      <c r="B21" s="4">
        <v>0</v>
      </c>
      <c r="C21" s="4">
        <v>0</v>
      </c>
      <c r="D21" s="4">
        <v>1</v>
      </c>
      <c r="E21" s="4">
        <v>202</v>
      </c>
      <c r="F21" s="4">
        <v>466792.18</v>
      </c>
      <c r="G21" s="4" t="s">
        <v>259</v>
      </c>
      <c r="H21" s="4" t="s">
        <v>260</v>
      </c>
      <c r="I21" s="4"/>
      <c r="J21" s="4"/>
      <c r="K21" s="4">
        <v>202</v>
      </c>
      <c r="L21" s="4">
        <v>2</v>
      </c>
      <c r="M21" s="4">
        <v>3</v>
      </c>
      <c r="N21" s="4" t="s">
        <v>5</v>
      </c>
      <c r="O21" s="4">
        <v>2</v>
      </c>
      <c r="P21" s="4"/>
    </row>
    <row r="22" spans="1:19" x14ac:dyDescent="0.2">
      <c r="A22" s="4">
        <v>50</v>
      </c>
      <c r="B22" s="4">
        <v>0</v>
      </c>
      <c r="C22" s="4">
        <v>0</v>
      </c>
      <c r="D22" s="4">
        <v>1</v>
      </c>
      <c r="E22" s="4">
        <v>222</v>
      </c>
      <c r="F22" s="4">
        <v>0</v>
      </c>
      <c r="G22" s="4" t="s">
        <v>261</v>
      </c>
      <c r="H22" s="4" t="s">
        <v>262</v>
      </c>
      <c r="I22" s="4"/>
      <c r="J22" s="4"/>
      <c r="K22" s="4">
        <v>222</v>
      </c>
      <c r="L22" s="4">
        <v>3</v>
      </c>
      <c r="M22" s="4">
        <v>3</v>
      </c>
      <c r="N22" s="4" t="s">
        <v>5</v>
      </c>
      <c r="O22" s="4">
        <v>2</v>
      </c>
      <c r="P22" s="4"/>
    </row>
    <row r="23" spans="1:19" x14ac:dyDescent="0.2">
      <c r="A23" s="4">
        <v>50</v>
      </c>
      <c r="B23" s="4">
        <v>0</v>
      </c>
      <c r="C23" s="4">
        <v>0</v>
      </c>
      <c r="D23" s="4">
        <v>1</v>
      </c>
      <c r="E23" s="4">
        <v>225</v>
      </c>
      <c r="F23" s="4">
        <v>466792.18</v>
      </c>
      <c r="G23" s="4" t="s">
        <v>263</v>
      </c>
      <c r="H23" s="4" t="s">
        <v>264</v>
      </c>
      <c r="I23" s="4"/>
      <c r="J23" s="4"/>
      <c r="K23" s="4">
        <v>225</v>
      </c>
      <c r="L23" s="4">
        <v>4</v>
      </c>
      <c r="M23" s="4">
        <v>3</v>
      </c>
      <c r="N23" s="4" t="s">
        <v>5</v>
      </c>
      <c r="O23" s="4">
        <v>2</v>
      </c>
      <c r="P23" s="4"/>
    </row>
    <row r="24" spans="1:19" x14ac:dyDescent="0.2">
      <c r="A24" s="4">
        <v>50</v>
      </c>
      <c r="B24" s="4">
        <v>0</v>
      </c>
      <c r="C24" s="4">
        <v>0</v>
      </c>
      <c r="D24" s="4">
        <v>1</v>
      </c>
      <c r="E24" s="4">
        <v>226</v>
      </c>
      <c r="F24" s="4">
        <v>466792.18</v>
      </c>
      <c r="G24" s="4" t="s">
        <v>265</v>
      </c>
      <c r="H24" s="4" t="s">
        <v>266</v>
      </c>
      <c r="I24" s="4"/>
      <c r="J24" s="4"/>
      <c r="K24" s="4">
        <v>226</v>
      </c>
      <c r="L24" s="4">
        <v>5</v>
      </c>
      <c r="M24" s="4">
        <v>3</v>
      </c>
      <c r="N24" s="4" t="s">
        <v>5</v>
      </c>
      <c r="O24" s="4">
        <v>2</v>
      </c>
      <c r="P24" s="4"/>
    </row>
    <row r="25" spans="1:19" x14ac:dyDescent="0.2">
      <c r="A25" s="4">
        <v>50</v>
      </c>
      <c r="B25" s="4">
        <v>0</v>
      </c>
      <c r="C25" s="4">
        <v>0</v>
      </c>
      <c r="D25" s="4">
        <v>1</v>
      </c>
      <c r="E25" s="4">
        <v>227</v>
      </c>
      <c r="F25" s="4">
        <v>0</v>
      </c>
      <c r="G25" s="4" t="s">
        <v>267</v>
      </c>
      <c r="H25" s="4" t="s">
        <v>268</v>
      </c>
      <c r="I25" s="4"/>
      <c r="J25" s="4"/>
      <c r="K25" s="4">
        <v>227</v>
      </c>
      <c r="L25" s="4">
        <v>6</v>
      </c>
      <c r="M25" s="4">
        <v>3</v>
      </c>
      <c r="N25" s="4" t="s">
        <v>5</v>
      </c>
      <c r="O25" s="4">
        <v>2</v>
      </c>
      <c r="P25" s="4"/>
    </row>
    <row r="26" spans="1:19" x14ac:dyDescent="0.2">
      <c r="A26" s="4">
        <v>50</v>
      </c>
      <c r="B26" s="4">
        <v>0</v>
      </c>
      <c r="C26" s="4">
        <v>0</v>
      </c>
      <c r="D26" s="4">
        <v>1</v>
      </c>
      <c r="E26" s="4">
        <v>228</v>
      </c>
      <c r="F26" s="4">
        <v>466792.18</v>
      </c>
      <c r="G26" s="4" t="s">
        <v>269</v>
      </c>
      <c r="H26" s="4" t="s">
        <v>270</v>
      </c>
      <c r="I26" s="4"/>
      <c r="J26" s="4"/>
      <c r="K26" s="4">
        <v>228</v>
      </c>
      <c r="L26" s="4">
        <v>7</v>
      </c>
      <c r="M26" s="4">
        <v>3</v>
      </c>
      <c r="N26" s="4" t="s">
        <v>5</v>
      </c>
      <c r="O26" s="4">
        <v>2</v>
      </c>
      <c r="P26" s="4"/>
    </row>
    <row r="27" spans="1:19" x14ac:dyDescent="0.2">
      <c r="A27" s="4">
        <v>50</v>
      </c>
      <c r="B27" s="4">
        <v>0</v>
      </c>
      <c r="C27" s="4">
        <v>0</v>
      </c>
      <c r="D27" s="4">
        <v>1</v>
      </c>
      <c r="E27" s="4">
        <v>216</v>
      </c>
      <c r="F27" s="4">
        <v>0</v>
      </c>
      <c r="G27" s="4" t="s">
        <v>271</v>
      </c>
      <c r="H27" s="4" t="s">
        <v>272</v>
      </c>
      <c r="I27" s="4"/>
      <c r="J27" s="4"/>
      <c r="K27" s="4">
        <v>216</v>
      </c>
      <c r="L27" s="4">
        <v>8</v>
      </c>
      <c r="M27" s="4">
        <v>3</v>
      </c>
      <c r="N27" s="4" t="s">
        <v>5</v>
      </c>
      <c r="O27" s="4">
        <v>2</v>
      </c>
      <c r="P27" s="4"/>
    </row>
    <row r="28" spans="1:19" x14ac:dyDescent="0.2">
      <c r="A28" s="4">
        <v>50</v>
      </c>
      <c r="B28" s="4">
        <v>0</v>
      </c>
      <c r="C28" s="4">
        <v>0</v>
      </c>
      <c r="D28" s="4">
        <v>1</v>
      </c>
      <c r="E28" s="4">
        <v>223</v>
      </c>
      <c r="F28" s="4">
        <v>0</v>
      </c>
      <c r="G28" s="4" t="s">
        <v>273</v>
      </c>
      <c r="H28" s="4" t="s">
        <v>274</v>
      </c>
      <c r="I28" s="4"/>
      <c r="J28" s="4"/>
      <c r="K28" s="4">
        <v>223</v>
      </c>
      <c r="L28" s="4">
        <v>9</v>
      </c>
      <c r="M28" s="4">
        <v>3</v>
      </c>
      <c r="N28" s="4" t="s">
        <v>5</v>
      </c>
      <c r="O28" s="4">
        <v>2</v>
      </c>
      <c r="P28" s="4"/>
    </row>
    <row r="29" spans="1:19" x14ac:dyDescent="0.2">
      <c r="A29" s="4">
        <v>50</v>
      </c>
      <c r="B29" s="4">
        <v>0</v>
      </c>
      <c r="C29" s="4">
        <v>0</v>
      </c>
      <c r="D29" s="4">
        <v>1</v>
      </c>
      <c r="E29" s="4">
        <v>229</v>
      </c>
      <c r="F29" s="4">
        <v>0</v>
      </c>
      <c r="G29" s="4" t="s">
        <v>275</v>
      </c>
      <c r="H29" s="4" t="s">
        <v>276</v>
      </c>
      <c r="I29" s="4"/>
      <c r="J29" s="4"/>
      <c r="K29" s="4">
        <v>229</v>
      </c>
      <c r="L29" s="4">
        <v>10</v>
      </c>
      <c r="M29" s="4">
        <v>3</v>
      </c>
      <c r="N29" s="4" t="s">
        <v>5</v>
      </c>
      <c r="O29" s="4">
        <v>2</v>
      </c>
      <c r="P29" s="4"/>
    </row>
    <row r="30" spans="1:19" x14ac:dyDescent="0.2">
      <c r="A30" s="4">
        <v>50</v>
      </c>
      <c r="B30" s="4">
        <v>0</v>
      </c>
      <c r="C30" s="4">
        <v>0</v>
      </c>
      <c r="D30" s="4">
        <v>1</v>
      </c>
      <c r="E30" s="4">
        <v>203</v>
      </c>
      <c r="F30" s="4">
        <v>127635.76</v>
      </c>
      <c r="G30" s="4" t="s">
        <v>277</v>
      </c>
      <c r="H30" s="4" t="s">
        <v>278</v>
      </c>
      <c r="I30" s="4"/>
      <c r="J30" s="4"/>
      <c r="K30" s="4">
        <v>203</v>
      </c>
      <c r="L30" s="4">
        <v>11</v>
      </c>
      <c r="M30" s="4">
        <v>3</v>
      </c>
      <c r="N30" s="4" t="s">
        <v>5</v>
      </c>
      <c r="O30" s="4">
        <v>2</v>
      </c>
      <c r="P30" s="4"/>
    </row>
    <row r="31" spans="1:19" x14ac:dyDescent="0.2">
      <c r="A31" s="4">
        <v>50</v>
      </c>
      <c r="B31" s="4">
        <v>0</v>
      </c>
      <c r="C31" s="4">
        <v>0</v>
      </c>
      <c r="D31" s="4">
        <v>1</v>
      </c>
      <c r="E31" s="4">
        <v>231</v>
      </c>
      <c r="F31" s="4">
        <v>0</v>
      </c>
      <c r="G31" s="4" t="s">
        <v>279</v>
      </c>
      <c r="H31" s="4" t="s">
        <v>280</v>
      </c>
      <c r="I31" s="4"/>
      <c r="J31" s="4"/>
      <c r="K31" s="4">
        <v>231</v>
      </c>
      <c r="L31" s="4">
        <v>12</v>
      </c>
      <c r="M31" s="4">
        <v>3</v>
      </c>
      <c r="N31" s="4" t="s">
        <v>5</v>
      </c>
      <c r="O31" s="4">
        <v>2</v>
      </c>
      <c r="P31" s="4"/>
    </row>
    <row r="32" spans="1:19" x14ac:dyDescent="0.2">
      <c r="A32" s="4">
        <v>50</v>
      </c>
      <c r="B32" s="4">
        <v>0</v>
      </c>
      <c r="C32" s="4">
        <v>0</v>
      </c>
      <c r="D32" s="4">
        <v>1</v>
      </c>
      <c r="E32" s="4">
        <v>204</v>
      </c>
      <c r="F32" s="4">
        <v>25202.560000000001</v>
      </c>
      <c r="G32" s="4" t="s">
        <v>281</v>
      </c>
      <c r="H32" s="4" t="s">
        <v>282</v>
      </c>
      <c r="I32" s="4"/>
      <c r="J32" s="4"/>
      <c r="K32" s="4">
        <v>204</v>
      </c>
      <c r="L32" s="4">
        <v>13</v>
      </c>
      <c r="M32" s="4">
        <v>3</v>
      </c>
      <c r="N32" s="4" t="s">
        <v>5</v>
      </c>
      <c r="O32" s="4">
        <v>2</v>
      </c>
      <c r="P32" s="4"/>
    </row>
    <row r="33" spans="1:16" x14ac:dyDescent="0.2">
      <c r="A33" s="4">
        <v>50</v>
      </c>
      <c r="B33" s="4">
        <v>0</v>
      </c>
      <c r="C33" s="4">
        <v>0</v>
      </c>
      <c r="D33" s="4">
        <v>1</v>
      </c>
      <c r="E33" s="4">
        <v>205</v>
      </c>
      <c r="F33" s="4">
        <v>105401.35</v>
      </c>
      <c r="G33" s="4" t="s">
        <v>283</v>
      </c>
      <c r="H33" s="4" t="s">
        <v>284</v>
      </c>
      <c r="I33" s="4"/>
      <c r="J33" s="4"/>
      <c r="K33" s="4">
        <v>205</v>
      </c>
      <c r="L33" s="4">
        <v>14</v>
      </c>
      <c r="M33" s="4">
        <v>3</v>
      </c>
      <c r="N33" s="4" t="s">
        <v>5</v>
      </c>
      <c r="O33" s="4">
        <v>2</v>
      </c>
      <c r="P33" s="4"/>
    </row>
    <row r="34" spans="1:16" x14ac:dyDescent="0.2">
      <c r="A34" s="4">
        <v>50</v>
      </c>
      <c r="B34" s="4">
        <v>0</v>
      </c>
      <c r="C34" s="4">
        <v>0</v>
      </c>
      <c r="D34" s="4">
        <v>1</v>
      </c>
      <c r="E34" s="4">
        <v>232</v>
      </c>
      <c r="F34" s="4">
        <v>0</v>
      </c>
      <c r="G34" s="4" t="s">
        <v>285</v>
      </c>
      <c r="H34" s="4" t="s">
        <v>286</v>
      </c>
      <c r="I34" s="4"/>
      <c r="J34" s="4"/>
      <c r="K34" s="4">
        <v>232</v>
      </c>
      <c r="L34" s="4">
        <v>15</v>
      </c>
      <c r="M34" s="4">
        <v>3</v>
      </c>
      <c r="N34" s="4" t="s">
        <v>5</v>
      </c>
      <c r="O34" s="4">
        <v>2</v>
      </c>
      <c r="P34" s="4"/>
    </row>
    <row r="35" spans="1:16" x14ac:dyDescent="0.2">
      <c r="A35" s="4">
        <v>50</v>
      </c>
      <c r="B35" s="4">
        <v>0</v>
      </c>
      <c r="C35" s="4">
        <v>0</v>
      </c>
      <c r="D35" s="4">
        <v>1</v>
      </c>
      <c r="E35" s="4">
        <v>214</v>
      </c>
      <c r="F35" s="4">
        <v>822025.53</v>
      </c>
      <c r="G35" s="4" t="s">
        <v>287</v>
      </c>
      <c r="H35" s="4" t="s">
        <v>288</v>
      </c>
      <c r="I35" s="4"/>
      <c r="J35" s="4"/>
      <c r="K35" s="4">
        <v>214</v>
      </c>
      <c r="L35" s="4">
        <v>16</v>
      </c>
      <c r="M35" s="4">
        <v>3</v>
      </c>
      <c r="N35" s="4" t="s">
        <v>5</v>
      </c>
      <c r="O35" s="4">
        <v>2</v>
      </c>
      <c r="P35" s="4"/>
    </row>
    <row r="36" spans="1:16" x14ac:dyDescent="0.2">
      <c r="A36" s="4">
        <v>50</v>
      </c>
      <c r="B36" s="4">
        <v>0</v>
      </c>
      <c r="C36" s="4">
        <v>0</v>
      </c>
      <c r="D36" s="4">
        <v>1</v>
      </c>
      <c r="E36" s="4">
        <v>215</v>
      </c>
      <c r="F36" s="4">
        <v>0</v>
      </c>
      <c r="G36" s="4" t="s">
        <v>289</v>
      </c>
      <c r="H36" s="4" t="s">
        <v>290</v>
      </c>
      <c r="I36" s="4"/>
      <c r="J36" s="4"/>
      <c r="K36" s="4">
        <v>215</v>
      </c>
      <c r="L36" s="4">
        <v>17</v>
      </c>
      <c r="M36" s="4">
        <v>3</v>
      </c>
      <c r="N36" s="4" t="s">
        <v>5</v>
      </c>
      <c r="O36" s="4">
        <v>2</v>
      </c>
      <c r="P36" s="4"/>
    </row>
    <row r="37" spans="1:16" x14ac:dyDescent="0.2">
      <c r="A37" s="4">
        <v>50</v>
      </c>
      <c r="B37" s="4">
        <v>0</v>
      </c>
      <c r="C37" s="4">
        <v>0</v>
      </c>
      <c r="D37" s="4">
        <v>1</v>
      </c>
      <c r="E37" s="4">
        <v>217</v>
      </c>
      <c r="F37" s="4">
        <v>70575.72</v>
      </c>
      <c r="G37" s="4" t="s">
        <v>291</v>
      </c>
      <c r="H37" s="4" t="s">
        <v>292</v>
      </c>
      <c r="I37" s="4"/>
      <c r="J37" s="4"/>
      <c r="K37" s="4">
        <v>217</v>
      </c>
      <c r="L37" s="4">
        <v>18</v>
      </c>
      <c r="M37" s="4">
        <v>3</v>
      </c>
      <c r="N37" s="4" t="s">
        <v>5</v>
      </c>
      <c r="O37" s="4">
        <v>2</v>
      </c>
      <c r="P37" s="4"/>
    </row>
    <row r="38" spans="1:16" x14ac:dyDescent="0.2">
      <c r="A38" s="4">
        <v>50</v>
      </c>
      <c r="B38" s="4">
        <v>0</v>
      </c>
      <c r="C38" s="4">
        <v>0</v>
      </c>
      <c r="D38" s="4">
        <v>1</v>
      </c>
      <c r="E38" s="4">
        <v>230</v>
      </c>
      <c r="F38" s="4">
        <v>0</v>
      </c>
      <c r="G38" s="4" t="s">
        <v>293</v>
      </c>
      <c r="H38" s="4" t="s">
        <v>294</v>
      </c>
      <c r="I38" s="4"/>
      <c r="J38" s="4"/>
      <c r="K38" s="4">
        <v>230</v>
      </c>
      <c r="L38" s="4">
        <v>19</v>
      </c>
      <c r="M38" s="4">
        <v>3</v>
      </c>
      <c r="N38" s="4" t="s">
        <v>5</v>
      </c>
      <c r="O38" s="4">
        <v>2</v>
      </c>
      <c r="P38" s="4"/>
    </row>
    <row r="39" spans="1:16" x14ac:dyDescent="0.2">
      <c r="A39" s="4">
        <v>50</v>
      </c>
      <c r="B39" s="4">
        <v>0</v>
      </c>
      <c r="C39" s="4">
        <v>0</v>
      </c>
      <c r="D39" s="4">
        <v>1</v>
      </c>
      <c r="E39" s="4">
        <v>206</v>
      </c>
      <c r="F39" s="4">
        <v>0</v>
      </c>
      <c r="G39" s="4" t="s">
        <v>295</v>
      </c>
      <c r="H39" s="4" t="s">
        <v>296</v>
      </c>
      <c r="I39" s="4"/>
      <c r="J39" s="4"/>
      <c r="K39" s="4">
        <v>206</v>
      </c>
      <c r="L39" s="4">
        <v>20</v>
      </c>
      <c r="M39" s="4">
        <v>3</v>
      </c>
      <c r="N39" s="4" t="s">
        <v>5</v>
      </c>
      <c r="O39" s="4">
        <v>2</v>
      </c>
      <c r="P39" s="4"/>
    </row>
    <row r="40" spans="1:16" x14ac:dyDescent="0.2">
      <c r="A40" s="4">
        <v>50</v>
      </c>
      <c r="B40" s="4">
        <v>0</v>
      </c>
      <c r="C40" s="4">
        <v>0</v>
      </c>
      <c r="D40" s="4">
        <v>1</v>
      </c>
      <c r="E40" s="4">
        <v>207</v>
      </c>
      <c r="F40" s="4">
        <v>450.37135220819999</v>
      </c>
      <c r="G40" s="4" t="s">
        <v>297</v>
      </c>
      <c r="H40" s="4" t="s">
        <v>298</v>
      </c>
      <c r="I40" s="4"/>
      <c r="J40" s="4"/>
      <c r="K40" s="4">
        <v>207</v>
      </c>
      <c r="L40" s="4">
        <v>21</v>
      </c>
      <c r="M40" s="4">
        <v>3</v>
      </c>
      <c r="N40" s="4" t="s">
        <v>5</v>
      </c>
      <c r="O40" s="4">
        <v>-1</v>
      </c>
      <c r="P40" s="4"/>
    </row>
    <row r="41" spans="1:16" x14ac:dyDescent="0.2">
      <c r="A41" s="4">
        <v>50</v>
      </c>
      <c r="B41" s="4">
        <v>0</v>
      </c>
      <c r="C41" s="4">
        <v>0</v>
      </c>
      <c r="D41" s="4">
        <v>1</v>
      </c>
      <c r="E41" s="4">
        <v>208</v>
      </c>
      <c r="F41" s="4">
        <v>0</v>
      </c>
      <c r="G41" s="4" t="s">
        <v>299</v>
      </c>
      <c r="H41" s="4" t="s">
        <v>300</v>
      </c>
      <c r="I41" s="4"/>
      <c r="J41" s="4"/>
      <c r="K41" s="4">
        <v>208</v>
      </c>
      <c r="L41" s="4">
        <v>22</v>
      </c>
      <c r="M41" s="4">
        <v>3</v>
      </c>
      <c r="N41" s="4" t="s">
        <v>5</v>
      </c>
      <c r="O41" s="4">
        <v>-1</v>
      </c>
      <c r="P41" s="4"/>
    </row>
    <row r="42" spans="1:16" x14ac:dyDescent="0.2">
      <c r="A42" s="4">
        <v>50</v>
      </c>
      <c r="B42" s="4">
        <v>0</v>
      </c>
      <c r="C42" s="4">
        <v>0</v>
      </c>
      <c r="D42" s="4">
        <v>1</v>
      </c>
      <c r="E42" s="4">
        <v>209</v>
      </c>
      <c r="F42" s="4">
        <v>0</v>
      </c>
      <c r="G42" s="4" t="s">
        <v>301</v>
      </c>
      <c r="H42" s="4" t="s">
        <v>302</v>
      </c>
      <c r="I42" s="4"/>
      <c r="J42" s="4"/>
      <c r="K42" s="4">
        <v>209</v>
      </c>
      <c r="L42" s="4">
        <v>23</v>
      </c>
      <c r="M42" s="4">
        <v>3</v>
      </c>
      <c r="N42" s="4" t="s">
        <v>5</v>
      </c>
      <c r="O42" s="4">
        <v>2</v>
      </c>
      <c r="P42" s="4"/>
    </row>
    <row r="43" spans="1:16" x14ac:dyDescent="0.2">
      <c r="A43" s="4">
        <v>50</v>
      </c>
      <c r="B43" s="4">
        <v>0</v>
      </c>
      <c r="C43" s="4">
        <v>0</v>
      </c>
      <c r="D43" s="4">
        <v>1</v>
      </c>
      <c r="E43" s="4">
        <v>233</v>
      </c>
      <c r="F43" s="4">
        <v>0</v>
      </c>
      <c r="G43" s="4" t="s">
        <v>303</v>
      </c>
      <c r="H43" s="4" t="s">
        <v>304</v>
      </c>
      <c r="I43" s="4"/>
      <c r="J43" s="4"/>
      <c r="K43" s="4">
        <v>233</v>
      </c>
      <c r="L43" s="4">
        <v>24</v>
      </c>
      <c r="M43" s="4">
        <v>3</v>
      </c>
      <c r="N43" s="4" t="s">
        <v>5</v>
      </c>
      <c r="O43" s="4">
        <v>2</v>
      </c>
      <c r="P43" s="4"/>
    </row>
    <row r="44" spans="1:16" x14ac:dyDescent="0.2">
      <c r="A44" s="4">
        <v>50</v>
      </c>
      <c r="B44" s="4">
        <v>0</v>
      </c>
      <c r="C44" s="4">
        <v>0</v>
      </c>
      <c r="D44" s="4">
        <v>1</v>
      </c>
      <c r="E44" s="4">
        <v>210</v>
      </c>
      <c r="F44" s="4">
        <v>105999.75</v>
      </c>
      <c r="G44" s="4" t="s">
        <v>305</v>
      </c>
      <c r="H44" s="4" t="s">
        <v>306</v>
      </c>
      <c r="I44" s="4"/>
      <c r="J44" s="4"/>
      <c r="K44" s="4">
        <v>210</v>
      </c>
      <c r="L44" s="4">
        <v>25</v>
      </c>
      <c r="M44" s="4">
        <v>3</v>
      </c>
      <c r="N44" s="4" t="s">
        <v>5</v>
      </c>
      <c r="O44" s="4">
        <v>2</v>
      </c>
      <c r="P44" s="4"/>
    </row>
    <row r="45" spans="1:16" x14ac:dyDescent="0.2">
      <c r="A45" s="4">
        <v>50</v>
      </c>
      <c r="B45" s="4">
        <v>0</v>
      </c>
      <c r="C45" s="4">
        <v>0</v>
      </c>
      <c r="D45" s="4">
        <v>1</v>
      </c>
      <c r="E45" s="4">
        <v>211</v>
      </c>
      <c r="F45" s="4">
        <v>47204.17</v>
      </c>
      <c r="G45" s="4" t="s">
        <v>307</v>
      </c>
      <c r="H45" s="4" t="s">
        <v>308</v>
      </c>
      <c r="I45" s="4"/>
      <c r="J45" s="4"/>
      <c r="K45" s="4">
        <v>211</v>
      </c>
      <c r="L45" s="4">
        <v>26</v>
      </c>
      <c r="M45" s="4">
        <v>3</v>
      </c>
      <c r="N45" s="4" t="s">
        <v>5</v>
      </c>
      <c r="O45" s="4">
        <v>2</v>
      </c>
      <c r="P45" s="4"/>
    </row>
    <row r="46" spans="1:16" x14ac:dyDescent="0.2">
      <c r="A46" s="4">
        <v>50</v>
      </c>
      <c r="B46" s="4">
        <v>0</v>
      </c>
      <c r="C46" s="4">
        <v>0</v>
      </c>
      <c r="D46" s="4">
        <v>1</v>
      </c>
      <c r="E46" s="4">
        <v>224</v>
      </c>
      <c r="F46" s="4">
        <v>892601.25</v>
      </c>
      <c r="G46" s="4" t="s">
        <v>309</v>
      </c>
      <c r="H46" s="4" t="s">
        <v>310</v>
      </c>
      <c r="I46" s="4"/>
      <c r="J46" s="4"/>
      <c r="K46" s="4">
        <v>224</v>
      </c>
      <c r="L46" s="4">
        <v>27</v>
      </c>
      <c r="M46" s="4">
        <v>3</v>
      </c>
      <c r="N46" s="4" t="s">
        <v>5</v>
      </c>
      <c r="O46" s="4">
        <v>2</v>
      </c>
      <c r="P46" s="4"/>
    </row>
    <row r="47" spans="1:16" x14ac:dyDescent="0.2">
      <c r="A47" s="4">
        <v>50</v>
      </c>
      <c r="B47" s="4">
        <v>1</v>
      </c>
      <c r="C47" s="4">
        <v>0</v>
      </c>
      <c r="D47" s="4">
        <v>2</v>
      </c>
      <c r="E47" s="4">
        <v>0</v>
      </c>
      <c r="F47" s="4">
        <v>895121.49</v>
      </c>
      <c r="G47" s="4" t="s">
        <v>333</v>
      </c>
      <c r="H47" s="4" t="s">
        <v>333</v>
      </c>
      <c r="I47" s="4"/>
      <c r="J47" s="4"/>
      <c r="K47" s="4">
        <v>212</v>
      </c>
      <c r="L47" s="4">
        <v>28</v>
      </c>
      <c r="M47" s="4">
        <v>0</v>
      </c>
      <c r="N47" s="4" t="s">
        <v>5</v>
      </c>
      <c r="O47" s="4">
        <v>2</v>
      </c>
      <c r="P47" s="4"/>
    </row>
    <row r="48" spans="1:16" x14ac:dyDescent="0.2">
      <c r="A48" s="4">
        <v>50</v>
      </c>
      <c r="B48" s="4">
        <v>1</v>
      </c>
      <c r="C48" s="4">
        <v>0</v>
      </c>
      <c r="D48" s="4">
        <v>2</v>
      </c>
      <c r="E48" s="4">
        <v>0</v>
      </c>
      <c r="F48" s="4">
        <v>161121.87</v>
      </c>
      <c r="G48" s="4" t="s">
        <v>334</v>
      </c>
      <c r="H48" s="4" t="s">
        <v>335</v>
      </c>
      <c r="I48" s="4"/>
      <c r="J48" s="4"/>
      <c r="K48" s="4">
        <v>212</v>
      </c>
      <c r="L48" s="4">
        <v>29</v>
      </c>
      <c r="M48" s="4">
        <v>0</v>
      </c>
      <c r="N48" s="4" t="s">
        <v>5</v>
      </c>
      <c r="O48" s="4">
        <v>2</v>
      </c>
      <c r="P48" s="4"/>
    </row>
    <row r="49" spans="1:27" x14ac:dyDescent="0.2">
      <c r="A49" s="4">
        <v>50</v>
      </c>
      <c r="B49" s="4">
        <v>1</v>
      </c>
      <c r="C49" s="4">
        <v>0</v>
      </c>
      <c r="D49" s="4">
        <v>2</v>
      </c>
      <c r="E49" s="4">
        <v>213</v>
      </c>
      <c r="F49" s="4">
        <v>1056243.3600000001</v>
      </c>
      <c r="G49" s="4" t="s">
        <v>328</v>
      </c>
      <c r="H49" s="4" t="s">
        <v>328</v>
      </c>
      <c r="I49" s="4"/>
      <c r="J49" s="4"/>
      <c r="K49" s="4">
        <v>212</v>
      </c>
      <c r="L49" s="4">
        <v>30</v>
      </c>
      <c r="M49" s="4">
        <v>0</v>
      </c>
      <c r="N49" s="4" t="s">
        <v>5</v>
      </c>
      <c r="O49" s="4">
        <v>2</v>
      </c>
      <c r="P49" s="4"/>
    </row>
    <row r="51" spans="1:27" x14ac:dyDescent="0.2">
      <c r="A51">
        <v>-1</v>
      </c>
    </row>
    <row r="54" spans="1:27" x14ac:dyDescent="0.2">
      <c r="A54" s="3">
        <v>75</v>
      </c>
      <c r="B54" s="3" t="s">
        <v>336</v>
      </c>
      <c r="C54" s="3">
        <v>2019</v>
      </c>
      <c r="D54" s="3">
        <v>0</v>
      </c>
      <c r="E54" s="3">
        <v>2</v>
      </c>
      <c r="F54" s="3"/>
      <c r="G54" s="3">
        <v>0</v>
      </c>
      <c r="H54" s="3">
        <v>2</v>
      </c>
      <c r="I54" s="3">
        <v>1</v>
      </c>
      <c r="J54" s="3">
        <v>1</v>
      </c>
      <c r="K54" s="3">
        <v>93</v>
      </c>
      <c r="L54" s="3">
        <v>64</v>
      </c>
      <c r="M54" s="3">
        <v>0</v>
      </c>
      <c r="N54" s="3">
        <v>44169784</v>
      </c>
      <c r="O54" s="3">
        <v>1</v>
      </c>
    </row>
    <row r="55" spans="1:27" x14ac:dyDescent="0.2">
      <c r="A55" s="5">
        <v>1</v>
      </c>
      <c r="B55" s="5" t="s">
        <v>337</v>
      </c>
      <c r="C55" s="5" t="s">
        <v>338</v>
      </c>
      <c r="D55" s="5">
        <v>2019</v>
      </c>
      <c r="E55" s="5">
        <v>2</v>
      </c>
      <c r="F55" s="5">
        <v>1</v>
      </c>
      <c r="G55" s="5">
        <v>1</v>
      </c>
      <c r="H55" s="5">
        <v>0</v>
      </c>
      <c r="I55" s="5">
        <v>2</v>
      </c>
      <c r="J55" s="5">
        <v>1</v>
      </c>
      <c r="K55" s="5">
        <v>1</v>
      </c>
      <c r="L55" s="5">
        <v>1</v>
      </c>
      <c r="M55" s="5">
        <v>1</v>
      </c>
      <c r="N55" s="5">
        <v>1</v>
      </c>
      <c r="O55" s="5">
        <v>1</v>
      </c>
      <c r="P55" s="5">
        <v>1</v>
      </c>
      <c r="Q55" s="5">
        <v>1</v>
      </c>
      <c r="R55" s="5" t="s">
        <v>5</v>
      </c>
      <c r="S55" s="5" t="s">
        <v>5</v>
      </c>
      <c r="T55" s="5" t="s">
        <v>5</v>
      </c>
      <c r="U55" s="5" t="s">
        <v>5</v>
      </c>
      <c r="V55" s="5" t="s">
        <v>5</v>
      </c>
      <c r="W55" s="5" t="s">
        <v>5</v>
      </c>
      <c r="X55" s="5" t="s">
        <v>5</v>
      </c>
      <c r="Y55" s="5" t="s">
        <v>5</v>
      </c>
      <c r="Z55" s="5" t="s">
        <v>5</v>
      </c>
      <c r="AA55" s="5" t="s">
        <v>339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C211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07" x14ac:dyDescent="0.2">
      <c r="A1">
        <f>ROW(Source!A29)</f>
        <v>29</v>
      </c>
      <c r="B1">
        <v>44169784</v>
      </c>
      <c r="C1">
        <v>44169963</v>
      </c>
      <c r="D1">
        <v>34984826</v>
      </c>
      <c r="E1">
        <v>34959076</v>
      </c>
      <c r="F1">
        <v>1</v>
      </c>
      <c r="G1">
        <v>34959076</v>
      </c>
      <c r="H1">
        <v>1</v>
      </c>
      <c r="I1" t="s">
        <v>341</v>
      </c>
      <c r="J1" t="s">
        <v>5</v>
      </c>
      <c r="K1" t="s">
        <v>342</v>
      </c>
      <c r="L1">
        <v>1191</v>
      </c>
      <c r="N1">
        <v>1013</v>
      </c>
      <c r="O1" t="s">
        <v>343</v>
      </c>
      <c r="P1" t="s">
        <v>343</v>
      </c>
      <c r="Q1">
        <v>1</v>
      </c>
      <c r="W1">
        <v>0</v>
      </c>
      <c r="X1">
        <v>476480486</v>
      </c>
      <c r="Y1">
        <v>155</v>
      </c>
      <c r="AA1">
        <v>0</v>
      </c>
      <c r="AB1">
        <v>0</v>
      </c>
      <c r="AC1">
        <v>0</v>
      </c>
      <c r="AD1">
        <v>0</v>
      </c>
      <c r="AE1">
        <v>0</v>
      </c>
      <c r="AF1">
        <v>0</v>
      </c>
      <c r="AG1">
        <v>0</v>
      </c>
      <c r="AH1">
        <v>0</v>
      </c>
      <c r="AI1">
        <v>1</v>
      </c>
      <c r="AJ1">
        <v>1</v>
      </c>
      <c r="AK1">
        <v>1</v>
      </c>
      <c r="AL1">
        <v>1</v>
      </c>
      <c r="AN1">
        <v>0</v>
      </c>
      <c r="AO1">
        <v>1</v>
      </c>
      <c r="AP1">
        <v>1</v>
      </c>
      <c r="AQ1">
        <v>0</v>
      </c>
      <c r="AR1">
        <v>0</v>
      </c>
      <c r="AS1" t="s">
        <v>5</v>
      </c>
      <c r="AT1">
        <v>155</v>
      </c>
      <c r="AU1" t="s">
        <v>5</v>
      </c>
      <c r="AV1">
        <v>1</v>
      </c>
      <c r="AW1">
        <v>2</v>
      </c>
      <c r="AX1">
        <v>44169974</v>
      </c>
      <c r="AY1">
        <v>1</v>
      </c>
      <c r="AZ1">
        <v>0</v>
      </c>
      <c r="BA1">
        <v>1</v>
      </c>
      <c r="BB1">
        <v>0</v>
      </c>
      <c r="BC1">
        <v>0</v>
      </c>
      <c r="BD1">
        <v>0</v>
      </c>
      <c r="BE1">
        <v>0</v>
      </c>
      <c r="BF1">
        <v>0</v>
      </c>
      <c r="BG1">
        <v>0</v>
      </c>
      <c r="BH1">
        <v>0</v>
      </c>
      <c r="BI1">
        <v>0</v>
      </c>
      <c r="BJ1">
        <v>0</v>
      </c>
      <c r="BK1">
        <v>0</v>
      </c>
      <c r="BL1">
        <v>0</v>
      </c>
      <c r="BM1">
        <v>0</v>
      </c>
      <c r="BN1">
        <v>0</v>
      </c>
      <c r="BO1">
        <v>0</v>
      </c>
      <c r="BP1">
        <v>0</v>
      </c>
      <c r="BQ1">
        <v>0</v>
      </c>
      <c r="BR1">
        <v>0</v>
      </c>
      <c r="BS1">
        <v>0</v>
      </c>
      <c r="BT1">
        <v>0</v>
      </c>
      <c r="BU1">
        <v>0</v>
      </c>
      <c r="BV1">
        <v>0</v>
      </c>
      <c r="BW1">
        <v>0</v>
      </c>
      <c r="CX1">
        <f>Y1*Source!I29</f>
        <v>21.5853</v>
      </c>
      <c r="CY1">
        <f>AD1</f>
        <v>0</v>
      </c>
      <c r="CZ1">
        <f>AH1</f>
        <v>0</v>
      </c>
      <c r="DA1">
        <f>AL1</f>
        <v>1</v>
      </c>
      <c r="DB1">
        <f t="shared" ref="DB1:DB32" si="0">ROUND(ROUND(AT1*CZ1,2),6)</f>
        <v>0</v>
      </c>
      <c r="DC1">
        <f t="shared" ref="DC1:DC32" si="1">ROUND(ROUND(AT1*AG1,2),6)</f>
        <v>0</v>
      </c>
    </row>
    <row r="2" spans="1:107" x14ac:dyDescent="0.2">
      <c r="A2">
        <f>ROW(Source!A29)</f>
        <v>29</v>
      </c>
      <c r="B2">
        <v>44169784</v>
      </c>
      <c r="C2">
        <v>44169963</v>
      </c>
      <c r="D2">
        <v>35065073</v>
      </c>
      <c r="E2">
        <v>1</v>
      </c>
      <c r="F2">
        <v>1</v>
      </c>
      <c r="G2">
        <v>34959076</v>
      </c>
      <c r="H2">
        <v>2</v>
      </c>
      <c r="I2" t="s">
        <v>344</v>
      </c>
      <c r="J2" t="s">
        <v>345</v>
      </c>
      <c r="K2" t="s">
        <v>346</v>
      </c>
      <c r="L2">
        <v>1367</v>
      </c>
      <c r="N2">
        <v>1011</v>
      </c>
      <c r="O2" t="s">
        <v>347</v>
      </c>
      <c r="P2" t="s">
        <v>347</v>
      </c>
      <c r="Q2">
        <v>1</v>
      </c>
      <c r="W2">
        <v>0</v>
      </c>
      <c r="X2">
        <v>-1426791</v>
      </c>
      <c r="Y2">
        <v>37.5</v>
      </c>
      <c r="AA2">
        <v>0</v>
      </c>
      <c r="AB2">
        <v>701.8</v>
      </c>
      <c r="AC2">
        <v>414.64</v>
      </c>
      <c r="AD2">
        <v>0</v>
      </c>
      <c r="AE2">
        <v>0</v>
      </c>
      <c r="AF2">
        <v>60.77</v>
      </c>
      <c r="AG2">
        <v>18.48</v>
      </c>
      <c r="AH2">
        <v>0</v>
      </c>
      <c r="AI2">
        <v>1</v>
      </c>
      <c r="AJ2">
        <v>11.03</v>
      </c>
      <c r="AK2">
        <v>21.43</v>
      </c>
      <c r="AL2">
        <v>1</v>
      </c>
      <c r="AN2">
        <v>0</v>
      </c>
      <c r="AO2">
        <v>1</v>
      </c>
      <c r="AP2">
        <v>1</v>
      </c>
      <c r="AQ2">
        <v>0</v>
      </c>
      <c r="AR2">
        <v>0</v>
      </c>
      <c r="AS2" t="s">
        <v>5</v>
      </c>
      <c r="AT2">
        <v>37.5</v>
      </c>
      <c r="AU2" t="s">
        <v>5</v>
      </c>
      <c r="AV2">
        <v>0</v>
      </c>
      <c r="AW2">
        <v>2</v>
      </c>
      <c r="AX2">
        <v>44169975</v>
      </c>
      <c r="AY2">
        <v>1</v>
      </c>
      <c r="AZ2">
        <v>0</v>
      </c>
      <c r="BA2">
        <v>2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CX2">
        <f>Y2*Source!I29</f>
        <v>5.2222499999999998</v>
      </c>
      <c r="CY2">
        <f>AB2</f>
        <v>701.8</v>
      </c>
      <c r="CZ2">
        <f>AF2</f>
        <v>60.77</v>
      </c>
      <c r="DA2">
        <f>AJ2</f>
        <v>11.03</v>
      </c>
      <c r="DB2">
        <f t="shared" si="0"/>
        <v>2278.88</v>
      </c>
      <c r="DC2">
        <f t="shared" si="1"/>
        <v>693</v>
      </c>
    </row>
    <row r="3" spans="1:107" x14ac:dyDescent="0.2">
      <c r="A3">
        <f>ROW(Source!A29)</f>
        <v>29</v>
      </c>
      <c r="B3">
        <v>44169784</v>
      </c>
      <c r="C3">
        <v>44169963</v>
      </c>
      <c r="D3">
        <v>35065539</v>
      </c>
      <c r="E3">
        <v>1</v>
      </c>
      <c r="F3">
        <v>1</v>
      </c>
      <c r="G3">
        <v>34959076</v>
      </c>
      <c r="H3">
        <v>2</v>
      </c>
      <c r="I3" t="s">
        <v>348</v>
      </c>
      <c r="J3" t="s">
        <v>349</v>
      </c>
      <c r="K3" t="s">
        <v>350</v>
      </c>
      <c r="L3">
        <v>1367</v>
      </c>
      <c r="N3">
        <v>1011</v>
      </c>
      <c r="O3" t="s">
        <v>347</v>
      </c>
      <c r="P3" t="s">
        <v>347</v>
      </c>
      <c r="Q3">
        <v>1</v>
      </c>
      <c r="W3">
        <v>0</v>
      </c>
      <c r="X3">
        <v>-48163219</v>
      </c>
      <c r="Y3">
        <v>75</v>
      </c>
      <c r="AA3">
        <v>0</v>
      </c>
      <c r="AB3">
        <v>5.56</v>
      </c>
      <c r="AC3">
        <v>0.9</v>
      </c>
      <c r="AD3">
        <v>0</v>
      </c>
      <c r="AE3">
        <v>0</v>
      </c>
      <c r="AF3">
        <v>3.16</v>
      </c>
      <c r="AG3">
        <v>0.04</v>
      </c>
      <c r="AH3">
        <v>0</v>
      </c>
      <c r="AI3">
        <v>1</v>
      </c>
      <c r="AJ3">
        <v>1.68</v>
      </c>
      <c r="AK3">
        <v>21.43</v>
      </c>
      <c r="AL3">
        <v>1</v>
      </c>
      <c r="AN3">
        <v>0</v>
      </c>
      <c r="AO3">
        <v>1</v>
      </c>
      <c r="AP3">
        <v>1</v>
      </c>
      <c r="AQ3">
        <v>0</v>
      </c>
      <c r="AR3">
        <v>0</v>
      </c>
      <c r="AS3" t="s">
        <v>5</v>
      </c>
      <c r="AT3">
        <v>75</v>
      </c>
      <c r="AU3" t="s">
        <v>5</v>
      </c>
      <c r="AV3">
        <v>0</v>
      </c>
      <c r="AW3">
        <v>2</v>
      </c>
      <c r="AX3">
        <v>44169976</v>
      </c>
      <c r="AY3">
        <v>1</v>
      </c>
      <c r="AZ3">
        <v>0</v>
      </c>
      <c r="BA3">
        <v>3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CX3">
        <f>Y3*Source!I29</f>
        <v>10.4445</v>
      </c>
      <c r="CY3">
        <f>AB3</f>
        <v>5.56</v>
      </c>
      <c r="CZ3">
        <f>AF3</f>
        <v>3.16</v>
      </c>
      <c r="DA3">
        <f>AJ3</f>
        <v>1.68</v>
      </c>
      <c r="DB3">
        <f t="shared" si="0"/>
        <v>237</v>
      </c>
      <c r="DC3">
        <f t="shared" si="1"/>
        <v>3</v>
      </c>
    </row>
    <row r="4" spans="1:107" x14ac:dyDescent="0.2">
      <c r="A4">
        <f>ROW(Source!A29)</f>
        <v>29</v>
      </c>
      <c r="B4">
        <v>44169784</v>
      </c>
      <c r="C4">
        <v>44169963</v>
      </c>
      <c r="D4">
        <v>35064906</v>
      </c>
      <c r="E4">
        <v>1</v>
      </c>
      <c r="F4">
        <v>1</v>
      </c>
      <c r="G4">
        <v>34959076</v>
      </c>
      <c r="H4">
        <v>2</v>
      </c>
      <c r="I4" t="s">
        <v>351</v>
      </c>
      <c r="J4" t="s">
        <v>352</v>
      </c>
      <c r="K4" t="s">
        <v>353</v>
      </c>
      <c r="L4">
        <v>1367</v>
      </c>
      <c r="N4">
        <v>1011</v>
      </c>
      <c r="O4" t="s">
        <v>347</v>
      </c>
      <c r="P4" t="s">
        <v>347</v>
      </c>
      <c r="Q4">
        <v>1</v>
      </c>
      <c r="W4">
        <v>0</v>
      </c>
      <c r="X4">
        <v>856318566</v>
      </c>
      <c r="Y4">
        <v>1.55</v>
      </c>
      <c r="AA4">
        <v>0</v>
      </c>
      <c r="AB4">
        <v>1429.33</v>
      </c>
      <c r="AC4">
        <v>555.1</v>
      </c>
      <c r="AD4">
        <v>0</v>
      </c>
      <c r="AE4">
        <v>0</v>
      </c>
      <c r="AF4">
        <v>125.13</v>
      </c>
      <c r="AG4">
        <v>24.74</v>
      </c>
      <c r="AH4">
        <v>0</v>
      </c>
      <c r="AI4">
        <v>1</v>
      </c>
      <c r="AJ4">
        <v>10.91</v>
      </c>
      <c r="AK4">
        <v>21.43</v>
      </c>
      <c r="AL4">
        <v>1</v>
      </c>
      <c r="AN4">
        <v>0</v>
      </c>
      <c r="AO4">
        <v>1</v>
      </c>
      <c r="AP4">
        <v>1</v>
      </c>
      <c r="AQ4">
        <v>0</v>
      </c>
      <c r="AR4">
        <v>0</v>
      </c>
      <c r="AS4" t="s">
        <v>5</v>
      </c>
      <c r="AT4">
        <v>1.55</v>
      </c>
      <c r="AU4" t="s">
        <v>5</v>
      </c>
      <c r="AV4">
        <v>0</v>
      </c>
      <c r="AW4">
        <v>2</v>
      </c>
      <c r="AX4">
        <v>44169977</v>
      </c>
      <c r="AY4">
        <v>1</v>
      </c>
      <c r="AZ4">
        <v>0</v>
      </c>
      <c r="BA4">
        <v>4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CX4">
        <f>Y4*Source!I29</f>
        <v>0.21585299999999999</v>
      </c>
      <c r="CY4">
        <f>AB4</f>
        <v>1429.33</v>
      </c>
      <c r="CZ4">
        <f>AF4</f>
        <v>125.13</v>
      </c>
      <c r="DA4">
        <f>AJ4</f>
        <v>10.91</v>
      </c>
      <c r="DB4">
        <f t="shared" si="0"/>
        <v>193.95</v>
      </c>
      <c r="DC4">
        <f t="shared" si="1"/>
        <v>38.35</v>
      </c>
    </row>
    <row r="5" spans="1:107" x14ac:dyDescent="0.2">
      <c r="A5">
        <f>ROW(Source!A29)</f>
        <v>29</v>
      </c>
      <c r="B5">
        <v>44169784</v>
      </c>
      <c r="C5">
        <v>44169963</v>
      </c>
      <c r="D5">
        <v>34984824</v>
      </c>
      <c r="E5">
        <v>34959076</v>
      </c>
      <c r="F5">
        <v>1</v>
      </c>
      <c r="G5">
        <v>34959076</v>
      </c>
      <c r="H5">
        <v>2</v>
      </c>
      <c r="I5" t="s">
        <v>354</v>
      </c>
      <c r="J5" t="s">
        <v>5</v>
      </c>
      <c r="K5" t="s">
        <v>355</v>
      </c>
      <c r="L5">
        <v>1344</v>
      </c>
      <c r="N5">
        <v>1008</v>
      </c>
      <c r="O5" t="s">
        <v>356</v>
      </c>
      <c r="P5" t="s">
        <v>356</v>
      </c>
      <c r="Q5">
        <v>1</v>
      </c>
      <c r="W5">
        <v>0</v>
      </c>
      <c r="X5">
        <v>-1180195794</v>
      </c>
      <c r="Y5">
        <v>3.72</v>
      </c>
      <c r="AA5">
        <v>0</v>
      </c>
      <c r="AB5">
        <v>1.05</v>
      </c>
      <c r="AC5">
        <v>0</v>
      </c>
      <c r="AD5">
        <v>0</v>
      </c>
      <c r="AE5">
        <v>0</v>
      </c>
      <c r="AF5">
        <v>1</v>
      </c>
      <c r="AG5">
        <v>0</v>
      </c>
      <c r="AH5">
        <v>0</v>
      </c>
      <c r="AI5">
        <v>1</v>
      </c>
      <c r="AJ5">
        <v>1</v>
      </c>
      <c r="AK5">
        <v>1</v>
      </c>
      <c r="AL5">
        <v>1</v>
      </c>
      <c r="AN5">
        <v>0</v>
      </c>
      <c r="AO5">
        <v>1</v>
      </c>
      <c r="AP5">
        <v>1</v>
      </c>
      <c r="AQ5">
        <v>0</v>
      </c>
      <c r="AR5">
        <v>0</v>
      </c>
      <c r="AS5" t="s">
        <v>5</v>
      </c>
      <c r="AT5">
        <v>3.72</v>
      </c>
      <c r="AU5" t="s">
        <v>5</v>
      </c>
      <c r="AV5">
        <v>0</v>
      </c>
      <c r="AW5">
        <v>2</v>
      </c>
      <c r="AX5">
        <v>44169978</v>
      </c>
      <c r="AY5">
        <v>1</v>
      </c>
      <c r="AZ5">
        <v>0</v>
      </c>
      <c r="BA5">
        <v>5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CX5">
        <f>Y5*Source!I29</f>
        <v>0.51804720000000004</v>
      </c>
      <c r="CY5">
        <f>AB5</f>
        <v>1.05</v>
      </c>
      <c r="CZ5">
        <f>AF5</f>
        <v>1</v>
      </c>
      <c r="DA5">
        <f>AJ5</f>
        <v>1</v>
      </c>
      <c r="DB5">
        <f t="shared" si="0"/>
        <v>3.72</v>
      </c>
      <c r="DC5">
        <f t="shared" si="1"/>
        <v>0</v>
      </c>
    </row>
    <row r="6" spans="1:107" x14ac:dyDescent="0.2">
      <c r="A6">
        <f>ROW(Source!A30)</f>
        <v>30</v>
      </c>
      <c r="B6">
        <v>44169784</v>
      </c>
      <c r="C6">
        <v>44169979</v>
      </c>
      <c r="D6">
        <v>34984826</v>
      </c>
      <c r="E6">
        <v>34959076</v>
      </c>
      <c r="F6">
        <v>1</v>
      </c>
      <c r="G6">
        <v>34959076</v>
      </c>
      <c r="H6">
        <v>1</v>
      </c>
      <c r="I6" t="s">
        <v>341</v>
      </c>
      <c r="J6" t="s">
        <v>5</v>
      </c>
      <c r="K6" t="s">
        <v>342</v>
      </c>
      <c r="L6">
        <v>1191</v>
      </c>
      <c r="N6">
        <v>1013</v>
      </c>
      <c r="O6" t="s">
        <v>343</v>
      </c>
      <c r="P6" t="s">
        <v>343</v>
      </c>
      <c r="Q6">
        <v>1</v>
      </c>
      <c r="W6">
        <v>0</v>
      </c>
      <c r="X6">
        <v>476480486</v>
      </c>
      <c r="Y6">
        <v>155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1</v>
      </c>
      <c r="AJ6">
        <v>1</v>
      </c>
      <c r="AK6">
        <v>1</v>
      </c>
      <c r="AL6">
        <v>1</v>
      </c>
      <c r="AN6">
        <v>0</v>
      </c>
      <c r="AO6">
        <v>1</v>
      </c>
      <c r="AP6">
        <v>1</v>
      </c>
      <c r="AQ6">
        <v>0</v>
      </c>
      <c r="AR6">
        <v>0</v>
      </c>
      <c r="AS6" t="s">
        <v>5</v>
      </c>
      <c r="AT6">
        <v>155</v>
      </c>
      <c r="AU6" t="s">
        <v>5</v>
      </c>
      <c r="AV6">
        <v>1</v>
      </c>
      <c r="AW6">
        <v>2</v>
      </c>
      <c r="AX6">
        <v>44169990</v>
      </c>
      <c r="AY6">
        <v>1</v>
      </c>
      <c r="AZ6">
        <v>0</v>
      </c>
      <c r="BA6">
        <v>6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CX6">
        <f>Y6*Source!I30</f>
        <v>7.8766350000000003</v>
      </c>
      <c r="CY6">
        <f>AD6</f>
        <v>0</v>
      </c>
      <c r="CZ6">
        <f>AH6</f>
        <v>0</v>
      </c>
      <c r="DA6">
        <f>AL6</f>
        <v>1</v>
      </c>
      <c r="DB6">
        <f t="shared" si="0"/>
        <v>0</v>
      </c>
      <c r="DC6">
        <f t="shared" si="1"/>
        <v>0</v>
      </c>
    </row>
    <row r="7" spans="1:107" x14ac:dyDescent="0.2">
      <c r="A7">
        <f>ROW(Source!A30)</f>
        <v>30</v>
      </c>
      <c r="B7">
        <v>44169784</v>
      </c>
      <c r="C7">
        <v>44169979</v>
      </c>
      <c r="D7">
        <v>35065073</v>
      </c>
      <c r="E7">
        <v>1</v>
      </c>
      <c r="F7">
        <v>1</v>
      </c>
      <c r="G7">
        <v>34959076</v>
      </c>
      <c r="H7">
        <v>2</v>
      </c>
      <c r="I7" t="s">
        <v>344</v>
      </c>
      <c r="J7" t="s">
        <v>345</v>
      </c>
      <c r="K7" t="s">
        <v>346</v>
      </c>
      <c r="L7">
        <v>1367</v>
      </c>
      <c r="N7">
        <v>1011</v>
      </c>
      <c r="O7" t="s">
        <v>347</v>
      </c>
      <c r="P7" t="s">
        <v>347</v>
      </c>
      <c r="Q7">
        <v>1</v>
      </c>
      <c r="W7">
        <v>0</v>
      </c>
      <c r="X7">
        <v>-1426791</v>
      </c>
      <c r="Y7">
        <v>37.5</v>
      </c>
      <c r="AA7">
        <v>0</v>
      </c>
      <c r="AB7">
        <v>701.8</v>
      </c>
      <c r="AC7">
        <v>414.64</v>
      </c>
      <c r="AD7">
        <v>0</v>
      </c>
      <c r="AE7">
        <v>0</v>
      </c>
      <c r="AF7">
        <v>60.77</v>
      </c>
      <c r="AG7">
        <v>18.48</v>
      </c>
      <c r="AH7">
        <v>0</v>
      </c>
      <c r="AI7">
        <v>1</v>
      </c>
      <c r="AJ7">
        <v>11.03</v>
      </c>
      <c r="AK7">
        <v>21.43</v>
      </c>
      <c r="AL7">
        <v>1</v>
      </c>
      <c r="AN7">
        <v>0</v>
      </c>
      <c r="AO7">
        <v>1</v>
      </c>
      <c r="AP7">
        <v>1</v>
      </c>
      <c r="AQ7">
        <v>0</v>
      </c>
      <c r="AR7">
        <v>0</v>
      </c>
      <c r="AS7" t="s">
        <v>5</v>
      </c>
      <c r="AT7">
        <v>37.5</v>
      </c>
      <c r="AU7" t="s">
        <v>5</v>
      </c>
      <c r="AV7">
        <v>0</v>
      </c>
      <c r="AW7">
        <v>2</v>
      </c>
      <c r="AX7">
        <v>44169991</v>
      </c>
      <c r="AY7">
        <v>1</v>
      </c>
      <c r="AZ7">
        <v>0</v>
      </c>
      <c r="BA7">
        <v>7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CX7">
        <f>Y7*Source!I30</f>
        <v>1.9056375000000001</v>
      </c>
      <c r="CY7">
        <f>AB7</f>
        <v>701.8</v>
      </c>
      <c r="CZ7">
        <f>AF7</f>
        <v>60.77</v>
      </c>
      <c r="DA7">
        <f>AJ7</f>
        <v>11.03</v>
      </c>
      <c r="DB7">
        <f t="shared" si="0"/>
        <v>2278.88</v>
      </c>
      <c r="DC7">
        <f t="shared" si="1"/>
        <v>693</v>
      </c>
    </row>
    <row r="8" spans="1:107" x14ac:dyDescent="0.2">
      <c r="A8">
        <f>ROW(Source!A30)</f>
        <v>30</v>
      </c>
      <c r="B8">
        <v>44169784</v>
      </c>
      <c r="C8">
        <v>44169979</v>
      </c>
      <c r="D8">
        <v>35065539</v>
      </c>
      <c r="E8">
        <v>1</v>
      </c>
      <c r="F8">
        <v>1</v>
      </c>
      <c r="G8">
        <v>34959076</v>
      </c>
      <c r="H8">
        <v>2</v>
      </c>
      <c r="I8" t="s">
        <v>348</v>
      </c>
      <c r="J8" t="s">
        <v>349</v>
      </c>
      <c r="K8" t="s">
        <v>350</v>
      </c>
      <c r="L8">
        <v>1367</v>
      </c>
      <c r="N8">
        <v>1011</v>
      </c>
      <c r="O8" t="s">
        <v>347</v>
      </c>
      <c r="P8" t="s">
        <v>347</v>
      </c>
      <c r="Q8">
        <v>1</v>
      </c>
      <c r="W8">
        <v>0</v>
      </c>
      <c r="X8">
        <v>-48163219</v>
      </c>
      <c r="Y8">
        <v>75</v>
      </c>
      <c r="AA8">
        <v>0</v>
      </c>
      <c r="AB8">
        <v>5.56</v>
      </c>
      <c r="AC8">
        <v>0.9</v>
      </c>
      <c r="AD8">
        <v>0</v>
      </c>
      <c r="AE8">
        <v>0</v>
      </c>
      <c r="AF8">
        <v>3.16</v>
      </c>
      <c r="AG8">
        <v>0.04</v>
      </c>
      <c r="AH8">
        <v>0</v>
      </c>
      <c r="AI8">
        <v>1</v>
      </c>
      <c r="AJ8">
        <v>1.68</v>
      </c>
      <c r="AK8">
        <v>21.43</v>
      </c>
      <c r="AL8">
        <v>1</v>
      </c>
      <c r="AN8">
        <v>0</v>
      </c>
      <c r="AO8">
        <v>1</v>
      </c>
      <c r="AP8">
        <v>1</v>
      </c>
      <c r="AQ8">
        <v>0</v>
      </c>
      <c r="AR8">
        <v>0</v>
      </c>
      <c r="AS8" t="s">
        <v>5</v>
      </c>
      <c r="AT8">
        <v>75</v>
      </c>
      <c r="AU8" t="s">
        <v>5</v>
      </c>
      <c r="AV8">
        <v>0</v>
      </c>
      <c r="AW8">
        <v>2</v>
      </c>
      <c r="AX8">
        <v>44169992</v>
      </c>
      <c r="AY8">
        <v>1</v>
      </c>
      <c r="AZ8">
        <v>0</v>
      </c>
      <c r="BA8">
        <v>8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CX8">
        <f>Y8*Source!I30</f>
        <v>3.8112750000000002</v>
      </c>
      <c r="CY8">
        <f>AB8</f>
        <v>5.56</v>
      </c>
      <c r="CZ8">
        <f>AF8</f>
        <v>3.16</v>
      </c>
      <c r="DA8">
        <f>AJ8</f>
        <v>1.68</v>
      </c>
      <c r="DB8">
        <f t="shared" si="0"/>
        <v>237</v>
      </c>
      <c r="DC8">
        <f t="shared" si="1"/>
        <v>3</v>
      </c>
    </row>
    <row r="9" spans="1:107" x14ac:dyDescent="0.2">
      <c r="A9">
        <f>ROW(Source!A30)</f>
        <v>30</v>
      </c>
      <c r="B9">
        <v>44169784</v>
      </c>
      <c r="C9">
        <v>44169979</v>
      </c>
      <c r="D9">
        <v>35064906</v>
      </c>
      <c r="E9">
        <v>1</v>
      </c>
      <c r="F9">
        <v>1</v>
      </c>
      <c r="G9">
        <v>34959076</v>
      </c>
      <c r="H9">
        <v>2</v>
      </c>
      <c r="I9" t="s">
        <v>351</v>
      </c>
      <c r="J9" t="s">
        <v>352</v>
      </c>
      <c r="K9" t="s">
        <v>353</v>
      </c>
      <c r="L9">
        <v>1367</v>
      </c>
      <c r="N9">
        <v>1011</v>
      </c>
      <c r="O9" t="s">
        <v>347</v>
      </c>
      <c r="P9" t="s">
        <v>347</v>
      </c>
      <c r="Q9">
        <v>1</v>
      </c>
      <c r="W9">
        <v>0</v>
      </c>
      <c r="X9">
        <v>856318566</v>
      </c>
      <c r="Y9">
        <v>1.55</v>
      </c>
      <c r="AA9">
        <v>0</v>
      </c>
      <c r="AB9">
        <v>1429.33</v>
      </c>
      <c r="AC9">
        <v>555.1</v>
      </c>
      <c r="AD9">
        <v>0</v>
      </c>
      <c r="AE9">
        <v>0</v>
      </c>
      <c r="AF9">
        <v>125.13</v>
      </c>
      <c r="AG9">
        <v>24.74</v>
      </c>
      <c r="AH9">
        <v>0</v>
      </c>
      <c r="AI9">
        <v>1</v>
      </c>
      <c r="AJ9">
        <v>10.91</v>
      </c>
      <c r="AK9">
        <v>21.43</v>
      </c>
      <c r="AL9">
        <v>1</v>
      </c>
      <c r="AN9">
        <v>0</v>
      </c>
      <c r="AO9">
        <v>1</v>
      </c>
      <c r="AP9">
        <v>1</v>
      </c>
      <c r="AQ9">
        <v>0</v>
      </c>
      <c r="AR9">
        <v>0</v>
      </c>
      <c r="AS9" t="s">
        <v>5</v>
      </c>
      <c r="AT9">
        <v>1.55</v>
      </c>
      <c r="AU9" t="s">
        <v>5</v>
      </c>
      <c r="AV9">
        <v>0</v>
      </c>
      <c r="AW9">
        <v>2</v>
      </c>
      <c r="AX9">
        <v>44169993</v>
      </c>
      <c r="AY9">
        <v>1</v>
      </c>
      <c r="AZ9">
        <v>0</v>
      </c>
      <c r="BA9">
        <v>9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CX9">
        <f>Y9*Source!I30</f>
        <v>7.8766349999999999E-2</v>
      </c>
      <c r="CY9">
        <f>AB9</f>
        <v>1429.33</v>
      </c>
      <c r="CZ9">
        <f>AF9</f>
        <v>125.13</v>
      </c>
      <c r="DA9">
        <f>AJ9</f>
        <v>10.91</v>
      </c>
      <c r="DB9">
        <f t="shared" si="0"/>
        <v>193.95</v>
      </c>
      <c r="DC9">
        <f t="shared" si="1"/>
        <v>38.35</v>
      </c>
    </row>
    <row r="10" spans="1:107" x14ac:dyDescent="0.2">
      <c r="A10">
        <f>ROW(Source!A30)</f>
        <v>30</v>
      </c>
      <c r="B10">
        <v>44169784</v>
      </c>
      <c r="C10">
        <v>44169979</v>
      </c>
      <c r="D10">
        <v>34984824</v>
      </c>
      <c r="E10">
        <v>34959076</v>
      </c>
      <c r="F10">
        <v>1</v>
      </c>
      <c r="G10">
        <v>34959076</v>
      </c>
      <c r="H10">
        <v>2</v>
      </c>
      <c r="I10" t="s">
        <v>354</v>
      </c>
      <c r="J10" t="s">
        <v>5</v>
      </c>
      <c r="K10" t="s">
        <v>355</v>
      </c>
      <c r="L10">
        <v>1344</v>
      </c>
      <c r="N10">
        <v>1008</v>
      </c>
      <c r="O10" t="s">
        <v>356</v>
      </c>
      <c r="P10" t="s">
        <v>356</v>
      </c>
      <c r="Q10">
        <v>1</v>
      </c>
      <c r="W10">
        <v>0</v>
      </c>
      <c r="X10">
        <v>-1180195794</v>
      </c>
      <c r="Y10">
        <v>3.72</v>
      </c>
      <c r="AA10">
        <v>0</v>
      </c>
      <c r="AB10">
        <v>1.05</v>
      </c>
      <c r="AC10">
        <v>0</v>
      </c>
      <c r="AD10">
        <v>0</v>
      </c>
      <c r="AE10">
        <v>0</v>
      </c>
      <c r="AF10">
        <v>1</v>
      </c>
      <c r="AG10">
        <v>0</v>
      </c>
      <c r="AH10">
        <v>0</v>
      </c>
      <c r="AI10">
        <v>1</v>
      </c>
      <c r="AJ10">
        <v>1</v>
      </c>
      <c r="AK10">
        <v>1</v>
      </c>
      <c r="AL10">
        <v>1</v>
      </c>
      <c r="AN10">
        <v>0</v>
      </c>
      <c r="AO10">
        <v>1</v>
      </c>
      <c r="AP10">
        <v>1</v>
      </c>
      <c r="AQ10">
        <v>0</v>
      </c>
      <c r="AR10">
        <v>0</v>
      </c>
      <c r="AS10" t="s">
        <v>5</v>
      </c>
      <c r="AT10">
        <v>3.72</v>
      </c>
      <c r="AU10" t="s">
        <v>5</v>
      </c>
      <c r="AV10">
        <v>0</v>
      </c>
      <c r="AW10">
        <v>2</v>
      </c>
      <c r="AX10">
        <v>44169994</v>
      </c>
      <c r="AY10">
        <v>1</v>
      </c>
      <c r="AZ10">
        <v>0</v>
      </c>
      <c r="BA10">
        <v>10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  <c r="CX10">
        <f>Y10*Source!I30</f>
        <v>0.18903924000000003</v>
      </c>
      <c r="CY10">
        <f>AB10</f>
        <v>1.05</v>
      </c>
      <c r="CZ10">
        <f>AF10</f>
        <v>1</v>
      </c>
      <c r="DA10">
        <f>AJ10</f>
        <v>1</v>
      </c>
      <c r="DB10">
        <f t="shared" si="0"/>
        <v>3.72</v>
      </c>
      <c r="DC10">
        <f t="shared" si="1"/>
        <v>0</v>
      </c>
    </row>
    <row r="11" spans="1:107" x14ac:dyDescent="0.2">
      <c r="A11">
        <f>ROW(Source!A31)</f>
        <v>31</v>
      </c>
      <c r="B11">
        <v>44169784</v>
      </c>
      <c r="C11">
        <v>44169995</v>
      </c>
      <c r="D11">
        <v>34984826</v>
      </c>
      <c r="E11">
        <v>34959076</v>
      </c>
      <c r="F11">
        <v>1</v>
      </c>
      <c r="G11">
        <v>34959076</v>
      </c>
      <c r="H11">
        <v>1</v>
      </c>
      <c r="I11" t="s">
        <v>341</v>
      </c>
      <c r="J11" t="s">
        <v>5</v>
      </c>
      <c r="K11" t="s">
        <v>342</v>
      </c>
      <c r="L11">
        <v>1191</v>
      </c>
      <c r="N11">
        <v>1013</v>
      </c>
      <c r="O11" t="s">
        <v>343</v>
      </c>
      <c r="P11" t="s">
        <v>343</v>
      </c>
      <c r="Q11">
        <v>1</v>
      </c>
      <c r="W11">
        <v>0</v>
      </c>
      <c r="X11">
        <v>476480486</v>
      </c>
      <c r="Y11">
        <v>49.5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1</v>
      </c>
      <c r="AJ11">
        <v>1</v>
      </c>
      <c r="AK11">
        <v>1</v>
      </c>
      <c r="AL11">
        <v>1</v>
      </c>
      <c r="AN11">
        <v>0</v>
      </c>
      <c r="AO11">
        <v>1</v>
      </c>
      <c r="AP11">
        <v>1</v>
      </c>
      <c r="AQ11">
        <v>0</v>
      </c>
      <c r="AR11">
        <v>0</v>
      </c>
      <c r="AS11" t="s">
        <v>5</v>
      </c>
      <c r="AT11">
        <v>49.5</v>
      </c>
      <c r="AU11" t="s">
        <v>5</v>
      </c>
      <c r="AV11">
        <v>1</v>
      </c>
      <c r="AW11">
        <v>2</v>
      </c>
      <c r="AX11">
        <v>44170004</v>
      </c>
      <c r="AY11">
        <v>1</v>
      </c>
      <c r="AZ11">
        <v>0</v>
      </c>
      <c r="BA11">
        <v>11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CX11">
        <f>Y11*Source!I31</f>
        <v>3.2894234999999998</v>
      </c>
      <c r="CY11">
        <f>AD11</f>
        <v>0</v>
      </c>
      <c r="CZ11">
        <f>AH11</f>
        <v>0</v>
      </c>
      <c r="DA11">
        <f>AL11</f>
        <v>1</v>
      </c>
      <c r="DB11">
        <f t="shared" si="0"/>
        <v>0</v>
      </c>
      <c r="DC11">
        <f t="shared" si="1"/>
        <v>0</v>
      </c>
    </row>
    <row r="12" spans="1:107" x14ac:dyDescent="0.2">
      <c r="A12">
        <f>ROW(Source!A31)</f>
        <v>31</v>
      </c>
      <c r="B12">
        <v>44169784</v>
      </c>
      <c r="C12">
        <v>44169995</v>
      </c>
      <c r="D12">
        <v>35064629</v>
      </c>
      <c r="E12">
        <v>1</v>
      </c>
      <c r="F12">
        <v>1</v>
      </c>
      <c r="G12">
        <v>34959076</v>
      </c>
      <c r="H12">
        <v>2</v>
      </c>
      <c r="I12" t="s">
        <v>357</v>
      </c>
      <c r="J12" t="s">
        <v>358</v>
      </c>
      <c r="K12" t="s">
        <v>359</v>
      </c>
      <c r="L12">
        <v>1367</v>
      </c>
      <c r="N12">
        <v>1011</v>
      </c>
      <c r="O12" t="s">
        <v>347</v>
      </c>
      <c r="P12" t="s">
        <v>347</v>
      </c>
      <c r="Q12">
        <v>1</v>
      </c>
      <c r="W12">
        <v>0</v>
      </c>
      <c r="X12">
        <v>1109083233</v>
      </c>
      <c r="Y12">
        <v>2.87</v>
      </c>
      <c r="AA12">
        <v>0</v>
      </c>
      <c r="AB12">
        <v>899.73</v>
      </c>
      <c r="AC12">
        <v>498.55</v>
      </c>
      <c r="AD12">
        <v>0</v>
      </c>
      <c r="AE12">
        <v>0</v>
      </c>
      <c r="AF12">
        <v>95.06</v>
      </c>
      <c r="AG12">
        <v>22.22</v>
      </c>
      <c r="AH12">
        <v>0</v>
      </c>
      <c r="AI12">
        <v>1</v>
      </c>
      <c r="AJ12">
        <v>9.0399999999999991</v>
      </c>
      <c r="AK12">
        <v>21.43</v>
      </c>
      <c r="AL12">
        <v>1</v>
      </c>
      <c r="AN12">
        <v>0</v>
      </c>
      <c r="AO12">
        <v>1</v>
      </c>
      <c r="AP12">
        <v>1</v>
      </c>
      <c r="AQ12">
        <v>0</v>
      </c>
      <c r="AR12">
        <v>0</v>
      </c>
      <c r="AS12" t="s">
        <v>5</v>
      </c>
      <c r="AT12">
        <v>2.87</v>
      </c>
      <c r="AU12" t="s">
        <v>5</v>
      </c>
      <c r="AV12">
        <v>0</v>
      </c>
      <c r="AW12">
        <v>2</v>
      </c>
      <c r="AX12">
        <v>44170005</v>
      </c>
      <c r="AY12">
        <v>1</v>
      </c>
      <c r="AZ12">
        <v>0</v>
      </c>
      <c r="BA12">
        <v>12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CX12">
        <f>Y12*Source!I31</f>
        <v>0.19072011</v>
      </c>
      <c r="CY12">
        <f>AB12</f>
        <v>899.73</v>
      </c>
      <c r="CZ12">
        <f>AF12</f>
        <v>95.06</v>
      </c>
      <c r="DA12">
        <f>AJ12</f>
        <v>9.0399999999999991</v>
      </c>
      <c r="DB12">
        <f t="shared" si="0"/>
        <v>272.82</v>
      </c>
      <c r="DC12">
        <f t="shared" si="1"/>
        <v>63.77</v>
      </c>
    </row>
    <row r="13" spans="1:107" x14ac:dyDescent="0.2">
      <c r="A13">
        <f>ROW(Source!A31)</f>
        <v>31</v>
      </c>
      <c r="B13">
        <v>44169784</v>
      </c>
      <c r="C13">
        <v>44169995</v>
      </c>
      <c r="D13">
        <v>35064606</v>
      </c>
      <c r="E13">
        <v>1</v>
      </c>
      <c r="F13">
        <v>1</v>
      </c>
      <c r="G13">
        <v>34959076</v>
      </c>
      <c r="H13">
        <v>2</v>
      </c>
      <c r="I13" t="s">
        <v>360</v>
      </c>
      <c r="J13" t="s">
        <v>361</v>
      </c>
      <c r="K13" t="s">
        <v>362</v>
      </c>
      <c r="L13">
        <v>1367</v>
      </c>
      <c r="N13">
        <v>1011</v>
      </c>
      <c r="O13" t="s">
        <v>347</v>
      </c>
      <c r="P13" t="s">
        <v>347</v>
      </c>
      <c r="Q13">
        <v>1</v>
      </c>
      <c r="W13">
        <v>0</v>
      </c>
      <c r="X13">
        <v>-998810610</v>
      </c>
      <c r="Y13">
        <v>7.86</v>
      </c>
      <c r="AA13">
        <v>0</v>
      </c>
      <c r="AB13">
        <v>1584.93</v>
      </c>
      <c r="AC13">
        <v>616.35</v>
      </c>
      <c r="AD13">
        <v>0</v>
      </c>
      <c r="AE13">
        <v>0</v>
      </c>
      <c r="AF13">
        <v>164.9</v>
      </c>
      <c r="AG13">
        <v>27.47</v>
      </c>
      <c r="AH13">
        <v>0</v>
      </c>
      <c r="AI13">
        <v>1</v>
      </c>
      <c r="AJ13">
        <v>9.18</v>
      </c>
      <c r="AK13">
        <v>21.43</v>
      </c>
      <c r="AL13">
        <v>1</v>
      </c>
      <c r="AN13">
        <v>0</v>
      </c>
      <c r="AO13">
        <v>1</v>
      </c>
      <c r="AP13">
        <v>1</v>
      </c>
      <c r="AQ13">
        <v>0</v>
      </c>
      <c r="AR13">
        <v>0</v>
      </c>
      <c r="AS13" t="s">
        <v>5</v>
      </c>
      <c r="AT13">
        <v>7.86</v>
      </c>
      <c r="AU13" t="s">
        <v>5</v>
      </c>
      <c r="AV13">
        <v>0</v>
      </c>
      <c r="AW13">
        <v>2</v>
      </c>
      <c r="AX13">
        <v>44170006</v>
      </c>
      <c r="AY13">
        <v>1</v>
      </c>
      <c r="AZ13">
        <v>0</v>
      </c>
      <c r="BA13">
        <v>13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CX13">
        <f>Y13*Source!I31</f>
        <v>0.52232058000000003</v>
      </c>
      <c r="CY13">
        <f>AB13</f>
        <v>1584.93</v>
      </c>
      <c r="CZ13">
        <f>AF13</f>
        <v>164.9</v>
      </c>
      <c r="DA13">
        <f>AJ13</f>
        <v>9.18</v>
      </c>
      <c r="DB13">
        <f t="shared" si="0"/>
        <v>1296.1099999999999</v>
      </c>
      <c r="DC13">
        <f t="shared" si="1"/>
        <v>215.91</v>
      </c>
    </row>
    <row r="14" spans="1:107" x14ac:dyDescent="0.2">
      <c r="A14">
        <f>ROW(Source!A31)</f>
        <v>31</v>
      </c>
      <c r="B14">
        <v>44169784</v>
      </c>
      <c r="C14">
        <v>44169995</v>
      </c>
      <c r="D14">
        <v>34984824</v>
      </c>
      <c r="E14">
        <v>34959076</v>
      </c>
      <c r="F14">
        <v>1</v>
      </c>
      <c r="G14">
        <v>34959076</v>
      </c>
      <c r="H14">
        <v>2</v>
      </c>
      <c r="I14" t="s">
        <v>354</v>
      </c>
      <c r="J14" t="s">
        <v>5</v>
      </c>
      <c r="K14" t="s">
        <v>355</v>
      </c>
      <c r="L14">
        <v>1344</v>
      </c>
      <c r="N14">
        <v>1008</v>
      </c>
      <c r="O14" t="s">
        <v>356</v>
      </c>
      <c r="P14" t="s">
        <v>356</v>
      </c>
      <c r="Q14">
        <v>1</v>
      </c>
      <c r="W14">
        <v>0</v>
      </c>
      <c r="X14">
        <v>-1180195794</v>
      </c>
      <c r="Y14">
        <v>5.21</v>
      </c>
      <c r="AA14">
        <v>0</v>
      </c>
      <c r="AB14">
        <v>1.05</v>
      </c>
      <c r="AC14">
        <v>0</v>
      </c>
      <c r="AD14">
        <v>0</v>
      </c>
      <c r="AE14">
        <v>0</v>
      </c>
      <c r="AF14">
        <v>1</v>
      </c>
      <c r="AG14">
        <v>0</v>
      </c>
      <c r="AH14">
        <v>0</v>
      </c>
      <c r="AI14">
        <v>1</v>
      </c>
      <c r="AJ14">
        <v>1</v>
      </c>
      <c r="AK14">
        <v>1</v>
      </c>
      <c r="AL14">
        <v>1</v>
      </c>
      <c r="AN14">
        <v>0</v>
      </c>
      <c r="AO14">
        <v>1</v>
      </c>
      <c r="AP14">
        <v>1</v>
      </c>
      <c r="AQ14">
        <v>0</v>
      </c>
      <c r="AR14">
        <v>0</v>
      </c>
      <c r="AS14" t="s">
        <v>5</v>
      </c>
      <c r="AT14">
        <v>5.21</v>
      </c>
      <c r="AU14" t="s">
        <v>5</v>
      </c>
      <c r="AV14">
        <v>0</v>
      </c>
      <c r="AW14">
        <v>2</v>
      </c>
      <c r="AX14">
        <v>44170007</v>
      </c>
      <c r="AY14">
        <v>1</v>
      </c>
      <c r="AZ14">
        <v>0</v>
      </c>
      <c r="BA14">
        <v>14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CX14">
        <f>Y14*Source!I31</f>
        <v>0.34622013000000001</v>
      </c>
      <c r="CY14">
        <f>AB14</f>
        <v>1.05</v>
      </c>
      <c r="CZ14">
        <f>AF14</f>
        <v>1</v>
      </c>
      <c r="DA14">
        <f>AJ14</f>
        <v>1</v>
      </c>
      <c r="DB14">
        <f t="shared" si="0"/>
        <v>5.21</v>
      </c>
      <c r="DC14">
        <f t="shared" si="1"/>
        <v>0</v>
      </c>
    </row>
    <row r="15" spans="1:107" x14ac:dyDescent="0.2">
      <c r="A15">
        <f>ROW(Source!A32)</f>
        <v>32</v>
      </c>
      <c r="B15">
        <v>44169784</v>
      </c>
      <c r="C15">
        <v>44170008</v>
      </c>
      <c r="D15">
        <v>34984826</v>
      </c>
      <c r="E15">
        <v>34959076</v>
      </c>
      <c r="F15">
        <v>1</v>
      </c>
      <c r="G15">
        <v>34959076</v>
      </c>
      <c r="H15">
        <v>1</v>
      </c>
      <c r="I15" t="s">
        <v>341</v>
      </c>
      <c r="J15" t="s">
        <v>5</v>
      </c>
      <c r="K15" t="s">
        <v>342</v>
      </c>
      <c r="L15">
        <v>1191</v>
      </c>
      <c r="N15">
        <v>1013</v>
      </c>
      <c r="O15" t="s">
        <v>343</v>
      </c>
      <c r="P15" t="s">
        <v>343</v>
      </c>
      <c r="Q15">
        <v>1</v>
      </c>
      <c r="W15">
        <v>0</v>
      </c>
      <c r="X15">
        <v>476480486</v>
      </c>
      <c r="Y15">
        <v>1.1200000000000001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1</v>
      </c>
      <c r="AJ15">
        <v>1</v>
      </c>
      <c r="AK15">
        <v>1</v>
      </c>
      <c r="AL15">
        <v>1</v>
      </c>
      <c r="AN15">
        <v>0</v>
      </c>
      <c r="AO15">
        <v>1</v>
      </c>
      <c r="AP15">
        <v>1</v>
      </c>
      <c r="AQ15">
        <v>0</v>
      </c>
      <c r="AR15">
        <v>0</v>
      </c>
      <c r="AS15" t="s">
        <v>5</v>
      </c>
      <c r="AT15">
        <v>1.1200000000000001</v>
      </c>
      <c r="AU15" t="s">
        <v>5</v>
      </c>
      <c r="AV15">
        <v>1</v>
      </c>
      <c r="AW15">
        <v>2</v>
      </c>
      <c r="AX15">
        <v>44170013</v>
      </c>
      <c r="AY15">
        <v>1</v>
      </c>
      <c r="AZ15">
        <v>0</v>
      </c>
      <c r="BA15">
        <v>15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CX15">
        <f>Y15*Source!I32</f>
        <v>0</v>
      </c>
      <c r="CY15">
        <f>AD15</f>
        <v>0</v>
      </c>
      <c r="CZ15">
        <f>AH15</f>
        <v>0</v>
      </c>
      <c r="DA15">
        <f>AL15</f>
        <v>1</v>
      </c>
      <c r="DB15">
        <f t="shared" si="0"/>
        <v>0</v>
      </c>
      <c r="DC15">
        <f t="shared" si="1"/>
        <v>0</v>
      </c>
    </row>
    <row r="16" spans="1:107" x14ac:dyDescent="0.2">
      <c r="A16">
        <f>ROW(Source!A32)</f>
        <v>32</v>
      </c>
      <c r="B16">
        <v>44169784</v>
      </c>
      <c r="C16">
        <v>44170008</v>
      </c>
      <c r="D16">
        <v>35065343</v>
      </c>
      <c r="E16">
        <v>1</v>
      </c>
      <c r="F16">
        <v>1</v>
      </c>
      <c r="G16">
        <v>34959076</v>
      </c>
      <c r="H16">
        <v>2</v>
      </c>
      <c r="I16" t="s">
        <v>363</v>
      </c>
      <c r="J16" t="s">
        <v>364</v>
      </c>
      <c r="K16" t="s">
        <v>365</v>
      </c>
      <c r="L16">
        <v>1367</v>
      </c>
      <c r="N16">
        <v>1011</v>
      </c>
      <c r="O16" t="s">
        <v>347</v>
      </c>
      <c r="P16" t="s">
        <v>347</v>
      </c>
      <c r="Q16">
        <v>1</v>
      </c>
      <c r="W16">
        <v>0</v>
      </c>
      <c r="X16">
        <v>879431454</v>
      </c>
      <c r="Y16">
        <v>0.38</v>
      </c>
      <c r="AA16">
        <v>0</v>
      </c>
      <c r="AB16">
        <v>1070.53</v>
      </c>
      <c r="AC16">
        <v>866.53</v>
      </c>
      <c r="AD16">
        <v>0</v>
      </c>
      <c r="AE16">
        <v>0</v>
      </c>
      <c r="AF16">
        <v>148.4</v>
      </c>
      <c r="AG16">
        <v>38.619999999999997</v>
      </c>
      <c r="AH16">
        <v>0</v>
      </c>
      <c r="AI16">
        <v>1</v>
      </c>
      <c r="AJ16">
        <v>6.89</v>
      </c>
      <c r="AK16">
        <v>21.43</v>
      </c>
      <c r="AL16">
        <v>1</v>
      </c>
      <c r="AN16">
        <v>0</v>
      </c>
      <c r="AO16">
        <v>1</v>
      </c>
      <c r="AP16">
        <v>1</v>
      </c>
      <c r="AQ16">
        <v>0</v>
      </c>
      <c r="AR16">
        <v>0</v>
      </c>
      <c r="AS16" t="s">
        <v>5</v>
      </c>
      <c r="AT16">
        <v>0.38</v>
      </c>
      <c r="AU16" t="s">
        <v>5</v>
      </c>
      <c r="AV16">
        <v>0</v>
      </c>
      <c r="AW16">
        <v>2</v>
      </c>
      <c r="AX16">
        <v>44170014</v>
      </c>
      <c r="AY16">
        <v>1</v>
      </c>
      <c r="AZ16">
        <v>0</v>
      </c>
      <c r="BA16">
        <v>16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</v>
      </c>
      <c r="CX16">
        <f>Y16*Source!I32</f>
        <v>0</v>
      </c>
      <c r="CY16">
        <f>AB16</f>
        <v>1070.53</v>
      </c>
      <c r="CZ16">
        <f>AF16</f>
        <v>148.4</v>
      </c>
      <c r="DA16">
        <f>AJ16</f>
        <v>6.89</v>
      </c>
      <c r="DB16">
        <f t="shared" si="0"/>
        <v>56.39</v>
      </c>
      <c r="DC16">
        <f t="shared" si="1"/>
        <v>14.68</v>
      </c>
    </row>
    <row r="17" spans="1:107" x14ac:dyDescent="0.2">
      <c r="A17">
        <f>ROW(Source!A33)</f>
        <v>33</v>
      </c>
      <c r="B17">
        <v>44169784</v>
      </c>
      <c r="C17">
        <v>44170015</v>
      </c>
      <c r="D17">
        <v>34984824</v>
      </c>
      <c r="E17">
        <v>34959076</v>
      </c>
      <c r="F17">
        <v>1</v>
      </c>
      <c r="G17">
        <v>34959076</v>
      </c>
      <c r="H17">
        <v>2</v>
      </c>
      <c r="I17" t="s">
        <v>354</v>
      </c>
      <c r="J17" t="s">
        <v>5</v>
      </c>
      <c r="K17" t="s">
        <v>355</v>
      </c>
      <c r="L17">
        <v>1344</v>
      </c>
      <c r="N17">
        <v>1008</v>
      </c>
      <c r="O17" t="s">
        <v>356</v>
      </c>
      <c r="P17" t="s">
        <v>356</v>
      </c>
      <c r="Q17">
        <v>1</v>
      </c>
      <c r="W17">
        <v>0</v>
      </c>
      <c r="X17">
        <v>-1180195794</v>
      </c>
      <c r="Y17">
        <v>8.86</v>
      </c>
      <c r="AA17">
        <v>0</v>
      </c>
      <c r="AB17">
        <v>1.05</v>
      </c>
      <c r="AC17">
        <v>0</v>
      </c>
      <c r="AD17">
        <v>0</v>
      </c>
      <c r="AE17">
        <v>0</v>
      </c>
      <c r="AF17">
        <v>1</v>
      </c>
      <c r="AG17">
        <v>0</v>
      </c>
      <c r="AH17">
        <v>0</v>
      </c>
      <c r="AI17">
        <v>1</v>
      </c>
      <c r="AJ17">
        <v>1</v>
      </c>
      <c r="AK17">
        <v>1</v>
      </c>
      <c r="AL17">
        <v>1</v>
      </c>
      <c r="AN17">
        <v>0</v>
      </c>
      <c r="AO17">
        <v>1</v>
      </c>
      <c r="AP17">
        <v>1</v>
      </c>
      <c r="AQ17">
        <v>0</v>
      </c>
      <c r="AR17">
        <v>0</v>
      </c>
      <c r="AS17" t="s">
        <v>5</v>
      </c>
      <c r="AT17">
        <v>8.86</v>
      </c>
      <c r="AU17" t="s">
        <v>5</v>
      </c>
      <c r="AV17">
        <v>0</v>
      </c>
      <c r="AW17">
        <v>2</v>
      </c>
      <c r="AX17">
        <v>44170018</v>
      </c>
      <c r="AY17">
        <v>1</v>
      </c>
      <c r="AZ17">
        <v>0</v>
      </c>
      <c r="BA17">
        <v>17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CX17">
        <f>Y17*Source!I33</f>
        <v>533.70992039999999</v>
      </c>
      <c r="CY17">
        <f>AB17</f>
        <v>1.05</v>
      </c>
      <c r="CZ17">
        <f>AF17</f>
        <v>1</v>
      </c>
      <c r="DA17">
        <f>AJ17</f>
        <v>1</v>
      </c>
      <c r="DB17">
        <f t="shared" si="0"/>
        <v>8.86</v>
      </c>
      <c r="DC17">
        <f t="shared" si="1"/>
        <v>0</v>
      </c>
    </row>
    <row r="18" spans="1:107" x14ac:dyDescent="0.2">
      <c r="A18">
        <f>ROW(Source!A34)</f>
        <v>34</v>
      </c>
      <c r="B18">
        <v>44169784</v>
      </c>
      <c r="C18">
        <v>44170019</v>
      </c>
      <c r="D18">
        <v>34984826</v>
      </c>
      <c r="E18">
        <v>34959076</v>
      </c>
      <c r="F18">
        <v>1</v>
      </c>
      <c r="G18">
        <v>34959076</v>
      </c>
      <c r="H18">
        <v>1</v>
      </c>
      <c r="I18" t="s">
        <v>341</v>
      </c>
      <c r="J18" t="s">
        <v>5</v>
      </c>
      <c r="K18" t="s">
        <v>342</v>
      </c>
      <c r="L18">
        <v>1191</v>
      </c>
      <c r="N18">
        <v>1013</v>
      </c>
      <c r="O18" t="s">
        <v>343</v>
      </c>
      <c r="P18" t="s">
        <v>343</v>
      </c>
      <c r="Q18">
        <v>1</v>
      </c>
      <c r="W18">
        <v>0</v>
      </c>
      <c r="X18">
        <v>476480486</v>
      </c>
      <c r="Y18">
        <v>14.4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1</v>
      </c>
      <c r="AJ18">
        <v>1</v>
      </c>
      <c r="AK18">
        <v>1</v>
      </c>
      <c r="AL18">
        <v>1</v>
      </c>
      <c r="AN18">
        <v>0</v>
      </c>
      <c r="AO18">
        <v>1</v>
      </c>
      <c r="AP18">
        <v>1</v>
      </c>
      <c r="AQ18">
        <v>0</v>
      </c>
      <c r="AR18">
        <v>0</v>
      </c>
      <c r="AS18" t="s">
        <v>5</v>
      </c>
      <c r="AT18">
        <v>14.4</v>
      </c>
      <c r="AU18" t="s">
        <v>5</v>
      </c>
      <c r="AV18">
        <v>1</v>
      </c>
      <c r="AW18">
        <v>2</v>
      </c>
      <c r="AX18">
        <v>44170036</v>
      </c>
      <c r="AY18">
        <v>1</v>
      </c>
      <c r="AZ18">
        <v>0</v>
      </c>
      <c r="BA18">
        <v>18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CX18">
        <f>Y18*Source!I34</f>
        <v>1.9701359999999999</v>
      </c>
      <c r="CY18">
        <f>AD18</f>
        <v>0</v>
      </c>
      <c r="CZ18">
        <f>AH18</f>
        <v>0</v>
      </c>
      <c r="DA18">
        <f>AL18</f>
        <v>1</v>
      </c>
      <c r="DB18">
        <f t="shared" si="0"/>
        <v>0</v>
      </c>
      <c r="DC18">
        <f t="shared" si="1"/>
        <v>0</v>
      </c>
    </row>
    <row r="19" spans="1:107" x14ac:dyDescent="0.2">
      <c r="A19">
        <f>ROW(Source!A34)</f>
        <v>34</v>
      </c>
      <c r="B19">
        <v>44169784</v>
      </c>
      <c r="C19">
        <v>44170019</v>
      </c>
      <c r="D19">
        <v>35064650</v>
      </c>
      <c r="E19">
        <v>1</v>
      </c>
      <c r="F19">
        <v>1</v>
      </c>
      <c r="G19">
        <v>34959076</v>
      </c>
      <c r="H19">
        <v>2</v>
      </c>
      <c r="I19" t="s">
        <v>366</v>
      </c>
      <c r="J19" t="s">
        <v>367</v>
      </c>
      <c r="K19" t="s">
        <v>368</v>
      </c>
      <c r="L19">
        <v>1367</v>
      </c>
      <c r="N19">
        <v>1011</v>
      </c>
      <c r="O19" t="s">
        <v>347</v>
      </c>
      <c r="P19" t="s">
        <v>347</v>
      </c>
      <c r="Q19">
        <v>1</v>
      </c>
      <c r="W19">
        <v>0</v>
      </c>
      <c r="X19">
        <v>1928543733</v>
      </c>
      <c r="Y19">
        <v>1.66</v>
      </c>
      <c r="AA19">
        <v>0</v>
      </c>
      <c r="AB19">
        <v>1154.08</v>
      </c>
      <c r="AC19">
        <v>525.26</v>
      </c>
      <c r="AD19">
        <v>0</v>
      </c>
      <c r="AE19">
        <v>0</v>
      </c>
      <c r="AF19">
        <v>116.89</v>
      </c>
      <c r="AG19">
        <v>23.41</v>
      </c>
      <c r="AH19">
        <v>0</v>
      </c>
      <c r="AI19">
        <v>1</v>
      </c>
      <c r="AJ19">
        <v>9.43</v>
      </c>
      <c r="AK19">
        <v>21.43</v>
      </c>
      <c r="AL19">
        <v>1</v>
      </c>
      <c r="AN19">
        <v>0</v>
      </c>
      <c r="AO19">
        <v>1</v>
      </c>
      <c r="AP19">
        <v>1</v>
      </c>
      <c r="AQ19">
        <v>0</v>
      </c>
      <c r="AR19">
        <v>0</v>
      </c>
      <c r="AS19" t="s">
        <v>5</v>
      </c>
      <c r="AT19">
        <v>1.66</v>
      </c>
      <c r="AU19" t="s">
        <v>5</v>
      </c>
      <c r="AV19">
        <v>0</v>
      </c>
      <c r="AW19">
        <v>2</v>
      </c>
      <c r="AX19">
        <v>44170037</v>
      </c>
      <c r="AY19">
        <v>1</v>
      </c>
      <c r="AZ19">
        <v>0</v>
      </c>
      <c r="BA19">
        <v>19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0</v>
      </c>
      <c r="CX19">
        <f>Y19*Source!I34</f>
        <v>0.22711289999999998</v>
      </c>
      <c r="CY19">
        <f>AB19</f>
        <v>1154.08</v>
      </c>
      <c r="CZ19">
        <f>AF19</f>
        <v>116.89</v>
      </c>
      <c r="DA19">
        <f>AJ19</f>
        <v>9.43</v>
      </c>
      <c r="DB19">
        <f t="shared" si="0"/>
        <v>194.04</v>
      </c>
      <c r="DC19">
        <f t="shared" si="1"/>
        <v>38.86</v>
      </c>
    </row>
    <row r="20" spans="1:107" x14ac:dyDescent="0.2">
      <c r="A20">
        <f>ROW(Source!A34)</f>
        <v>34</v>
      </c>
      <c r="B20">
        <v>44169784</v>
      </c>
      <c r="C20">
        <v>44170019</v>
      </c>
      <c r="D20">
        <v>35064875</v>
      </c>
      <c r="E20">
        <v>1</v>
      </c>
      <c r="F20">
        <v>1</v>
      </c>
      <c r="G20">
        <v>34959076</v>
      </c>
      <c r="H20">
        <v>2</v>
      </c>
      <c r="I20" t="s">
        <v>369</v>
      </c>
      <c r="J20" t="s">
        <v>370</v>
      </c>
      <c r="K20" t="s">
        <v>371</v>
      </c>
      <c r="L20">
        <v>1367</v>
      </c>
      <c r="N20">
        <v>1011</v>
      </c>
      <c r="O20" t="s">
        <v>347</v>
      </c>
      <c r="P20" t="s">
        <v>347</v>
      </c>
      <c r="Q20">
        <v>1</v>
      </c>
      <c r="W20">
        <v>0</v>
      </c>
      <c r="X20">
        <v>142191915</v>
      </c>
      <c r="Y20">
        <v>1.66</v>
      </c>
      <c r="AA20">
        <v>0</v>
      </c>
      <c r="AB20">
        <v>383.05</v>
      </c>
      <c r="AC20">
        <v>148.97999999999999</v>
      </c>
      <c r="AD20">
        <v>0</v>
      </c>
      <c r="AE20">
        <v>0</v>
      </c>
      <c r="AF20">
        <v>62.97</v>
      </c>
      <c r="AG20">
        <v>6.64</v>
      </c>
      <c r="AH20">
        <v>0</v>
      </c>
      <c r="AI20">
        <v>1</v>
      </c>
      <c r="AJ20">
        <v>5.81</v>
      </c>
      <c r="AK20">
        <v>21.43</v>
      </c>
      <c r="AL20">
        <v>1</v>
      </c>
      <c r="AN20">
        <v>0</v>
      </c>
      <c r="AO20">
        <v>1</v>
      </c>
      <c r="AP20">
        <v>1</v>
      </c>
      <c r="AQ20">
        <v>0</v>
      </c>
      <c r="AR20">
        <v>0</v>
      </c>
      <c r="AS20" t="s">
        <v>5</v>
      </c>
      <c r="AT20">
        <v>1.66</v>
      </c>
      <c r="AU20" t="s">
        <v>5</v>
      </c>
      <c r="AV20">
        <v>0</v>
      </c>
      <c r="AW20">
        <v>2</v>
      </c>
      <c r="AX20">
        <v>44170038</v>
      </c>
      <c r="AY20">
        <v>1</v>
      </c>
      <c r="AZ20">
        <v>0</v>
      </c>
      <c r="BA20">
        <v>20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0</v>
      </c>
      <c r="BW20">
        <v>0</v>
      </c>
      <c r="CX20">
        <f>Y20*Source!I34</f>
        <v>0.22711289999999998</v>
      </c>
      <c r="CY20">
        <f>AB20</f>
        <v>383.05</v>
      </c>
      <c r="CZ20">
        <f>AF20</f>
        <v>62.97</v>
      </c>
      <c r="DA20">
        <f>AJ20</f>
        <v>5.81</v>
      </c>
      <c r="DB20">
        <f t="shared" si="0"/>
        <v>104.53</v>
      </c>
      <c r="DC20">
        <f t="shared" si="1"/>
        <v>11.02</v>
      </c>
    </row>
    <row r="21" spans="1:107" x14ac:dyDescent="0.2">
      <c r="A21">
        <f>ROW(Source!A34)</f>
        <v>34</v>
      </c>
      <c r="B21">
        <v>44169784</v>
      </c>
      <c r="C21">
        <v>44170019</v>
      </c>
      <c r="D21">
        <v>35064878</v>
      </c>
      <c r="E21">
        <v>1</v>
      </c>
      <c r="F21">
        <v>1</v>
      </c>
      <c r="G21">
        <v>34959076</v>
      </c>
      <c r="H21">
        <v>2</v>
      </c>
      <c r="I21" t="s">
        <v>372</v>
      </c>
      <c r="J21" t="s">
        <v>373</v>
      </c>
      <c r="K21" t="s">
        <v>374</v>
      </c>
      <c r="L21">
        <v>1367</v>
      </c>
      <c r="N21">
        <v>1011</v>
      </c>
      <c r="O21" t="s">
        <v>347</v>
      </c>
      <c r="P21" t="s">
        <v>347</v>
      </c>
      <c r="Q21">
        <v>1</v>
      </c>
      <c r="W21">
        <v>0</v>
      </c>
      <c r="X21">
        <v>378346098</v>
      </c>
      <c r="Y21">
        <v>0.65</v>
      </c>
      <c r="AA21">
        <v>0</v>
      </c>
      <c r="AB21">
        <v>1848.67</v>
      </c>
      <c r="AC21">
        <v>641.92999999999995</v>
      </c>
      <c r="AD21">
        <v>0</v>
      </c>
      <c r="AE21">
        <v>0</v>
      </c>
      <c r="AF21">
        <v>140.58000000000001</v>
      </c>
      <c r="AG21">
        <v>28.61</v>
      </c>
      <c r="AH21">
        <v>0</v>
      </c>
      <c r="AI21">
        <v>1</v>
      </c>
      <c r="AJ21">
        <v>12.56</v>
      </c>
      <c r="AK21">
        <v>21.43</v>
      </c>
      <c r="AL21">
        <v>1</v>
      </c>
      <c r="AN21">
        <v>0</v>
      </c>
      <c r="AO21">
        <v>1</v>
      </c>
      <c r="AP21">
        <v>1</v>
      </c>
      <c r="AQ21">
        <v>0</v>
      </c>
      <c r="AR21">
        <v>0</v>
      </c>
      <c r="AS21" t="s">
        <v>5</v>
      </c>
      <c r="AT21">
        <v>0.65</v>
      </c>
      <c r="AU21" t="s">
        <v>5</v>
      </c>
      <c r="AV21">
        <v>0</v>
      </c>
      <c r="AW21">
        <v>2</v>
      </c>
      <c r="AX21">
        <v>44170039</v>
      </c>
      <c r="AY21">
        <v>1</v>
      </c>
      <c r="AZ21">
        <v>0</v>
      </c>
      <c r="BA21">
        <v>21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0</v>
      </c>
      <c r="BW21">
        <v>0</v>
      </c>
      <c r="CX21">
        <f>Y21*Source!I34</f>
        <v>8.8929750000000002E-2</v>
      </c>
      <c r="CY21">
        <f>AB21</f>
        <v>1848.67</v>
      </c>
      <c r="CZ21">
        <f>AF21</f>
        <v>140.58000000000001</v>
      </c>
      <c r="DA21">
        <f>AJ21</f>
        <v>12.56</v>
      </c>
      <c r="DB21">
        <f t="shared" si="0"/>
        <v>91.38</v>
      </c>
      <c r="DC21">
        <f t="shared" si="1"/>
        <v>18.600000000000001</v>
      </c>
    </row>
    <row r="22" spans="1:107" x14ac:dyDescent="0.2">
      <c r="A22">
        <f>ROW(Source!A34)</f>
        <v>34</v>
      </c>
      <c r="B22">
        <v>44169784</v>
      </c>
      <c r="C22">
        <v>44170019</v>
      </c>
      <c r="D22">
        <v>35064906</v>
      </c>
      <c r="E22">
        <v>1</v>
      </c>
      <c r="F22">
        <v>1</v>
      </c>
      <c r="G22">
        <v>34959076</v>
      </c>
      <c r="H22">
        <v>2</v>
      </c>
      <c r="I22" t="s">
        <v>351</v>
      </c>
      <c r="J22" t="s">
        <v>352</v>
      </c>
      <c r="K22" t="s">
        <v>353</v>
      </c>
      <c r="L22">
        <v>1367</v>
      </c>
      <c r="N22">
        <v>1011</v>
      </c>
      <c r="O22" t="s">
        <v>347</v>
      </c>
      <c r="P22" t="s">
        <v>347</v>
      </c>
      <c r="Q22">
        <v>1</v>
      </c>
      <c r="W22">
        <v>0</v>
      </c>
      <c r="X22">
        <v>856318566</v>
      </c>
      <c r="Y22">
        <v>1.55</v>
      </c>
      <c r="AA22">
        <v>0</v>
      </c>
      <c r="AB22">
        <v>1429.33</v>
      </c>
      <c r="AC22">
        <v>555.1</v>
      </c>
      <c r="AD22">
        <v>0</v>
      </c>
      <c r="AE22">
        <v>0</v>
      </c>
      <c r="AF22">
        <v>125.13</v>
      </c>
      <c r="AG22">
        <v>24.74</v>
      </c>
      <c r="AH22">
        <v>0</v>
      </c>
      <c r="AI22">
        <v>1</v>
      </c>
      <c r="AJ22">
        <v>10.91</v>
      </c>
      <c r="AK22">
        <v>21.43</v>
      </c>
      <c r="AL22">
        <v>1</v>
      </c>
      <c r="AN22">
        <v>0</v>
      </c>
      <c r="AO22">
        <v>1</v>
      </c>
      <c r="AP22">
        <v>1</v>
      </c>
      <c r="AQ22">
        <v>0</v>
      </c>
      <c r="AR22">
        <v>0</v>
      </c>
      <c r="AS22" t="s">
        <v>5</v>
      </c>
      <c r="AT22">
        <v>1.55</v>
      </c>
      <c r="AU22" t="s">
        <v>5</v>
      </c>
      <c r="AV22">
        <v>0</v>
      </c>
      <c r="AW22">
        <v>2</v>
      </c>
      <c r="AX22">
        <v>44170040</v>
      </c>
      <c r="AY22">
        <v>1</v>
      </c>
      <c r="AZ22">
        <v>0</v>
      </c>
      <c r="BA22">
        <v>22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CX22">
        <f>Y22*Source!I34</f>
        <v>0.21206324999999998</v>
      </c>
      <c r="CY22">
        <f>AB22</f>
        <v>1429.33</v>
      </c>
      <c r="CZ22">
        <f>AF22</f>
        <v>125.13</v>
      </c>
      <c r="DA22">
        <f>AJ22</f>
        <v>10.91</v>
      </c>
      <c r="DB22">
        <f t="shared" si="0"/>
        <v>193.95</v>
      </c>
      <c r="DC22">
        <f t="shared" si="1"/>
        <v>38.35</v>
      </c>
    </row>
    <row r="23" spans="1:107" x14ac:dyDescent="0.2">
      <c r="A23">
        <f>ROW(Source!A34)</f>
        <v>34</v>
      </c>
      <c r="B23">
        <v>44169784</v>
      </c>
      <c r="C23">
        <v>44170019</v>
      </c>
      <c r="D23">
        <v>35064868</v>
      </c>
      <c r="E23">
        <v>1</v>
      </c>
      <c r="F23">
        <v>1</v>
      </c>
      <c r="G23">
        <v>34959076</v>
      </c>
      <c r="H23">
        <v>2</v>
      </c>
      <c r="I23" t="s">
        <v>375</v>
      </c>
      <c r="J23" t="s">
        <v>376</v>
      </c>
      <c r="K23" t="s">
        <v>377</v>
      </c>
      <c r="L23">
        <v>1367</v>
      </c>
      <c r="N23">
        <v>1011</v>
      </c>
      <c r="O23" t="s">
        <v>347</v>
      </c>
      <c r="P23" t="s">
        <v>347</v>
      </c>
      <c r="Q23">
        <v>1</v>
      </c>
      <c r="W23">
        <v>0</v>
      </c>
      <c r="X23">
        <v>2023875219</v>
      </c>
      <c r="Y23">
        <v>0.52</v>
      </c>
      <c r="AA23">
        <v>0</v>
      </c>
      <c r="AB23">
        <v>1895.56</v>
      </c>
      <c r="AC23">
        <v>527.27</v>
      </c>
      <c r="AD23">
        <v>0</v>
      </c>
      <c r="AE23">
        <v>0</v>
      </c>
      <c r="AF23">
        <v>178.02</v>
      </c>
      <c r="AG23">
        <v>23.5</v>
      </c>
      <c r="AH23">
        <v>0</v>
      </c>
      <c r="AI23">
        <v>1</v>
      </c>
      <c r="AJ23">
        <v>10.17</v>
      </c>
      <c r="AK23">
        <v>21.43</v>
      </c>
      <c r="AL23">
        <v>1</v>
      </c>
      <c r="AN23">
        <v>0</v>
      </c>
      <c r="AO23">
        <v>1</v>
      </c>
      <c r="AP23">
        <v>1</v>
      </c>
      <c r="AQ23">
        <v>0</v>
      </c>
      <c r="AR23">
        <v>0</v>
      </c>
      <c r="AS23" t="s">
        <v>5</v>
      </c>
      <c r="AT23">
        <v>0.52</v>
      </c>
      <c r="AU23" t="s">
        <v>5</v>
      </c>
      <c r="AV23">
        <v>0</v>
      </c>
      <c r="AW23">
        <v>2</v>
      </c>
      <c r="AX23">
        <v>44170041</v>
      </c>
      <c r="AY23">
        <v>1</v>
      </c>
      <c r="AZ23">
        <v>0</v>
      </c>
      <c r="BA23">
        <v>23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0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0</v>
      </c>
      <c r="BR23">
        <v>0</v>
      </c>
      <c r="BS23">
        <v>0</v>
      </c>
      <c r="BT23">
        <v>0</v>
      </c>
      <c r="BU23">
        <v>0</v>
      </c>
      <c r="BV23">
        <v>0</v>
      </c>
      <c r="BW23">
        <v>0</v>
      </c>
      <c r="CX23">
        <f>Y23*Source!I34</f>
        <v>7.1143799999999993E-2</v>
      </c>
      <c r="CY23">
        <f>AB23</f>
        <v>1895.56</v>
      </c>
      <c r="CZ23">
        <f>AF23</f>
        <v>178.02</v>
      </c>
      <c r="DA23">
        <f>AJ23</f>
        <v>10.17</v>
      </c>
      <c r="DB23">
        <f t="shared" si="0"/>
        <v>92.57</v>
      </c>
      <c r="DC23">
        <f t="shared" si="1"/>
        <v>12.22</v>
      </c>
    </row>
    <row r="24" spans="1:107" x14ac:dyDescent="0.2">
      <c r="A24">
        <f>ROW(Source!A34)</f>
        <v>34</v>
      </c>
      <c r="B24">
        <v>44169784</v>
      </c>
      <c r="C24">
        <v>44170019</v>
      </c>
      <c r="D24">
        <v>0</v>
      </c>
      <c r="E24">
        <v>1</v>
      </c>
      <c r="F24">
        <v>1</v>
      </c>
      <c r="G24">
        <v>34959076</v>
      </c>
      <c r="H24">
        <v>3</v>
      </c>
      <c r="I24" t="s">
        <v>378</v>
      </c>
      <c r="J24" t="s">
        <v>379</v>
      </c>
      <c r="K24" t="s">
        <v>380</v>
      </c>
      <c r="L24">
        <v>1339</v>
      </c>
      <c r="N24">
        <v>1007</v>
      </c>
      <c r="O24" t="s">
        <v>59</v>
      </c>
      <c r="P24" t="s">
        <v>59</v>
      </c>
      <c r="Q24">
        <v>1</v>
      </c>
      <c r="W24">
        <v>0</v>
      </c>
      <c r="X24">
        <v>55300385</v>
      </c>
      <c r="Y24">
        <v>5</v>
      </c>
      <c r="AA24">
        <v>7.08</v>
      </c>
      <c r="AB24">
        <v>0</v>
      </c>
      <c r="AC24">
        <v>0</v>
      </c>
      <c r="AD24">
        <v>0</v>
      </c>
      <c r="AE24">
        <v>7.07</v>
      </c>
      <c r="AF24">
        <v>0</v>
      </c>
      <c r="AG24">
        <v>0</v>
      </c>
      <c r="AH24">
        <v>0</v>
      </c>
      <c r="AI24">
        <v>1</v>
      </c>
      <c r="AJ24">
        <v>1</v>
      </c>
      <c r="AK24">
        <v>1</v>
      </c>
      <c r="AL24">
        <v>1</v>
      </c>
      <c r="AN24">
        <v>0</v>
      </c>
      <c r="AO24">
        <v>1</v>
      </c>
      <c r="AP24">
        <v>0</v>
      </c>
      <c r="AQ24">
        <v>0</v>
      </c>
      <c r="AR24">
        <v>0</v>
      </c>
      <c r="AS24" t="s">
        <v>5</v>
      </c>
      <c r="AT24">
        <v>5</v>
      </c>
      <c r="AU24" t="s">
        <v>5</v>
      </c>
      <c r="AV24">
        <v>0</v>
      </c>
      <c r="AW24">
        <v>2</v>
      </c>
      <c r="AX24">
        <v>44170042</v>
      </c>
      <c r="AY24">
        <v>1</v>
      </c>
      <c r="AZ24">
        <v>0</v>
      </c>
      <c r="BA24">
        <v>24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0</v>
      </c>
      <c r="BT24">
        <v>0</v>
      </c>
      <c r="BU24">
        <v>0</v>
      </c>
      <c r="BV24">
        <v>0</v>
      </c>
      <c r="BW24">
        <v>0</v>
      </c>
      <c r="CX24">
        <f>Y24*Source!I34</f>
        <v>0.68407499999999999</v>
      </c>
      <c r="CY24">
        <f>AA24</f>
        <v>7.08</v>
      </c>
      <c r="CZ24">
        <f>AE24</f>
        <v>7.07</v>
      </c>
      <c r="DA24">
        <f>AI24</f>
        <v>1</v>
      </c>
      <c r="DB24">
        <f t="shared" si="0"/>
        <v>35.35</v>
      </c>
      <c r="DC24">
        <f t="shared" si="1"/>
        <v>0</v>
      </c>
    </row>
    <row r="25" spans="1:107" x14ac:dyDescent="0.2">
      <c r="A25">
        <f>ROW(Source!A34)</f>
        <v>34</v>
      </c>
      <c r="B25">
        <v>44169784</v>
      </c>
      <c r="C25">
        <v>44170019</v>
      </c>
      <c r="D25">
        <v>35043338</v>
      </c>
      <c r="E25">
        <v>1</v>
      </c>
      <c r="F25">
        <v>1</v>
      </c>
      <c r="G25">
        <v>34959076</v>
      </c>
      <c r="H25">
        <v>3</v>
      </c>
      <c r="I25" t="s">
        <v>57</v>
      </c>
      <c r="J25" t="s">
        <v>60</v>
      </c>
      <c r="K25" t="s">
        <v>58</v>
      </c>
      <c r="L25">
        <v>1339</v>
      </c>
      <c r="N25">
        <v>1007</v>
      </c>
      <c r="O25" t="s">
        <v>59</v>
      </c>
      <c r="P25" t="s">
        <v>59</v>
      </c>
      <c r="Q25">
        <v>1</v>
      </c>
      <c r="W25">
        <v>0</v>
      </c>
      <c r="X25">
        <v>2069056849</v>
      </c>
      <c r="Y25">
        <v>110</v>
      </c>
      <c r="AA25">
        <v>552.29999999999995</v>
      </c>
      <c r="AB25">
        <v>0</v>
      </c>
      <c r="AC25">
        <v>0</v>
      </c>
      <c r="AD25">
        <v>0</v>
      </c>
      <c r="AE25">
        <v>104.99</v>
      </c>
      <c r="AF25">
        <v>0</v>
      </c>
      <c r="AG25">
        <v>0</v>
      </c>
      <c r="AH25">
        <v>0</v>
      </c>
      <c r="AI25">
        <v>5.25</v>
      </c>
      <c r="AJ25">
        <v>1</v>
      </c>
      <c r="AK25">
        <v>1</v>
      </c>
      <c r="AL25">
        <v>1</v>
      </c>
      <c r="AN25">
        <v>0</v>
      </c>
      <c r="AO25">
        <v>0</v>
      </c>
      <c r="AP25">
        <v>0</v>
      </c>
      <c r="AQ25">
        <v>0</v>
      </c>
      <c r="AR25">
        <v>0</v>
      </c>
      <c r="AS25" t="s">
        <v>5</v>
      </c>
      <c r="AT25">
        <v>110</v>
      </c>
      <c r="AU25" t="s">
        <v>5</v>
      </c>
      <c r="AV25">
        <v>0</v>
      </c>
      <c r="AW25">
        <v>1</v>
      </c>
      <c r="AX25">
        <v>-1</v>
      </c>
      <c r="AY25">
        <v>0</v>
      </c>
      <c r="AZ25">
        <v>0</v>
      </c>
      <c r="BA25" t="s">
        <v>5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0</v>
      </c>
      <c r="BK25">
        <v>0</v>
      </c>
      <c r="BL25">
        <v>0</v>
      </c>
      <c r="BM25">
        <v>0</v>
      </c>
      <c r="BN25">
        <v>0</v>
      </c>
      <c r="BO25">
        <v>0</v>
      </c>
      <c r="BP25">
        <v>0</v>
      </c>
      <c r="BQ25">
        <v>0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0</v>
      </c>
      <c r="CX25">
        <f>Y25*Source!I34</f>
        <v>15.04965</v>
      </c>
      <c r="CY25">
        <f>AA25</f>
        <v>552.29999999999995</v>
      </c>
      <c r="CZ25">
        <f>AE25</f>
        <v>104.99</v>
      </c>
      <c r="DA25">
        <f>AI25</f>
        <v>5.25</v>
      </c>
      <c r="DB25">
        <f t="shared" si="0"/>
        <v>11548.9</v>
      </c>
      <c r="DC25">
        <f t="shared" si="1"/>
        <v>0</v>
      </c>
    </row>
    <row r="26" spans="1:107" x14ac:dyDescent="0.2">
      <c r="A26">
        <f>ROW(Source!A36)</f>
        <v>36</v>
      </c>
      <c r="B26">
        <v>44169784</v>
      </c>
      <c r="C26">
        <v>44170045</v>
      </c>
      <c r="D26">
        <v>34984826</v>
      </c>
      <c r="E26">
        <v>34959076</v>
      </c>
      <c r="F26">
        <v>1</v>
      </c>
      <c r="G26">
        <v>34959076</v>
      </c>
      <c r="H26">
        <v>1</v>
      </c>
      <c r="I26" t="s">
        <v>341</v>
      </c>
      <c r="J26" t="s">
        <v>5</v>
      </c>
      <c r="K26" t="s">
        <v>342</v>
      </c>
      <c r="L26">
        <v>1191</v>
      </c>
      <c r="N26">
        <v>1013</v>
      </c>
      <c r="O26" t="s">
        <v>343</v>
      </c>
      <c r="P26" t="s">
        <v>343</v>
      </c>
      <c r="Q26">
        <v>1</v>
      </c>
      <c r="W26">
        <v>0</v>
      </c>
      <c r="X26">
        <v>476480486</v>
      </c>
      <c r="Y26">
        <v>267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1</v>
      </c>
      <c r="AJ26">
        <v>1</v>
      </c>
      <c r="AK26">
        <v>1</v>
      </c>
      <c r="AL26">
        <v>1</v>
      </c>
      <c r="AN26">
        <v>0</v>
      </c>
      <c r="AO26">
        <v>1</v>
      </c>
      <c r="AP26">
        <v>1</v>
      </c>
      <c r="AQ26">
        <v>0</v>
      </c>
      <c r="AR26">
        <v>0</v>
      </c>
      <c r="AS26" t="s">
        <v>5</v>
      </c>
      <c r="AT26">
        <v>267</v>
      </c>
      <c r="AU26" t="s">
        <v>5</v>
      </c>
      <c r="AV26">
        <v>1</v>
      </c>
      <c r="AW26">
        <v>2</v>
      </c>
      <c r="AX26">
        <v>44170066</v>
      </c>
      <c r="AY26">
        <v>1</v>
      </c>
      <c r="AZ26">
        <v>0</v>
      </c>
      <c r="BA26">
        <v>26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0</v>
      </c>
      <c r="BK26">
        <v>0</v>
      </c>
      <c r="BL26">
        <v>0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0</v>
      </c>
      <c r="BS26">
        <v>0</v>
      </c>
      <c r="BT26">
        <v>0</v>
      </c>
      <c r="BU26">
        <v>0</v>
      </c>
      <c r="BV26">
        <v>0</v>
      </c>
      <c r="BW26">
        <v>0</v>
      </c>
      <c r="CX26">
        <f>Y26*Source!I36</f>
        <v>10.43703</v>
      </c>
      <c r="CY26">
        <f>AD26</f>
        <v>0</v>
      </c>
      <c r="CZ26">
        <f>AH26</f>
        <v>0</v>
      </c>
      <c r="DA26">
        <f>AL26</f>
        <v>1</v>
      </c>
      <c r="DB26">
        <f t="shared" si="0"/>
        <v>0</v>
      </c>
      <c r="DC26">
        <f t="shared" si="1"/>
        <v>0</v>
      </c>
    </row>
    <row r="27" spans="1:107" x14ac:dyDescent="0.2">
      <c r="A27">
        <f>ROW(Source!A36)</f>
        <v>36</v>
      </c>
      <c r="B27">
        <v>44169784</v>
      </c>
      <c r="C27">
        <v>44170045</v>
      </c>
      <c r="D27">
        <v>35064878</v>
      </c>
      <c r="E27">
        <v>1</v>
      </c>
      <c r="F27">
        <v>1</v>
      </c>
      <c r="G27">
        <v>34959076</v>
      </c>
      <c r="H27">
        <v>2</v>
      </c>
      <c r="I27" t="s">
        <v>372</v>
      </c>
      <c r="J27" t="s">
        <v>373</v>
      </c>
      <c r="K27" t="s">
        <v>374</v>
      </c>
      <c r="L27">
        <v>1367</v>
      </c>
      <c r="N27">
        <v>1011</v>
      </c>
      <c r="O27" t="s">
        <v>347</v>
      </c>
      <c r="P27" t="s">
        <v>347</v>
      </c>
      <c r="Q27">
        <v>1</v>
      </c>
      <c r="W27">
        <v>0</v>
      </c>
      <c r="X27">
        <v>378346098</v>
      </c>
      <c r="Y27">
        <v>11.76</v>
      </c>
      <c r="AA27">
        <v>0</v>
      </c>
      <c r="AB27">
        <v>1848.67</v>
      </c>
      <c r="AC27">
        <v>641.92999999999995</v>
      </c>
      <c r="AD27">
        <v>0</v>
      </c>
      <c r="AE27">
        <v>0</v>
      </c>
      <c r="AF27">
        <v>140.58000000000001</v>
      </c>
      <c r="AG27">
        <v>28.61</v>
      </c>
      <c r="AH27">
        <v>0</v>
      </c>
      <c r="AI27">
        <v>1</v>
      </c>
      <c r="AJ27">
        <v>12.56</v>
      </c>
      <c r="AK27">
        <v>21.43</v>
      </c>
      <c r="AL27">
        <v>1</v>
      </c>
      <c r="AN27">
        <v>0</v>
      </c>
      <c r="AO27">
        <v>1</v>
      </c>
      <c r="AP27">
        <v>1</v>
      </c>
      <c r="AQ27">
        <v>0</v>
      </c>
      <c r="AR27">
        <v>0</v>
      </c>
      <c r="AS27" t="s">
        <v>5</v>
      </c>
      <c r="AT27">
        <v>11.76</v>
      </c>
      <c r="AU27" t="s">
        <v>5</v>
      </c>
      <c r="AV27">
        <v>0</v>
      </c>
      <c r="AW27">
        <v>2</v>
      </c>
      <c r="AX27">
        <v>44170067</v>
      </c>
      <c r="AY27">
        <v>1</v>
      </c>
      <c r="AZ27">
        <v>0</v>
      </c>
      <c r="BA27">
        <v>27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  <c r="CX27">
        <f>Y27*Source!I36</f>
        <v>0.45969840000000001</v>
      </c>
      <c r="CY27">
        <f>AB27</f>
        <v>1848.67</v>
      </c>
      <c r="CZ27">
        <f>AF27</f>
        <v>140.58000000000001</v>
      </c>
      <c r="DA27">
        <f>AJ27</f>
        <v>12.56</v>
      </c>
      <c r="DB27">
        <f t="shared" si="0"/>
        <v>1653.22</v>
      </c>
      <c r="DC27">
        <f t="shared" si="1"/>
        <v>336.45</v>
      </c>
    </row>
    <row r="28" spans="1:107" x14ac:dyDescent="0.2">
      <c r="A28">
        <f>ROW(Source!A36)</f>
        <v>36</v>
      </c>
      <c r="B28">
        <v>44169784</v>
      </c>
      <c r="C28">
        <v>44170045</v>
      </c>
      <c r="D28">
        <v>35064916</v>
      </c>
      <c r="E28">
        <v>1</v>
      </c>
      <c r="F28">
        <v>1</v>
      </c>
      <c r="G28">
        <v>34959076</v>
      </c>
      <c r="H28">
        <v>2</v>
      </c>
      <c r="I28" t="s">
        <v>381</v>
      </c>
      <c r="J28" t="s">
        <v>382</v>
      </c>
      <c r="K28" t="s">
        <v>383</v>
      </c>
      <c r="L28">
        <v>1367</v>
      </c>
      <c r="N28">
        <v>1011</v>
      </c>
      <c r="O28" t="s">
        <v>347</v>
      </c>
      <c r="P28" t="s">
        <v>347</v>
      </c>
      <c r="Q28">
        <v>1</v>
      </c>
      <c r="W28">
        <v>0</v>
      </c>
      <c r="X28">
        <v>357248294</v>
      </c>
      <c r="Y28">
        <v>10.8</v>
      </c>
      <c r="AA28">
        <v>0</v>
      </c>
      <c r="AB28">
        <v>242.38</v>
      </c>
      <c r="AC28">
        <v>41.51</v>
      </c>
      <c r="AD28">
        <v>0</v>
      </c>
      <c r="AE28">
        <v>0</v>
      </c>
      <c r="AF28">
        <v>25.58</v>
      </c>
      <c r="AG28">
        <v>1.85</v>
      </c>
      <c r="AH28">
        <v>0</v>
      </c>
      <c r="AI28">
        <v>1</v>
      </c>
      <c r="AJ28">
        <v>9.0500000000000007</v>
      </c>
      <c r="AK28">
        <v>21.43</v>
      </c>
      <c r="AL28">
        <v>1</v>
      </c>
      <c r="AN28">
        <v>0</v>
      </c>
      <c r="AO28">
        <v>1</v>
      </c>
      <c r="AP28">
        <v>1</v>
      </c>
      <c r="AQ28">
        <v>0</v>
      </c>
      <c r="AR28">
        <v>0</v>
      </c>
      <c r="AS28" t="s">
        <v>5</v>
      </c>
      <c r="AT28">
        <v>10.8</v>
      </c>
      <c r="AU28" t="s">
        <v>5</v>
      </c>
      <c r="AV28">
        <v>0</v>
      </c>
      <c r="AW28">
        <v>2</v>
      </c>
      <c r="AX28">
        <v>44170068</v>
      </c>
      <c r="AY28">
        <v>1</v>
      </c>
      <c r="AZ28">
        <v>0</v>
      </c>
      <c r="BA28">
        <v>28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0</v>
      </c>
      <c r="BK28">
        <v>0</v>
      </c>
      <c r="BL28">
        <v>0</v>
      </c>
      <c r="BM28">
        <v>0</v>
      </c>
      <c r="BN28">
        <v>0</v>
      </c>
      <c r="BO28">
        <v>0</v>
      </c>
      <c r="BP28">
        <v>0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0</v>
      </c>
      <c r="CX28">
        <f>Y28*Source!I36</f>
        <v>0.42217200000000005</v>
      </c>
      <c r="CY28">
        <f>AB28</f>
        <v>242.38</v>
      </c>
      <c r="CZ28">
        <f>AF28</f>
        <v>25.58</v>
      </c>
      <c r="DA28">
        <f>AJ28</f>
        <v>9.0500000000000007</v>
      </c>
      <c r="DB28">
        <f t="shared" si="0"/>
        <v>276.26</v>
      </c>
      <c r="DC28">
        <f t="shared" si="1"/>
        <v>19.98</v>
      </c>
    </row>
    <row r="29" spans="1:107" x14ac:dyDescent="0.2">
      <c r="A29">
        <f>ROW(Source!A36)</f>
        <v>36</v>
      </c>
      <c r="B29">
        <v>44169784</v>
      </c>
      <c r="C29">
        <v>44170045</v>
      </c>
      <c r="D29">
        <v>34984824</v>
      </c>
      <c r="E29">
        <v>34959076</v>
      </c>
      <c r="F29">
        <v>1</v>
      </c>
      <c r="G29">
        <v>34959076</v>
      </c>
      <c r="H29">
        <v>2</v>
      </c>
      <c r="I29" t="s">
        <v>354</v>
      </c>
      <c r="J29" t="s">
        <v>5</v>
      </c>
      <c r="K29" t="s">
        <v>355</v>
      </c>
      <c r="L29">
        <v>1344</v>
      </c>
      <c r="N29">
        <v>1008</v>
      </c>
      <c r="O29" t="s">
        <v>356</v>
      </c>
      <c r="P29" t="s">
        <v>356</v>
      </c>
      <c r="Q29">
        <v>1</v>
      </c>
      <c r="W29">
        <v>0</v>
      </c>
      <c r="X29">
        <v>-1180195794</v>
      </c>
      <c r="Y29">
        <v>4.7699999999999996</v>
      </c>
      <c r="AA29">
        <v>0</v>
      </c>
      <c r="AB29">
        <v>1.05</v>
      </c>
      <c r="AC29">
        <v>0</v>
      </c>
      <c r="AD29">
        <v>0</v>
      </c>
      <c r="AE29">
        <v>0</v>
      </c>
      <c r="AF29">
        <v>1</v>
      </c>
      <c r="AG29">
        <v>0</v>
      </c>
      <c r="AH29">
        <v>0</v>
      </c>
      <c r="AI29">
        <v>1</v>
      </c>
      <c r="AJ29">
        <v>1</v>
      </c>
      <c r="AK29">
        <v>1</v>
      </c>
      <c r="AL29">
        <v>1</v>
      </c>
      <c r="AN29">
        <v>0</v>
      </c>
      <c r="AO29">
        <v>1</v>
      </c>
      <c r="AP29">
        <v>1</v>
      </c>
      <c r="AQ29">
        <v>0</v>
      </c>
      <c r="AR29">
        <v>0</v>
      </c>
      <c r="AS29" t="s">
        <v>5</v>
      </c>
      <c r="AT29">
        <v>4.7699999999999996</v>
      </c>
      <c r="AU29" t="s">
        <v>5</v>
      </c>
      <c r="AV29">
        <v>0</v>
      </c>
      <c r="AW29">
        <v>2</v>
      </c>
      <c r="AX29">
        <v>44170069</v>
      </c>
      <c r="AY29">
        <v>1</v>
      </c>
      <c r="AZ29">
        <v>0</v>
      </c>
      <c r="BA29">
        <v>29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0</v>
      </c>
      <c r="BK29">
        <v>0</v>
      </c>
      <c r="BL29">
        <v>0</v>
      </c>
      <c r="BM29">
        <v>0</v>
      </c>
      <c r="BN29">
        <v>0</v>
      </c>
      <c r="BO29">
        <v>0</v>
      </c>
      <c r="BP29">
        <v>0</v>
      </c>
      <c r="BQ29">
        <v>0</v>
      </c>
      <c r="BR29">
        <v>0</v>
      </c>
      <c r="BS29">
        <v>0</v>
      </c>
      <c r="BT29">
        <v>0</v>
      </c>
      <c r="BU29">
        <v>0</v>
      </c>
      <c r="BV29">
        <v>0</v>
      </c>
      <c r="BW29">
        <v>0</v>
      </c>
      <c r="CX29">
        <f>Y29*Source!I36</f>
        <v>0.18645929999999999</v>
      </c>
      <c r="CY29">
        <f>AB29</f>
        <v>1.05</v>
      </c>
      <c r="CZ29">
        <f>AF29</f>
        <v>1</v>
      </c>
      <c r="DA29">
        <f>AJ29</f>
        <v>1</v>
      </c>
      <c r="DB29">
        <f t="shared" si="0"/>
        <v>4.7699999999999996</v>
      </c>
      <c r="DC29">
        <f t="shared" si="1"/>
        <v>0</v>
      </c>
    </row>
    <row r="30" spans="1:107" x14ac:dyDescent="0.2">
      <c r="A30">
        <f>ROW(Source!A36)</f>
        <v>36</v>
      </c>
      <c r="B30">
        <v>44169784</v>
      </c>
      <c r="C30">
        <v>44170045</v>
      </c>
      <c r="D30">
        <v>0</v>
      </c>
      <c r="E30">
        <v>7157832</v>
      </c>
      <c r="F30">
        <v>1</v>
      </c>
      <c r="G30">
        <v>34959076</v>
      </c>
      <c r="H30">
        <v>3</v>
      </c>
      <c r="I30" t="s">
        <v>384</v>
      </c>
      <c r="J30" t="s">
        <v>5</v>
      </c>
      <c r="K30" t="s">
        <v>385</v>
      </c>
      <c r="L30">
        <v>1344</v>
      </c>
      <c r="N30">
        <v>1008</v>
      </c>
      <c r="O30" t="s">
        <v>356</v>
      </c>
      <c r="P30" t="s">
        <v>356</v>
      </c>
      <c r="Q30">
        <v>1</v>
      </c>
      <c r="W30">
        <v>0</v>
      </c>
      <c r="X30">
        <v>1800942154</v>
      </c>
      <c r="Y30">
        <v>49.28</v>
      </c>
      <c r="AA30">
        <v>1</v>
      </c>
      <c r="AB30">
        <v>0</v>
      </c>
      <c r="AC30">
        <v>0</v>
      </c>
      <c r="AD30">
        <v>0</v>
      </c>
      <c r="AE30">
        <v>1</v>
      </c>
      <c r="AF30">
        <v>0</v>
      </c>
      <c r="AG30">
        <v>0</v>
      </c>
      <c r="AH30">
        <v>0</v>
      </c>
      <c r="AI30">
        <v>1</v>
      </c>
      <c r="AJ30">
        <v>1</v>
      </c>
      <c r="AK30">
        <v>1</v>
      </c>
      <c r="AL30">
        <v>1</v>
      </c>
      <c r="AN30">
        <v>0</v>
      </c>
      <c r="AO30">
        <v>1</v>
      </c>
      <c r="AP30">
        <v>0</v>
      </c>
      <c r="AQ30">
        <v>0</v>
      </c>
      <c r="AR30">
        <v>0</v>
      </c>
      <c r="AS30" t="s">
        <v>5</v>
      </c>
      <c r="AT30">
        <v>49.28</v>
      </c>
      <c r="AU30" t="s">
        <v>5</v>
      </c>
      <c r="AV30">
        <v>0</v>
      </c>
      <c r="AW30">
        <v>1</v>
      </c>
      <c r="AX30">
        <v>-1</v>
      </c>
      <c r="AY30">
        <v>0</v>
      </c>
      <c r="AZ30">
        <v>0</v>
      </c>
      <c r="BA30" t="s">
        <v>5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0</v>
      </c>
      <c r="CX30">
        <f>Y30*Source!I36</f>
        <v>1.9263551999999999</v>
      </c>
      <c r="CY30">
        <f t="shared" ref="CY30:CY35" si="2">AA30</f>
        <v>1</v>
      </c>
      <c r="CZ30">
        <f t="shared" ref="CZ30:CZ35" si="3">AE30</f>
        <v>1</v>
      </c>
      <c r="DA30">
        <f t="shared" ref="DA30:DA35" si="4">AI30</f>
        <v>1</v>
      </c>
      <c r="DB30">
        <f t="shared" si="0"/>
        <v>49.28</v>
      </c>
      <c r="DC30">
        <f t="shared" si="1"/>
        <v>0</v>
      </c>
    </row>
    <row r="31" spans="1:107" x14ac:dyDescent="0.2">
      <c r="A31">
        <f>ROW(Source!A36)</f>
        <v>36</v>
      </c>
      <c r="B31">
        <v>44169784</v>
      </c>
      <c r="C31">
        <v>44170045</v>
      </c>
      <c r="D31">
        <v>0</v>
      </c>
      <c r="E31">
        <v>1</v>
      </c>
      <c r="F31">
        <v>1</v>
      </c>
      <c r="G31">
        <v>34959076</v>
      </c>
      <c r="H31">
        <v>3</v>
      </c>
      <c r="I31" t="s">
        <v>378</v>
      </c>
      <c r="J31" t="s">
        <v>379</v>
      </c>
      <c r="K31" t="s">
        <v>380</v>
      </c>
      <c r="L31">
        <v>1339</v>
      </c>
      <c r="N31">
        <v>1007</v>
      </c>
      <c r="O31" t="s">
        <v>59</v>
      </c>
      <c r="P31" t="s">
        <v>59</v>
      </c>
      <c r="Q31">
        <v>1</v>
      </c>
      <c r="W31">
        <v>0</v>
      </c>
      <c r="X31">
        <v>55300385</v>
      </c>
      <c r="Y31">
        <v>178</v>
      </c>
      <c r="AA31">
        <v>7.08</v>
      </c>
      <c r="AB31">
        <v>0</v>
      </c>
      <c r="AC31">
        <v>0</v>
      </c>
      <c r="AD31">
        <v>0</v>
      </c>
      <c r="AE31">
        <v>7.07</v>
      </c>
      <c r="AF31">
        <v>0</v>
      </c>
      <c r="AG31">
        <v>0</v>
      </c>
      <c r="AH31">
        <v>0</v>
      </c>
      <c r="AI31">
        <v>1</v>
      </c>
      <c r="AJ31">
        <v>1</v>
      </c>
      <c r="AK31">
        <v>1</v>
      </c>
      <c r="AL31">
        <v>1</v>
      </c>
      <c r="AN31">
        <v>0</v>
      </c>
      <c r="AO31">
        <v>1</v>
      </c>
      <c r="AP31">
        <v>0</v>
      </c>
      <c r="AQ31">
        <v>0</v>
      </c>
      <c r="AR31">
        <v>0</v>
      </c>
      <c r="AS31" t="s">
        <v>5</v>
      </c>
      <c r="AT31">
        <v>178</v>
      </c>
      <c r="AU31" t="s">
        <v>5</v>
      </c>
      <c r="AV31">
        <v>0</v>
      </c>
      <c r="AW31">
        <v>2</v>
      </c>
      <c r="AX31">
        <v>44170070</v>
      </c>
      <c r="AY31">
        <v>1</v>
      </c>
      <c r="AZ31">
        <v>0</v>
      </c>
      <c r="BA31">
        <v>30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0</v>
      </c>
      <c r="BI31">
        <v>0</v>
      </c>
      <c r="BJ31">
        <v>0</v>
      </c>
      <c r="BK31">
        <v>0</v>
      </c>
      <c r="BL31">
        <v>0</v>
      </c>
      <c r="BM31">
        <v>0</v>
      </c>
      <c r="BN31">
        <v>0</v>
      </c>
      <c r="BO31">
        <v>0</v>
      </c>
      <c r="BP31">
        <v>0</v>
      </c>
      <c r="BQ31">
        <v>0</v>
      </c>
      <c r="BR31">
        <v>0</v>
      </c>
      <c r="BS31">
        <v>0</v>
      </c>
      <c r="BT31">
        <v>0</v>
      </c>
      <c r="BU31">
        <v>0</v>
      </c>
      <c r="BV31">
        <v>0</v>
      </c>
      <c r="BW31">
        <v>0</v>
      </c>
      <c r="CX31">
        <f>Y31*Source!I36</f>
        <v>6.9580200000000003</v>
      </c>
      <c r="CY31">
        <f t="shared" si="2"/>
        <v>7.08</v>
      </c>
      <c r="CZ31">
        <f t="shared" si="3"/>
        <v>7.07</v>
      </c>
      <c r="DA31">
        <f t="shared" si="4"/>
        <v>1</v>
      </c>
      <c r="DB31">
        <f t="shared" si="0"/>
        <v>1258.46</v>
      </c>
      <c r="DC31">
        <f t="shared" si="1"/>
        <v>0</v>
      </c>
    </row>
    <row r="32" spans="1:107" x14ac:dyDescent="0.2">
      <c r="A32">
        <f>ROW(Source!A36)</f>
        <v>36</v>
      </c>
      <c r="B32">
        <v>44169784</v>
      </c>
      <c r="C32">
        <v>44170045</v>
      </c>
      <c r="D32">
        <v>0</v>
      </c>
      <c r="E32">
        <v>1</v>
      </c>
      <c r="F32">
        <v>1</v>
      </c>
      <c r="G32">
        <v>34959076</v>
      </c>
      <c r="H32">
        <v>3</v>
      </c>
      <c r="I32" t="s">
        <v>386</v>
      </c>
      <c r="J32" t="s">
        <v>387</v>
      </c>
      <c r="K32" t="s">
        <v>388</v>
      </c>
      <c r="L32">
        <v>1348</v>
      </c>
      <c r="N32">
        <v>1009</v>
      </c>
      <c r="O32" t="s">
        <v>87</v>
      </c>
      <c r="P32" t="s">
        <v>87</v>
      </c>
      <c r="Q32">
        <v>1000</v>
      </c>
      <c r="W32">
        <v>0</v>
      </c>
      <c r="X32">
        <v>-313357772</v>
      </c>
      <c r="Y32">
        <v>0.09</v>
      </c>
      <c r="AA32">
        <v>3392.84</v>
      </c>
      <c r="AB32">
        <v>0</v>
      </c>
      <c r="AC32">
        <v>0</v>
      </c>
      <c r="AD32">
        <v>0</v>
      </c>
      <c r="AE32">
        <v>3386.07</v>
      </c>
      <c r="AF32">
        <v>0</v>
      </c>
      <c r="AG32">
        <v>0</v>
      </c>
      <c r="AH32">
        <v>0</v>
      </c>
      <c r="AI32">
        <v>1</v>
      </c>
      <c r="AJ32">
        <v>1</v>
      </c>
      <c r="AK32">
        <v>1</v>
      </c>
      <c r="AL32">
        <v>1</v>
      </c>
      <c r="AN32">
        <v>0</v>
      </c>
      <c r="AO32">
        <v>1</v>
      </c>
      <c r="AP32">
        <v>0</v>
      </c>
      <c r="AQ32">
        <v>0</v>
      </c>
      <c r="AR32">
        <v>0</v>
      </c>
      <c r="AS32" t="s">
        <v>5</v>
      </c>
      <c r="AT32">
        <v>0.09</v>
      </c>
      <c r="AU32" t="s">
        <v>5</v>
      </c>
      <c r="AV32">
        <v>0</v>
      </c>
      <c r="AW32">
        <v>2</v>
      </c>
      <c r="AX32">
        <v>44170071</v>
      </c>
      <c r="AY32">
        <v>1</v>
      </c>
      <c r="AZ32">
        <v>0</v>
      </c>
      <c r="BA32">
        <v>31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0</v>
      </c>
      <c r="BI32">
        <v>0</v>
      </c>
      <c r="BJ32">
        <v>0</v>
      </c>
      <c r="BK32">
        <v>0</v>
      </c>
      <c r="BL32">
        <v>0</v>
      </c>
      <c r="BM32">
        <v>0</v>
      </c>
      <c r="BN32">
        <v>0</v>
      </c>
      <c r="BO32">
        <v>0</v>
      </c>
      <c r="BP32">
        <v>0</v>
      </c>
      <c r="BQ32">
        <v>0</v>
      </c>
      <c r="BR32">
        <v>0</v>
      </c>
      <c r="BS32">
        <v>0</v>
      </c>
      <c r="BT32">
        <v>0</v>
      </c>
      <c r="BU32">
        <v>0</v>
      </c>
      <c r="BV32">
        <v>0</v>
      </c>
      <c r="BW32">
        <v>0</v>
      </c>
      <c r="CX32">
        <f>Y32*Source!I36</f>
        <v>3.5180999999999997E-3</v>
      </c>
      <c r="CY32">
        <f t="shared" si="2"/>
        <v>3392.84</v>
      </c>
      <c r="CZ32">
        <f t="shared" si="3"/>
        <v>3386.07</v>
      </c>
      <c r="DA32">
        <f t="shared" si="4"/>
        <v>1</v>
      </c>
      <c r="DB32">
        <f t="shared" si="0"/>
        <v>304.75</v>
      </c>
      <c r="DC32">
        <f t="shared" si="1"/>
        <v>0</v>
      </c>
    </row>
    <row r="33" spans="1:107" x14ac:dyDescent="0.2">
      <c r="A33">
        <f>ROW(Source!A36)</f>
        <v>36</v>
      </c>
      <c r="B33">
        <v>44169784</v>
      </c>
      <c r="C33">
        <v>44170045</v>
      </c>
      <c r="D33">
        <v>0</v>
      </c>
      <c r="E33">
        <v>1</v>
      </c>
      <c r="F33">
        <v>1</v>
      </c>
      <c r="G33">
        <v>34959076</v>
      </c>
      <c r="H33">
        <v>3</v>
      </c>
      <c r="I33" t="s">
        <v>57</v>
      </c>
      <c r="J33" t="s">
        <v>389</v>
      </c>
      <c r="K33" t="s">
        <v>390</v>
      </c>
      <c r="L33">
        <v>1339</v>
      </c>
      <c r="N33">
        <v>1007</v>
      </c>
      <c r="O33" t="s">
        <v>59</v>
      </c>
      <c r="P33" t="s">
        <v>59</v>
      </c>
      <c r="Q33">
        <v>1</v>
      </c>
      <c r="W33">
        <v>0</v>
      </c>
      <c r="X33">
        <v>-419971176</v>
      </c>
      <c r="Y33">
        <v>40</v>
      </c>
      <c r="AA33">
        <v>105.2</v>
      </c>
      <c r="AB33">
        <v>0</v>
      </c>
      <c r="AC33">
        <v>0</v>
      </c>
      <c r="AD33">
        <v>0</v>
      </c>
      <c r="AE33">
        <v>104.99</v>
      </c>
      <c r="AF33">
        <v>0</v>
      </c>
      <c r="AG33">
        <v>0</v>
      </c>
      <c r="AH33">
        <v>0</v>
      </c>
      <c r="AI33">
        <v>1</v>
      </c>
      <c r="AJ33">
        <v>1</v>
      </c>
      <c r="AK33">
        <v>1</v>
      </c>
      <c r="AL33">
        <v>1</v>
      </c>
      <c r="AN33">
        <v>0</v>
      </c>
      <c r="AO33">
        <v>1</v>
      </c>
      <c r="AP33">
        <v>0</v>
      </c>
      <c r="AQ33">
        <v>0</v>
      </c>
      <c r="AR33">
        <v>0</v>
      </c>
      <c r="AS33" t="s">
        <v>5</v>
      </c>
      <c r="AT33">
        <v>40</v>
      </c>
      <c r="AU33" t="s">
        <v>5</v>
      </c>
      <c r="AV33">
        <v>0</v>
      </c>
      <c r="AW33">
        <v>2</v>
      </c>
      <c r="AX33">
        <v>44170072</v>
      </c>
      <c r="AY33">
        <v>1</v>
      </c>
      <c r="AZ33">
        <v>0</v>
      </c>
      <c r="BA33">
        <v>32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0</v>
      </c>
      <c r="BI33">
        <v>0</v>
      </c>
      <c r="BJ33">
        <v>0</v>
      </c>
      <c r="BK33">
        <v>0</v>
      </c>
      <c r="BL33">
        <v>0</v>
      </c>
      <c r="BM33">
        <v>0</v>
      </c>
      <c r="BN33">
        <v>0</v>
      </c>
      <c r="BO33">
        <v>0</v>
      </c>
      <c r="BP33">
        <v>0</v>
      </c>
      <c r="BQ33">
        <v>0</v>
      </c>
      <c r="BR33">
        <v>0</v>
      </c>
      <c r="BS33">
        <v>0</v>
      </c>
      <c r="BT33">
        <v>0</v>
      </c>
      <c r="BU33">
        <v>0</v>
      </c>
      <c r="BV33">
        <v>0</v>
      </c>
      <c r="BW33">
        <v>0</v>
      </c>
      <c r="CX33">
        <f>Y33*Source!I36</f>
        <v>1.5636000000000001</v>
      </c>
      <c r="CY33">
        <f t="shared" si="2"/>
        <v>105.2</v>
      </c>
      <c r="CZ33">
        <f t="shared" si="3"/>
        <v>104.99</v>
      </c>
      <c r="DA33">
        <f t="shared" si="4"/>
        <v>1</v>
      </c>
      <c r="DB33">
        <f t="shared" ref="DB33:DB49" si="5">ROUND(ROUND(AT33*CZ33,2),6)</f>
        <v>4199.6000000000004</v>
      </c>
      <c r="DC33">
        <f t="shared" ref="DC33:DC49" si="6">ROUND(ROUND(AT33*AG33,2),6)</f>
        <v>0</v>
      </c>
    </row>
    <row r="34" spans="1:107" x14ac:dyDescent="0.2">
      <c r="A34">
        <f>ROW(Source!A36)</f>
        <v>36</v>
      </c>
      <c r="B34">
        <v>44169784</v>
      </c>
      <c r="C34">
        <v>44170045</v>
      </c>
      <c r="D34">
        <v>35058768</v>
      </c>
      <c r="E34">
        <v>1</v>
      </c>
      <c r="F34">
        <v>1</v>
      </c>
      <c r="G34">
        <v>34959076</v>
      </c>
      <c r="H34">
        <v>3</v>
      </c>
      <c r="I34" t="s">
        <v>69</v>
      </c>
      <c r="J34" t="s">
        <v>71</v>
      </c>
      <c r="K34" t="s">
        <v>70</v>
      </c>
      <c r="L34">
        <v>1339</v>
      </c>
      <c r="N34">
        <v>1007</v>
      </c>
      <c r="O34" t="s">
        <v>59</v>
      </c>
      <c r="P34" t="s">
        <v>59</v>
      </c>
      <c r="Q34">
        <v>1</v>
      </c>
      <c r="W34">
        <v>0</v>
      </c>
      <c r="X34">
        <v>412444006</v>
      </c>
      <c r="Y34">
        <v>162</v>
      </c>
      <c r="AA34">
        <v>3860.4</v>
      </c>
      <c r="AB34">
        <v>0</v>
      </c>
      <c r="AC34">
        <v>0</v>
      </c>
      <c r="AD34">
        <v>0</v>
      </c>
      <c r="AE34">
        <v>517.14</v>
      </c>
      <c r="AF34">
        <v>0</v>
      </c>
      <c r="AG34">
        <v>0</v>
      </c>
      <c r="AH34">
        <v>0</v>
      </c>
      <c r="AI34">
        <v>7.45</v>
      </c>
      <c r="AJ34">
        <v>1</v>
      </c>
      <c r="AK34">
        <v>1</v>
      </c>
      <c r="AL34">
        <v>1</v>
      </c>
      <c r="AN34">
        <v>0</v>
      </c>
      <c r="AO34">
        <v>0</v>
      </c>
      <c r="AP34">
        <v>0</v>
      </c>
      <c r="AQ34">
        <v>0</v>
      </c>
      <c r="AR34">
        <v>0</v>
      </c>
      <c r="AS34" t="s">
        <v>5</v>
      </c>
      <c r="AT34">
        <v>162</v>
      </c>
      <c r="AU34" t="s">
        <v>5</v>
      </c>
      <c r="AV34">
        <v>0</v>
      </c>
      <c r="AW34">
        <v>1</v>
      </c>
      <c r="AX34">
        <v>-1</v>
      </c>
      <c r="AY34">
        <v>0</v>
      </c>
      <c r="AZ34">
        <v>0</v>
      </c>
      <c r="BA34" t="s">
        <v>5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0</v>
      </c>
      <c r="BI34">
        <v>0</v>
      </c>
      <c r="BJ34">
        <v>0</v>
      </c>
      <c r="BK34">
        <v>0</v>
      </c>
      <c r="BL34">
        <v>0</v>
      </c>
      <c r="BM34">
        <v>0</v>
      </c>
      <c r="BN34">
        <v>0</v>
      </c>
      <c r="BO34">
        <v>0</v>
      </c>
      <c r="BP34">
        <v>0</v>
      </c>
      <c r="BQ34">
        <v>0</v>
      </c>
      <c r="BR34">
        <v>0</v>
      </c>
      <c r="BS34">
        <v>0</v>
      </c>
      <c r="BT34">
        <v>0</v>
      </c>
      <c r="BU34">
        <v>0</v>
      </c>
      <c r="BV34">
        <v>0</v>
      </c>
      <c r="BW34">
        <v>0</v>
      </c>
      <c r="CX34">
        <f>Y34*Source!I36</f>
        <v>6.3325800000000001</v>
      </c>
      <c r="CY34">
        <f t="shared" si="2"/>
        <v>3860.4</v>
      </c>
      <c r="CZ34">
        <f t="shared" si="3"/>
        <v>517.14</v>
      </c>
      <c r="DA34">
        <f t="shared" si="4"/>
        <v>7.45</v>
      </c>
      <c r="DB34">
        <f t="shared" si="5"/>
        <v>83776.679999999993</v>
      </c>
      <c r="DC34">
        <f t="shared" si="6"/>
        <v>0</v>
      </c>
    </row>
    <row r="35" spans="1:107" x14ac:dyDescent="0.2">
      <c r="A35">
        <f>ROW(Source!A36)</f>
        <v>36</v>
      </c>
      <c r="B35">
        <v>44169784</v>
      </c>
      <c r="C35">
        <v>44170045</v>
      </c>
      <c r="D35">
        <v>0</v>
      </c>
      <c r="E35">
        <v>1</v>
      </c>
      <c r="F35">
        <v>1</v>
      </c>
      <c r="G35">
        <v>34959076</v>
      </c>
      <c r="H35">
        <v>3</v>
      </c>
      <c r="I35" t="s">
        <v>391</v>
      </c>
      <c r="J35" t="s">
        <v>392</v>
      </c>
      <c r="K35" t="s">
        <v>393</v>
      </c>
      <c r="L35">
        <v>1327</v>
      </c>
      <c r="N35">
        <v>1005</v>
      </c>
      <c r="O35" t="s">
        <v>199</v>
      </c>
      <c r="P35" t="s">
        <v>199</v>
      </c>
      <c r="Q35">
        <v>1</v>
      </c>
      <c r="W35">
        <v>0</v>
      </c>
      <c r="X35">
        <v>71660933</v>
      </c>
      <c r="Y35">
        <v>10.199999999999999</v>
      </c>
      <c r="AA35">
        <v>90.33</v>
      </c>
      <c r="AB35">
        <v>0</v>
      </c>
      <c r="AC35">
        <v>0</v>
      </c>
      <c r="AD35">
        <v>0</v>
      </c>
      <c r="AE35">
        <v>90.15</v>
      </c>
      <c r="AF35">
        <v>0</v>
      </c>
      <c r="AG35">
        <v>0</v>
      </c>
      <c r="AH35">
        <v>0</v>
      </c>
      <c r="AI35">
        <v>1</v>
      </c>
      <c r="AJ35">
        <v>1</v>
      </c>
      <c r="AK35">
        <v>1</v>
      </c>
      <c r="AL35">
        <v>1</v>
      </c>
      <c r="AN35">
        <v>0</v>
      </c>
      <c r="AO35">
        <v>1</v>
      </c>
      <c r="AP35">
        <v>0</v>
      </c>
      <c r="AQ35">
        <v>0</v>
      </c>
      <c r="AR35">
        <v>0</v>
      </c>
      <c r="AS35" t="s">
        <v>5</v>
      </c>
      <c r="AT35">
        <v>10.199999999999999</v>
      </c>
      <c r="AU35" t="s">
        <v>5</v>
      </c>
      <c r="AV35">
        <v>0</v>
      </c>
      <c r="AW35">
        <v>2</v>
      </c>
      <c r="AX35">
        <v>44170073</v>
      </c>
      <c r="AY35">
        <v>1</v>
      </c>
      <c r="AZ35">
        <v>0</v>
      </c>
      <c r="BA35">
        <v>33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0</v>
      </c>
      <c r="BI35">
        <v>0</v>
      </c>
      <c r="BJ35">
        <v>0</v>
      </c>
      <c r="BK35">
        <v>0</v>
      </c>
      <c r="BL35">
        <v>0</v>
      </c>
      <c r="BM35">
        <v>0</v>
      </c>
      <c r="BN35">
        <v>0</v>
      </c>
      <c r="BO35">
        <v>0</v>
      </c>
      <c r="BP35">
        <v>0</v>
      </c>
      <c r="BQ35">
        <v>0</v>
      </c>
      <c r="BR35">
        <v>0</v>
      </c>
      <c r="BS35">
        <v>0</v>
      </c>
      <c r="BT35">
        <v>0</v>
      </c>
      <c r="BU35">
        <v>0</v>
      </c>
      <c r="BV35">
        <v>0</v>
      </c>
      <c r="BW35">
        <v>0</v>
      </c>
      <c r="CX35">
        <f>Y35*Source!I36</f>
        <v>0.39871799999999996</v>
      </c>
      <c r="CY35">
        <f t="shared" si="2"/>
        <v>90.33</v>
      </c>
      <c r="CZ35">
        <f t="shared" si="3"/>
        <v>90.15</v>
      </c>
      <c r="DA35">
        <f t="shared" si="4"/>
        <v>1</v>
      </c>
      <c r="DB35">
        <f t="shared" si="5"/>
        <v>919.53</v>
      </c>
      <c r="DC35">
        <f t="shared" si="6"/>
        <v>0</v>
      </c>
    </row>
    <row r="36" spans="1:107" x14ac:dyDescent="0.2">
      <c r="A36">
        <f>ROW(Source!A38)</f>
        <v>38</v>
      </c>
      <c r="B36">
        <v>44169784</v>
      </c>
      <c r="C36">
        <v>44170077</v>
      </c>
      <c r="D36">
        <v>34984826</v>
      </c>
      <c r="E36">
        <v>34959076</v>
      </c>
      <c r="F36">
        <v>1</v>
      </c>
      <c r="G36">
        <v>34959076</v>
      </c>
      <c r="H36">
        <v>1</v>
      </c>
      <c r="I36" t="s">
        <v>341</v>
      </c>
      <c r="J36" t="s">
        <v>5</v>
      </c>
      <c r="K36" t="s">
        <v>342</v>
      </c>
      <c r="L36">
        <v>1191</v>
      </c>
      <c r="N36">
        <v>1013</v>
      </c>
      <c r="O36" t="s">
        <v>343</v>
      </c>
      <c r="P36" t="s">
        <v>343</v>
      </c>
      <c r="Q36">
        <v>1</v>
      </c>
      <c r="W36">
        <v>0</v>
      </c>
      <c r="X36">
        <v>476480486</v>
      </c>
      <c r="Y36">
        <v>5.17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1</v>
      </c>
      <c r="AJ36">
        <v>1</v>
      </c>
      <c r="AK36">
        <v>1</v>
      </c>
      <c r="AL36">
        <v>1</v>
      </c>
      <c r="AN36">
        <v>0</v>
      </c>
      <c r="AO36">
        <v>1</v>
      </c>
      <c r="AP36">
        <v>1</v>
      </c>
      <c r="AQ36">
        <v>0</v>
      </c>
      <c r="AR36">
        <v>0</v>
      </c>
      <c r="AS36" t="s">
        <v>5</v>
      </c>
      <c r="AT36">
        <v>5.17</v>
      </c>
      <c r="AU36" t="s">
        <v>5</v>
      </c>
      <c r="AV36">
        <v>1</v>
      </c>
      <c r="AW36">
        <v>2</v>
      </c>
      <c r="AX36">
        <v>44170084</v>
      </c>
      <c r="AY36">
        <v>1</v>
      </c>
      <c r="AZ36">
        <v>0</v>
      </c>
      <c r="BA36">
        <v>36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0</v>
      </c>
      <c r="BK36">
        <v>0</v>
      </c>
      <c r="BL36">
        <v>0</v>
      </c>
      <c r="BM36">
        <v>0</v>
      </c>
      <c r="BN36">
        <v>0</v>
      </c>
      <c r="BO36">
        <v>0</v>
      </c>
      <c r="BP36">
        <v>0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0</v>
      </c>
      <c r="BW36">
        <v>0</v>
      </c>
      <c r="CX36">
        <f>Y36*Source!I38</f>
        <v>0.20209530000000001</v>
      </c>
      <c r="CY36">
        <f>AD36</f>
        <v>0</v>
      </c>
      <c r="CZ36">
        <f>AH36</f>
        <v>0</v>
      </c>
      <c r="DA36">
        <f>AL36</f>
        <v>1</v>
      </c>
      <c r="DB36">
        <f t="shared" si="5"/>
        <v>0</v>
      </c>
      <c r="DC36">
        <f t="shared" si="6"/>
        <v>0</v>
      </c>
    </row>
    <row r="37" spans="1:107" x14ac:dyDescent="0.2">
      <c r="A37">
        <f>ROW(Source!A38)</f>
        <v>38</v>
      </c>
      <c r="B37">
        <v>44169784</v>
      </c>
      <c r="C37">
        <v>44170077</v>
      </c>
      <c r="D37">
        <v>35058768</v>
      </c>
      <c r="E37">
        <v>1</v>
      </c>
      <c r="F37">
        <v>1</v>
      </c>
      <c r="G37">
        <v>34959076</v>
      </c>
      <c r="H37">
        <v>3</v>
      </c>
      <c r="I37" t="s">
        <v>69</v>
      </c>
      <c r="J37" t="s">
        <v>71</v>
      </c>
      <c r="K37" t="s">
        <v>70</v>
      </c>
      <c r="L37">
        <v>1339</v>
      </c>
      <c r="N37">
        <v>1007</v>
      </c>
      <c r="O37" t="s">
        <v>59</v>
      </c>
      <c r="P37" t="s">
        <v>59</v>
      </c>
      <c r="Q37">
        <v>1</v>
      </c>
      <c r="W37">
        <v>0</v>
      </c>
      <c r="X37">
        <v>412444006</v>
      </c>
      <c r="Y37">
        <v>10.199999999999999</v>
      </c>
      <c r="AA37">
        <v>3860.4</v>
      </c>
      <c r="AB37">
        <v>0</v>
      </c>
      <c r="AC37">
        <v>0</v>
      </c>
      <c r="AD37">
        <v>0</v>
      </c>
      <c r="AE37">
        <v>517.14</v>
      </c>
      <c r="AF37">
        <v>0</v>
      </c>
      <c r="AG37">
        <v>0</v>
      </c>
      <c r="AH37">
        <v>0</v>
      </c>
      <c r="AI37">
        <v>7.45</v>
      </c>
      <c r="AJ37">
        <v>1</v>
      </c>
      <c r="AK37">
        <v>1</v>
      </c>
      <c r="AL37">
        <v>1</v>
      </c>
      <c r="AN37">
        <v>0</v>
      </c>
      <c r="AO37">
        <v>0</v>
      </c>
      <c r="AP37">
        <v>1</v>
      </c>
      <c r="AQ37">
        <v>0</v>
      </c>
      <c r="AR37">
        <v>0</v>
      </c>
      <c r="AS37" t="s">
        <v>5</v>
      </c>
      <c r="AT37">
        <v>10.199999999999999</v>
      </c>
      <c r="AU37" t="s">
        <v>5</v>
      </c>
      <c r="AV37">
        <v>0</v>
      </c>
      <c r="AW37">
        <v>1</v>
      </c>
      <c r="AX37">
        <v>-1</v>
      </c>
      <c r="AY37">
        <v>0</v>
      </c>
      <c r="AZ37">
        <v>0</v>
      </c>
      <c r="BA37" t="s">
        <v>5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0</v>
      </c>
      <c r="BI37">
        <v>0</v>
      </c>
      <c r="BJ37">
        <v>0</v>
      </c>
      <c r="BK37">
        <v>0</v>
      </c>
      <c r="BL37">
        <v>0</v>
      </c>
      <c r="BM37">
        <v>0</v>
      </c>
      <c r="BN37">
        <v>0</v>
      </c>
      <c r="BO37">
        <v>0</v>
      </c>
      <c r="BP37">
        <v>0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0</v>
      </c>
      <c r="BW37">
        <v>0</v>
      </c>
      <c r="CX37">
        <f>Y37*Source!I38</f>
        <v>0.39871799999999996</v>
      </c>
      <c r="CY37">
        <f>AA37</f>
        <v>3860.4</v>
      </c>
      <c r="CZ37">
        <f>AE37</f>
        <v>517.14</v>
      </c>
      <c r="DA37">
        <f>AI37</f>
        <v>7.45</v>
      </c>
      <c r="DB37">
        <f t="shared" si="5"/>
        <v>5274.83</v>
      </c>
      <c r="DC37">
        <f t="shared" si="6"/>
        <v>0</v>
      </c>
    </row>
    <row r="38" spans="1:107" x14ac:dyDescent="0.2">
      <c r="A38">
        <f>ROW(Source!A38)</f>
        <v>38</v>
      </c>
      <c r="B38">
        <v>44169784</v>
      </c>
      <c r="C38">
        <v>44170077</v>
      </c>
      <c r="D38">
        <v>0</v>
      </c>
      <c r="E38">
        <v>1</v>
      </c>
      <c r="F38">
        <v>1</v>
      </c>
      <c r="G38">
        <v>34959076</v>
      </c>
      <c r="H38">
        <v>3</v>
      </c>
      <c r="I38" t="s">
        <v>391</v>
      </c>
      <c r="J38" t="s">
        <v>392</v>
      </c>
      <c r="K38" t="s">
        <v>393</v>
      </c>
      <c r="L38">
        <v>1327</v>
      </c>
      <c r="N38">
        <v>1005</v>
      </c>
      <c r="O38" t="s">
        <v>199</v>
      </c>
      <c r="P38" t="s">
        <v>199</v>
      </c>
      <c r="Q38">
        <v>1</v>
      </c>
      <c r="W38">
        <v>0</v>
      </c>
      <c r="X38">
        <v>71660933</v>
      </c>
      <c r="Y38">
        <v>0.65</v>
      </c>
      <c r="AA38">
        <v>90.33</v>
      </c>
      <c r="AB38">
        <v>0</v>
      </c>
      <c r="AC38">
        <v>0</v>
      </c>
      <c r="AD38">
        <v>0</v>
      </c>
      <c r="AE38">
        <v>90.15</v>
      </c>
      <c r="AF38">
        <v>0</v>
      </c>
      <c r="AG38">
        <v>0</v>
      </c>
      <c r="AH38">
        <v>0</v>
      </c>
      <c r="AI38">
        <v>1</v>
      </c>
      <c r="AJ38">
        <v>1</v>
      </c>
      <c r="AK38">
        <v>1</v>
      </c>
      <c r="AL38">
        <v>1</v>
      </c>
      <c r="AN38">
        <v>0</v>
      </c>
      <c r="AO38">
        <v>1</v>
      </c>
      <c r="AP38">
        <v>1</v>
      </c>
      <c r="AQ38">
        <v>0</v>
      </c>
      <c r="AR38">
        <v>0</v>
      </c>
      <c r="AS38" t="s">
        <v>5</v>
      </c>
      <c r="AT38">
        <v>0.65</v>
      </c>
      <c r="AU38" t="s">
        <v>5</v>
      </c>
      <c r="AV38">
        <v>0</v>
      </c>
      <c r="AW38">
        <v>2</v>
      </c>
      <c r="AX38">
        <v>44170085</v>
      </c>
      <c r="AY38">
        <v>1</v>
      </c>
      <c r="AZ38">
        <v>0</v>
      </c>
      <c r="BA38">
        <v>37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0</v>
      </c>
      <c r="BI38">
        <v>0</v>
      </c>
      <c r="BJ38">
        <v>0</v>
      </c>
      <c r="BK38">
        <v>0</v>
      </c>
      <c r="BL38">
        <v>0</v>
      </c>
      <c r="BM38">
        <v>0</v>
      </c>
      <c r="BN38">
        <v>0</v>
      </c>
      <c r="BO38">
        <v>0</v>
      </c>
      <c r="BP38">
        <v>0</v>
      </c>
      <c r="BQ38">
        <v>0</v>
      </c>
      <c r="BR38">
        <v>0</v>
      </c>
      <c r="BS38">
        <v>0</v>
      </c>
      <c r="BT38">
        <v>0</v>
      </c>
      <c r="BU38">
        <v>0</v>
      </c>
      <c r="BV38">
        <v>0</v>
      </c>
      <c r="BW38">
        <v>0</v>
      </c>
      <c r="CX38">
        <f>Y38*Source!I38</f>
        <v>2.5408500000000001E-2</v>
      </c>
      <c r="CY38">
        <f>AA38</f>
        <v>90.33</v>
      </c>
      <c r="CZ38">
        <f>AE38</f>
        <v>90.15</v>
      </c>
      <c r="DA38">
        <f>AI38</f>
        <v>1</v>
      </c>
      <c r="DB38">
        <f t="shared" si="5"/>
        <v>58.6</v>
      </c>
      <c r="DC38">
        <f t="shared" si="6"/>
        <v>0</v>
      </c>
    </row>
    <row r="39" spans="1:107" x14ac:dyDescent="0.2">
      <c r="A39">
        <f>ROW(Source!A40)</f>
        <v>40</v>
      </c>
      <c r="B39">
        <v>44169784</v>
      </c>
      <c r="C39">
        <v>44170088</v>
      </c>
      <c r="D39">
        <v>34984826</v>
      </c>
      <c r="E39">
        <v>34959076</v>
      </c>
      <c r="F39">
        <v>1</v>
      </c>
      <c r="G39">
        <v>34959076</v>
      </c>
      <c r="H39">
        <v>1</v>
      </c>
      <c r="I39" t="s">
        <v>341</v>
      </c>
      <c r="J39" t="s">
        <v>5</v>
      </c>
      <c r="K39" t="s">
        <v>342</v>
      </c>
      <c r="L39">
        <v>1191</v>
      </c>
      <c r="N39">
        <v>1013</v>
      </c>
      <c r="O39" t="s">
        <v>343</v>
      </c>
      <c r="P39" t="s">
        <v>343</v>
      </c>
      <c r="Q39">
        <v>1</v>
      </c>
      <c r="W39">
        <v>0</v>
      </c>
      <c r="X39">
        <v>476480486</v>
      </c>
      <c r="Y39">
        <v>4.29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1</v>
      </c>
      <c r="AJ39">
        <v>1</v>
      </c>
      <c r="AK39">
        <v>1</v>
      </c>
      <c r="AL39">
        <v>1</v>
      </c>
      <c r="AN39">
        <v>0</v>
      </c>
      <c r="AO39">
        <v>1</v>
      </c>
      <c r="AP39">
        <v>1</v>
      </c>
      <c r="AQ39">
        <v>0</v>
      </c>
      <c r="AR39">
        <v>0</v>
      </c>
      <c r="AS39" t="s">
        <v>5</v>
      </c>
      <c r="AT39">
        <v>4.29</v>
      </c>
      <c r="AU39" t="s">
        <v>5</v>
      </c>
      <c r="AV39">
        <v>1</v>
      </c>
      <c r="AW39">
        <v>2</v>
      </c>
      <c r="AX39">
        <v>44170111</v>
      </c>
      <c r="AY39">
        <v>1</v>
      </c>
      <c r="AZ39">
        <v>0</v>
      </c>
      <c r="BA39">
        <v>39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0</v>
      </c>
      <c r="BI39">
        <v>0</v>
      </c>
      <c r="BJ39">
        <v>0</v>
      </c>
      <c r="BK39">
        <v>0</v>
      </c>
      <c r="BL39">
        <v>0</v>
      </c>
      <c r="BM39">
        <v>0</v>
      </c>
      <c r="BN39">
        <v>0</v>
      </c>
      <c r="BO39">
        <v>0</v>
      </c>
      <c r="BP39">
        <v>0</v>
      </c>
      <c r="BQ39">
        <v>0</v>
      </c>
      <c r="BR39">
        <v>0</v>
      </c>
      <c r="BS39">
        <v>0</v>
      </c>
      <c r="BT39">
        <v>0</v>
      </c>
      <c r="BU39">
        <v>0</v>
      </c>
      <c r="BV39">
        <v>0</v>
      </c>
      <c r="BW39">
        <v>0</v>
      </c>
      <c r="CX39">
        <f>Y39*Source!I40</f>
        <v>1.6769610000000001</v>
      </c>
      <c r="CY39">
        <f>AD39</f>
        <v>0</v>
      </c>
      <c r="CZ39">
        <f>AH39</f>
        <v>0</v>
      </c>
      <c r="DA39">
        <f>AL39</f>
        <v>1</v>
      </c>
      <c r="DB39">
        <f t="shared" si="5"/>
        <v>0</v>
      </c>
      <c r="DC39">
        <f t="shared" si="6"/>
        <v>0</v>
      </c>
    </row>
    <row r="40" spans="1:107" x14ac:dyDescent="0.2">
      <c r="A40">
        <f>ROW(Source!A40)</f>
        <v>40</v>
      </c>
      <c r="B40">
        <v>44169784</v>
      </c>
      <c r="C40">
        <v>44170088</v>
      </c>
      <c r="D40">
        <v>35065073</v>
      </c>
      <c r="E40">
        <v>1</v>
      </c>
      <c r="F40">
        <v>1</v>
      </c>
      <c r="G40">
        <v>34959076</v>
      </c>
      <c r="H40">
        <v>2</v>
      </c>
      <c r="I40" t="s">
        <v>344</v>
      </c>
      <c r="J40" t="s">
        <v>345</v>
      </c>
      <c r="K40" t="s">
        <v>346</v>
      </c>
      <c r="L40">
        <v>1367</v>
      </c>
      <c r="N40">
        <v>1011</v>
      </c>
      <c r="O40" t="s">
        <v>347</v>
      </c>
      <c r="P40" t="s">
        <v>347</v>
      </c>
      <c r="Q40">
        <v>1</v>
      </c>
      <c r="W40">
        <v>0</v>
      </c>
      <c r="X40">
        <v>-1426791</v>
      </c>
      <c r="Y40">
        <v>0.3</v>
      </c>
      <c r="AA40">
        <v>0</v>
      </c>
      <c r="AB40">
        <v>701.8</v>
      </c>
      <c r="AC40">
        <v>414.64</v>
      </c>
      <c r="AD40">
        <v>0</v>
      </c>
      <c r="AE40">
        <v>0</v>
      </c>
      <c r="AF40">
        <v>60.77</v>
      </c>
      <c r="AG40">
        <v>18.48</v>
      </c>
      <c r="AH40">
        <v>0</v>
      </c>
      <c r="AI40">
        <v>1</v>
      </c>
      <c r="AJ40">
        <v>11.03</v>
      </c>
      <c r="AK40">
        <v>21.43</v>
      </c>
      <c r="AL40">
        <v>1</v>
      </c>
      <c r="AN40">
        <v>0</v>
      </c>
      <c r="AO40">
        <v>1</v>
      </c>
      <c r="AP40">
        <v>1</v>
      </c>
      <c r="AQ40">
        <v>0</v>
      </c>
      <c r="AR40">
        <v>0</v>
      </c>
      <c r="AS40" t="s">
        <v>5</v>
      </c>
      <c r="AT40">
        <v>0.3</v>
      </c>
      <c r="AU40" t="s">
        <v>5</v>
      </c>
      <c r="AV40">
        <v>0</v>
      </c>
      <c r="AW40">
        <v>2</v>
      </c>
      <c r="AX40">
        <v>44170112</v>
      </c>
      <c r="AY40">
        <v>1</v>
      </c>
      <c r="AZ40">
        <v>0</v>
      </c>
      <c r="BA40">
        <v>40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0</v>
      </c>
      <c r="BI40">
        <v>0</v>
      </c>
      <c r="BJ40">
        <v>0</v>
      </c>
      <c r="BK40">
        <v>0</v>
      </c>
      <c r="BL40">
        <v>0</v>
      </c>
      <c r="BM40">
        <v>0</v>
      </c>
      <c r="BN40">
        <v>0</v>
      </c>
      <c r="BO40">
        <v>0</v>
      </c>
      <c r="BP40">
        <v>0</v>
      </c>
      <c r="BQ40">
        <v>0</v>
      </c>
      <c r="BR40">
        <v>0</v>
      </c>
      <c r="BS40">
        <v>0</v>
      </c>
      <c r="BT40">
        <v>0</v>
      </c>
      <c r="BU40">
        <v>0</v>
      </c>
      <c r="BV40">
        <v>0</v>
      </c>
      <c r="BW40">
        <v>0</v>
      </c>
      <c r="CX40">
        <f>Y40*Source!I40</f>
        <v>0.11727</v>
      </c>
      <c r="CY40">
        <f t="shared" ref="CY40:CY47" si="7">AB40</f>
        <v>701.8</v>
      </c>
      <c r="CZ40">
        <f t="shared" ref="CZ40:CZ47" si="8">AF40</f>
        <v>60.77</v>
      </c>
      <c r="DA40">
        <f t="shared" ref="DA40:DA47" si="9">AJ40</f>
        <v>11.03</v>
      </c>
      <c r="DB40">
        <f t="shared" si="5"/>
        <v>18.23</v>
      </c>
      <c r="DC40">
        <f t="shared" si="6"/>
        <v>5.54</v>
      </c>
    </row>
    <row r="41" spans="1:107" x14ac:dyDescent="0.2">
      <c r="A41">
        <f>ROW(Source!A40)</f>
        <v>40</v>
      </c>
      <c r="B41">
        <v>44169784</v>
      </c>
      <c r="C41">
        <v>44170088</v>
      </c>
      <c r="D41">
        <v>35064788</v>
      </c>
      <c r="E41">
        <v>1</v>
      </c>
      <c r="F41">
        <v>1</v>
      </c>
      <c r="G41">
        <v>34959076</v>
      </c>
      <c r="H41">
        <v>2</v>
      </c>
      <c r="I41" t="s">
        <v>394</v>
      </c>
      <c r="J41" t="s">
        <v>395</v>
      </c>
      <c r="K41" t="s">
        <v>396</v>
      </c>
      <c r="L41">
        <v>1367</v>
      </c>
      <c r="N41">
        <v>1011</v>
      </c>
      <c r="O41" t="s">
        <v>347</v>
      </c>
      <c r="P41" t="s">
        <v>347</v>
      </c>
      <c r="Q41">
        <v>1</v>
      </c>
      <c r="W41">
        <v>0</v>
      </c>
      <c r="X41">
        <v>1022351366</v>
      </c>
      <c r="Y41">
        <v>0.3</v>
      </c>
      <c r="AA41">
        <v>0</v>
      </c>
      <c r="AB41">
        <v>1108.6300000000001</v>
      </c>
      <c r="AC41">
        <v>430.79</v>
      </c>
      <c r="AD41">
        <v>0</v>
      </c>
      <c r="AE41">
        <v>0</v>
      </c>
      <c r="AF41">
        <v>106.74</v>
      </c>
      <c r="AG41">
        <v>19.2</v>
      </c>
      <c r="AH41">
        <v>0</v>
      </c>
      <c r="AI41">
        <v>1</v>
      </c>
      <c r="AJ41">
        <v>9.92</v>
      </c>
      <c r="AK41">
        <v>21.43</v>
      </c>
      <c r="AL41">
        <v>1</v>
      </c>
      <c r="AN41">
        <v>0</v>
      </c>
      <c r="AO41">
        <v>1</v>
      </c>
      <c r="AP41">
        <v>1</v>
      </c>
      <c r="AQ41">
        <v>0</v>
      </c>
      <c r="AR41">
        <v>0</v>
      </c>
      <c r="AS41" t="s">
        <v>5</v>
      </c>
      <c r="AT41">
        <v>0.3</v>
      </c>
      <c r="AU41" t="s">
        <v>5</v>
      </c>
      <c r="AV41">
        <v>0</v>
      </c>
      <c r="AW41">
        <v>2</v>
      </c>
      <c r="AX41">
        <v>44170113</v>
      </c>
      <c r="AY41">
        <v>1</v>
      </c>
      <c r="AZ41">
        <v>0</v>
      </c>
      <c r="BA41">
        <v>41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0</v>
      </c>
      <c r="BI41">
        <v>0</v>
      </c>
      <c r="BJ41">
        <v>0</v>
      </c>
      <c r="BK41">
        <v>0</v>
      </c>
      <c r="BL41">
        <v>0</v>
      </c>
      <c r="BM41">
        <v>0</v>
      </c>
      <c r="BN41">
        <v>0</v>
      </c>
      <c r="BO41">
        <v>0</v>
      </c>
      <c r="BP41">
        <v>0</v>
      </c>
      <c r="BQ41">
        <v>0</v>
      </c>
      <c r="BR41">
        <v>0</v>
      </c>
      <c r="BS41">
        <v>0</v>
      </c>
      <c r="BT41">
        <v>0</v>
      </c>
      <c r="BU41">
        <v>0</v>
      </c>
      <c r="BV41">
        <v>0</v>
      </c>
      <c r="BW41">
        <v>0</v>
      </c>
      <c r="CX41">
        <f>Y41*Source!I40</f>
        <v>0.11727</v>
      </c>
      <c r="CY41">
        <f t="shared" si="7"/>
        <v>1108.6300000000001</v>
      </c>
      <c r="CZ41">
        <f t="shared" si="8"/>
        <v>106.74</v>
      </c>
      <c r="DA41">
        <f t="shared" si="9"/>
        <v>9.92</v>
      </c>
      <c r="DB41">
        <f t="shared" si="5"/>
        <v>32.020000000000003</v>
      </c>
      <c r="DC41">
        <f t="shared" si="6"/>
        <v>5.76</v>
      </c>
    </row>
    <row r="42" spans="1:107" x14ac:dyDescent="0.2">
      <c r="A42">
        <f>ROW(Source!A40)</f>
        <v>40</v>
      </c>
      <c r="B42">
        <v>44169784</v>
      </c>
      <c r="C42">
        <v>44170088</v>
      </c>
      <c r="D42">
        <v>35064877</v>
      </c>
      <c r="E42">
        <v>1</v>
      </c>
      <c r="F42">
        <v>1</v>
      </c>
      <c r="G42">
        <v>34959076</v>
      </c>
      <c r="H42">
        <v>2</v>
      </c>
      <c r="I42" t="s">
        <v>397</v>
      </c>
      <c r="J42" t="s">
        <v>398</v>
      </c>
      <c r="K42" t="s">
        <v>399</v>
      </c>
      <c r="L42">
        <v>1367</v>
      </c>
      <c r="N42">
        <v>1011</v>
      </c>
      <c r="O42" t="s">
        <v>347</v>
      </c>
      <c r="P42" t="s">
        <v>347</v>
      </c>
      <c r="Q42">
        <v>1</v>
      </c>
      <c r="W42">
        <v>0</v>
      </c>
      <c r="X42">
        <v>1778166765</v>
      </c>
      <c r="Y42">
        <v>0.3</v>
      </c>
      <c r="AA42">
        <v>0</v>
      </c>
      <c r="AB42">
        <v>1084.98</v>
      </c>
      <c r="AC42">
        <v>641.92999999999995</v>
      </c>
      <c r="AD42">
        <v>0</v>
      </c>
      <c r="AE42">
        <v>0</v>
      </c>
      <c r="AF42">
        <v>148.88999999999999</v>
      </c>
      <c r="AG42">
        <v>28.61</v>
      </c>
      <c r="AH42">
        <v>0</v>
      </c>
      <c r="AI42">
        <v>1</v>
      </c>
      <c r="AJ42">
        <v>6.96</v>
      </c>
      <c r="AK42">
        <v>21.43</v>
      </c>
      <c r="AL42">
        <v>1</v>
      </c>
      <c r="AN42">
        <v>0</v>
      </c>
      <c r="AO42">
        <v>1</v>
      </c>
      <c r="AP42">
        <v>1</v>
      </c>
      <c r="AQ42">
        <v>0</v>
      </c>
      <c r="AR42">
        <v>0</v>
      </c>
      <c r="AS42" t="s">
        <v>5</v>
      </c>
      <c r="AT42">
        <v>0.3</v>
      </c>
      <c r="AU42" t="s">
        <v>5</v>
      </c>
      <c r="AV42">
        <v>0</v>
      </c>
      <c r="AW42">
        <v>2</v>
      </c>
      <c r="AX42">
        <v>44170114</v>
      </c>
      <c r="AY42">
        <v>1</v>
      </c>
      <c r="AZ42">
        <v>0</v>
      </c>
      <c r="BA42">
        <v>42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0</v>
      </c>
      <c r="BI42">
        <v>0</v>
      </c>
      <c r="BJ42">
        <v>0</v>
      </c>
      <c r="BK42">
        <v>0</v>
      </c>
      <c r="BL42">
        <v>0</v>
      </c>
      <c r="BM42">
        <v>0</v>
      </c>
      <c r="BN42">
        <v>0</v>
      </c>
      <c r="BO42">
        <v>0</v>
      </c>
      <c r="BP42">
        <v>0</v>
      </c>
      <c r="BQ42">
        <v>0</v>
      </c>
      <c r="BR42">
        <v>0</v>
      </c>
      <c r="BS42">
        <v>0</v>
      </c>
      <c r="BT42">
        <v>0</v>
      </c>
      <c r="BU42">
        <v>0</v>
      </c>
      <c r="BV42">
        <v>0</v>
      </c>
      <c r="BW42">
        <v>0</v>
      </c>
      <c r="CX42">
        <f>Y42*Source!I40</f>
        <v>0.11727</v>
      </c>
      <c r="CY42">
        <f t="shared" si="7"/>
        <v>1084.98</v>
      </c>
      <c r="CZ42">
        <f t="shared" si="8"/>
        <v>148.88999999999999</v>
      </c>
      <c r="DA42">
        <f t="shared" si="9"/>
        <v>6.96</v>
      </c>
      <c r="DB42">
        <f t="shared" si="5"/>
        <v>44.67</v>
      </c>
      <c r="DC42">
        <f t="shared" si="6"/>
        <v>8.58</v>
      </c>
    </row>
    <row r="43" spans="1:107" x14ac:dyDescent="0.2">
      <c r="A43">
        <f>ROW(Source!A40)</f>
        <v>40</v>
      </c>
      <c r="B43">
        <v>44169784</v>
      </c>
      <c r="C43">
        <v>44170088</v>
      </c>
      <c r="D43">
        <v>35064879</v>
      </c>
      <c r="E43">
        <v>1</v>
      </c>
      <c r="F43">
        <v>1</v>
      </c>
      <c r="G43">
        <v>34959076</v>
      </c>
      <c r="H43">
        <v>2</v>
      </c>
      <c r="I43" t="s">
        <v>400</v>
      </c>
      <c r="J43" t="s">
        <v>401</v>
      </c>
      <c r="K43" t="s">
        <v>402</v>
      </c>
      <c r="L43">
        <v>1367</v>
      </c>
      <c r="N43">
        <v>1011</v>
      </c>
      <c r="O43" t="s">
        <v>347</v>
      </c>
      <c r="P43" t="s">
        <v>347</v>
      </c>
      <c r="Q43">
        <v>1</v>
      </c>
      <c r="W43">
        <v>0</v>
      </c>
      <c r="X43">
        <v>1341797380</v>
      </c>
      <c r="Y43">
        <v>0.3</v>
      </c>
      <c r="AA43">
        <v>0</v>
      </c>
      <c r="AB43">
        <v>3012.93</v>
      </c>
      <c r="AC43">
        <v>961.43</v>
      </c>
      <c r="AD43">
        <v>0</v>
      </c>
      <c r="AE43">
        <v>0</v>
      </c>
      <c r="AF43">
        <v>249.15</v>
      </c>
      <c r="AG43">
        <v>42.85</v>
      </c>
      <c r="AH43">
        <v>0</v>
      </c>
      <c r="AI43">
        <v>1</v>
      </c>
      <c r="AJ43">
        <v>11.55</v>
      </c>
      <c r="AK43">
        <v>21.43</v>
      </c>
      <c r="AL43">
        <v>1</v>
      </c>
      <c r="AN43">
        <v>0</v>
      </c>
      <c r="AO43">
        <v>1</v>
      </c>
      <c r="AP43">
        <v>1</v>
      </c>
      <c r="AQ43">
        <v>0</v>
      </c>
      <c r="AR43">
        <v>0</v>
      </c>
      <c r="AS43" t="s">
        <v>5</v>
      </c>
      <c r="AT43">
        <v>0.3</v>
      </c>
      <c r="AU43" t="s">
        <v>5</v>
      </c>
      <c r="AV43">
        <v>0</v>
      </c>
      <c r="AW43">
        <v>2</v>
      </c>
      <c r="AX43">
        <v>44170115</v>
      </c>
      <c r="AY43">
        <v>1</v>
      </c>
      <c r="AZ43">
        <v>0</v>
      </c>
      <c r="BA43">
        <v>43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0</v>
      </c>
      <c r="BI43">
        <v>0</v>
      </c>
      <c r="BJ43">
        <v>0</v>
      </c>
      <c r="BK43">
        <v>0</v>
      </c>
      <c r="BL43">
        <v>0</v>
      </c>
      <c r="BM43">
        <v>0</v>
      </c>
      <c r="BN43">
        <v>0</v>
      </c>
      <c r="BO43">
        <v>0</v>
      </c>
      <c r="BP43">
        <v>0</v>
      </c>
      <c r="BQ43">
        <v>0</v>
      </c>
      <c r="BR43">
        <v>0</v>
      </c>
      <c r="BS43">
        <v>0</v>
      </c>
      <c r="BT43">
        <v>0</v>
      </c>
      <c r="BU43">
        <v>0</v>
      </c>
      <c r="BV43">
        <v>0</v>
      </c>
      <c r="BW43">
        <v>0</v>
      </c>
      <c r="CX43">
        <f>Y43*Source!I40</f>
        <v>0.11727</v>
      </c>
      <c r="CY43">
        <f t="shared" si="7"/>
        <v>3012.93</v>
      </c>
      <c r="CZ43">
        <f t="shared" si="8"/>
        <v>249.15</v>
      </c>
      <c r="DA43">
        <f t="shared" si="9"/>
        <v>11.55</v>
      </c>
      <c r="DB43">
        <f t="shared" si="5"/>
        <v>74.75</v>
      </c>
      <c r="DC43">
        <f t="shared" si="6"/>
        <v>12.86</v>
      </c>
    </row>
    <row r="44" spans="1:107" x14ac:dyDescent="0.2">
      <c r="A44">
        <f>ROW(Source!A40)</f>
        <v>40</v>
      </c>
      <c r="B44">
        <v>44169784</v>
      </c>
      <c r="C44">
        <v>44170088</v>
      </c>
      <c r="D44">
        <v>35064863</v>
      </c>
      <c r="E44">
        <v>1</v>
      </c>
      <c r="F44">
        <v>1</v>
      </c>
      <c r="G44">
        <v>34959076</v>
      </c>
      <c r="H44">
        <v>2</v>
      </c>
      <c r="I44" t="s">
        <v>403</v>
      </c>
      <c r="J44" t="s">
        <v>404</v>
      </c>
      <c r="K44" t="s">
        <v>405</v>
      </c>
      <c r="L44">
        <v>1367</v>
      </c>
      <c r="N44">
        <v>1011</v>
      </c>
      <c r="O44" t="s">
        <v>347</v>
      </c>
      <c r="P44" t="s">
        <v>347</v>
      </c>
      <c r="Q44">
        <v>1</v>
      </c>
      <c r="W44">
        <v>0</v>
      </c>
      <c r="X44">
        <v>-251987950</v>
      </c>
      <c r="Y44">
        <v>0.3</v>
      </c>
      <c r="AA44">
        <v>0</v>
      </c>
      <c r="AB44">
        <v>1173.1300000000001</v>
      </c>
      <c r="AC44">
        <v>512.69000000000005</v>
      </c>
      <c r="AD44">
        <v>0</v>
      </c>
      <c r="AE44">
        <v>0</v>
      </c>
      <c r="AF44">
        <v>84.82</v>
      </c>
      <c r="AG44">
        <v>22.85</v>
      </c>
      <c r="AH44">
        <v>0</v>
      </c>
      <c r="AI44">
        <v>1</v>
      </c>
      <c r="AJ44">
        <v>13.21</v>
      </c>
      <c r="AK44">
        <v>21.43</v>
      </c>
      <c r="AL44">
        <v>1</v>
      </c>
      <c r="AN44">
        <v>0</v>
      </c>
      <c r="AO44">
        <v>1</v>
      </c>
      <c r="AP44">
        <v>1</v>
      </c>
      <c r="AQ44">
        <v>0</v>
      </c>
      <c r="AR44">
        <v>0</v>
      </c>
      <c r="AS44" t="s">
        <v>5</v>
      </c>
      <c r="AT44">
        <v>0.3</v>
      </c>
      <c r="AU44" t="s">
        <v>5</v>
      </c>
      <c r="AV44">
        <v>0</v>
      </c>
      <c r="AW44">
        <v>2</v>
      </c>
      <c r="AX44">
        <v>44170116</v>
      </c>
      <c r="AY44">
        <v>1</v>
      </c>
      <c r="AZ44">
        <v>0</v>
      </c>
      <c r="BA44">
        <v>44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0</v>
      </c>
      <c r="BI44">
        <v>0</v>
      </c>
      <c r="BJ44">
        <v>0</v>
      </c>
      <c r="BK44">
        <v>0</v>
      </c>
      <c r="BL44">
        <v>0</v>
      </c>
      <c r="BM44">
        <v>0</v>
      </c>
      <c r="BN44">
        <v>0</v>
      </c>
      <c r="BO44">
        <v>0</v>
      </c>
      <c r="BP44">
        <v>0</v>
      </c>
      <c r="BQ44">
        <v>0</v>
      </c>
      <c r="BR44">
        <v>0</v>
      </c>
      <c r="BS44">
        <v>0</v>
      </c>
      <c r="BT44">
        <v>0</v>
      </c>
      <c r="BU44">
        <v>0</v>
      </c>
      <c r="BV44">
        <v>0</v>
      </c>
      <c r="BW44">
        <v>0</v>
      </c>
      <c r="CX44">
        <f>Y44*Source!I40</f>
        <v>0.11727</v>
      </c>
      <c r="CY44">
        <f t="shared" si="7"/>
        <v>1173.1300000000001</v>
      </c>
      <c r="CZ44">
        <f t="shared" si="8"/>
        <v>84.82</v>
      </c>
      <c r="DA44">
        <f t="shared" si="9"/>
        <v>13.21</v>
      </c>
      <c r="DB44">
        <f t="shared" si="5"/>
        <v>25.45</v>
      </c>
      <c r="DC44">
        <f t="shared" si="6"/>
        <v>6.86</v>
      </c>
    </row>
    <row r="45" spans="1:107" x14ac:dyDescent="0.2">
      <c r="A45">
        <f>ROW(Source!A40)</f>
        <v>40</v>
      </c>
      <c r="B45">
        <v>44169784</v>
      </c>
      <c r="C45">
        <v>44170088</v>
      </c>
      <c r="D45">
        <v>35064894</v>
      </c>
      <c r="E45">
        <v>1</v>
      </c>
      <c r="F45">
        <v>1</v>
      </c>
      <c r="G45">
        <v>34959076</v>
      </c>
      <c r="H45">
        <v>2</v>
      </c>
      <c r="I45" t="s">
        <v>406</v>
      </c>
      <c r="J45" t="s">
        <v>407</v>
      </c>
      <c r="K45" t="s">
        <v>408</v>
      </c>
      <c r="L45">
        <v>1367</v>
      </c>
      <c r="N45">
        <v>1011</v>
      </c>
      <c r="O45" t="s">
        <v>347</v>
      </c>
      <c r="P45" t="s">
        <v>347</v>
      </c>
      <c r="Q45">
        <v>1</v>
      </c>
      <c r="W45">
        <v>0</v>
      </c>
      <c r="X45">
        <v>-1272456651</v>
      </c>
      <c r="Y45">
        <v>0.3</v>
      </c>
      <c r="AA45">
        <v>0</v>
      </c>
      <c r="AB45">
        <v>1138.8800000000001</v>
      </c>
      <c r="AC45">
        <v>637.22</v>
      </c>
      <c r="AD45">
        <v>0</v>
      </c>
      <c r="AE45">
        <v>0</v>
      </c>
      <c r="AF45">
        <v>124.6</v>
      </c>
      <c r="AG45">
        <v>28.4</v>
      </c>
      <c r="AH45">
        <v>0</v>
      </c>
      <c r="AI45">
        <v>1</v>
      </c>
      <c r="AJ45">
        <v>8.73</v>
      </c>
      <c r="AK45">
        <v>21.43</v>
      </c>
      <c r="AL45">
        <v>1</v>
      </c>
      <c r="AN45">
        <v>0</v>
      </c>
      <c r="AO45">
        <v>1</v>
      </c>
      <c r="AP45">
        <v>1</v>
      </c>
      <c r="AQ45">
        <v>0</v>
      </c>
      <c r="AR45">
        <v>0</v>
      </c>
      <c r="AS45" t="s">
        <v>5</v>
      </c>
      <c r="AT45">
        <v>0.3</v>
      </c>
      <c r="AU45" t="s">
        <v>5</v>
      </c>
      <c r="AV45">
        <v>0</v>
      </c>
      <c r="AW45">
        <v>2</v>
      </c>
      <c r="AX45">
        <v>44170117</v>
      </c>
      <c r="AY45">
        <v>1</v>
      </c>
      <c r="AZ45">
        <v>0</v>
      </c>
      <c r="BA45">
        <v>45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0</v>
      </c>
      <c r="BI45">
        <v>0</v>
      </c>
      <c r="BJ45">
        <v>0</v>
      </c>
      <c r="BK45">
        <v>0</v>
      </c>
      <c r="BL45">
        <v>0</v>
      </c>
      <c r="BM45">
        <v>0</v>
      </c>
      <c r="BN45">
        <v>0</v>
      </c>
      <c r="BO45">
        <v>0</v>
      </c>
      <c r="BP45">
        <v>0</v>
      </c>
      <c r="BQ45">
        <v>0</v>
      </c>
      <c r="BR45">
        <v>0</v>
      </c>
      <c r="BS45">
        <v>0</v>
      </c>
      <c r="BT45">
        <v>0</v>
      </c>
      <c r="BU45">
        <v>0</v>
      </c>
      <c r="BV45">
        <v>0</v>
      </c>
      <c r="BW45">
        <v>0</v>
      </c>
      <c r="CX45">
        <f>Y45*Source!I40</f>
        <v>0.11727</v>
      </c>
      <c r="CY45">
        <f t="shared" si="7"/>
        <v>1138.8800000000001</v>
      </c>
      <c r="CZ45">
        <f t="shared" si="8"/>
        <v>124.6</v>
      </c>
      <c r="DA45">
        <f t="shared" si="9"/>
        <v>8.73</v>
      </c>
      <c r="DB45">
        <f t="shared" si="5"/>
        <v>37.380000000000003</v>
      </c>
      <c r="DC45">
        <f t="shared" si="6"/>
        <v>8.52</v>
      </c>
    </row>
    <row r="46" spans="1:107" x14ac:dyDescent="0.2">
      <c r="A46">
        <f>ROW(Source!A40)</f>
        <v>40</v>
      </c>
      <c r="B46">
        <v>44169784</v>
      </c>
      <c r="C46">
        <v>44170088</v>
      </c>
      <c r="D46">
        <v>35064867</v>
      </c>
      <c r="E46">
        <v>1</v>
      </c>
      <c r="F46">
        <v>1</v>
      </c>
      <c r="G46">
        <v>34959076</v>
      </c>
      <c r="H46">
        <v>2</v>
      </c>
      <c r="I46" t="s">
        <v>409</v>
      </c>
      <c r="J46" t="s">
        <v>410</v>
      </c>
      <c r="K46" t="s">
        <v>411</v>
      </c>
      <c r="L46">
        <v>1367</v>
      </c>
      <c r="N46">
        <v>1011</v>
      </c>
      <c r="O46" t="s">
        <v>347</v>
      </c>
      <c r="P46" t="s">
        <v>347</v>
      </c>
      <c r="Q46">
        <v>1</v>
      </c>
      <c r="W46">
        <v>0</v>
      </c>
      <c r="X46">
        <v>1933621517</v>
      </c>
      <c r="Y46">
        <v>0.3</v>
      </c>
      <c r="AA46">
        <v>0</v>
      </c>
      <c r="AB46">
        <v>1248.56</v>
      </c>
      <c r="AC46">
        <v>520.09</v>
      </c>
      <c r="AD46">
        <v>0</v>
      </c>
      <c r="AE46">
        <v>0</v>
      </c>
      <c r="AF46">
        <v>88.4</v>
      </c>
      <c r="AG46">
        <v>23.18</v>
      </c>
      <c r="AH46">
        <v>0</v>
      </c>
      <c r="AI46">
        <v>1</v>
      </c>
      <c r="AJ46">
        <v>13.49</v>
      </c>
      <c r="AK46">
        <v>21.43</v>
      </c>
      <c r="AL46">
        <v>1</v>
      </c>
      <c r="AN46">
        <v>0</v>
      </c>
      <c r="AO46">
        <v>1</v>
      </c>
      <c r="AP46">
        <v>1</v>
      </c>
      <c r="AQ46">
        <v>0</v>
      </c>
      <c r="AR46">
        <v>0</v>
      </c>
      <c r="AS46" t="s">
        <v>5</v>
      </c>
      <c r="AT46">
        <v>0.3</v>
      </c>
      <c r="AU46" t="s">
        <v>5</v>
      </c>
      <c r="AV46">
        <v>0</v>
      </c>
      <c r="AW46">
        <v>2</v>
      </c>
      <c r="AX46">
        <v>44170118</v>
      </c>
      <c r="AY46">
        <v>1</v>
      </c>
      <c r="AZ46">
        <v>0</v>
      </c>
      <c r="BA46">
        <v>46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0</v>
      </c>
      <c r="BI46">
        <v>0</v>
      </c>
      <c r="BJ46">
        <v>0</v>
      </c>
      <c r="BK46">
        <v>0</v>
      </c>
      <c r="BL46">
        <v>0</v>
      </c>
      <c r="BM46">
        <v>0</v>
      </c>
      <c r="BN46">
        <v>0</v>
      </c>
      <c r="BO46">
        <v>0</v>
      </c>
      <c r="BP46">
        <v>0</v>
      </c>
      <c r="BQ46">
        <v>0</v>
      </c>
      <c r="BR46">
        <v>0</v>
      </c>
      <c r="BS46">
        <v>0</v>
      </c>
      <c r="BT46">
        <v>0</v>
      </c>
      <c r="BU46">
        <v>0</v>
      </c>
      <c r="BV46">
        <v>0</v>
      </c>
      <c r="BW46">
        <v>0</v>
      </c>
      <c r="CX46">
        <f>Y46*Source!I40</f>
        <v>0.11727</v>
      </c>
      <c r="CY46">
        <f t="shared" si="7"/>
        <v>1248.56</v>
      </c>
      <c r="CZ46">
        <f t="shared" si="8"/>
        <v>88.4</v>
      </c>
      <c r="DA46">
        <f t="shared" si="9"/>
        <v>13.49</v>
      </c>
      <c r="DB46">
        <f t="shared" si="5"/>
        <v>26.52</v>
      </c>
      <c r="DC46">
        <f t="shared" si="6"/>
        <v>6.95</v>
      </c>
    </row>
    <row r="47" spans="1:107" x14ac:dyDescent="0.2">
      <c r="A47">
        <f>ROW(Source!A40)</f>
        <v>40</v>
      </c>
      <c r="B47">
        <v>44169784</v>
      </c>
      <c r="C47">
        <v>44170088</v>
      </c>
      <c r="D47">
        <v>35064868</v>
      </c>
      <c r="E47">
        <v>1</v>
      </c>
      <c r="F47">
        <v>1</v>
      </c>
      <c r="G47">
        <v>34959076</v>
      </c>
      <c r="H47">
        <v>2</v>
      </c>
      <c r="I47" t="s">
        <v>375</v>
      </c>
      <c r="J47" t="s">
        <v>376</v>
      </c>
      <c r="K47" t="s">
        <v>377</v>
      </c>
      <c r="L47">
        <v>1367</v>
      </c>
      <c r="N47">
        <v>1011</v>
      </c>
      <c r="O47" t="s">
        <v>347</v>
      </c>
      <c r="P47" t="s">
        <v>347</v>
      </c>
      <c r="Q47">
        <v>1</v>
      </c>
      <c r="W47">
        <v>0</v>
      </c>
      <c r="X47">
        <v>2023875219</v>
      </c>
      <c r="Y47">
        <v>0.9</v>
      </c>
      <c r="AA47">
        <v>0</v>
      </c>
      <c r="AB47">
        <v>1895.56</v>
      </c>
      <c r="AC47">
        <v>527.27</v>
      </c>
      <c r="AD47">
        <v>0</v>
      </c>
      <c r="AE47">
        <v>0</v>
      </c>
      <c r="AF47">
        <v>178.02</v>
      </c>
      <c r="AG47">
        <v>23.5</v>
      </c>
      <c r="AH47">
        <v>0</v>
      </c>
      <c r="AI47">
        <v>1</v>
      </c>
      <c r="AJ47">
        <v>10.17</v>
      </c>
      <c r="AK47">
        <v>21.43</v>
      </c>
      <c r="AL47">
        <v>1</v>
      </c>
      <c r="AN47">
        <v>0</v>
      </c>
      <c r="AO47">
        <v>1</v>
      </c>
      <c r="AP47">
        <v>1</v>
      </c>
      <c r="AQ47">
        <v>0</v>
      </c>
      <c r="AR47">
        <v>0</v>
      </c>
      <c r="AS47" t="s">
        <v>5</v>
      </c>
      <c r="AT47">
        <v>0.9</v>
      </c>
      <c r="AU47" t="s">
        <v>5</v>
      </c>
      <c r="AV47">
        <v>0</v>
      </c>
      <c r="AW47">
        <v>2</v>
      </c>
      <c r="AX47">
        <v>44170119</v>
      </c>
      <c r="AY47">
        <v>1</v>
      </c>
      <c r="AZ47">
        <v>0</v>
      </c>
      <c r="BA47">
        <v>47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0</v>
      </c>
      <c r="BI47">
        <v>0</v>
      </c>
      <c r="BJ47">
        <v>0</v>
      </c>
      <c r="BK47">
        <v>0</v>
      </c>
      <c r="BL47">
        <v>0</v>
      </c>
      <c r="BM47">
        <v>0</v>
      </c>
      <c r="BN47">
        <v>0</v>
      </c>
      <c r="BO47">
        <v>0</v>
      </c>
      <c r="BP47">
        <v>0</v>
      </c>
      <c r="BQ47">
        <v>0</v>
      </c>
      <c r="BR47">
        <v>0</v>
      </c>
      <c r="BS47">
        <v>0</v>
      </c>
      <c r="BT47">
        <v>0</v>
      </c>
      <c r="BU47">
        <v>0</v>
      </c>
      <c r="BV47">
        <v>0</v>
      </c>
      <c r="BW47">
        <v>0</v>
      </c>
      <c r="CX47">
        <f>Y47*Source!I40</f>
        <v>0.35181000000000001</v>
      </c>
      <c r="CY47">
        <f t="shared" si="7"/>
        <v>1895.56</v>
      </c>
      <c r="CZ47">
        <f t="shared" si="8"/>
        <v>178.02</v>
      </c>
      <c r="DA47">
        <f t="shared" si="9"/>
        <v>10.17</v>
      </c>
      <c r="DB47">
        <f t="shared" si="5"/>
        <v>160.22</v>
      </c>
      <c r="DC47">
        <f t="shared" si="6"/>
        <v>21.15</v>
      </c>
    </row>
    <row r="48" spans="1:107" x14ac:dyDescent="0.2">
      <c r="A48">
        <f>ROW(Source!A40)</f>
        <v>40</v>
      </c>
      <c r="B48">
        <v>44169784</v>
      </c>
      <c r="C48">
        <v>44170088</v>
      </c>
      <c r="D48">
        <v>0</v>
      </c>
      <c r="E48">
        <v>1</v>
      </c>
      <c r="F48">
        <v>1</v>
      </c>
      <c r="G48">
        <v>34959076</v>
      </c>
      <c r="H48">
        <v>3</v>
      </c>
      <c r="I48" t="s">
        <v>412</v>
      </c>
      <c r="J48" t="s">
        <v>413</v>
      </c>
      <c r="K48" t="s">
        <v>414</v>
      </c>
      <c r="L48">
        <v>1348</v>
      </c>
      <c r="N48">
        <v>1009</v>
      </c>
      <c r="O48" t="s">
        <v>87</v>
      </c>
      <c r="P48" t="s">
        <v>87</v>
      </c>
      <c r="Q48">
        <v>1000</v>
      </c>
      <c r="W48">
        <v>0</v>
      </c>
      <c r="X48">
        <v>-1274242938</v>
      </c>
      <c r="Y48">
        <v>0.04</v>
      </c>
      <c r="AA48">
        <v>1445.87</v>
      </c>
      <c r="AB48">
        <v>0</v>
      </c>
      <c r="AC48">
        <v>0</v>
      </c>
      <c r="AD48">
        <v>0</v>
      </c>
      <c r="AE48">
        <v>1445.87</v>
      </c>
      <c r="AF48">
        <v>0</v>
      </c>
      <c r="AG48">
        <v>0</v>
      </c>
      <c r="AH48">
        <v>0</v>
      </c>
      <c r="AI48">
        <v>1</v>
      </c>
      <c r="AJ48">
        <v>1</v>
      </c>
      <c r="AK48">
        <v>1</v>
      </c>
      <c r="AL48">
        <v>1</v>
      </c>
      <c r="AN48">
        <v>0</v>
      </c>
      <c r="AO48">
        <v>1</v>
      </c>
      <c r="AP48">
        <v>0</v>
      </c>
      <c r="AQ48">
        <v>0</v>
      </c>
      <c r="AR48">
        <v>0</v>
      </c>
      <c r="AS48" t="s">
        <v>5</v>
      </c>
      <c r="AT48">
        <v>0.04</v>
      </c>
      <c r="AU48" t="s">
        <v>5</v>
      </c>
      <c r="AV48">
        <v>0</v>
      </c>
      <c r="AW48">
        <v>2</v>
      </c>
      <c r="AX48">
        <v>44170120</v>
      </c>
      <c r="AY48">
        <v>1</v>
      </c>
      <c r="AZ48">
        <v>0</v>
      </c>
      <c r="BA48">
        <v>48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0</v>
      </c>
      <c r="BI48">
        <v>0</v>
      </c>
      <c r="BJ48">
        <v>0</v>
      </c>
      <c r="BK48">
        <v>0</v>
      </c>
      <c r="BL48">
        <v>0</v>
      </c>
      <c r="BM48">
        <v>0</v>
      </c>
      <c r="BN48">
        <v>0</v>
      </c>
      <c r="BO48">
        <v>0</v>
      </c>
      <c r="BP48">
        <v>0</v>
      </c>
      <c r="BQ48">
        <v>0</v>
      </c>
      <c r="BR48">
        <v>0</v>
      </c>
      <c r="BS48">
        <v>0</v>
      </c>
      <c r="BT48">
        <v>0</v>
      </c>
      <c r="BU48">
        <v>0</v>
      </c>
      <c r="BV48">
        <v>0</v>
      </c>
      <c r="BW48">
        <v>0</v>
      </c>
      <c r="CX48">
        <f>Y48*Source!I40</f>
        <v>1.5636000000000001E-2</v>
      </c>
      <c r="CY48">
        <f>AA48</f>
        <v>1445.87</v>
      </c>
      <c r="CZ48">
        <f>AE48</f>
        <v>1445.87</v>
      </c>
      <c r="DA48">
        <f>AI48</f>
        <v>1</v>
      </c>
      <c r="DB48">
        <f t="shared" si="5"/>
        <v>57.83</v>
      </c>
      <c r="DC48">
        <f t="shared" si="6"/>
        <v>0</v>
      </c>
    </row>
    <row r="49" spans="1:107" x14ac:dyDescent="0.2">
      <c r="A49">
        <f>ROW(Source!A40)</f>
        <v>40</v>
      </c>
      <c r="B49">
        <v>44169784</v>
      </c>
      <c r="C49">
        <v>44170088</v>
      </c>
      <c r="D49">
        <v>35059080</v>
      </c>
      <c r="E49">
        <v>1</v>
      </c>
      <c r="F49">
        <v>1</v>
      </c>
      <c r="G49">
        <v>34959076</v>
      </c>
      <c r="H49">
        <v>3</v>
      </c>
      <c r="I49" t="s">
        <v>85</v>
      </c>
      <c r="J49" t="s">
        <v>88</v>
      </c>
      <c r="K49" t="s">
        <v>86</v>
      </c>
      <c r="L49">
        <v>1348</v>
      </c>
      <c r="N49">
        <v>1009</v>
      </c>
      <c r="O49" t="s">
        <v>87</v>
      </c>
      <c r="P49" t="s">
        <v>87</v>
      </c>
      <c r="Q49">
        <v>1000</v>
      </c>
      <c r="W49">
        <v>0</v>
      </c>
      <c r="X49">
        <v>-2026741202</v>
      </c>
      <c r="Y49">
        <v>9.58</v>
      </c>
      <c r="AA49">
        <v>2768.21</v>
      </c>
      <c r="AB49">
        <v>0</v>
      </c>
      <c r="AC49">
        <v>0</v>
      </c>
      <c r="AD49">
        <v>0</v>
      </c>
      <c r="AE49">
        <v>296.7</v>
      </c>
      <c r="AF49">
        <v>0</v>
      </c>
      <c r="AG49">
        <v>0</v>
      </c>
      <c r="AH49">
        <v>0</v>
      </c>
      <c r="AI49">
        <v>9.33</v>
      </c>
      <c r="AJ49">
        <v>1</v>
      </c>
      <c r="AK49">
        <v>1</v>
      </c>
      <c r="AL49">
        <v>1</v>
      </c>
      <c r="AN49">
        <v>0</v>
      </c>
      <c r="AO49">
        <v>0</v>
      </c>
      <c r="AP49">
        <v>0</v>
      </c>
      <c r="AQ49">
        <v>0</v>
      </c>
      <c r="AR49">
        <v>0</v>
      </c>
      <c r="AS49" t="s">
        <v>5</v>
      </c>
      <c r="AT49">
        <v>9.58</v>
      </c>
      <c r="AU49" t="s">
        <v>5</v>
      </c>
      <c r="AV49">
        <v>0</v>
      </c>
      <c r="AW49">
        <v>1</v>
      </c>
      <c r="AX49">
        <v>-1</v>
      </c>
      <c r="AY49">
        <v>0</v>
      </c>
      <c r="AZ49">
        <v>0</v>
      </c>
      <c r="BA49" t="s">
        <v>5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0</v>
      </c>
      <c r="BI49">
        <v>0</v>
      </c>
      <c r="BJ49">
        <v>0</v>
      </c>
      <c r="BK49">
        <v>0</v>
      </c>
      <c r="BL49">
        <v>0</v>
      </c>
      <c r="BM49">
        <v>0</v>
      </c>
      <c r="BN49">
        <v>0</v>
      </c>
      <c r="BO49">
        <v>0</v>
      </c>
      <c r="BP49">
        <v>0</v>
      </c>
      <c r="BQ49">
        <v>0</v>
      </c>
      <c r="BR49">
        <v>0</v>
      </c>
      <c r="BS49">
        <v>0</v>
      </c>
      <c r="BT49">
        <v>0</v>
      </c>
      <c r="BU49">
        <v>0</v>
      </c>
      <c r="BV49">
        <v>0</v>
      </c>
      <c r="BW49">
        <v>0</v>
      </c>
      <c r="CX49">
        <f>Y49*Source!I40</f>
        <v>3.7448220000000001</v>
      </c>
      <c r="CY49">
        <f>AA49</f>
        <v>2768.21</v>
      </c>
      <c r="CZ49">
        <f>AE49</f>
        <v>296.7</v>
      </c>
      <c r="DA49">
        <f>AI49</f>
        <v>9.33</v>
      </c>
      <c r="DB49">
        <f t="shared" si="5"/>
        <v>2842.39</v>
      </c>
      <c r="DC49">
        <f t="shared" si="6"/>
        <v>0</v>
      </c>
    </row>
    <row r="50" spans="1:107" x14ac:dyDescent="0.2">
      <c r="A50">
        <f>ROW(Source!A42)</f>
        <v>42</v>
      </c>
      <c r="B50">
        <v>44169784</v>
      </c>
      <c r="C50">
        <v>44170123</v>
      </c>
      <c r="D50">
        <v>34984826</v>
      </c>
      <c r="E50">
        <v>34959076</v>
      </c>
      <c r="F50">
        <v>1</v>
      </c>
      <c r="G50">
        <v>34959076</v>
      </c>
      <c r="H50">
        <v>1</v>
      </c>
      <c r="I50" t="s">
        <v>341</v>
      </c>
      <c r="J50" t="s">
        <v>5</v>
      </c>
      <c r="K50" t="s">
        <v>342</v>
      </c>
      <c r="L50">
        <v>1191</v>
      </c>
      <c r="N50">
        <v>1013</v>
      </c>
      <c r="O50" t="s">
        <v>343</v>
      </c>
      <c r="P50" t="s">
        <v>343</v>
      </c>
      <c r="Q50">
        <v>1</v>
      </c>
      <c r="W50">
        <v>0</v>
      </c>
      <c r="X50">
        <v>476480486</v>
      </c>
      <c r="Y50">
        <v>1.59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1</v>
      </c>
      <c r="AJ50">
        <v>1</v>
      </c>
      <c r="AK50">
        <v>1</v>
      </c>
      <c r="AL50">
        <v>1</v>
      </c>
      <c r="AN50">
        <v>0</v>
      </c>
      <c r="AO50">
        <v>1</v>
      </c>
      <c r="AP50">
        <v>1</v>
      </c>
      <c r="AQ50">
        <v>0</v>
      </c>
      <c r="AR50">
        <v>0</v>
      </c>
      <c r="AS50" t="s">
        <v>5</v>
      </c>
      <c r="AT50">
        <v>0.53</v>
      </c>
      <c r="AU50" t="s">
        <v>93</v>
      </c>
      <c r="AV50">
        <v>1</v>
      </c>
      <c r="AW50">
        <v>2</v>
      </c>
      <c r="AX50">
        <v>44170132</v>
      </c>
      <c r="AY50">
        <v>1</v>
      </c>
      <c r="AZ50">
        <v>0</v>
      </c>
      <c r="BA50">
        <v>50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0</v>
      </c>
      <c r="BI50">
        <v>0</v>
      </c>
      <c r="BJ50">
        <v>0</v>
      </c>
      <c r="BK50">
        <v>0</v>
      </c>
      <c r="BL50">
        <v>0</v>
      </c>
      <c r="BM50">
        <v>0</v>
      </c>
      <c r="BN50">
        <v>0</v>
      </c>
      <c r="BO50">
        <v>0</v>
      </c>
      <c r="BP50">
        <v>0</v>
      </c>
      <c r="BQ50">
        <v>0</v>
      </c>
      <c r="BR50">
        <v>0</v>
      </c>
      <c r="BS50">
        <v>0</v>
      </c>
      <c r="BT50">
        <v>0</v>
      </c>
      <c r="BU50">
        <v>0</v>
      </c>
      <c r="BV50">
        <v>0</v>
      </c>
      <c r="BW50">
        <v>0</v>
      </c>
      <c r="CX50">
        <f>Y50*Source!I42</f>
        <v>0.62153100000000006</v>
      </c>
      <c r="CY50">
        <f>AD50</f>
        <v>0</v>
      </c>
      <c r="CZ50">
        <f>AH50</f>
        <v>0</v>
      </c>
      <c r="DA50">
        <f>AL50</f>
        <v>1</v>
      </c>
      <c r="DB50">
        <f>ROUND((ROUND(AT50*CZ50,2)*3),6)</f>
        <v>0</v>
      </c>
      <c r="DC50">
        <f>ROUND((ROUND(AT50*AG50,2)*3),6)</f>
        <v>0</v>
      </c>
    </row>
    <row r="51" spans="1:107" x14ac:dyDescent="0.2">
      <c r="A51">
        <f>ROW(Source!A42)</f>
        <v>42</v>
      </c>
      <c r="B51">
        <v>44169784</v>
      </c>
      <c r="C51">
        <v>44170123</v>
      </c>
      <c r="D51">
        <v>35064788</v>
      </c>
      <c r="E51">
        <v>1</v>
      </c>
      <c r="F51">
        <v>1</v>
      </c>
      <c r="G51">
        <v>34959076</v>
      </c>
      <c r="H51">
        <v>2</v>
      </c>
      <c r="I51" t="s">
        <v>394</v>
      </c>
      <c r="J51" t="s">
        <v>395</v>
      </c>
      <c r="K51" t="s">
        <v>396</v>
      </c>
      <c r="L51">
        <v>1367</v>
      </c>
      <c r="N51">
        <v>1011</v>
      </c>
      <c r="O51" t="s">
        <v>347</v>
      </c>
      <c r="P51" t="s">
        <v>347</v>
      </c>
      <c r="Q51">
        <v>1</v>
      </c>
      <c r="W51">
        <v>0</v>
      </c>
      <c r="X51">
        <v>1022351366</v>
      </c>
      <c r="Y51">
        <v>0.22499999999999998</v>
      </c>
      <c r="AA51">
        <v>0</v>
      </c>
      <c r="AB51">
        <v>1108.6300000000001</v>
      </c>
      <c r="AC51">
        <v>430.79</v>
      </c>
      <c r="AD51">
        <v>0</v>
      </c>
      <c r="AE51">
        <v>0</v>
      </c>
      <c r="AF51">
        <v>106.74</v>
      </c>
      <c r="AG51">
        <v>19.2</v>
      </c>
      <c r="AH51">
        <v>0</v>
      </c>
      <c r="AI51">
        <v>1</v>
      </c>
      <c r="AJ51">
        <v>9.92</v>
      </c>
      <c r="AK51">
        <v>21.43</v>
      </c>
      <c r="AL51">
        <v>1</v>
      </c>
      <c r="AN51">
        <v>0</v>
      </c>
      <c r="AO51">
        <v>1</v>
      </c>
      <c r="AP51">
        <v>1</v>
      </c>
      <c r="AQ51">
        <v>0</v>
      </c>
      <c r="AR51">
        <v>0</v>
      </c>
      <c r="AS51" t="s">
        <v>5</v>
      </c>
      <c r="AT51">
        <v>7.4999999999999997E-2</v>
      </c>
      <c r="AU51" t="s">
        <v>93</v>
      </c>
      <c r="AV51">
        <v>0</v>
      </c>
      <c r="AW51">
        <v>2</v>
      </c>
      <c r="AX51">
        <v>44170133</v>
      </c>
      <c r="AY51">
        <v>1</v>
      </c>
      <c r="AZ51">
        <v>0</v>
      </c>
      <c r="BA51">
        <v>51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0</v>
      </c>
      <c r="BI51">
        <v>0</v>
      </c>
      <c r="BJ51">
        <v>0</v>
      </c>
      <c r="BK51">
        <v>0</v>
      </c>
      <c r="BL51">
        <v>0</v>
      </c>
      <c r="BM51">
        <v>0</v>
      </c>
      <c r="BN51">
        <v>0</v>
      </c>
      <c r="BO51">
        <v>0</v>
      </c>
      <c r="BP51">
        <v>0</v>
      </c>
      <c r="BQ51">
        <v>0</v>
      </c>
      <c r="BR51">
        <v>0</v>
      </c>
      <c r="BS51">
        <v>0</v>
      </c>
      <c r="BT51">
        <v>0</v>
      </c>
      <c r="BU51">
        <v>0</v>
      </c>
      <c r="BV51">
        <v>0</v>
      </c>
      <c r="BW51">
        <v>0</v>
      </c>
      <c r="CX51">
        <f>Y51*Source!I42</f>
        <v>8.7952500000000003E-2</v>
      </c>
      <c r="CY51">
        <f>AB51</f>
        <v>1108.6300000000001</v>
      </c>
      <c r="CZ51">
        <f>AF51</f>
        <v>106.74</v>
      </c>
      <c r="DA51">
        <f>AJ51</f>
        <v>9.92</v>
      </c>
      <c r="DB51">
        <f>ROUND((ROUND(AT51*CZ51,2)*3),6)</f>
        <v>24.03</v>
      </c>
      <c r="DC51">
        <f>ROUND((ROUND(AT51*AG51,2)*3),6)</f>
        <v>4.32</v>
      </c>
    </row>
    <row r="52" spans="1:107" x14ac:dyDescent="0.2">
      <c r="A52">
        <f>ROW(Source!A42)</f>
        <v>42</v>
      </c>
      <c r="B52">
        <v>44169784</v>
      </c>
      <c r="C52">
        <v>44170123</v>
      </c>
      <c r="D52">
        <v>35064894</v>
      </c>
      <c r="E52">
        <v>1</v>
      </c>
      <c r="F52">
        <v>1</v>
      </c>
      <c r="G52">
        <v>34959076</v>
      </c>
      <c r="H52">
        <v>2</v>
      </c>
      <c r="I52" t="s">
        <v>406</v>
      </c>
      <c r="J52" t="s">
        <v>407</v>
      </c>
      <c r="K52" t="s">
        <v>408</v>
      </c>
      <c r="L52">
        <v>1367</v>
      </c>
      <c r="N52">
        <v>1011</v>
      </c>
      <c r="O52" t="s">
        <v>347</v>
      </c>
      <c r="P52" t="s">
        <v>347</v>
      </c>
      <c r="Q52">
        <v>1</v>
      </c>
      <c r="W52">
        <v>0</v>
      </c>
      <c r="X52">
        <v>-1272456651</v>
      </c>
      <c r="Y52">
        <v>0.22499999999999998</v>
      </c>
      <c r="AA52">
        <v>0</v>
      </c>
      <c r="AB52">
        <v>1138.8800000000001</v>
      </c>
      <c r="AC52">
        <v>637.22</v>
      </c>
      <c r="AD52">
        <v>0</v>
      </c>
      <c r="AE52">
        <v>0</v>
      </c>
      <c r="AF52">
        <v>124.6</v>
      </c>
      <c r="AG52">
        <v>28.4</v>
      </c>
      <c r="AH52">
        <v>0</v>
      </c>
      <c r="AI52">
        <v>1</v>
      </c>
      <c r="AJ52">
        <v>8.73</v>
      </c>
      <c r="AK52">
        <v>21.43</v>
      </c>
      <c r="AL52">
        <v>1</v>
      </c>
      <c r="AN52">
        <v>0</v>
      </c>
      <c r="AO52">
        <v>1</v>
      </c>
      <c r="AP52">
        <v>1</v>
      </c>
      <c r="AQ52">
        <v>0</v>
      </c>
      <c r="AR52">
        <v>0</v>
      </c>
      <c r="AS52" t="s">
        <v>5</v>
      </c>
      <c r="AT52">
        <v>7.4999999999999997E-2</v>
      </c>
      <c r="AU52" t="s">
        <v>93</v>
      </c>
      <c r="AV52">
        <v>0</v>
      </c>
      <c r="AW52">
        <v>2</v>
      </c>
      <c r="AX52">
        <v>44170134</v>
      </c>
      <c r="AY52">
        <v>1</v>
      </c>
      <c r="AZ52">
        <v>0</v>
      </c>
      <c r="BA52">
        <v>52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0</v>
      </c>
      <c r="BI52">
        <v>0</v>
      </c>
      <c r="BJ52">
        <v>0</v>
      </c>
      <c r="BK52">
        <v>0</v>
      </c>
      <c r="BL52">
        <v>0</v>
      </c>
      <c r="BM52">
        <v>0</v>
      </c>
      <c r="BN52">
        <v>0</v>
      </c>
      <c r="BO52">
        <v>0</v>
      </c>
      <c r="BP52">
        <v>0</v>
      </c>
      <c r="BQ52">
        <v>0</v>
      </c>
      <c r="BR52">
        <v>0</v>
      </c>
      <c r="BS52">
        <v>0</v>
      </c>
      <c r="BT52">
        <v>0</v>
      </c>
      <c r="BU52">
        <v>0</v>
      </c>
      <c r="BV52">
        <v>0</v>
      </c>
      <c r="BW52">
        <v>0</v>
      </c>
      <c r="CX52">
        <f>Y52*Source!I42</f>
        <v>8.7952500000000003E-2</v>
      </c>
      <c r="CY52">
        <f>AB52</f>
        <v>1138.8800000000001</v>
      </c>
      <c r="CZ52">
        <f>AF52</f>
        <v>124.6</v>
      </c>
      <c r="DA52">
        <f>AJ52</f>
        <v>8.73</v>
      </c>
      <c r="DB52">
        <f>ROUND((ROUND(AT52*CZ52,2)*3),6)</f>
        <v>28.05</v>
      </c>
      <c r="DC52">
        <f>ROUND((ROUND(AT52*AG52,2)*3),6)</f>
        <v>6.39</v>
      </c>
    </row>
    <row r="53" spans="1:107" x14ac:dyDescent="0.2">
      <c r="A53">
        <f>ROW(Source!A42)</f>
        <v>42</v>
      </c>
      <c r="B53">
        <v>44169784</v>
      </c>
      <c r="C53">
        <v>44170123</v>
      </c>
      <c r="D53">
        <v>35059080</v>
      </c>
      <c r="E53">
        <v>1</v>
      </c>
      <c r="F53">
        <v>1</v>
      </c>
      <c r="G53">
        <v>34959076</v>
      </c>
      <c r="H53">
        <v>3</v>
      </c>
      <c r="I53" t="s">
        <v>85</v>
      </c>
      <c r="J53" t="s">
        <v>88</v>
      </c>
      <c r="K53" t="s">
        <v>86</v>
      </c>
      <c r="L53">
        <v>1348</v>
      </c>
      <c r="N53">
        <v>1009</v>
      </c>
      <c r="O53" t="s">
        <v>87</v>
      </c>
      <c r="P53" t="s">
        <v>87</v>
      </c>
      <c r="Q53">
        <v>1000</v>
      </c>
      <c r="W53">
        <v>0</v>
      </c>
      <c r="X53">
        <v>-2026741202</v>
      </c>
      <c r="Y53">
        <v>7.1999999999999993</v>
      </c>
      <c r="AA53">
        <v>2768.21</v>
      </c>
      <c r="AB53">
        <v>0</v>
      </c>
      <c r="AC53">
        <v>0</v>
      </c>
      <c r="AD53">
        <v>0</v>
      </c>
      <c r="AE53">
        <v>296.7</v>
      </c>
      <c r="AF53">
        <v>0</v>
      </c>
      <c r="AG53">
        <v>0</v>
      </c>
      <c r="AH53">
        <v>0</v>
      </c>
      <c r="AI53">
        <v>9.33</v>
      </c>
      <c r="AJ53">
        <v>1</v>
      </c>
      <c r="AK53">
        <v>1</v>
      </c>
      <c r="AL53">
        <v>1</v>
      </c>
      <c r="AN53">
        <v>0</v>
      </c>
      <c r="AO53">
        <v>0</v>
      </c>
      <c r="AP53">
        <v>1</v>
      </c>
      <c r="AQ53">
        <v>0</v>
      </c>
      <c r="AR53">
        <v>0</v>
      </c>
      <c r="AS53" t="s">
        <v>5</v>
      </c>
      <c r="AT53">
        <v>2.4</v>
      </c>
      <c r="AU53" t="s">
        <v>93</v>
      </c>
      <c r="AV53">
        <v>0</v>
      </c>
      <c r="AW53">
        <v>1</v>
      </c>
      <c r="AX53">
        <v>-1</v>
      </c>
      <c r="AY53">
        <v>0</v>
      </c>
      <c r="AZ53">
        <v>0</v>
      </c>
      <c r="BA53" t="s">
        <v>5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0</v>
      </c>
      <c r="BI53">
        <v>0</v>
      </c>
      <c r="BJ53">
        <v>0</v>
      </c>
      <c r="BK53">
        <v>0</v>
      </c>
      <c r="BL53">
        <v>0</v>
      </c>
      <c r="BM53">
        <v>0</v>
      </c>
      <c r="BN53">
        <v>0</v>
      </c>
      <c r="BO53">
        <v>0</v>
      </c>
      <c r="BP53">
        <v>0</v>
      </c>
      <c r="BQ53">
        <v>0</v>
      </c>
      <c r="BR53">
        <v>0</v>
      </c>
      <c r="BS53">
        <v>0</v>
      </c>
      <c r="BT53">
        <v>0</v>
      </c>
      <c r="BU53">
        <v>0</v>
      </c>
      <c r="BV53">
        <v>0</v>
      </c>
      <c r="BW53">
        <v>0</v>
      </c>
      <c r="CX53">
        <f>Y53*Source!I42</f>
        <v>2.8144800000000001</v>
      </c>
      <c r="CY53">
        <f>AA53</f>
        <v>2768.21</v>
      </c>
      <c r="CZ53">
        <f>AE53</f>
        <v>296.7</v>
      </c>
      <c r="DA53">
        <f>AI53</f>
        <v>9.33</v>
      </c>
      <c r="DB53">
        <f>ROUND((ROUND(AT53*CZ53,2)*3),6)</f>
        <v>2136.2399999999998</v>
      </c>
      <c r="DC53">
        <f>ROUND((ROUND(AT53*AG53,2)*3),6)</f>
        <v>0</v>
      </c>
    </row>
    <row r="54" spans="1:107" x14ac:dyDescent="0.2">
      <c r="A54">
        <f>ROW(Source!A44)</f>
        <v>44</v>
      </c>
      <c r="B54">
        <v>44169784</v>
      </c>
      <c r="C54">
        <v>44170137</v>
      </c>
      <c r="D54">
        <v>34984826</v>
      </c>
      <c r="E54">
        <v>34959076</v>
      </c>
      <c r="F54">
        <v>1</v>
      </c>
      <c r="G54">
        <v>34959076</v>
      </c>
      <c r="H54">
        <v>1</v>
      </c>
      <c r="I54" t="s">
        <v>341</v>
      </c>
      <c r="J54" t="s">
        <v>5</v>
      </c>
      <c r="K54" t="s">
        <v>342</v>
      </c>
      <c r="L54">
        <v>1191</v>
      </c>
      <c r="N54">
        <v>1013</v>
      </c>
      <c r="O54" t="s">
        <v>343</v>
      </c>
      <c r="P54" t="s">
        <v>343</v>
      </c>
      <c r="Q54">
        <v>1</v>
      </c>
      <c r="W54">
        <v>0</v>
      </c>
      <c r="X54">
        <v>476480486</v>
      </c>
      <c r="Y54">
        <v>4.29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1</v>
      </c>
      <c r="AJ54">
        <v>1</v>
      </c>
      <c r="AK54">
        <v>1</v>
      </c>
      <c r="AL54">
        <v>1</v>
      </c>
      <c r="AN54">
        <v>0</v>
      </c>
      <c r="AO54">
        <v>1</v>
      </c>
      <c r="AP54">
        <v>1</v>
      </c>
      <c r="AQ54">
        <v>0</v>
      </c>
      <c r="AR54">
        <v>0</v>
      </c>
      <c r="AS54" t="s">
        <v>5</v>
      </c>
      <c r="AT54">
        <v>4.29</v>
      </c>
      <c r="AU54" t="s">
        <v>5</v>
      </c>
      <c r="AV54">
        <v>1</v>
      </c>
      <c r="AW54">
        <v>2</v>
      </c>
      <c r="AX54">
        <v>44170160</v>
      </c>
      <c r="AY54">
        <v>1</v>
      </c>
      <c r="AZ54">
        <v>0</v>
      </c>
      <c r="BA54">
        <v>54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0</v>
      </c>
      <c r="BI54">
        <v>0</v>
      </c>
      <c r="BJ54">
        <v>0</v>
      </c>
      <c r="BK54">
        <v>0</v>
      </c>
      <c r="BL54">
        <v>0</v>
      </c>
      <c r="BM54">
        <v>0</v>
      </c>
      <c r="BN54">
        <v>0</v>
      </c>
      <c r="BO54">
        <v>0</v>
      </c>
      <c r="BP54">
        <v>0</v>
      </c>
      <c r="BQ54">
        <v>0</v>
      </c>
      <c r="BR54">
        <v>0</v>
      </c>
      <c r="BS54">
        <v>0</v>
      </c>
      <c r="BT54">
        <v>0</v>
      </c>
      <c r="BU54">
        <v>0</v>
      </c>
      <c r="BV54">
        <v>0</v>
      </c>
      <c r="BW54">
        <v>0</v>
      </c>
      <c r="CX54">
        <f>Y54*Source!I44</f>
        <v>1.6769610000000001</v>
      </c>
      <c r="CY54">
        <f>AD54</f>
        <v>0</v>
      </c>
      <c r="CZ54">
        <f>AH54</f>
        <v>0</v>
      </c>
      <c r="DA54">
        <f>AL54</f>
        <v>1</v>
      </c>
      <c r="DB54">
        <f t="shared" ref="DB54:DB64" si="10">ROUND(ROUND(AT54*CZ54,2),6)</f>
        <v>0</v>
      </c>
      <c r="DC54">
        <f t="shared" ref="DC54:DC64" si="11">ROUND(ROUND(AT54*AG54,2),6)</f>
        <v>0</v>
      </c>
    </row>
    <row r="55" spans="1:107" x14ac:dyDescent="0.2">
      <c r="A55">
        <f>ROW(Source!A44)</f>
        <v>44</v>
      </c>
      <c r="B55">
        <v>44169784</v>
      </c>
      <c r="C55">
        <v>44170137</v>
      </c>
      <c r="D55">
        <v>35065073</v>
      </c>
      <c r="E55">
        <v>1</v>
      </c>
      <c r="F55">
        <v>1</v>
      </c>
      <c r="G55">
        <v>34959076</v>
      </c>
      <c r="H55">
        <v>2</v>
      </c>
      <c r="I55" t="s">
        <v>344</v>
      </c>
      <c r="J55" t="s">
        <v>345</v>
      </c>
      <c r="K55" t="s">
        <v>346</v>
      </c>
      <c r="L55">
        <v>1367</v>
      </c>
      <c r="N55">
        <v>1011</v>
      </c>
      <c r="O55" t="s">
        <v>347</v>
      </c>
      <c r="P55" t="s">
        <v>347</v>
      </c>
      <c r="Q55">
        <v>1</v>
      </c>
      <c r="W55">
        <v>0</v>
      </c>
      <c r="X55">
        <v>-1426791</v>
      </c>
      <c r="Y55">
        <v>0.3</v>
      </c>
      <c r="AA55">
        <v>0</v>
      </c>
      <c r="AB55">
        <v>701.8</v>
      </c>
      <c r="AC55">
        <v>414.64</v>
      </c>
      <c r="AD55">
        <v>0</v>
      </c>
      <c r="AE55">
        <v>0</v>
      </c>
      <c r="AF55">
        <v>60.77</v>
      </c>
      <c r="AG55">
        <v>18.48</v>
      </c>
      <c r="AH55">
        <v>0</v>
      </c>
      <c r="AI55">
        <v>1</v>
      </c>
      <c r="AJ55">
        <v>11.03</v>
      </c>
      <c r="AK55">
        <v>21.43</v>
      </c>
      <c r="AL55">
        <v>1</v>
      </c>
      <c r="AN55">
        <v>0</v>
      </c>
      <c r="AO55">
        <v>1</v>
      </c>
      <c r="AP55">
        <v>1</v>
      </c>
      <c r="AQ55">
        <v>0</v>
      </c>
      <c r="AR55">
        <v>0</v>
      </c>
      <c r="AS55" t="s">
        <v>5</v>
      </c>
      <c r="AT55">
        <v>0.3</v>
      </c>
      <c r="AU55" t="s">
        <v>5</v>
      </c>
      <c r="AV55">
        <v>0</v>
      </c>
      <c r="AW55">
        <v>2</v>
      </c>
      <c r="AX55">
        <v>44170161</v>
      </c>
      <c r="AY55">
        <v>1</v>
      </c>
      <c r="AZ55">
        <v>0</v>
      </c>
      <c r="BA55">
        <v>55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0</v>
      </c>
      <c r="BI55">
        <v>0</v>
      </c>
      <c r="BJ55">
        <v>0</v>
      </c>
      <c r="BK55">
        <v>0</v>
      </c>
      <c r="BL55">
        <v>0</v>
      </c>
      <c r="BM55">
        <v>0</v>
      </c>
      <c r="BN55">
        <v>0</v>
      </c>
      <c r="BO55">
        <v>0</v>
      </c>
      <c r="BP55">
        <v>0</v>
      </c>
      <c r="BQ55">
        <v>0</v>
      </c>
      <c r="BR55">
        <v>0</v>
      </c>
      <c r="BS55">
        <v>0</v>
      </c>
      <c r="BT55">
        <v>0</v>
      </c>
      <c r="BU55">
        <v>0</v>
      </c>
      <c r="BV55">
        <v>0</v>
      </c>
      <c r="BW55">
        <v>0</v>
      </c>
      <c r="CX55">
        <f>Y55*Source!I44</f>
        <v>0.11727</v>
      </c>
      <c r="CY55">
        <f t="shared" ref="CY55:CY62" si="12">AB55</f>
        <v>701.8</v>
      </c>
      <c r="CZ55">
        <f t="shared" ref="CZ55:CZ62" si="13">AF55</f>
        <v>60.77</v>
      </c>
      <c r="DA55">
        <f t="shared" ref="DA55:DA62" si="14">AJ55</f>
        <v>11.03</v>
      </c>
      <c r="DB55">
        <f t="shared" si="10"/>
        <v>18.23</v>
      </c>
      <c r="DC55">
        <f t="shared" si="11"/>
        <v>5.54</v>
      </c>
    </row>
    <row r="56" spans="1:107" x14ac:dyDescent="0.2">
      <c r="A56">
        <f>ROW(Source!A44)</f>
        <v>44</v>
      </c>
      <c r="B56">
        <v>44169784</v>
      </c>
      <c r="C56">
        <v>44170137</v>
      </c>
      <c r="D56">
        <v>35064788</v>
      </c>
      <c r="E56">
        <v>1</v>
      </c>
      <c r="F56">
        <v>1</v>
      </c>
      <c r="G56">
        <v>34959076</v>
      </c>
      <c r="H56">
        <v>2</v>
      </c>
      <c r="I56" t="s">
        <v>394</v>
      </c>
      <c r="J56" t="s">
        <v>395</v>
      </c>
      <c r="K56" t="s">
        <v>396</v>
      </c>
      <c r="L56">
        <v>1367</v>
      </c>
      <c r="N56">
        <v>1011</v>
      </c>
      <c r="O56" t="s">
        <v>347</v>
      </c>
      <c r="P56" t="s">
        <v>347</v>
      </c>
      <c r="Q56">
        <v>1</v>
      </c>
      <c r="W56">
        <v>0</v>
      </c>
      <c r="X56">
        <v>1022351366</v>
      </c>
      <c r="Y56">
        <v>0.3</v>
      </c>
      <c r="AA56">
        <v>0</v>
      </c>
      <c r="AB56">
        <v>1108.6300000000001</v>
      </c>
      <c r="AC56">
        <v>430.79</v>
      </c>
      <c r="AD56">
        <v>0</v>
      </c>
      <c r="AE56">
        <v>0</v>
      </c>
      <c r="AF56">
        <v>106.74</v>
      </c>
      <c r="AG56">
        <v>19.2</v>
      </c>
      <c r="AH56">
        <v>0</v>
      </c>
      <c r="AI56">
        <v>1</v>
      </c>
      <c r="AJ56">
        <v>9.92</v>
      </c>
      <c r="AK56">
        <v>21.43</v>
      </c>
      <c r="AL56">
        <v>1</v>
      </c>
      <c r="AN56">
        <v>0</v>
      </c>
      <c r="AO56">
        <v>1</v>
      </c>
      <c r="AP56">
        <v>1</v>
      </c>
      <c r="AQ56">
        <v>0</v>
      </c>
      <c r="AR56">
        <v>0</v>
      </c>
      <c r="AS56" t="s">
        <v>5</v>
      </c>
      <c r="AT56">
        <v>0.3</v>
      </c>
      <c r="AU56" t="s">
        <v>5</v>
      </c>
      <c r="AV56">
        <v>0</v>
      </c>
      <c r="AW56">
        <v>2</v>
      </c>
      <c r="AX56">
        <v>44170162</v>
      </c>
      <c r="AY56">
        <v>1</v>
      </c>
      <c r="AZ56">
        <v>0</v>
      </c>
      <c r="BA56">
        <v>56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0</v>
      </c>
      <c r="BI56">
        <v>0</v>
      </c>
      <c r="BJ56">
        <v>0</v>
      </c>
      <c r="BK56">
        <v>0</v>
      </c>
      <c r="BL56">
        <v>0</v>
      </c>
      <c r="BM56">
        <v>0</v>
      </c>
      <c r="BN56">
        <v>0</v>
      </c>
      <c r="BO56">
        <v>0</v>
      </c>
      <c r="BP56">
        <v>0</v>
      </c>
      <c r="BQ56">
        <v>0</v>
      </c>
      <c r="BR56">
        <v>0</v>
      </c>
      <c r="BS56">
        <v>0</v>
      </c>
      <c r="BT56">
        <v>0</v>
      </c>
      <c r="BU56">
        <v>0</v>
      </c>
      <c r="BV56">
        <v>0</v>
      </c>
      <c r="BW56">
        <v>0</v>
      </c>
      <c r="CX56">
        <f>Y56*Source!I44</f>
        <v>0.11727</v>
      </c>
      <c r="CY56">
        <f t="shared" si="12"/>
        <v>1108.6300000000001</v>
      </c>
      <c r="CZ56">
        <f t="shared" si="13"/>
        <v>106.74</v>
      </c>
      <c r="DA56">
        <f t="shared" si="14"/>
        <v>9.92</v>
      </c>
      <c r="DB56">
        <f t="shared" si="10"/>
        <v>32.020000000000003</v>
      </c>
      <c r="DC56">
        <f t="shared" si="11"/>
        <v>5.76</v>
      </c>
    </row>
    <row r="57" spans="1:107" x14ac:dyDescent="0.2">
      <c r="A57">
        <f>ROW(Source!A44)</f>
        <v>44</v>
      </c>
      <c r="B57">
        <v>44169784</v>
      </c>
      <c r="C57">
        <v>44170137</v>
      </c>
      <c r="D57">
        <v>35064877</v>
      </c>
      <c r="E57">
        <v>1</v>
      </c>
      <c r="F57">
        <v>1</v>
      </c>
      <c r="G57">
        <v>34959076</v>
      </c>
      <c r="H57">
        <v>2</v>
      </c>
      <c r="I57" t="s">
        <v>397</v>
      </c>
      <c r="J57" t="s">
        <v>398</v>
      </c>
      <c r="K57" t="s">
        <v>399</v>
      </c>
      <c r="L57">
        <v>1367</v>
      </c>
      <c r="N57">
        <v>1011</v>
      </c>
      <c r="O57" t="s">
        <v>347</v>
      </c>
      <c r="P57" t="s">
        <v>347</v>
      </c>
      <c r="Q57">
        <v>1</v>
      </c>
      <c r="W57">
        <v>0</v>
      </c>
      <c r="X57">
        <v>1778166765</v>
      </c>
      <c r="Y57">
        <v>0.3</v>
      </c>
      <c r="AA57">
        <v>0</v>
      </c>
      <c r="AB57">
        <v>1084.98</v>
      </c>
      <c r="AC57">
        <v>641.92999999999995</v>
      </c>
      <c r="AD57">
        <v>0</v>
      </c>
      <c r="AE57">
        <v>0</v>
      </c>
      <c r="AF57">
        <v>148.88999999999999</v>
      </c>
      <c r="AG57">
        <v>28.61</v>
      </c>
      <c r="AH57">
        <v>0</v>
      </c>
      <c r="AI57">
        <v>1</v>
      </c>
      <c r="AJ57">
        <v>6.96</v>
      </c>
      <c r="AK57">
        <v>21.43</v>
      </c>
      <c r="AL57">
        <v>1</v>
      </c>
      <c r="AN57">
        <v>0</v>
      </c>
      <c r="AO57">
        <v>1</v>
      </c>
      <c r="AP57">
        <v>1</v>
      </c>
      <c r="AQ57">
        <v>0</v>
      </c>
      <c r="AR57">
        <v>0</v>
      </c>
      <c r="AS57" t="s">
        <v>5</v>
      </c>
      <c r="AT57">
        <v>0.3</v>
      </c>
      <c r="AU57" t="s">
        <v>5</v>
      </c>
      <c r="AV57">
        <v>0</v>
      </c>
      <c r="AW57">
        <v>2</v>
      </c>
      <c r="AX57">
        <v>44170163</v>
      </c>
      <c r="AY57">
        <v>1</v>
      </c>
      <c r="AZ57">
        <v>0</v>
      </c>
      <c r="BA57">
        <v>57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0</v>
      </c>
      <c r="BI57">
        <v>0</v>
      </c>
      <c r="BJ57">
        <v>0</v>
      </c>
      <c r="BK57">
        <v>0</v>
      </c>
      <c r="BL57">
        <v>0</v>
      </c>
      <c r="BM57">
        <v>0</v>
      </c>
      <c r="BN57">
        <v>0</v>
      </c>
      <c r="BO57">
        <v>0</v>
      </c>
      <c r="BP57">
        <v>0</v>
      </c>
      <c r="BQ57">
        <v>0</v>
      </c>
      <c r="BR57">
        <v>0</v>
      </c>
      <c r="BS57">
        <v>0</v>
      </c>
      <c r="BT57">
        <v>0</v>
      </c>
      <c r="BU57">
        <v>0</v>
      </c>
      <c r="BV57">
        <v>0</v>
      </c>
      <c r="BW57">
        <v>0</v>
      </c>
      <c r="CX57">
        <f>Y57*Source!I44</f>
        <v>0.11727</v>
      </c>
      <c r="CY57">
        <f t="shared" si="12"/>
        <v>1084.98</v>
      </c>
      <c r="CZ57">
        <f t="shared" si="13"/>
        <v>148.88999999999999</v>
      </c>
      <c r="DA57">
        <f t="shared" si="14"/>
        <v>6.96</v>
      </c>
      <c r="DB57">
        <f t="shared" si="10"/>
        <v>44.67</v>
      </c>
      <c r="DC57">
        <f t="shared" si="11"/>
        <v>8.58</v>
      </c>
    </row>
    <row r="58" spans="1:107" x14ac:dyDescent="0.2">
      <c r="A58">
        <f>ROW(Source!A44)</f>
        <v>44</v>
      </c>
      <c r="B58">
        <v>44169784</v>
      </c>
      <c r="C58">
        <v>44170137</v>
      </c>
      <c r="D58">
        <v>35064879</v>
      </c>
      <c r="E58">
        <v>1</v>
      </c>
      <c r="F58">
        <v>1</v>
      </c>
      <c r="G58">
        <v>34959076</v>
      </c>
      <c r="H58">
        <v>2</v>
      </c>
      <c r="I58" t="s">
        <v>400</v>
      </c>
      <c r="J58" t="s">
        <v>401</v>
      </c>
      <c r="K58" t="s">
        <v>402</v>
      </c>
      <c r="L58">
        <v>1367</v>
      </c>
      <c r="N58">
        <v>1011</v>
      </c>
      <c r="O58" t="s">
        <v>347</v>
      </c>
      <c r="P58" t="s">
        <v>347</v>
      </c>
      <c r="Q58">
        <v>1</v>
      </c>
      <c r="W58">
        <v>0</v>
      </c>
      <c r="X58">
        <v>1341797380</v>
      </c>
      <c r="Y58">
        <v>0.3</v>
      </c>
      <c r="AA58">
        <v>0</v>
      </c>
      <c r="AB58">
        <v>3012.93</v>
      </c>
      <c r="AC58">
        <v>961.43</v>
      </c>
      <c r="AD58">
        <v>0</v>
      </c>
      <c r="AE58">
        <v>0</v>
      </c>
      <c r="AF58">
        <v>249.15</v>
      </c>
      <c r="AG58">
        <v>42.85</v>
      </c>
      <c r="AH58">
        <v>0</v>
      </c>
      <c r="AI58">
        <v>1</v>
      </c>
      <c r="AJ58">
        <v>11.55</v>
      </c>
      <c r="AK58">
        <v>21.43</v>
      </c>
      <c r="AL58">
        <v>1</v>
      </c>
      <c r="AN58">
        <v>0</v>
      </c>
      <c r="AO58">
        <v>1</v>
      </c>
      <c r="AP58">
        <v>1</v>
      </c>
      <c r="AQ58">
        <v>0</v>
      </c>
      <c r="AR58">
        <v>0</v>
      </c>
      <c r="AS58" t="s">
        <v>5</v>
      </c>
      <c r="AT58">
        <v>0.3</v>
      </c>
      <c r="AU58" t="s">
        <v>5</v>
      </c>
      <c r="AV58">
        <v>0</v>
      </c>
      <c r="AW58">
        <v>2</v>
      </c>
      <c r="AX58">
        <v>44170164</v>
      </c>
      <c r="AY58">
        <v>1</v>
      </c>
      <c r="AZ58">
        <v>0</v>
      </c>
      <c r="BA58">
        <v>58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0</v>
      </c>
      <c r="BI58">
        <v>0</v>
      </c>
      <c r="BJ58">
        <v>0</v>
      </c>
      <c r="BK58">
        <v>0</v>
      </c>
      <c r="BL58">
        <v>0</v>
      </c>
      <c r="BM58">
        <v>0</v>
      </c>
      <c r="BN58">
        <v>0</v>
      </c>
      <c r="BO58">
        <v>0</v>
      </c>
      <c r="BP58">
        <v>0</v>
      </c>
      <c r="BQ58">
        <v>0</v>
      </c>
      <c r="BR58">
        <v>0</v>
      </c>
      <c r="BS58">
        <v>0</v>
      </c>
      <c r="BT58">
        <v>0</v>
      </c>
      <c r="BU58">
        <v>0</v>
      </c>
      <c r="BV58">
        <v>0</v>
      </c>
      <c r="BW58">
        <v>0</v>
      </c>
      <c r="CX58">
        <f>Y58*Source!I44</f>
        <v>0.11727</v>
      </c>
      <c r="CY58">
        <f t="shared" si="12"/>
        <v>3012.93</v>
      </c>
      <c r="CZ58">
        <f t="shared" si="13"/>
        <v>249.15</v>
      </c>
      <c r="DA58">
        <f t="shared" si="14"/>
        <v>11.55</v>
      </c>
      <c r="DB58">
        <f t="shared" si="10"/>
        <v>74.75</v>
      </c>
      <c r="DC58">
        <f t="shared" si="11"/>
        <v>12.86</v>
      </c>
    </row>
    <row r="59" spans="1:107" x14ac:dyDescent="0.2">
      <c r="A59">
        <f>ROW(Source!A44)</f>
        <v>44</v>
      </c>
      <c r="B59">
        <v>44169784</v>
      </c>
      <c r="C59">
        <v>44170137</v>
      </c>
      <c r="D59">
        <v>35064863</v>
      </c>
      <c r="E59">
        <v>1</v>
      </c>
      <c r="F59">
        <v>1</v>
      </c>
      <c r="G59">
        <v>34959076</v>
      </c>
      <c r="H59">
        <v>2</v>
      </c>
      <c r="I59" t="s">
        <v>403</v>
      </c>
      <c r="J59" t="s">
        <v>404</v>
      </c>
      <c r="K59" t="s">
        <v>405</v>
      </c>
      <c r="L59">
        <v>1367</v>
      </c>
      <c r="N59">
        <v>1011</v>
      </c>
      <c r="O59" t="s">
        <v>347</v>
      </c>
      <c r="P59" t="s">
        <v>347</v>
      </c>
      <c r="Q59">
        <v>1</v>
      </c>
      <c r="W59">
        <v>0</v>
      </c>
      <c r="X59">
        <v>-251987950</v>
      </c>
      <c r="Y59">
        <v>0.3</v>
      </c>
      <c r="AA59">
        <v>0</v>
      </c>
      <c r="AB59">
        <v>1173.1300000000001</v>
      </c>
      <c r="AC59">
        <v>512.69000000000005</v>
      </c>
      <c r="AD59">
        <v>0</v>
      </c>
      <c r="AE59">
        <v>0</v>
      </c>
      <c r="AF59">
        <v>84.82</v>
      </c>
      <c r="AG59">
        <v>22.85</v>
      </c>
      <c r="AH59">
        <v>0</v>
      </c>
      <c r="AI59">
        <v>1</v>
      </c>
      <c r="AJ59">
        <v>13.21</v>
      </c>
      <c r="AK59">
        <v>21.43</v>
      </c>
      <c r="AL59">
        <v>1</v>
      </c>
      <c r="AN59">
        <v>0</v>
      </c>
      <c r="AO59">
        <v>1</v>
      </c>
      <c r="AP59">
        <v>1</v>
      </c>
      <c r="AQ59">
        <v>0</v>
      </c>
      <c r="AR59">
        <v>0</v>
      </c>
      <c r="AS59" t="s">
        <v>5</v>
      </c>
      <c r="AT59">
        <v>0.3</v>
      </c>
      <c r="AU59" t="s">
        <v>5</v>
      </c>
      <c r="AV59">
        <v>0</v>
      </c>
      <c r="AW59">
        <v>2</v>
      </c>
      <c r="AX59">
        <v>44170165</v>
      </c>
      <c r="AY59">
        <v>1</v>
      </c>
      <c r="AZ59">
        <v>0</v>
      </c>
      <c r="BA59">
        <v>59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0</v>
      </c>
      <c r="BI59">
        <v>0</v>
      </c>
      <c r="BJ59">
        <v>0</v>
      </c>
      <c r="BK59">
        <v>0</v>
      </c>
      <c r="BL59">
        <v>0</v>
      </c>
      <c r="BM59">
        <v>0</v>
      </c>
      <c r="BN59">
        <v>0</v>
      </c>
      <c r="BO59">
        <v>0</v>
      </c>
      <c r="BP59">
        <v>0</v>
      </c>
      <c r="BQ59">
        <v>0</v>
      </c>
      <c r="BR59">
        <v>0</v>
      </c>
      <c r="BS59">
        <v>0</v>
      </c>
      <c r="BT59">
        <v>0</v>
      </c>
      <c r="BU59">
        <v>0</v>
      </c>
      <c r="BV59">
        <v>0</v>
      </c>
      <c r="BW59">
        <v>0</v>
      </c>
      <c r="CX59">
        <f>Y59*Source!I44</f>
        <v>0.11727</v>
      </c>
      <c r="CY59">
        <f t="shared" si="12"/>
        <v>1173.1300000000001</v>
      </c>
      <c r="CZ59">
        <f t="shared" si="13"/>
        <v>84.82</v>
      </c>
      <c r="DA59">
        <f t="shared" si="14"/>
        <v>13.21</v>
      </c>
      <c r="DB59">
        <f t="shared" si="10"/>
        <v>25.45</v>
      </c>
      <c r="DC59">
        <f t="shared" si="11"/>
        <v>6.86</v>
      </c>
    </row>
    <row r="60" spans="1:107" x14ac:dyDescent="0.2">
      <c r="A60">
        <f>ROW(Source!A44)</f>
        <v>44</v>
      </c>
      <c r="B60">
        <v>44169784</v>
      </c>
      <c r="C60">
        <v>44170137</v>
      </c>
      <c r="D60">
        <v>35064894</v>
      </c>
      <c r="E60">
        <v>1</v>
      </c>
      <c r="F60">
        <v>1</v>
      </c>
      <c r="G60">
        <v>34959076</v>
      </c>
      <c r="H60">
        <v>2</v>
      </c>
      <c r="I60" t="s">
        <v>406</v>
      </c>
      <c r="J60" t="s">
        <v>407</v>
      </c>
      <c r="K60" t="s">
        <v>408</v>
      </c>
      <c r="L60">
        <v>1367</v>
      </c>
      <c r="N60">
        <v>1011</v>
      </c>
      <c r="O60" t="s">
        <v>347</v>
      </c>
      <c r="P60" t="s">
        <v>347</v>
      </c>
      <c r="Q60">
        <v>1</v>
      </c>
      <c r="W60">
        <v>0</v>
      </c>
      <c r="X60">
        <v>-1272456651</v>
      </c>
      <c r="Y60">
        <v>0.3</v>
      </c>
      <c r="AA60">
        <v>0</v>
      </c>
      <c r="AB60">
        <v>1138.8800000000001</v>
      </c>
      <c r="AC60">
        <v>637.22</v>
      </c>
      <c r="AD60">
        <v>0</v>
      </c>
      <c r="AE60">
        <v>0</v>
      </c>
      <c r="AF60">
        <v>124.6</v>
      </c>
      <c r="AG60">
        <v>28.4</v>
      </c>
      <c r="AH60">
        <v>0</v>
      </c>
      <c r="AI60">
        <v>1</v>
      </c>
      <c r="AJ60">
        <v>8.73</v>
      </c>
      <c r="AK60">
        <v>21.43</v>
      </c>
      <c r="AL60">
        <v>1</v>
      </c>
      <c r="AN60">
        <v>0</v>
      </c>
      <c r="AO60">
        <v>1</v>
      </c>
      <c r="AP60">
        <v>1</v>
      </c>
      <c r="AQ60">
        <v>0</v>
      </c>
      <c r="AR60">
        <v>0</v>
      </c>
      <c r="AS60" t="s">
        <v>5</v>
      </c>
      <c r="AT60">
        <v>0.3</v>
      </c>
      <c r="AU60" t="s">
        <v>5</v>
      </c>
      <c r="AV60">
        <v>0</v>
      </c>
      <c r="AW60">
        <v>2</v>
      </c>
      <c r="AX60">
        <v>44170166</v>
      </c>
      <c r="AY60">
        <v>1</v>
      </c>
      <c r="AZ60">
        <v>0</v>
      </c>
      <c r="BA60">
        <v>60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0</v>
      </c>
      <c r="BI60">
        <v>0</v>
      </c>
      <c r="BJ60">
        <v>0</v>
      </c>
      <c r="BK60">
        <v>0</v>
      </c>
      <c r="BL60">
        <v>0</v>
      </c>
      <c r="BM60">
        <v>0</v>
      </c>
      <c r="BN60">
        <v>0</v>
      </c>
      <c r="BO60">
        <v>0</v>
      </c>
      <c r="BP60">
        <v>0</v>
      </c>
      <c r="BQ60">
        <v>0</v>
      </c>
      <c r="BR60">
        <v>0</v>
      </c>
      <c r="BS60">
        <v>0</v>
      </c>
      <c r="BT60">
        <v>0</v>
      </c>
      <c r="BU60">
        <v>0</v>
      </c>
      <c r="BV60">
        <v>0</v>
      </c>
      <c r="BW60">
        <v>0</v>
      </c>
      <c r="CX60">
        <f>Y60*Source!I44</f>
        <v>0.11727</v>
      </c>
      <c r="CY60">
        <f t="shared" si="12"/>
        <v>1138.8800000000001</v>
      </c>
      <c r="CZ60">
        <f t="shared" si="13"/>
        <v>124.6</v>
      </c>
      <c r="DA60">
        <f t="shared" si="14"/>
        <v>8.73</v>
      </c>
      <c r="DB60">
        <f t="shared" si="10"/>
        <v>37.380000000000003</v>
      </c>
      <c r="DC60">
        <f t="shared" si="11"/>
        <v>8.52</v>
      </c>
    </row>
    <row r="61" spans="1:107" x14ac:dyDescent="0.2">
      <c r="A61">
        <f>ROW(Source!A44)</f>
        <v>44</v>
      </c>
      <c r="B61">
        <v>44169784</v>
      </c>
      <c r="C61">
        <v>44170137</v>
      </c>
      <c r="D61">
        <v>35064867</v>
      </c>
      <c r="E61">
        <v>1</v>
      </c>
      <c r="F61">
        <v>1</v>
      </c>
      <c r="G61">
        <v>34959076</v>
      </c>
      <c r="H61">
        <v>2</v>
      </c>
      <c r="I61" t="s">
        <v>409</v>
      </c>
      <c r="J61" t="s">
        <v>410</v>
      </c>
      <c r="K61" t="s">
        <v>411</v>
      </c>
      <c r="L61">
        <v>1367</v>
      </c>
      <c r="N61">
        <v>1011</v>
      </c>
      <c r="O61" t="s">
        <v>347</v>
      </c>
      <c r="P61" t="s">
        <v>347</v>
      </c>
      <c r="Q61">
        <v>1</v>
      </c>
      <c r="W61">
        <v>0</v>
      </c>
      <c r="X61">
        <v>1933621517</v>
      </c>
      <c r="Y61">
        <v>0.3</v>
      </c>
      <c r="AA61">
        <v>0</v>
      </c>
      <c r="AB61">
        <v>1248.56</v>
      </c>
      <c r="AC61">
        <v>520.09</v>
      </c>
      <c r="AD61">
        <v>0</v>
      </c>
      <c r="AE61">
        <v>0</v>
      </c>
      <c r="AF61">
        <v>88.4</v>
      </c>
      <c r="AG61">
        <v>23.18</v>
      </c>
      <c r="AH61">
        <v>0</v>
      </c>
      <c r="AI61">
        <v>1</v>
      </c>
      <c r="AJ61">
        <v>13.49</v>
      </c>
      <c r="AK61">
        <v>21.43</v>
      </c>
      <c r="AL61">
        <v>1</v>
      </c>
      <c r="AN61">
        <v>0</v>
      </c>
      <c r="AO61">
        <v>1</v>
      </c>
      <c r="AP61">
        <v>1</v>
      </c>
      <c r="AQ61">
        <v>0</v>
      </c>
      <c r="AR61">
        <v>0</v>
      </c>
      <c r="AS61" t="s">
        <v>5</v>
      </c>
      <c r="AT61">
        <v>0.3</v>
      </c>
      <c r="AU61" t="s">
        <v>5</v>
      </c>
      <c r="AV61">
        <v>0</v>
      </c>
      <c r="AW61">
        <v>2</v>
      </c>
      <c r="AX61">
        <v>44170167</v>
      </c>
      <c r="AY61">
        <v>1</v>
      </c>
      <c r="AZ61">
        <v>0</v>
      </c>
      <c r="BA61">
        <v>61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0</v>
      </c>
      <c r="BI61">
        <v>0</v>
      </c>
      <c r="BJ61">
        <v>0</v>
      </c>
      <c r="BK61">
        <v>0</v>
      </c>
      <c r="BL61">
        <v>0</v>
      </c>
      <c r="BM61">
        <v>0</v>
      </c>
      <c r="BN61">
        <v>0</v>
      </c>
      <c r="BO61">
        <v>0</v>
      </c>
      <c r="BP61">
        <v>0</v>
      </c>
      <c r="BQ61">
        <v>0</v>
      </c>
      <c r="BR61">
        <v>0</v>
      </c>
      <c r="BS61">
        <v>0</v>
      </c>
      <c r="BT61">
        <v>0</v>
      </c>
      <c r="BU61">
        <v>0</v>
      </c>
      <c r="BV61">
        <v>0</v>
      </c>
      <c r="BW61">
        <v>0</v>
      </c>
      <c r="CX61">
        <f>Y61*Source!I44</f>
        <v>0.11727</v>
      </c>
      <c r="CY61">
        <f t="shared" si="12"/>
        <v>1248.56</v>
      </c>
      <c r="CZ61">
        <f t="shared" si="13"/>
        <v>88.4</v>
      </c>
      <c r="DA61">
        <f t="shared" si="14"/>
        <v>13.49</v>
      </c>
      <c r="DB61">
        <f t="shared" si="10"/>
        <v>26.52</v>
      </c>
      <c r="DC61">
        <f t="shared" si="11"/>
        <v>6.95</v>
      </c>
    </row>
    <row r="62" spans="1:107" x14ac:dyDescent="0.2">
      <c r="A62">
        <f>ROW(Source!A44)</f>
        <v>44</v>
      </c>
      <c r="B62">
        <v>44169784</v>
      </c>
      <c r="C62">
        <v>44170137</v>
      </c>
      <c r="D62">
        <v>35064868</v>
      </c>
      <c r="E62">
        <v>1</v>
      </c>
      <c r="F62">
        <v>1</v>
      </c>
      <c r="G62">
        <v>34959076</v>
      </c>
      <c r="H62">
        <v>2</v>
      </c>
      <c r="I62" t="s">
        <v>375</v>
      </c>
      <c r="J62" t="s">
        <v>376</v>
      </c>
      <c r="K62" t="s">
        <v>377</v>
      </c>
      <c r="L62">
        <v>1367</v>
      </c>
      <c r="N62">
        <v>1011</v>
      </c>
      <c r="O62" t="s">
        <v>347</v>
      </c>
      <c r="P62" t="s">
        <v>347</v>
      </c>
      <c r="Q62">
        <v>1</v>
      </c>
      <c r="W62">
        <v>0</v>
      </c>
      <c r="X62">
        <v>2023875219</v>
      </c>
      <c r="Y62">
        <v>0.9</v>
      </c>
      <c r="AA62">
        <v>0</v>
      </c>
      <c r="AB62">
        <v>1895.56</v>
      </c>
      <c r="AC62">
        <v>527.27</v>
      </c>
      <c r="AD62">
        <v>0</v>
      </c>
      <c r="AE62">
        <v>0</v>
      </c>
      <c r="AF62">
        <v>178.02</v>
      </c>
      <c r="AG62">
        <v>23.5</v>
      </c>
      <c r="AH62">
        <v>0</v>
      </c>
      <c r="AI62">
        <v>1</v>
      </c>
      <c r="AJ62">
        <v>10.17</v>
      </c>
      <c r="AK62">
        <v>21.43</v>
      </c>
      <c r="AL62">
        <v>1</v>
      </c>
      <c r="AN62">
        <v>0</v>
      </c>
      <c r="AO62">
        <v>1</v>
      </c>
      <c r="AP62">
        <v>1</v>
      </c>
      <c r="AQ62">
        <v>0</v>
      </c>
      <c r="AR62">
        <v>0</v>
      </c>
      <c r="AS62" t="s">
        <v>5</v>
      </c>
      <c r="AT62">
        <v>0.9</v>
      </c>
      <c r="AU62" t="s">
        <v>5</v>
      </c>
      <c r="AV62">
        <v>0</v>
      </c>
      <c r="AW62">
        <v>2</v>
      </c>
      <c r="AX62">
        <v>44170168</v>
      </c>
      <c r="AY62">
        <v>1</v>
      </c>
      <c r="AZ62">
        <v>0</v>
      </c>
      <c r="BA62">
        <v>62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0</v>
      </c>
      <c r="BI62">
        <v>0</v>
      </c>
      <c r="BJ62">
        <v>0</v>
      </c>
      <c r="BK62">
        <v>0</v>
      </c>
      <c r="BL62">
        <v>0</v>
      </c>
      <c r="BM62">
        <v>0</v>
      </c>
      <c r="BN62">
        <v>0</v>
      </c>
      <c r="BO62">
        <v>0</v>
      </c>
      <c r="BP62">
        <v>0</v>
      </c>
      <c r="BQ62">
        <v>0</v>
      </c>
      <c r="BR62">
        <v>0</v>
      </c>
      <c r="BS62">
        <v>0</v>
      </c>
      <c r="BT62">
        <v>0</v>
      </c>
      <c r="BU62">
        <v>0</v>
      </c>
      <c r="BV62">
        <v>0</v>
      </c>
      <c r="BW62">
        <v>0</v>
      </c>
      <c r="CX62">
        <f>Y62*Source!I44</f>
        <v>0.35181000000000001</v>
      </c>
      <c r="CY62">
        <f t="shared" si="12"/>
        <v>1895.56</v>
      </c>
      <c r="CZ62">
        <f t="shared" si="13"/>
        <v>178.02</v>
      </c>
      <c r="DA62">
        <f t="shared" si="14"/>
        <v>10.17</v>
      </c>
      <c r="DB62">
        <f t="shared" si="10"/>
        <v>160.22</v>
      </c>
      <c r="DC62">
        <f t="shared" si="11"/>
        <v>21.15</v>
      </c>
    </row>
    <row r="63" spans="1:107" x14ac:dyDescent="0.2">
      <c r="A63">
        <f>ROW(Source!A44)</f>
        <v>44</v>
      </c>
      <c r="B63">
        <v>44169784</v>
      </c>
      <c r="C63">
        <v>44170137</v>
      </c>
      <c r="D63">
        <v>0</v>
      </c>
      <c r="E63">
        <v>1</v>
      </c>
      <c r="F63">
        <v>1</v>
      </c>
      <c r="G63">
        <v>34959076</v>
      </c>
      <c r="H63">
        <v>3</v>
      </c>
      <c r="I63" t="s">
        <v>412</v>
      </c>
      <c r="J63" t="s">
        <v>413</v>
      </c>
      <c r="K63" t="s">
        <v>414</v>
      </c>
      <c r="L63">
        <v>1348</v>
      </c>
      <c r="N63">
        <v>1009</v>
      </c>
      <c r="O63" t="s">
        <v>87</v>
      </c>
      <c r="P63" t="s">
        <v>87</v>
      </c>
      <c r="Q63">
        <v>1000</v>
      </c>
      <c r="W63">
        <v>0</v>
      </c>
      <c r="X63">
        <v>-1274242938</v>
      </c>
      <c r="Y63">
        <v>0.04</v>
      </c>
      <c r="AA63">
        <v>1445.87</v>
      </c>
      <c r="AB63">
        <v>0</v>
      </c>
      <c r="AC63">
        <v>0</v>
      </c>
      <c r="AD63">
        <v>0</v>
      </c>
      <c r="AE63">
        <v>1445.87</v>
      </c>
      <c r="AF63">
        <v>0</v>
      </c>
      <c r="AG63">
        <v>0</v>
      </c>
      <c r="AH63">
        <v>0</v>
      </c>
      <c r="AI63">
        <v>1</v>
      </c>
      <c r="AJ63">
        <v>1</v>
      </c>
      <c r="AK63">
        <v>1</v>
      </c>
      <c r="AL63">
        <v>1</v>
      </c>
      <c r="AN63">
        <v>0</v>
      </c>
      <c r="AO63">
        <v>1</v>
      </c>
      <c r="AP63">
        <v>0</v>
      </c>
      <c r="AQ63">
        <v>0</v>
      </c>
      <c r="AR63">
        <v>0</v>
      </c>
      <c r="AS63" t="s">
        <v>5</v>
      </c>
      <c r="AT63">
        <v>0.04</v>
      </c>
      <c r="AU63" t="s">
        <v>5</v>
      </c>
      <c r="AV63">
        <v>0</v>
      </c>
      <c r="AW63">
        <v>2</v>
      </c>
      <c r="AX63">
        <v>44170169</v>
      </c>
      <c r="AY63">
        <v>1</v>
      </c>
      <c r="AZ63">
        <v>0</v>
      </c>
      <c r="BA63">
        <v>63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0</v>
      </c>
      <c r="BI63">
        <v>0</v>
      </c>
      <c r="BJ63">
        <v>0</v>
      </c>
      <c r="BK63">
        <v>0</v>
      </c>
      <c r="BL63">
        <v>0</v>
      </c>
      <c r="BM63">
        <v>0</v>
      </c>
      <c r="BN63">
        <v>0</v>
      </c>
      <c r="BO63">
        <v>0</v>
      </c>
      <c r="BP63">
        <v>0</v>
      </c>
      <c r="BQ63">
        <v>0</v>
      </c>
      <c r="BR63">
        <v>0</v>
      </c>
      <c r="BS63">
        <v>0</v>
      </c>
      <c r="BT63">
        <v>0</v>
      </c>
      <c r="BU63">
        <v>0</v>
      </c>
      <c r="BV63">
        <v>0</v>
      </c>
      <c r="BW63">
        <v>0</v>
      </c>
      <c r="CX63">
        <f>Y63*Source!I44</f>
        <v>1.5636000000000001E-2</v>
      </c>
      <c r="CY63">
        <f>AA63</f>
        <v>1445.87</v>
      </c>
      <c r="CZ63">
        <f>AE63</f>
        <v>1445.87</v>
      </c>
      <c r="DA63">
        <f>AI63</f>
        <v>1</v>
      </c>
      <c r="DB63">
        <f t="shared" si="10"/>
        <v>57.83</v>
      </c>
      <c r="DC63">
        <f t="shared" si="11"/>
        <v>0</v>
      </c>
    </row>
    <row r="64" spans="1:107" x14ac:dyDescent="0.2">
      <c r="A64">
        <f>ROW(Source!A44)</f>
        <v>44</v>
      </c>
      <c r="B64">
        <v>44169784</v>
      </c>
      <c r="C64">
        <v>44170137</v>
      </c>
      <c r="D64">
        <v>35059080</v>
      </c>
      <c r="E64">
        <v>1</v>
      </c>
      <c r="F64">
        <v>1</v>
      </c>
      <c r="G64">
        <v>34959076</v>
      </c>
      <c r="H64">
        <v>3</v>
      </c>
      <c r="I64" t="s">
        <v>85</v>
      </c>
      <c r="J64" t="s">
        <v>88</v>
      </c>
      <c r="K64" t="s">
        <v>86</v>
      </c>
      <c r="L64">
        <v>1348</v>
      </c>
      <c r="N64">
        <v>1009</v>
      </c>
      <c r="O64" t="s">
        <v>87</v>
      </c>
      <c r="P64" t="s">
        <v>87</v>
      </c>
      <c r="Q64">
        <v>1000</v>
      </c>
      <c r="W64">
        <v>0</v>
      </c>
      <c r="X64">
        <v>-2026741202</v>
      </c>
      <c r="Y64">
        <v>9.58</v>
      </c>
      <c r="AA64">
        <v>2768.21</v>
      </c>
      <c r="AB64">
        <v>0</v>
      </c>
      <c r="AC64">
        <v>0</v>
      </c>
      <c r="AD64">
        <v>0</v>
      </c>
      <c r="AE64">
        <v>296.7</v>
      </c>
      <c r="AF64">
        <v>0</v>
      </c>
      <c r="AG64">
        <v>0</v>
      </c>
      <c r="AH64">
        <v>0</v>
      </c>
      <c r="AI64">
        <v>9.33</v>
      </c>
      <c r="AJ64">
        <v>1</v>
      </c>
      <c r="AK64">
        <v>1</v>
      </c>
      <c r="AL64">
        <v>1</v>
      </c>
      <c r="AN64">
        <v>0</v>
      </c>
      <c r="AO64">
        <v>0</v>
      </c>
      <c r="AP64">
        <v>0</v>
      </c>
      <c r="AQ64">
        <v>0</v>
      </c>
      <c r="AR64">
        <v>0</v>
      </c>
      <c r="AS64" t="s">
        <v>5</v>
      </c>
      <c r="AT64">
        <v>9.58</v>
      </c>
      <c r="AU64" t="s">
        <v>5</v>
      </c>
      <c r="AV64">
        <v>0</v>
      </c>
      <c r="AW64">
        <v>1</v>
      </c>
      <c r="AX64">
        <v>-1</v>
      </c>
      <c r="AY64">
        <v>0</v>
      </c>
      <c r="AZ64">
        <v>0</v>
      </c>
      <c r="BA64" t="s">
        <v>5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0</v>
      </c>
      <c r="BI64">
        <v>0</v>
      </c>
      <c r="BJ64">
        <v>0</v>
      </c>
      <c r="BK64">
        <v>0</v>
      </c>
      <c r="BL64">
        <v>0</v>
      </c>
      <c r="BM64">
        <v>0</v>
      </c>
      <c r="BN64">
        <v>0</v>
      </c>
      <c r="BO64">
        <v>0</v>
      </c>
      <c r="BP64">
        <v>0</v>
      </c>
      <c r="BQ64">
        <v>0</v>
      </c>
      <c r="BR64">
        <v>0</v>
      </c>
      <c r="BS64">
        <v>0</v>
      </c>
      <c r="BT64">
        <v>0</v>
      </c>
      <c r="BU64">
        <v>0</v>
      </c>
      <c r="BV64">
        <v>0</v>
      </c>
      <c r="BW64">
        <v>0</v>
      </c>
      <c r="CX64">
        <f>Y64*Source!I44</f>
        <v>3.7448220000000001</v>
      </c>
      <c r="CY64">
        <f>AA64</f>
        <v>2768.21</v>
      </c>
      <c r="CZ64">
        <f>AE64</f>
        <v>296.7</v>
      </c>
      <c r="DA64">
        <f>AI64</f>
        <v>9.33</v>
      </c>
      <c r="DB64">
        <f t="shared" si="10"/>
        <v>2842.39</v>
      </c>
      <c r="DC64">
        <f t="shared" si="11"/>
        <v>0</v>
      </c>
    </row>
    <row r="65" spans="1:107" x14ac:dyDescent="0.2">
      <c r="A65">
        <f>ROW(Source!A46)</f>
        <v>46</v>
      </c>
      <c r="B65">
        <v>44169784</v>
      </c>
      <c r="C65">
        <v>44170172</v>
      </c>
      <c r="D65">
        <v>34984826</v>
      </c>
      <c r="E65">
        <v>34959076</v>
      </c>
      <c r="F65">
        <v>1</v>
      </c>
      <c r="G65">
        <v>34959076</v>
      </c>
      <c r="H65">
        <v>1</v>
      </c>
      <c r="I65" t="s">
        <v>341</v>
      </c>
      <c r="J65" t="s">
        <v>5</v>
      </c>
      <c r="K65" t="s">
        <v>342</v>
      </c>
      <c r="L65">
        <v>1191</v>
      </c>
      <c r="N65">
        <v>1013</v>
      </c>
      <c r="O65" t="s">
        <v>343</v>
      </c>
      <c r="P65" t="s">
        <v>343</v>
      </c>
      <c r="Q65">
        <v>1</v>
      </c>
      <c r="W65">
        <v>0</v>
      </c>
      <c r="X65">
        <v>476480486</v>
      </c>
      <c r="Y65">
        <v>1.06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1</v>
      </c>
      <c r="AJ65">
        <v>1</v>
      </c>
      <c r="AK65">
        <v>1</v>
      </c>
      <c r="AL65">
        <v>1</v>
      </c>
      <c r="AN65">
        <v>0</v>
      </c>
      <c r="AO65">
        <v>1</v>
      </c>
      <c r="AP65">
        <v>1</v>
      </c>
      <c r="AQ65">
        <v>0</v>
      </c>
      <c r="AR65">
        <v>0</v>
      </c>
      <c r="AS65" t="s">
        <v>5</v>
      </c>
      <c r="AT65">
        <v>0.53</v>
      </c>
      <c r="AU65" t="s">
        <v>99</v>
      </c>
      <c r="AV65">
        <v>1</v>
      </c>
      <c r="AW65">
        <v>2</v>
      </c>
      <c r="AX65">
        <v>44170181</v>
      </c>
      <c r="AY65">
        <v>1</v>
      </c>
      <c r="AZ65">
        <v>0</v>
      </c>
      <c r="BA65">
        <v>65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0</v>
      </c>
      <c r="BI65">
        <v>0</v>
      </c>
      <c r="BJ65">
        <v>0</v>
      </c>
      <c r="BK65">
        <v>0</v>
      </c>
      <c r="BL65">
        <v>0</v>
      </c>
      <c r="BM65">
        <v>0</v>
      </c>
      <c r="BN65">
        <v>0</v>
      </c>
      <c r="BO65">
        <v>0</v>
      </c>
      <c r="BP65">
        <v>0</v>
      </c>
      <c r="BQ65">
        <v>0</v>
      </c>
      <c r="BR65">
        <v>0</v>
      </c>
      <c r="BS65">
        <v>0</v>
      </c>
      <c r="BT65">
        <v>0</v>
      </c>
      <c r="BU65">
        <v>0</v>
      </c>
      <c r="BV65">
        <v>0</v>
      </c>
      <c r="BW65">
        <v>0</v>
      </c>
      <c r="CX65">
        <f>Y65*Source!I46</f>
        <v>0.41435400000000006</v>
      </c>
      <c r="CY65">
        <f>AD65</f>
        <v>0</v>
      </c>
      <c r="CZ65">
        <f>AH65</f>
        <v>0</v>
      </c>
      <c r="DA65">
        <f>AL65</f>
        <v>1</v>
      </c>
      <c r="DB65">
        <f>ROUND((ROUND(AT65*CZ65,2)*2),6)</f>
        <v>0</v>
      </c>
      <c r="DC65">
        <f>ROUND((ROUND(AT65*AG65,2)*2),6)</f>
        <v>0</v>
      </c>
    </row>
    <row r="66" spans="1:107" x14ac:dyDescent="0.2">
      <c r="A66">
        <f>ROW(Source!A46)</f>
        <v>46</v>
      </c>
      <c r="B66">
        <v>44169784</v>
      </c>
      <c r="C66">
        <v>44170172</v>
      </c>
      <c r="D66">
        <v>35064788</v>
      </c>
      <c r="E66">
        <v>1</v>
      </c>
      <c r="F66">
        <v>1</v>
      </c>
      <c r="G66">
        <v>34959076</v>
      </c>
      <c r="H66">
        <v>2</v>
      </c>
      <c r="I66" t="s">
        <v>394</v>
      </c>
      <c r="J66" t="s">
        <v>395</v>
      </c>
      <c r="K66" t="s">
        <v>396</v>
      </c>
      <c r="L66">
        <v>1367</v>
      </c>
      <c r="N66">
        <v>1011</v>
      </c>
      <c r="O66" t="s">
        <v>347</v>
      </c>
      <c r="P66" t="s">
        <v>347</v>
      </c>
      <c r="Q66">
        <v>1</v>
      </c>
      <c r="W66">
        <v>0</v>
      </c>
      <c r="X66">
        <v>1022351366</v>
      </c>
      <c r="Y66">
        <v>0.15</v>
      </c>
      <c r="AA66">
        <v>0</v>
      </c>
      <c r="AB66">
        <v>1108.6300000000001</v>
      </c>
      <c r="AC66">
        <v>430.79</v>
      </c>
      <c r="AD66">
        <v>0</v>
      </c>
      <c r="AE66">
        <v>0</v>
      </c>
      <c r="AF66">
        <v>106.74</v>
      </c>
      <c r="AG66">
        <v>19.2</v>
      </c>
      <c r="AH66">
        <v>0</v>
      </c>
      <c r="AI66">
        <v>1</v>
      </c>
      <c r="AJ66">
        <v>9.92</v>
      </c>
      <c r="AK66">
        <v>21.43</v>
      </c>
      <c r="AL66">
        <v>1</v>
      </c>
      <c r="AN66">
        <v>0</v>
      </c>
      <c r="AO66">
        <v>1</v>
      </c>
      <c r="AP66">
        <v>1</v>
      </c>
      <c r="AQ66">
        <v>0</v>
      </c>
      <c r="AR66">
        <v>0</v>
      </c>
      <c r="AS66" t="s">
        <v>5</v>
      </c>
      <c r="AT66">
        <v>7.4999999999999997E-2</v>
      </c>
      <c r="AU66" t="s">
        <v>99</v>
      </c>
      <c r="AV66">
        <v>0</v>
      </c>
      <c r="AW66">
        <v>2</v>
      </c>
      <c r="AX66">
        <v>44170182</v>
      </c>
      <c r="AY66">
        <v>1</v>
      </c>
      <c r="AZ66">
        <v>0</v>
      </c>
      <c r="BA66">
        <v>66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0</v>
      </c>
      <c r="BI66">
        <v>0</v>
      </c>
      <c r="BJ66">
        <v>0</v>
      </c>
      <c r="BK66">
        <v>0</v>
      </c>
      <c r="BL66">
        <v>0</v>
      </c>
      <c r="BM66">
        <v>0</v>
      </c>
      <c r="BN66">
        <v>0</v>
      </c>
      <c r="BO66">
        <v>0</v>
      </c>
      <c r="BP66">
        <v>0</v>
      </c>
      <c r="BQ66">
        <v>0</v>
      </c>
      <c r="BR66">
        <v>0</v>
      </c>
      <c r="BS66">
        <v>0</v>
      </c>
      <c r="BT66">
        <v>0</v>
      </c>
      <c r="BU66">
        <v>0</v>
      </c>
      <c r="BV66">
        <v>0</v>
      </c>
      <c r="BW66">
        <v>0</v>
      </c>
      <c r="CX66">
        <f>Y66*Source!I46</f>
        <v>5.8635E-2</v>
      </c>
      <c r="CY66">
        <f>AB66</f>
        <v>1108.6300000000001</v>
      </c>
      <c r="CZ66">
        <f>AF66</f>
        <v>106.74</v>
      </c>
      <c r="DA66">
        <f>AJ66</f>
        <v>9.92</v>
      </c>
      <c r="DB66">
        <f>ROUND((ROUND(AT66*CZ66,2)*2),6)</f>
        <v>16.02</v>
      </c>
      <c r="DC66">
        <f>ROUND((ROUND(AT66*AG66,2)*2),6)</f>
        <v>2.88</v>
      </c>
    </row>
    <row r="67" spans="1:107" x14ac:dyDescent="0.2">
      <c r="A67">
        <f>ROW(Source!A46)</f>
        <v>46</v>
      </c>
      <c r="B67">
        <v>44169784</v>
      </c>
      <c r="C67">
        <v>44170172</v>
      </c>
      <c r="D67">
        <v>35064894</v>
      </c>
      <c r="E67">
        <v>1</v>
      </c>
      <c r="F67">
        <v>1</v>
      </c>
      <c r="G67">
        <v>34959076</v>
      </c>
      <c r="H67">
        <v>2</v>
      </c>
      <c r="I67" t="s">
        <v>406</v>
      </c>
      <c r="J67" t="s">
        <v>407</v>
      </c>
      <c r="K67" t="s">
        <v>408</v>
      </c>
      <c r="L67">
        <v>1367</v>
      </c>
      <c r="N67">
        <v>1011</v>
      </c>
      <c r="O67" t="s">
        <v>347</v>
      </c>
      <c r="P67" t="s">
        <v>347</v>
      </c>
      <c r="Q67">
        <v>1</v>
      </c>
      <c r="W67">
        <v>0</v>
      </c>
      <c r="X67">
        <v>-1272456651</v>
      </c>
      <c r="Y67">
        <v>0.15</v>
      </c>
      <c r="AA67">
        <v>0</v>
      </c>
      <c r="AB67">
        <v>1138.8800000000001</v>
      </c>
      <c r="AC67">
        <v>637.22</v>
      </c>
      <c r="AD67">
        <v>0</v>
      </c>
      <c r="AE67">
        <v>0</v>
      </c>
      <c r="AF67">
        <v>124.6</v>
      </c>
      <c r="AG67">
        <v>28.4</v>
      </c>
      <c r="AH67">
        <v>0</v>
      </c>
      <c r="AI67">
        <v>1</v>
      </c>
      <c r="AJ67">
        <v>8.73</v>
      </c>
      <c r="AK67">
        <v>21.43</v>
      </c>
      <c r="AL67">
        <v>1</v>
      </c>
      <c r="AN67">
        <v>0</v>
      </c>
      <c r="AO67">
        <v>1</v>
      </c>
      <c r="AP67">
        <v>1</v>
      </c>
      <c r="AQ67">
        <v>0</v>
      </c>
      <c r="AR67">
        <v>0</v>
      </c>
      <c r="AS67" t="s">
        <v>5</v>
      </c>
      <c r="AT67">
        <v>7.4999999999999997E-2</v>
      </c>
      <c r="AU67" t="s">
        <v>99</v>
      </c>
      <c r="AV67">
        <v>0</v>
      </c>
      <c r="AW67">
        <v>2</v>
      </c>
      <c r="AX67">
        <v>44170183</v>
      </c>
      <c r="AY67">
        <v>1</v>
      </c>
      <c r="AZ67">
        <v>0</v>
      </c>
      <c r="BA67">
        <v>67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0</v>
      </c>
      <c r="BI67">
        <v>0</v>
      </c>
      <c r="BJ67">
        <v>0</v>
      </c>
      <c r="BK67">
        <v>0</v>
      </c>
      <c r="BL67">
        <v>0</v>
      </c>
      <c r="BM67">
        <v>0</v>
      </c>
      <c r="BN67">
        <v>0</v>
      </c>
      <c r="BO67">
        <v>0</v>
      </c>
      <c r="BP67">
        <v>0</v>
      </c>
      <c r="BQ67">
        <v>0</v>
      </c>
      <c r="BR67">
        <v>0</v>
      </c>
      <c r="BS67">
        <v>0</v>
      </c>
      <c r="BT67">
        <v>0</v>
      </c>
      <c r="BU67">
        <v>0</v>
      </c>
      <c r="BV67">
        <v>0</v>
      </c>
      <c r="BW67">
        <v>0</v>
      </c>
      <c r="CX67">
        <f>Y67*Source!I46</f>
        <v>5.8635E-2</v>
      </c>
      <c r="CY67">
        <f>AB67</f>
        <v>1138.8800000000001</v>
      </c>
      <c r="CZ67">
        <f>AF67</f>
        <v>124.6</v>
      </c>
      <c r="DA67">
        <f>AJ67</f>
        <v>8.73</v>
      </c>
      <c r="DB67">
        <f>ROUND((ROUND(AT67*CZ67,2)*2),6)</f>
        <v>18.7</v>
      </c>
      <c r="DC67">
        <f>ROUND((ROUND(AT67*AG67,2)*2),6)</f>
        <v>4.26</v>
      </c>
    </row>
    <row r="68" spans="1:107" x14ac:dyDescent="0.2">
      <c r="A68">
        <f>ROW(Source!A46)</f>
        <v>46</v>
      </c>
      <c r="B68">
        <v>44169784</v>
      </c>
      <c r="C68">
        <v>44170172</v>
      </c>
      <c r="D68">
        <v>35059080</v>
      </c>
      <c r="E68">
        <v>1</v>
      </c>
      <c r="F68">
        <v>1</v>
      </c>
      <c r="G68">
        <v>34959076</v>
      </c>
      <c r="H68">
        <v>3</v>
      </c>
      <c r="I68" t="s">
        <v>85</v>
      </c>
      <c r="J68" t="s">
        <v>88</v>
      </c>
      <c r="K68" t="s">
        <v>86</v>
      </c>
      <c r="L68">
        <v>1348</v>
      </c>
      <c r="N68">
        <v>1009</v>
      </c>
      <c r="O68" t="s">
        <v>87</v>
      </c>
      <c r="P68" t="s">
        <v>87</v>
      </c>
      <c r="Q68">
        <v>1000</v>
      </c>
      <c r="W68">
        <v>0</v>
      </c>
      <c r="X68">
        <v>-2026741202</v>
      </c>
      <c r="Y68">
        <v>4.8</v>
      </c>
      <c r="AA68">
        <v>2768.21</v>
      </c>
      <c r="AB68">
        <v>0</v>
      </c>
      <c r="AC68">
        <v>0</v>
      </c>
      <c r="AD68">
        <v>0</v>
      </c>
      <c r="AE68">
        <v>296.7</v>
      </c>
      <c r="AF68">
        <v>0</v>
      </c>
      <c r="AG68">
        <v>0</v>
      </c>
      <c r="AH68">
        <v>0</v>
      </c>
      <c r="AI68">
        <v>9.33</v>
      </c>
      <c r="AJ68">
        <v>1</v>
      </c>
      <c r="AK68">
        <v>1</v>
      </c>
      <c r="AL68">
        <v>1</v>
      </c>
      <c r="AN68">
        <v>0</v>
      </c>
      <c r="AO68">
        <v>0</v>
      </c>
      <c r="AP68">
        <v>1</v>
      </c>
      <c r="AQ68">
        <v>0</v>
      </c>
      <c r="AR68">
        <v>0</v>
      </c>
      <c r="AS68" t="s">
        <v>5</v>
      </c>
      <c r="AT68">
        <v>2.4</v>
      </c>
      <c r="AU68" t="s">
        <v>99</v>
      </c>
      <c r="AV68">
        <v>0</v>
      </c>
      <c r="AW68">
        <v>1</v>
      </c>
      <c r="AX68">
        <v>-1</v>
      </c>
      <c r="AY68">
        <v>0</v>
      </c>
      <c r="AZ68">
        <v>0</v>
      </c>
      <c r="BA68" t="s">
        <v>5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0</v>
      </c>
      <c r="BI68">
        <v>0</v>
      </c>
      <c r="BJ68">
        <v>0</v>
      </c>
      <c r="BK68">
        <v>0</v>
      </c>
      <c r="BL68">
        <v>0</v>
      </c>
      <c r="BM68">
        <v>0</v>
      </c>
      <c r="BN68">
        <v>0</v>
      </c>
      <c r="BO68">
        <v>0</v>
      </c>
      <c r="BP68">
        <v>0</v>
      </c>
      <c r="BQ68">
        <v>0</v>
      </c>
      <c r="BR68">
        <v>0</v>
      </c>
      <c r="BS68">
        <v>0</v>
      </c>
      <c r="BT68">
        <v>0</v>
      </c>
      <c r="BU68">
        <v>0</v>
      </c>
      <c r="BV68">
        <v>0</v>
      </c>
      <c r="BW68">
        <v>0</v>
      </c>
      <c r="CX68">
        <f>Y68*Source!I46</f>
        <v>1.87632</v>
      </c>
      <c r="CY68">
        <f>AA68</f>
        <v>2768.21</v>
      </c>
      <c r="CZ68">
        <f>AE68</f>
        <v>296.7</v>
      </c>
      <c r="DA68">
        <f>AI68</f>
        <v>9.33</v>
      </c>
      <c r="DB68">
        <f>ROUND((ROUND(AT68*CZ68,2)*2),6)</f>
        <v>1424.16</v>
      </c>
      <c r="DC68">
        <f>ROUND((ROUND(AT68*AG68,2)*2),6)</f>
        <v>0</v>
      </c>
    </row>
    <row r="69" spans="1:107" x14ac:dyDescent="0.2">
      <c r="A69">
        <f>ROW(Source!A48)</f>
        <v>48</v>
      </c>
      <c r="B69">
        <v>44169784</v>
      </c>
      <c r="C69">
        <v>44170186</v>
      </c>
      <c r="D69">
        <v>34984826</v>
      </c>
      <c r="E69">
        <v>34959076</v>
      </c>
      <c r="F69">
        <v>1</v>
      </c>
      <c r="G69">
        <v>34959076</v>
      </c>
      <c r="H69">
        <v>1</v>
      </c>
      <c r="I69" t="s">
        <v>341</v>
      </c>
      <c r="J69" t="s">
        <v>5</v>
      </c>
      <c r="K69" t="s">
        <v>342</v>
      </c>
      <c r="L69">
        <v>1191</v>
      </c>
      <c r="N69">
        <v>1013</v>
      </c>
      <c r="O69" t="s">
        <v>343</v>
      </c>
      <c r="P69" t="s">
        <v>343</v>
      </c>
      <c r="Q69">
        <v>1</v>
      </c>
      <c r="W69">
        <v>0</v>
      </c>
      <c r="X69">
        <v>476480486</v>
      </c>
      <c r="Y69">
        <v>4.29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1</v>
      </c>
      <c r="AJ69">
        <v>1</v>
      </c>
      <c r="AK69">
        <v>1</v>
      </c>
      <c r="AL69">
        <v>1</v>
      </c>
      <c r="AN69">
        <v>0</v>
      </c>
      <c r="AO69">
        <v>1</v>
      </c>
      <c r="AP69">
        <v>1</v>
      </c>
      <c r="AQ69">
        <v>0</v>
      </c>
      <c r="AR69">
        <v>0</v>
      </c>
      <c r="AS69" t="s">
        <v>5</v>
      </c>
      <c r="AT69">
        <v>4.29</v>
      </c>
      <c r="AU69" t="s">
        <v>5</v>
      </c>
      <c r="AV69">
        <v>1</v>
      </c>
      <c r="AW69">
        <v>2</v>
      </c>
      <c r="AX69">
        <v>44170209</v>
      </c>
      <c r="AY69">
        <v>1</v>
      </c>
      <c r="AZ69">
        <v>0</v>
      </c>
      <c r="BA69">
        <v>69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0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0</v>
      </c>
      <c r="BQ69">
        <v>0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0</v>
      </c>
      <c r="CX69">
        <f>Y69*Source!I48</f>
        <v>14.935635</v>
      </c>
      <c r="CY69">
        <f>AD69</f>
        <v>0</v>
      </c>
      <c r="CZ69">
        <f>AH69</f>
        <v>0</v>
      </c>
      <c r="DA69">
        <f>AL69</f>
        <v>1</v>
      </c>
      <c r="DB69">
        <f t="shared" ref="DB69:DB115" si="15">ROUND(ROUND(AT69*CZ69,2),6)</f>
        <v>0</v>
      </c>
      <c r="DC69">
        <f t="shared" ref="DC69:DC115" si="16">ROUND(ROUND(AT69*AG69,2),6)</f>
        <v>0</v>
      </c>
    </row>
    <row r="70" spans="1:107" x14ac:dyDescent="0.2">
      <c r="A70">
        <f>ROW(Source!A48)</f>
        <v>48</v>
      </c>
      <c r="B70">
        <v>44169784</v>
      </c>
      <c r="C70">
        <v>44170186</v>
      </c>
      <c r="D70">
        <v>35065073</v>
      </c>
      <c r="E70">
        <v>1</v>
      </c>
      <c r="F70">
        <v>1</v>
      </c>
      <c r="G70">
        <v>34959076</v>
      </c>
      <c r="H70">
        <v>2</v>
      </c>
      <c r="I70" t="s">
        <v>344</v>
      </c>
      <c r="J70" t="s">
        <v>345</v>
      </c>
      <c r="K70" t="s">
        <v>346</v>
      </c>
      <c r="L70">
        <v>1367</v>
      </c>
      <c r="N70">
        <v>1011</v>
      </c>
      <c r="O70" t="s">
        <v>347</v>
      </c>
      <c r="P70" t="s">
        <v>347</v>
      </c>
      <c r="Q70">
        <v>1</v>
      </c>
      <c r="W70">
        <v>0</v>
      </c>
      <c r="X70">
        <v>-1426791</v>
      </c>
      <c r="Y70">
        <v>0.3</v>
      </c>
      <c r="AA70">
        <v>0</v>
      </c>
      <c r="AB70">
        <v>701.8</v>
      </c>
      <c r="AC70">
        <v>414.64</v>
      </c>
      <c r="AD70">
        <v>0</v>
      </c>
      <c r="AE70">
        <v>0</v>
      </c>
      <c r="AF70">
        <v>60.77</v>
      </c>
      <c r="AG70">
        <v>18.48</v>
      </c>
      <c r="AH70">
        <v>0</v>
      </c>
      <c r="AI70">
        <v>1</v>
      </c>
      <c r="AJ70">
        <v>11.03</v>
      </c>
      <c r="AK70">
        <v>21.43</v>
      </c>
      <c r="AL70">
        <v>1</v>
      </c>
      <c r="AN70">
        <v>0</v>
      </c>
      <c r="AO70">
        <v>1</v>
      </c>
      <c r="AP70">
        <v>1</v>
      </c>
      <c r="AQ70">
        <v>0</v>
      </c>
      <c r="AR70">
        <v>0</v>
      </c>
      <c r="AS70" t="s">
        <v>5</v>
      </c>
      <c r="AT70">
        <v>0.3</v>
      </c>
      <c r="AU70" t="s">
        <v>5</v>
      </c>
      <c r="AV70">
        <v>0</v>
      </c>
      <c r="AW70">
        <v>2</v>
      </c>
      <c r="AX70">
        <v>44170210</v>
      </c>
      <c r="AY70">
        <v>1</v>
      </c>
      <c r="AZ70">
        <v>0</v>
      </c>
      <c r="BA70">
        <v>70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0</v>
      </c>
      <c r="BQ70">
        <v>0</v>
      </c>
      <c r="BR70">
        <v>0</v>
      </c>
      <c r="BS70">
        <v>0</v>
      </c>
      <c r="BT70">
        <v>0</v>
      </c>
      <c r="BU70">
        <v>0</v>
      </c>
      <c r="BV70">
        <v>0</v>
      </c>
      <c r="BW70">
        <v>0</v>
      </c>
      <c r="CX70">
        <f>Y70*Source!I48</f>
        <v>1.0444499999999999</v>
      </c>
      <c r="CY70">
        <f t="shared" ref="CY70:CY77" si="17">AB70</f>
        <v>701.8</v>
      </c>
      <c r="CZ70">
        <f t="shared" ref="CZ70:CZ77" si="18">AF70</f>
        <v>60.77</v>
      </c>
      <c r="DA70">
        <f t="shared" ref="DA70:DA77" si="19">AJ70</f>
        <v>11.03</v>
      </c>
      <c r="DB70">
        <f t="shared" si="15"/>
        <v>18.23</v>
      </c>
      <c r="DC70">
        <f t="shared" si="16"/>
        <v>5.54</v>
      </c>
    </row>
    <row r="71" spans="1:107" x14ac:dyDescent="0.2">
      <c r="A71">
        <f>ROW(Source!A48)</f>
        <v>48</v>
      </c>
      <c r="B71">
        <v>44169784</v>
      </c>
      <c r="C71">
        <v>44170186</v>
      </c>
      <c r="D71">
        <v>35064788</v>
      </c>
      <c r="E71">
        <v>1</v>
      </c>
      <c r="F71">
        <v>1</v>
      </c>
      <c r="G71">
        <v>34959076</v>
      </c>
      <c r="H71">
        <v>2</v>
      </c>
      <c r="I71" t="s">
        <v>394</v>
      </c>
      <c r="J71" t="s">
        <v>395</v>
      </c>
      <c r="K71" t="s">
        <v>396</v>
      </c>
      <c r="L71">
        <v>1367</v>
      </c>
      <c r="N71">
        <v>1011</v>
      </c>
      <c r="O71" t="s">
        <v>347</v>
      </c>
      <c r="P71" t="s">
        <v>347</v>
      </c>
      <c r="Q71">
        <v>1</v>
      </c>
      <c r="W71">
        <v>0</v>
      </c>
      <c r="X71">
        <v>1022351366</v>
      </c>
      <c r="Y71">
        <v>0.3</v>
      </c>
      <c r="AA71">
        <v>0</v>
      </c>
      <c r="AB71">
        <v>1108.6300000000001</v>
      </c>
      <c r="AC71">
        <v>430.79</v>
      </c>
      <c r="AD71">
        <v>0</v>
      </c>
      <c r="AE71">
        <v>0</v>
      </c>
      <c r="AF71">
        <v>106.74</v>
      </c>
      <c r="AG71">
        <v>19.2</v>
      </c>
      <c r="AH71">
        <v>0</v>
      </c>
      <c r="AI71">
        <v>1</v>
      </c>
      <c r="AJ71">
        <v>9.92</v>
      </c>
      <c r="AK71">
        <v>21.43</v>
      </c>
      <c r="AL71">
        <v>1</v>
      </c>
      <c r="AN71">
        <v>0</v>
      </c>
      <c r="AO71">
        <v>1</v>
      </c>
      <c r="AP71">
        <v>1</v>
      </c>
      <c r="AQ71">
        <v>0</v>
      </c>
      <c r="AR71">
        <v>0</v>
      </c>
      <c r="AS71" t="s">
        <v>5</v>
      </c>
      <c r="AT71">
        <v>0.3</v>
      </c>
      <c r="AU71" t="s">
        <v>5</v>
      </c>
      <c r="AV71">
        <v>0</v>
      </c>
      <c r="AW71">
        <v>2</v>
      </c>
      <c r="AX71">
        <v>44170211</v>
      </c>
      <c r="AY71">
        <v>1</v>
      </c>
      <c r="AZ71">
        <v>0</v>
      </c>
      <c r="BA71">
        <v>71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0</v>
      </c>
      <c r="BI71">
        <v>0</v>
      </c>
      <c r="BJ71">
        <v>0</v>
      </c>
      <c r="BK71">
        <v>0</v>
      </c>
      <c r="BL71">
        <v>0</v>
      </c>
      <c r="BM71">
        <v>0</v>
      </c>
      <c r="BN71">
        <v>0</v>
      </c>
      <c r="BO71">
        <v>0</v>
      </c>
      <c r="BP71">
        <v>0</v>
      </c>
      <c r="BQ71">
        <v>0</v>
      </c>
      <c r="BR71">
        <v>0</v>
      </c>
      <c r="BS71">
        <v>0</v>
      </c>
      <c r="BT71">
        <v>0</v>
      </c>
      <c r="BU71">
        <v>0</v>
      </c>
      <c r="BV71">
        <v>0</v>
      </c>
      <c r="BW71">
        <v>0</v>
      </c>
      <c r="CX71">
        <f>Y71*Source!I48</f>
        <v>1.0444499999999999</v>
      </c>
      <c r="CY71">
        <f t="shared" si="17"/>
        <v>1108.6300000000001</v>
      </c>
      <c r="CZ71">
        <f t="shared" si="18"/>
        <v>106.74</v>
      </c>
      <c r="DA71">
        <f t="shared" si="19"/>
        <v>9.92</v>
      </c>
      <c r="DB71">
        <f t="shared" si="15"/>
        <v>32.020000000000003</v>
      </c>
      <c r="DC71">
        <f t="shared" si="16"/>
        <v>5.76</v>
      </c>
    </row>
    <row r="72" spans="1:107" x14ac:dyDescent="0.2">
      <c r="A72">
        <f>ROW(Source!A48)</f>
        <v>48</v>
      </c>
      <c r="B72">
        <v>44169784</v>
      </c>
      <c r="C72">
        <v>44170186</v>
      </c>
      <c r="D72">
        <v>35064877</v>
      </c>
      <c r="E72">
        <v>1</v>
      </c>
      <c r="F72">
        <v>1</v>
      </c>
      <c r="G72">
        <v>34959076</v>
      </c>
      <c r="H72">
        <v>2</v>
      </c>
      <c r="I72" t="s">
        <v>397</v>
      </c>
      <c r="J72" t="s">
        <v>398</v>
      </c>
      <c r="K72" t="s">
        <v>399</v>
      </c>
      <c r="L72">
        <v>1367</v>
      </c>
      <c r="N72">
        <v>1011</v>
      </c>
      <c r="O72" t="s">
        <v>347</v>
      </c>
      <c r="P72" t="s">
        <v>347</v>
      </c>
      <c r="Q72">
        <v>1</v>
      </c>
      <c r="W72">
        <v>0</v>
      </c>
      <c r="X72">
        <v>1778166765</v>
      </c>
      <c r="Y72">
        <v>0.3</v>
      </c>
      <c r="AA72">
        <v>0</v>
      </c>
      <c r="AB72">
        <v>1084.98</v>
      </c>
      <c r="AC72">
        <v>641.92999999999995</v>
      </c>
      <c r="AD72">
        <v>0</v>
      </c>
      <c r="AE72">
        <v>0</v>
      </c>
      <c r="AF72">
        <v>148.88999999999999</v>
      </c>
      <c r="AG72">
        <v>28.61</v>
      </c>
      <c r="AH72">
        <v>0</v>
      </c>
      <c r="AI72">
        <v>1</v>
      </c>
      <c r="AJ72">
        <v>6.96</v>
      </c>
      <c r="AK72">
        <v>21.43</v>
      </c>
      <c r="AL72">
        <v>1</v>
      </c>
      <c r="AN72">
        <v>0</v>
      </c>
      <c r="AO72">
        <v>1</v>
      </c>
      <c r="AP72">
        <v>1</v>
      </c>
      <c r="AQ72">
        <v>0</v>
      </c>
      <c r="AR72">
        <v>0</v>
      </c>
      <c r="AS72" t="s">
        <v>5</v>
      </c>
      <c r="AT72">
        <v>0.3</v>
      </c>
      <c r="AU72" t="s">
        <v>5</v>
      </c>
      <c r="AV72">
        <v>0</v>
      </c>
      <c r="AW72">
        <v>2</v>
      </c>
      <c r="AX72">
        <v>44170212</v>
      </c>
      <c r="AY72">
        <v>1</v>
      </c>
      <c r="AZ72">
        <v>0</v>
      </c>
      <c r="BA72">
        <v>72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0</v>
      </c>
      <c r="BI72">
        <v>0</v>
      </c>
      <c r="BJ72">
        <v>0</v>
      </c>
      <c r="BK72">
        <v>0</v>
      </c>
      <c r="BL72">
        <v>0</v>
      </c>
      <c r="BM72">
        <v>0</v>
      </c>
      <c r="BN72">
        <v>0</v>
      </c>
      <c r="BO72">
        <v>0</v>
      </c>
      <c r="BP72">
        <v>0</v>
      </c>
      <c r="BQ72">
        <v>0</v>
      </c>
      <c r="BR72">
        <v>0</v>
      </c>
      <c r="BS72">
        <v>0</v>
      </c>
      <c r="BT72">
        <v>0</v>
      </c>
      <c r="BU72">
        <v>0</v>
      </c>
      <c r="BV72">
        <v>0</v>
      </c>
      <c r="BW72">
        <v>0</v>
      </c>
      <c r="CX72">
        <f>Y72*Source!I48</f>
        <v>1.0444499999999999</v>
      </c>
      <c r="CY72">
        <f t="shared" si="17"/>
        <v>1084.98</v>
      </c>
      <c r="CZ72">
        <f t="shared" si="18"/>
        <v>148.88999999999999</v>
      </c>
      <c r="DA72">
        <f t="shared" si="19"/>
        <v>6.96</v>
      </c>
      <c r="DB72">
        <f t="shared" si="15"/>
        <v>44.67</v>
      </c>
      <c r="DC72">
        <f t="shared" si="16"/>
        <v>8.58</v>
      </c>
    </row>
    <row r="73" spans="1:107" x14ac:dyDescent="0.2">
      <c r="A73">
        <f>ROW(Source!A48)</f>
        <v>48</v>
      </c>
      <c r="B73">
        <v>44169784</v>
      </c>
      <c r="C73">
        <v>44170186</v>
      </c>
      <c r="D73">
        <v>35064879</v>
      </c>
      <c r="E73">
        <v>1</v>
      </c>
      <c r="F73">
        <v>1</v>
      </c>
      <c r="G73">
        <v>34959076</v>
      </c>
      <c r="H73">
        <v>2</v>
      </c>
      <c r="I73" t="s">
        <v>400</v>
      </c>
      <c r="J73" t="s">
        <v>401</v>
      </c>
      <c r="K73" t="s">
        <v>402</v>
      </c>
      <c r="L73">
        <v>1367</v>
      </c>
      <c r="N73">
        <v>1011</v>
      </c>
      <c r="O73" t="s">
        <v>347</v>
      </c>
      <c r="P73" t="s">
        <v>347</v>
      </c>
      <c r="Q73">
        <v>1</v>
      </c>
      <c r="W73">
        <v>0</v>
      </c>
      <c r="X73">
        <v>1341797380</v>
      </c>
      <c r="Y73">
        <v>0.3</v>
      </c>
      <c r="AA73">
        <v>0</v>
      </c>
      <c r="AB73">
        <v>3012.93</v>
      </c>
      <c r="AC73">
        <v>961.43</v>
      </c>
      <c r="AD73">
        <v>0</v>
      </c>
      <c r="AE73">
        <v>0</v>
      </c>
      <c r="AF73">
        <v>249.15</v>
      </c>
      <c r="AG73">
        <v>42.85</v>
      </c>
      <c r="AH73">
        <v>0</v>
      </c>
      <c r="AI73">
        <v>1</v>
      </c>
      <c r="AJ73">
        <v>11.55</v>
      </c>
      <c r="AK73">
        <v>21.43</v>
      </c>
      <c r="AL73">
        <v>1</v>
      </c>
      <c r="AN73">
        <v>0</v>
      </c>
      <c r="AO73">
        <v>1</v>
      </c>
      <c r="AP73">
        <v>1</v>
      </c>
      <c r="AQ73">
        <v>0</v>
      </c>
      <c r="AR73">
        <v>0</v>
      </c>
      <c r="AS73" t="s">
        <v>5</v>
      </c>
      <c r="AT73">
        <v>0.3</v>
      </c>
      <c r="AU73" t="s">
        <v>5</v>
      </c>
      <c r="AV73">
        <v>0</v>
      </c>
      <c r="AW73">
        <v>2</v>
      </c>
      <c r="AX73">
        <v>44170213</v>
      </c>
      <c r="AY73">
        <v>1</v>
      </c>
      <c r="AZ73">
        <v>0</v>
      </c>
      <c r="BA73">
        <v>73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0</v>
      </c>
      <c r="BI73">
        <v>0</v>
      </c>
      <c r="BJ73">
        <v>0</v>
      </c>
      <c r="BK73">
        <v>0</v>
      </c>
      <c r="BL73">
        <v>0</v>
      </c>
      <c r="BM73">
        <v>0</v>
      </c>
      <c r="BN73">
        <v>0</v>
      </c>
      <c r="BO73">
        <v>0</v>
      </c>
      <c r="BP73">
        <v>0</v>
      </c>
      <c r="BQ73">
        <v>0</v>
      </c>
      <c r="BR73">
        <v>0</v>
      </c>
      <c r="BS73">
        <v>0</v>
      </c>
      <c r="BT73">
        <v>0</v>
      </c>
      <c r="BU73">
        <v>0</v>
      </c>
      <c r="BV73">
        <v>0</v>
      </c>
      <c r="BW73">
        <v>0</v>
      </c>
      <c r="CX73">
        <f>Y73*Source!I48</f>
        <v>1.0444499999999999</v>
      </c>
      <c r="CY73">
        <f t="shared" si="17"/>
        <v>3012.93</v>
      </c>
      <c r="CZ73">
        <f t="shared" si="18"/>
        <v>249.15</v>
      </c>
      <c r="DA73">
        <f t="shared" si="19"/>
        <v>11.55</v>
      </c>
      <c r="DB73">
        <f t="shared" si="15"/>
        <v>74.75</v>
      </c>
      <c r="DC73">
        <f t="shared" si="16"/>
        <v>12.86</v>
      </c>
    </row>
    <row r="74" spans="1:107" x14ac:dyDescent="0.2">
      <c r="A74">
        <f>ROW(Source!A48)</f>
        <v>48</v>
      </c>
      <c r="B74">
        <v>44169784</v>
      </c>
      <c r="C74">
        <v>44170186</v>
      </c>
      <c r="D74">
        <v>35064863</v>
      </c>
      <c r="E74">
        <v>1</v>
      </c>
      <c r="F74">
        <v>1</v>
      </c>
      <c r="G74">
        <v>34959076</v>
      </c>
      <c r="H74">
        <v>2</v>
      </c>
      <c r="I74" t="s">
        <v>403</v>
      </c>
      <c r="J74" t="s">
        <v>404</v>
      </c>
      <c r="K74" t="s">
        <v>405</v>
      </c>
      <c r="L74">
        <v>1367</v>
      </c>
      <c r="N74">
        <v>1011</v>
      </c>
      <c r="O74" t="s">
        <v>347</v>
      </c>
      <c r="P74" t="s">
        <v>347</v>
      </c>
      <c r="Q74">
        <v>1</v>
      </c>
      <c r="W74">
        <v>0</v>
      </c>
      <c r="X74">
        <v>-251987950</v>
      </c>
      <c r="Y74">
        <v>0.3</v>
      </c>
      <c r="AA74">
        <v>0</v>
      </c>
      <c r="AB74">
        <v>1173.1300000000001</v>
      </c>
      <c r="AC74">
        <v>512.69000000000005</v>
      </c>
      <c r="AD74">
        <v>0</v>
      </c>
      <c r="AE74">
        <v>0</v>
      </c>
      <c r="AF74">
        <v>84.82</v>
      </c>
      <c r="AG74">
        <v>22.85</v>
      </c>
      <c r="AH74">
        <v>0</v>
      </c>
      <c r="AI74">
        <v>1</v>
      </c>
      <c r="AJ74">
        <v>13.21</v>
      </c>
      <c r="AK74">
        <v>21.43</v>
      </c>
      <c r="AL74">
        <v>1</v>
      </c>
      <c r="AN74">
        <v>0</v>
      </c>
      <c r="AO74">
        <v>1</v>
      </c>
      <c r="AP74">
        <v>1</v>
      </c>
      <c r="AQ74">
        <v>0</v>
      </c>
      <c r="AR74">
        <v>0</v>
      </c>
      <c r="AS74" t="s">
        <v>5</v>
      </c>
      <c r="AT74">
        <v>0.3</v>
      </c>
      <c r="AU74" t="s">
        <v>5</v>
      </c>
      <c r="AV74">
        <v>0</v>
      </c>
      <c r="AW74">
        <v>2</v>
      </c>
      <c r="AX74">
        <v>44170214</v>
      </c>
      <c r="AY74">
        <v>1</v>
      </c>
      <c r="AZ74">
        <v>0</v>
      </c>
      <c r="BA74">
        <v>74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0</v>
      </c>
      <c r="BI74">
        <v>0</v>
      </c>
      <c r="BJ74">
        <v>0</v>
      </c>
      <c r="BK74">
        <v>0</v>
      </c>
      <c r="BL74">
        <v>0</v>
      </c>
      <c r="BM74">
        <v>0</v>
      </c>
      <c r="BN74">
        <v>0</v>
      </c>
      <c r="BO74">
        <v>0</v>
      </c>
      <c r="BP74">
        <v>0</v>
      </c>
      <c r="BQ74">
        <v>0</v>
      </c>
      <c r="BR74">
        <v>0</v>
      </c>
      <c r="BS74">
        <v>0</v>
      </c>
      <c r="BT74">
        <v>0</v>
      </c>
      <c r="BU74">
        <v>0</v>
      </c>
      <c r="BV74">
        <v>0</v>
      </c>
      <c r="BW74">
        <v>0</v>
      </c>
      <c r="CX74">
        <f>Y74*Source!I48</f>
        <v>1.0444499999999999</v>
      </c>
      <c r="CY74">
        <f t="shared" si="17"/>
        <v>1173.1300000000001</v>
      </c>
      <c r="CZ74">
        <f t="shared" si="18"/>
        <v>84.82</v>
      </c>
      <c r="DA74">
        <f t="shared" si="19"/>
        <v>13.21</v>
      </c>
      <c r="DB74">
        <f t="shared" si="15"/>
        <v>25.45</v>
      </c>
      <c r="DC74">
        <f t="shared" si="16"/>
        <v>6.86</v>
      </c>
    </row>
    <row r="75" spans="1:107" x14ac:dyDescent="0.2">
      <c r="A75">
        <f>ROW(Source!A48)</f>
        <v>48</v>
      </c>
      <c r="B75">
        <v>44169784</v>
      </c>
      <c r="C75">
        <v>44170186</v>
      </c>
      <c r="D75">
        <v>35064894</v>
      </c>
      <c r="E75">
        <v>1</v>
      </c>
      <c r="F75">
        <v>1</v>
      </c>
      <c r="G75">
        <v>34959076</v>
      </c>
      <c r="H75">
        <v>2</v>
      </c>
      <c r="I75" t="s">
        <v>406</v>
      </c>
      <c r="J75" t="s">
        <v>407</v>
      </c>
      <c r="K75" t="s">
        <v>408</v>
      </c>
      <c r="L75">
        <v>1367</v>
      </c>
      <c r="N75">
        <v>1011</v>
      </c>
      <c r="O75" t="s">
        <v>347</v>
      </c>
      <c r="P75" t="s">
        <v>347</v>
      </c>
      <c r="Q75">
        <v>1</v>
      </c>
      <c r="W75">
        <v>0</v>
      </c>
      <c r="X75">
        <v>-1272456651</v>
      </c>
      <c r="Y75">
        <v>0.3</v>
      </c>
      <c r="AA75">
        <v>0</v>
      </c>
      <c r="AB75">
        <v>1138.8800000000001</v>
      </c>
      <c r="AC75">
        <v>637.22</v>
      </c>
      <c r="AD75">
        <v>0</v>
      </c>
      <c r="AE75">
        <v>0</v>
      </c>
      <c r="AF75">
        <v>124.6</v>
      </c>
      <c r="AG75">
        <v>28.4</v>
      </c>
      <c r="AH75">
        <v>0</v>
      </c>
      <c r="AI75">
        <v>1</v>
      </c>
      <c r="AJ75">
        <v>8.73</v>
      </c>
      <c r="AK75">
        <v>21.43</v>
      </c>
      <c r="AL75">
        <v>1</v>
      </c>
      <c r="AN75">
        <v>0</v>
      </c>
      <c r="AO75">
        <v>1</v>
      </c>
      <c r="AP75">
        <v>1</v>
      </c>
      <c r="AQ75">
        <v>0</v>
      </c>
      <c r="AR75">
        <v>0</v>
      </c>
      <c r="AS75" t="s">
        <v>5</v>
      </c>
      <c r="AT75">
        <v>0.3</v>
      </c>
      <c r="AU75" t="s">
        <v>5</v>
      </c>
      <c r="AV75">
        <v>0</v>
      </c>
      <c r="AW75">
        <v>2</v>
      </c>
      <c r="AX75">
        <v>44170215</v>
      </c>
      <c r="AY75">
        <v>1</v>
      </c>
      <c r="AZ75">
        <v>0</v>
      </c>
      <c r="BA75">
        <v>75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0</v>
      </c>
      <c r="BI75">
        <v>0</v>
      </c>
      <c r="BJ75">
        <v>0</v>
      </c>
      <c r="BK75">
        <v>0</v>
      </c>
      <c r="BL75">
        <v>0</v>
      </c>
      <c r="BM75">
        <v>0</v>
      </c>
      <c r="BN75">
        <v>0</v>
      </c>
      <c r="BO75">
        <v>0</v>
      </c>
      <c r="BP75">
        <v>0</v>
      </c>
      <c r="BQ75">
        <v>0</v>
      </c>
      <c r="BR75">
        <v>0</v>
      </c>
      <c r="BS75">
        <v>0</v>
      </c>
      <c r="BT75">
        <v>0</v>
      </c>
      <c r="BU75">
        <v>0</v>
      </c>
      <c r="BV75">
        <v>0</v>
      </c>
      <c r="BW75">
        <v>0</v>
      </c>
      <c r="CX75">
        <f>Y75*Source!I48</f>
        <v>1.0444499999999999</v>
      </c>
      <c r="CY75">
        <f t="shared" si="17"/>
        <v>1138.8800000000001</v>
      </c>
      <c r="CZ75">
        <f t="shared" si="18"/>
        <v>124.6</v>
      </c>
      <c r="DA75">
        <f t="shared" si="19"/>
        <v>8.73</v>
      </c>
      <c r="DB75">
        <f t="shared" si="15"/>
        <v>37.380000000000003</v>
      </c>
      <c r="DC75">
        <f t="shared" si="16"/>
        <v>8.52</v>
      </c>
    </row>
    <row r="76" spans="1:107" x14ac:dyDescent="0.2">
      <c r="A76">
        <f>ROW(Source!A48)</f>
        <v>48</v>
      </c>
      <c r="B76">
        <v>44169784</v>
      </c>
      <c r="C76">
        <v>44170186</v>
      </c>
      <c r="D76">
        <v>35064867</v>
      </c>
      <c r="E76">
        <v>1</v>
      </c>
      <c r="F76">
        <v>1</v>
      </c>
      <c r="G76">
        <v>34959076</v>
      </c>
      <c r="H76">
        <v>2</v>
      </c>
      <c r="I76" t="s">
        <v>409</v>
      </c>
      <c r="J76" t="s">
        <v>410</v>
      </c>
      <c r="K76" t="s">
        <v>411</v>
      </c>
      <c r="L76">
        <v>1367</v>
      </c>
      <c r="N76">
        <v>1011</v>
      </c>
      <c r="O76" t="s">
        <v>347</v>
      </c>
      <c r="P76" t="s">
        <v>347</v>
      </c>
      <c r="Q76">
        <v>1</v>
      </c>
      <c r="W76">
        <v>0</v>
      </c>
      <c r="X76">
        <v>1933621517</v>
      </c>
      <c r="Y76">
        <v>0.3</v>
      </c>
      <c r="AA76">
        <v>0</v>
      </c>
      <c r="AB76">
        <v>1248.56</v>
      </c>
      <c r="AC76">
        <v>520.09</v>
      </c>
      <c r="AD76">
        <v>0</v>
      </c>
      <c r="AE76">
        <v>0</v>
      </c>
      <c r="AF76">
        <v>88.4</v>
      </c>
      <c r="AG76">
        <v>23.18</v>
      </c>
      <c r="AH76">
        <v>0</v>
      </c>
      <c r="AI76">
        <v>1</v>
      </c>
      <c r="AJ76">
        <v>13.49</v>
      </c>
      <c r="AK76">
        <v>21.43</v>
      </c>
      <c r="AL76">
        <v>1</v>
      </c>
      <c r="AN76">
        <v>0</v>
      </c>
      <c r="AO76">
        <v>1</v>
      </c>
      <c r="AP76">
        <v>1</v>
      </c>
      <c r="AQ76">
        <v>0</v>
      </c>
      <c r="AR76">
        <v>0</v>
      </c>
      <c r="AS76" t="s">
        <v>5</v>
      </c>
      <c r="AT76">
        <v>0.3</v>
      </c>
      <c r="AU76" t="s">
        <v>5</v>
      </c>
      <c r="AV76">
        <v>0</v>
      </c>
      <c r="AW76">
        <v>2</v>
      </c>
      <c r="AX76">
        <v>44170216</v>
      </c>
      <c r="AY76">
        <v>1</v>
      </c>
      <c r="AZ76">
        <v>0</v>
      </c>
      <c r="BA76">
        <v>76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0</v>
      </c>
      <c r="BI76">
        <v>0</v>
      </c>
      <c r="BJ76">
        <v>0</v>
      </c>
      <c r="BK76">
        <v>0</v>
      </c>
      <c r="BL76">
        <v>0</v>
      </c>
      <c r="BM76">
        <v>0</v>
      </c>
      <c r="BN76">
        <v>0</v>
      </c>
      <c r="BO76">
        <v>0</v>
      </c>
      <c r="BP76">
        <v>0</v>
      </c>
      <c r="BQ76">
        <v>0</v>
      </c>
      <c r="BR76">
        <v>0</v>
      </c>
      <c r="BS76">
        <v>0</v>
      </c>
      <c r="BT76">
        <v>0</v>
      </c>
      <c r="BU76">
        <v>0</v>
      </c>
      <c r="BV76">
        <v>0</v>
      </c>
      <c r="BW76">
        <v>0</v>
      </c>
      <c r="CX76">
        <f>Y76*Source!I48</f>
        <v>1.0444499999999999</v>
      </c>
      <c r="CY76">
        <f t="shared" si="17"/>
        <v>1248.56</v>
      </c>
      <c r="CZ76">
        <f t="shared" si="18"/>
        <v>88.4</v>
      </c>
      <c r="DA76">
        <f t="shared" si="19"/>
        <v>13.49</v>
      </c>
      <c r="DB76">
        <f t="shared" si="15"/>
        <v>26.52</v>
      </c>
      <c r="DC76">
        <f t="shared" si="16"/>
        <v>6.95</v>
      </c>
    </row>
    <row r="77" spans="1:107" x14ac:dyDescent="0.2">
      <c r="A77">
        <f>ROW(Source!A48)</f>
        <v>48</v>
      </c>
      <c r="B77">
        <v>44169784</v>
      </c>
      <c r="C77">
        <v>44170186</v>
      </c>
      <c r="D77">
        <v>35064868</v>
      </c>
      <c r="E77">
        <v>1</v>
      </c>
      <c r="F77">
        <v>1</v>
      </c>
      <c r="G77">
        <v>34959076</v>
      </c>
      <c r="H77">
        <v>2</v>
      </c>
      <c r="I77" t="s">
        <v>375</v>
      </c>
      <c r="J77" t="s">
        <v>376</v>
      </c>
      <c r="K77" t="s">
        <v>377</v>
      </c>
      <c r="L77">
        <v>1367</v>
      </c>
      <c r="N77">
        <v>1011</v>
      </c>
      <c r="O77" t="s">
        <v>347</v>
      </c>
      <c r="P77" t="s">
        <v>347</v>
      </c>
      <c r="Q77">
        <v>1</v>
      </c>
      <c r="W77">
        <v>0</v>
      </c>
      <c r="X77">
        <v>2023875219</v>
      </c>
      <c r="Y77">
        <v>0.9</v>
      </c>
      <c r="AA77">
        <v>0</v>
      </c>
      <c r="AB77">
        <v>1895.56</v>
      </c>
      <c r="AC77">
        <v>527.27</v>
      </c>
      <c r="AD77">
        <v>0</v>
      </c>
      <c r="AE77">
        <v>0</v>
      </c>
      <c r="AF77">
        <v>178.02</v>
      </c>
      <c r="AG77">
        <v>23.5</v>
      </c>
      <c r="AH77">
        <v>0</v>
      </c>
      <c r="AI77">
        <v>1</v>
      </c>
      <c r="AJ77">
        <v>10.17</v>
      </c>
      <c r="AK77">
        <v>21.43</v>
      </c>
      <c r="AL77">
        <v>1</v>
      </c>
      <c r="AN77">
        <v>0</v>
      </c>
      <c r="AO77">
        <v>1</v>
      </c>
      <c r="AP77">
        <v>1</v>
      </c>
      <c r="AQ77">
        <v>0</v>
      </c>
      <c r="AR77">
        <v>0</v>
      </c>
      <c r="AS77" t="s">
        <v>5</v>
      </c>
      <c r="AT77">
        <v>0.9</v>
      </c>
      <c r="AU77" t="s">
        <v>5</v>
      </c>
      <c r="AV77">
        <v>0</v>
      </c>
      <c r="AW77">
        <v>2</v>
      </c>
      <c r="AX77">
        <v>44170217</v>
      </c>
      <c r="AY77">
        <v>1</v>
      </c>
      <c r="AZ77">
        <v>0</v>
      </c>
      <c r="BA77">
        <v>77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0</v>
      </c>
      <c r="BI77">
        <v>0</v>
      </c>
      <c r="BJ77">
        <v>0</v>
      </c>
      <c r="BK77">
        <v>0</v>
      </c>
      <c r="BL77">
        <v>0</v>
      </c>
      <c r="BM77">
        <v>0</v>
      </c>
      <c r="BN77">
        <v>0</v>
      </c>
      <c r="BO77">
        <v>0</v>
      </c>
      <c r="BP77">
        <v>0</v>
      </c>
      <c r="BQ77">
        <v>0</v>
      </c>
      <c r="BR77">
        <v>0</v>
      </c>
      <c r="BS77">
        <v>0</v>
      </c>
      <c r="BT77">
        <v>0</v>
      </c>
      <c r="BU77">
        <v>0</v>
      </c>
      <c r="BV77">
        <v>0</v>
      </c>
      <c r="BW77">
        <v>0</v>
      </c>
      <c r="CX77">
        <f>Y77*Source!I48</f>
        <v>3.1333500000000001</v>
      </c>
      <c r="CY77">
        <f t="shared" si="17"/>
        <v>1895.56</v>
      </c>
      <c r="CZ77">
        <f t="shared" si="18"/>
        <v>178.02</v>
      </c>
      <c r="DA77">
        <f t="shared" si="19"/>
        <v>10.17</v>
      </c>
      <c r="DB77">
        <f t="shared" si="15"/>
        <v>160.22</v>
      </c>
      <c r="DC77">
        <f t="shared" si="16"/>
        <v>21.15</v>
      </c>
    </row>
    <row r="78" spans="1:107" x14ac:dyDescent="0.2">
      <c r="A78">
        <f>ROW(Source!A48)</f>
        <v>48</v>
      </c>
      <c r="B78">
        <v>44169784</v>
      </c>
      <c r="C78">
        <v>44170186</v>
      </c>
      <c r="D78">
        <v>0</v>
      </c>
      <c r="E78">
        <v>1</v>
      </c>
      <c r="F78">
        <v>1</v>
      </c>
      <c r="G78">
        <v>34959076</v>
      </c>
      <c r="H78">
        <v>3</v>
      </c>
      <c r="I78" t="s">
        <v>412</v>
      </c>
      <c r="J78" t="s">
        <v>413</v>
      </c>
      <c r="K78" t="s">
        <v>414</v>
      </c>
      <c r="L78">
        <v>1348</v>
      </c>
      <c r="N78">
        <v>1009</v>
      </c>
      <c r="O78" t="s">
        <v>87</v>
      </c>
      <c r="P78" t="s">
        <v>87</v>
      </c>
      <c r="Q78">
        <v>1000</v>
      </c>
      <c r="W78">
        <v>0</v>
      </c>
      <c r="X78">
        <v>-1274242938</v>
      </c>
      <c r="Y78">
        <v>0.04</v>
      </c>
      <c r="AA78">
        <v>1445.87</v>
      </c>
      <c r="AB78">
        <v>0</v>
      </c>
      <c r="AC78">
        <v>0</v>
      </c>
      <c r="AD78">
        <v>0</v>
      </c>
      <c r="AE78">
        <v>1445.87</v>
      </c>
      <c r="AF78">
        <v>0</v>
      </c>
      <c r="AG78">
        <v>0</v>
      </c>
      <c r="AH78">
        <v>0</v>
      </c>
      <c r="AI78">
        <v>1</v>
      </c>
      <c r="AJ78">
        <v>1</v>
      </c>
      <c r="AK78">
        <v>1</v>
      </c>
      <c r="AL78">
        <v>1</v>
      </c>
      <c r="AN78">
        <v>0</v>
      </c>
      <c r="AO78">
        <v>1</v>
      </c>
      <c r="AP78">
        <v>0</v>
      </c>
      <c r="AQ78">
        <v>0</v>
      </c>
      <c r="AR78">
        <v>0</v>
      </c>
      <c r="AS78" t="s">
        <v>5</v>
      </c>
      <c r="AT78">
        <v>0.04</v>
      </c>
      <c r="AU78" t="s">
        <v>5</v>
      </c>
      <c r="AV78">
        <v>0</v>
      </c>
      <c r="AW78">
        <v>2</v>
      </c>
      <c r="AX78">
        <v>44170218</v>
      </c>
      <c r="AY78">
        <v>1</v>
      </c>
      <c r="AZ78">
        <v>0</v>
      </c>
      <c r="BA78">
        <v>78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0</v>
      </c>
      <c r="BI78">
        <v>0</v>
      </c>
      <c r="BJ78">
        <v>0</v>
      </c>
      <c r="BK78">
        <v>0</v>
      </c>
      <c r="BL78">
        <v>0</v>
      </c>
      <c r="BM78">
        <v>0</v>
      </c>
      <c r="BN78">
        <v>0</v>
      </c>
      <c r="BO78">
        <v>0</v>
      </c>
      <c r="BP78">
        <v>0</v>
      </c>
      <c r="BQ78">
        <v>0</v>
      </c>
      <c r="BR78">
        <v>0</v>
      </c>
      <c r="BS78">
        <v>0</v>
      </c>
      <c r="BT78">
        <v>0</v>
      </c>
      <c r="BU78">
        <v>0</v>
      </c>
      <c r="BV78">
        <v>0</v>
      </c>
      <c r="BW78">
        <v>0</v>
      </c>
      <c r="CX78">
        <f>Y78*Source!I48</f>
        <v>0.13925999999999999</v>
      </c>
      <c r="CY78">
        <f>AA78</f>
        <v>1445.87</v>
      </c>
      <c r="CZ78">
        <f>AE78</f>
        <v>1445.87</v>
      </c>
      <c r="DA78">
        <f>AI78</f>
        <v>1</v>
      </c>
      <c r="DB78">
        <f t="shared" si="15"/>
        <v>57.83</v>
      </c>
      <c r="DC78">
        <f t="shared" si="16"/>
        <v>0</v>
      </c>
    </row>
    <row r="79" spans="1:107" x14ac:dyDescent="0.2">
      <c r="A79">
        <f>ROW(Source!A48)</f>
        <v>48</v>
      </c>
      <c r="B79">
        <v>44169784</v>
      </c>
      <c r="C79">
        <v>44170186</v>
      </c>
      <c r="D79">
        <v>35059082</v>
      </c>
      <c r="E79">
        <v>1</v>
      </c>
      <c r="F79">
        <v>1</v>
      </c>
      <c r="G79">
        <v>34959076</v>
      </c>
      <c r="H79">
        <v>3</v>
      </c>
      <c r="I79" t="s">
        <v>104</v>
      </c>
      <c r="J79" t="s">
        <v>106</v>
      </c>
      <c r="K79" t="s">
        <v>105</v>
      </c>
      <c r="L79">
        <v>1348</v>
      </c>
      <c r="N79">
        <v>1009</v>
      </c>
      <c r="O79" t="s">
        <v>87</v>
      </c>
      <c r="P79" t="s">
        <v>87</v>
      </c>
      <c r="Q79">
        <v>1000</v>
      </c>
      <c r="W79">
        <v>0</v>
      </c>
      <c r="X79">
        <v>-951986387</v>
      </c>
      <c r="Y79">
        <v>9.66</v>
      </c>
      <c r="AA79">
        <v>2768.31</v>
      </c>
      <c r="AB79">
        <v>0</v>
      </c>
      <c r="AC79">
        <v>0</v>
      </c>
      <c r="AD79">
        <v>0</v>
      </c>
      <c r="AE79">
        <v>307.58999999999997</v>
      </c>
      <c r="AF79">
        <v>0</v>
      </c>
      <c r="AG79">
        <v>0</v>
      </c>
      <c r="AH79">
        <v>0</v>
      </c>
      <c r="AI79">
        <v>9</v>
      </c>
      <c r="AJ79">
        <v>1</v>
      </c>
      <c r="AK79">
        <v>1</v>
      </c>
      <c r="AL79">
        <v>1</v>
      </c>
      <c r="AN79">
        <v>0</v>
      </c>
      <c r="AO79">
        <v>0</v>
      </c>
      <c r="AP79">
        <v>0</v>
      </c>
      <c r="AQ79">
        <v>0</v>
      </c>
      <c r="AR79">
        <v>0</v>
      </c>
      <c r="AS79" t="s">
        <v>5</v>
      </c>
      <c r="AT79">
        <v>9.66</v>
      </c>
      <c r="AU79" t="s">
        <v>5</v>
      </c>
      <c r="AV79">
        <v>0</v>
      </c>
      <c r="AW79">
        <v>1</v>
      </c>
      <c r="AX79">
        <v>-1</v>
      </c>
      <c r="AY79">
        <v>0</v>
      </c>
      <c r="AZ79">
        <v>0</v>
      </c>
      <c r="BA79" t="s">
        <v>5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0</v>
      </c>
      <c r="BI79">
        <v>0</v>
      </c>
      <c r="BJ79">
        <v>0</v>
      </c>
      <c r="BK79">
        <v>0</v>
      </c>
      <c r="BL79">
        <v>0</v>
      </c>
      <c r="BM79">
        <v>0</v>
      </c>
      <c r="BN79">
        <v>0</v>
      </c>
      <c r="BO79">
        <v>0</v>
      </c>
      <c r="BP79">
        <v>0</v>
      </c>
      <c r="BQ79">
        <v>0</v>
      </c>
      <c r="BR79">
        <v>0</v>
      </c>
      <c r="BS79">
        <v>0</v>
      </c>
      <c r="BT79">
        <v>0</v>
      </c>
      <c r="BU79">
        <v>0</v>
      </c>
      <c r="BV79">
        <v>0</v>
      </c>
      <c r="BW79">
        <v>0</v>
      </c>
      <c r="CX79">
        <f>Y79*Source!I48</f>
        <v>33.63129</v>
      </c>
      <c r="CY79">
        <f>AA79</f>
        <v>2768.31</v>
      </c>
      <c r="CZ79">
        <f>AE79</f>
        <v>307.58999999999997</v>
      </c>
      <c r="DA79">
        <f>AI79</f>
        <v>9</v>
      </c>
      <c r="DB79">
        <f t="shared" si="15"/>
        <v>2971.32</v>
      </c>
      <c r="DC79">
        <f t="shared" si="16"/>
        <v>0</v>
      </c>
    </row>
    <row r="80" spans="1:107" x14ac:dyDescent="0.2">
      <c r="A80">
        <f>ROW(Source!A51)</f>
        <v>51</v>
      </c>
      <c r="B80">
        <v>44169784</v>
      </c>
      <c r="C80">
        <v>44170222</v>
      </c>
      <c r="D80">
        <v>34984826</v>
      </c>
      <c r="E80">
        <v>34959076</v>
      </c>
      <c r="F80">
        <v>1</v>
      </c>
      <c r="G80">
        <v>34959076</v>
      </c>
      <c r="H80">
        <v>1</v>
      </c>
      <c r="I80" t="s">
        <v>341</v>
      </c>
      <c r="J80" t="s">
        <v>5</v>
      </c>
      <c r="K80" t="s">
        <v>342</v>
      </c>
      <c r="L80">
        <v>1191</v>
      </c>
      <c r="N80">
        <v>1013</v>
      </c>
      <c r="O80" t="s">
        <v>343</v>
      </c>
      <c r="P80" t="s">
        <v>343</v>
      </c>
      <c r="Q80">
        <v>1</v>
      </c>
      <c r="W80">
        <v>0</v>
      </c>
      <c r="X80">
        <v>476480486</v>
      </c>
      <c r="Y80">
        <v>155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1</v>
      </c>
      <c r="AJ80">
        <v>1</v>
      </c>
      <c r="AK80">
        <v>1</v>
      </c>
      <c r="AL80">
        <v>1</v>
      </c>
      <c r="AN80">
        <v>0</v>
      </c>
      <c r="AO80">
        <v>1</v>
      </c>
      <c r="AP80">
        <v>1</v>
      </c>
      <c r="AQ80">
        <v>0</v>
      </c>
      <c r="AR80">
        <v>0</v>
      </c>
      <c r="AS80" t="s">
        <v>5</v>
      </c>
      <c r="AT80">
        <v>155</v>
      </c>
      <c r="AU80" t="s">
        <v>5</v>
      </c>
      <c r="AV80">
        <v>1</v>
      </c>
      <c r="AW80">
        <v>2</v>
      </c>
      <c r="AX80">
        <v>44170233</v>
      </c>
      <c r="AY80">
        <v>1</v>
      </c>
      <c r="AZ80">
        <v>0</v>
      </c>
      <c r="BA80">
        <v>80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0</v>
      </c>
      <c r="BI80">
        <v>0</v>
      </c>
      <c r="BJ80">
        <v>0</v>
      </c>
      <c r="BK80">
        <v>0</v>
      </c>
      <c r="BL80">
        <v>0</v>
      </c>
      <c r="BM80">
        <v>0</v>
      </c>
      <c r="BN80">
        <v>0</v>
      </c>
      <c r="BO80">
        <v>0</v>
      </c>
      <c r="BP80">
        <v>0</v>
      </c>
      <c r="BQ80">
        <v>0</v>
      </c>
      <c r="BR80">
        <v>0</v>
      </c>
      <c r="BS80">
        <v>0</v>
      </c>
      <c r="BT80">
        <v>0</v>
      </c>
      <c r="BU80">
        <v>0</v>
      </c>
      <c r="BV80">
        <v>0</v>
      </c>
      <c r="BW80">
        <v>0</v>
      </c>
      <c r="CX80">
        <f>Y80*Source!I51</f>
        <v>31.625579999999999</v>
      </c>
      <c r="CY80">
        <f>AD80</f>
        <v>0</v>
      </c>
      <c r="CZ80">
        <f>AH80</f>
        <v>0</v>
      </c>
      <c r="DA80">
        <f>AL80</f>
        <v>1</v>
      </c>
      <c r="DB80">
        <f t="shared" si="15"/>
        <v>0</v>
      </c>
      <c r="DC80">
        <f t="shared" si="16"/>
        <v>0</v>
      </c>
    </row>
    <row r="81" spans="1:107" x14ac:dyDescent="0.2">
      <c r="A81">
        <f>ROW(Source!A51)</f>
        <v>51</v>
      </c>
      <c r="B81">
        <v>44169784</v>
      </c>
      <c r="C81">
        <v>44170222</v>
      </c>
      <c r="D81">
        <v>35065073</v>
      </c>
      <c r="E81">
        <v>1</v>
      </c>
      <c r="F81">
        <v>1</v>
      </c>
      <c r="G81">
        <v>34959076</v>
      </c>
      <c r="H81">
        <v>2</v>
      </c>
      <c r="I81" t="s">
        <v>344</v>
      </c>
      <c r="J81" t="s">
        <v>345</v>
      </c>
      <c r="K81" t="s">
        <v>346</v>
      </c>
      <c r="L81">
        <v>1367</v>
      </c>
      <c r="N81">
        <v>1011</v>
      </c>
      <c r="O81" t="s">
        <v>347</v>
      </c>
      <c r="P81" t="s">
        <v>347</v>
      </c>
      <c r="Q81">
        <v>1</v>
      </c>
      <c r="W81">
        <v>0</v>
      </c>
      <c r="X81">
        <v>-1426791</v>
      </c>
      <c r="Y81">
        <v>37.5</v>
      </c>
      <c r="AA81">
        <v>0</v>
      </c>
      <c r="AB81">
        <v>701.8</v>
      </c>
      <c r="AC81">
        <v>414.64</v>
      </c>
      <c r="AD81">
        <v>0</v>
      </c>
      <c r="AE81">
        <v>0</v>
      </c>
      <c r="AF81">
        <v>60.77</v>
      </c>
      <c r="AG81">
        <v>18.48</v>
      </c>
      <c r="AH81">
        <v>0</v>
      </c>
      <c r="AI81">
        <v>1</v>
      </c>
      <c r="AJ81">
        <v>11.03</v>
      </c>
      <c r="AK81">
        <v>21.43</v>
      </c>
      <c r="AL81">
        <v>1</v>
      </c>
      <c r="AN81">
        <v>0</v>
      </c>
      <c r="AO81">
        <v>1</v>
      </c>
      <c r="AP81">
        <v>1</v>
      </c>
      <c r="AQ81">
        <v>0</v>
      </c>
      <c r="AR81">
        <v>0</v>
      </c>
      <c r="AS81" t="s">
        <v>5</v>
      </c>
      <c r="AT81">
        <v>37.5</v>
      </c>
      <c r="AU81" t="s">
        <v>5</v>
      </c>
      <c r="AV81">
        <v>0</v>
      </c>
      <c r="AW81">
        <v>2</v>
      </c>
      <c r="AX81">
        <v>44170234</v>
      </c>
      <c r="AY81">
        <v>1</v>
      </c>
      <c r="AZ81">
        <v>0</v>
      </c>
      <c r="BA81">
        <v>81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0</v>
      </c>
      <c r="BI81">
        <v>0</v>
      </c>
      <c r="BJ81">
        <v>0</v>
      </c>
      <c r="BK81">
        <v>0</v>
      </c>
      <c r="BL81">
        <v>0</v>
      </c>
      <c r="BM81">
        <v>0</v>
      </c>
      <c r="BN81">
        <v>0</v>
      </c>
      <c r="BO81">
        <v>0</v>
      </c>
      <c r="BP81">
        <v>0</v>
      </c>
      <c r="BQ81">
        <v>0</v>
      </c>
      <c r="BR81">
        <v>0</v>
      </c>
      <c r="BS81">
        <v>0</v>
      </c>
      <c r="BT81">
        <v>0</v>
      </c>
      <c r="BU81">
        <v>0</v>
      </c>
      <c r="BV81">
        <v>0</v>
      </c>
      <c r="BW81">
        <v>0</v>
      </c>
      <c r="CX81">
        <f>Y81*Source!I51</f>
        <v>7.6513499999999999</v>
      </c>
      <c r="CY81">
        <f>AB81</f>
        <v>701.8</v>
      </c>
      <c r="CZ81">
        <f>AF81</f>
        <v>60.77</v>
      </c>
      <c r="DA81">
        <f>AJ81</f>
        <v>11.03</v>
      </c>
      <c r="DB81">
        <f t="shared" si="15"/>
        <v>2278.88</v>
      </c>
      <c r="DC81">
        <f t="shared" si="16"/>
        <v>693</v>
      </c>
    </row>
    <row r="82" spans="1:107" x14ac:dyDescent="0.2">
      <c r="A82">
        <f>ROW(Source!A51)</f>
        <v>51</v>
      </c>
      <c r="B82">
        <v>44169784</v>
      </c>
      <c r="C82">
        <v>44170222</v>
      </c>
      <c r="D82">
        <v>35065539</v>
      </c>
      <c r="E82">
        <v>1</v>
      </c>
      <c r="F82">
        <v>1</v>
      </c>
      <c r="G82">
        <v>34959076</v>
      </c>
      <c r="H82">
        <v>2</v>
      </c>
      <c r="I82" t="s">
        <v>348</v>
      </c>
      <c r="J82" t="s">
        <v>349</v>
      </c>
      <c r="K82" t="s">
        <v>350</v>
      </c>
      <c r="L82">
        <v>1367</v>
      </c>
      <c r="N82">
        <v>1011</v>
      </c>
      <c r="O82" t="s">
        <v>347</v>
      </c>
      <c r="P82" t="s">
        <v>347</v>
      </c>
      <c r="Q82">
        <v>1</v>
      </c>
      <c r="W82">
        <v>0</v>
      </c>
      <c r="X82">
        <v>-48163219</v>
      </c>
      <c r="Y82">
        <v>75</v>
      </c>
      <c r="AA82">
        <v>0</v>
      </c>
      <c r="AB82">
        <v>5.56</v>
      </c>
      <c r="AC82">
        <v>0.9</v>
      </c>
      <c r="AD82">
        <v>0</v>
      </c>
      <c r="AE82">
        <v>0</v>
      </c>
      <c r="AF82">
        <v>3.16</v>
      </c>
      <c r="AG82">
        <v>0.04</v>
      </c>
      <c r="AH82">
        <v>0</v>
      </c>
      <c r="AI82">
        <v>1</v>
      </c>
      <c r="AJ82">
        <v>1.68</v>
      </c>
      <c r="AK82">
        <v>21.43</v>
      </c>
      <c r="AL82">
        <v>1</v>
      </c>
      <c r="AN82">
        <v>0</v>
      </c>
      <c r="AO82">
        <v>1</v>
      </c>
      <c r="AP82">
        <v>1</v>
      </c>
      <c r="AQ82">
        <v>0</v>
      </c>
      <c r="AR82">
        <v>0</v>
      </c>
      <c r="AS82" t="s">
        <v>5</v>
      </c>
      <c r="AT82">
        <v>75</v>
      </c>
      <c r="AU82" t="s">
        <v>5</v>
      </c>
      <c r="AV82">
        <v>0</v>
      </c>
      <c r="AW82">
        <v>2</v>
      </c>
      <c r="AX82">
        <v>44170235</v>
      </c>
      <c r="AY82">
        <v>1</v>
      </c>
      <c r="AZ82">
        <v>0</v>
      </c>
      <c r="BA82">
        <v>82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0</v>
      </c>
      <c r="BI82">
        <v>0</v>
      </c>
      <c r="BJ82">
        <v>0</v>
      </c>
      <c r="BK82">
        <v>0</v>
      </c>
      <c r="BL82">
        <v>0</v>
      </c>
      <c r="BM82">
        <v>0</v>
      </c>
      <c r="BN82">
        <v>0</v>
      </c>
      <c r="BO82">
        <v>0</v>
      </c>
      <c r="BP82">
        <v>0</v>
      </c>
      <c r="BQ82">
        <v>0</v>
      </c>
      <c r="BR82">
        <v>0</v>
      </c>
      <c r="BS82">
        <v>0</v>
      </c>
      <c r="BT82">
        <v>0</v>
      </c>
      <c r="BU82">
        <v>0</v>
      </c>
      <c r="BV82">
        <v>0</v>
      </c>
      <c r="BW82">
        <v>0</v>
      </c>
      <c r="CX82">
        <f>Y82*Source!I51</f>
        <v>15.3027</v>
      </c>
      <c r="CY82">
        <f>AB82</f>
        <v>5.56</v>
      </c>
      <c r="CZ82">
        <f>AF82</f>
        <v>3.16</v>
      </c>
      <c r="DA82">
        <f>AJ82</f>
        <v>1.68</v>
      </c>
      <c r="DB82">
        <f t="shared" si="15"/>
        <v>237</v>
      </c>
      <c r="DC82">
        <f t="shared" si="16"/>
        <v>3</v>
      </c>
    </row>
    <row r="83" spans="1:107" x14ac:dyDescent="0.2">
      <c r="A83">
        <f>ROW(Source!A51)</f>
        <v>51</v>
      </c>
      <c r="B83">
        <v>44169784</v>
      </c>
      <c r="C83">
        <v>44170222</v>
      </c>
      <c r="D83">
        <v>35064906</v>
      </c>
      <c r="E83">
        <v>1</v>
      </c>
      <c r="F83">
        <v>1</v>
      </c>
      <c r="G83">
        <v>34959076</v>
      </c>
      <c r="H83">
        <v>2</v>
      </c>
      <c r="I83" t="s">
        <v>351</v>
      </c>
      <c r="J83" t="s">
        <v>352</v>
      </c>
      <c r="K83" t="s">
        <v>353</v>
      </c>
      <c r="L83">
        <v>1367</v>
      </c>
      <c r="N83">
        <v>1011</v>
      </c>
      <c r="O83" t="s">
        <v>347</v>
      </c>
      <c r="P83" t="s">
        <v>347</v>
      </c>
      <c r="Q83">
        <v>1</v>
      </c>
      <c r="W83">
        <v>0</v>
      </c>
      <c r="X83">
        <v>856318566</v>
      </c>
      <c r="Y83">
        <v>1.55</v>
      </c>
      <c r="AA83">
        <v>0</v>
      </c>
      <c r="AB83">
        <v>1429.33</v>
      </c>
      <c r="AC83">
        <v>555.1</v>
      </c>
      <c r="AD83">
        <v>0</v>
      </c>
      <c r="AE83">
        <v>0</v>
      </c>
      <c r="AF83">
        <v>125.13</v>
      </c>
      <c r="AG83">
        <v>24.74</v>
      </c>
      <c r="AH83">
        <v>0</v>
      </c>
      <c r="AI83">
        <v>1</v>
      </c>
      <c r="AJ83">
        <v>10.91</v>
      </c>
      <c r="AK83">
        <v>21.43</v>
      </c>
      <c r="AL83">
        <v>1</v>
      </c>
      <c r="AN83">
        <v>0</v>
      </c>
      <c r="AO83">
        <v>1</v>
      </c>
      <c r="AP83">
        <v>1</v>
      </c>
      <c r="AQ83">
        <v>0</v>
      </c>
      <c r="AR83">
        <v>0</v>
      </c>
      <c r="AS83" t="s">
        <v>5</v>
      </c>
      <c r="AT83">
        <v>1.55</v>
      </c>
      <c r="AU83" t="s">
        <v>5</v>
      </c>
      <c r="AV83">
        <v>0</v>
      </c>
      <c r="AW83">
        <v>2</v>
      </c>
      <c r="AX83">
        <v>44170236</v>
      </c>
      <c r="AY83">
        <v>1</v>
      </c>
      <c r="AZ83">
        <v>0</v>
      </c>
      <c r="BA83">
        <v>83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0</v>
      </c>
      <c r="BI83">
        <v>0</v>
      </c>
      <c r="BJ83">
        <v>0</v>
      </c>
      <c r="BK83">
        <v>0</v>
      </c>
      <c r="BL83">
        <v>0</v>
      </c>
      <c r="BM83">
        <v>0</v>
      </c>
      <c r="BN83">
        <v>0</v>
      </c>
      <c r="BO83">
        <v>0</v>
      </c>
      <c r="BP83">
        <v>0</v>
      </c>
      <c r="BQ83">
        <v>0</v>
      </c>
      <c r="BR83">
        <v>0</v>
      </c>
      <c r="BS83">
        <v>0</v>
      </c>
      <c r="BT83">
        <v>0</v>
      </c>
      <c r="BU83">
        <v>0</v>
      </c>
      <c r="BV83">
        <v>0</v>
      </c>
      <c r="BW83">
        <v>0</v>
      </c>
      <c r="CX83">
        <f>Y83*Source!I51</f>
        <v>0.31625579999999998</v>
      </c>
      <c r="CY83">
        <f>AB83</f>
        <v>1429.33</v>
      </c>
      <c r="CZ83">
        <f>AF83</f>
        <v>125.13</v>
      </c>
      <c r="DA83">
        <f>AJ83</f>
        <v>10.91</v>
      </c>
      <c r="DB83">
        <f t="shared" si="15"/>
        <v>193.95</v>
      </c>
      <c r="DC83">
        <f t="shared" si="16"/>
        <v>38.35</v>
      </c>
    </row>
    <row r="84" spans="1:107" x14ac:dyDescent="0.2">
      <c r="A84">
        <f>ROW(Source!A51)</f>
        <v>51</v>
      </c>
      <c r="B84">
        <v>44169784</v>
      </c>
      <c r="C84">
        <v>44170222</v>
      </c>
      <c r="D84">
        <v>34984824</v>
      </c>
      <c r="E84">
        <v>34959076</v>
      </c>
      <c r="F84">
        <v>1</v>
      </c>
      <c r="G84">
        <v>34959076</v>
      </c>
      <c r="H84">
        <v>2</v>
      </c>
      <c r="I84" t="s">
        <v>354</v>
      </c>
      <c r="J84" t="s">
        <v>5</v>
      </c>
      <c r="K84" t="s">
        <v>355</v>
      </c>
      <c r="L84">
        <v>1344</v>
      </c>
      <c r="N84">
        <v>1008</v>
      </c>
      <c r="O84" t="s">
        <v>356</v>
      </c>
      <c r="P84" t="s">
        <v>356</v>
      </c>
      <c r="Q84">
        <v>1</v>
      </c>
      <c r="W84">
        <v>0</v>
      </c>
      <c r="X84">
        <v>-1180195794</v>
      </c>
      <c r="Y84">
        <v>3.72</v>
      </c>
      <c r="AA84">
        <v>0</v>
      </c>
      <c r="AB84">
        <v>1.05</v>
      </c>
      <c r="AC84">
        <v>0</v>
      </c>
      <c r="AD84">
        <v>0</v>
      </c>
      <c r="AE84">
        <v>0</v>
      </c>
      <c r="AF84">
        <v>1</v>
      </c>
      <c r="AG84">
        <v>0</v>
      </c>
      <c r="AH84">
        <v>0</v>
      </c>
      <c r="AI84">
        <v>1</v>
      </c>
      <c r="AJ84">
        <v>1</v>
      </c>
      <c r="AK84">
        <v>1</v>
      </c>
      <c r="AL84">
        <v>1</v>
      </c>
      <c r="AN84">
        <v>0</v>
      </c>
      <c r="AO84">
        <v>1</v>
      </c>
      <c r="AP84">
        <v>1</v>
      </c>
      <c r="AQ84">
        <v>0</v>
      </c>
      <c r="AR84">
        <v>0</v>
      </c>
      <c r="AS84" t="s">
        <v>5</v>
      </c>
      <c r="AT84">
        <v>3.72</v>
      </c>
      <c r="AU84" t="s">
        <v>5</v>
      </c>
      <c r="AV84">
        <v>0</v>
      </c>
      <c r="AW84">
        <v>2</v>
      </c>
      <c r="AX84">
        <v>44170237</v>
      </c>
      <c r="AY84">
        <v>1</v>
      </c>
      <c r="AZ84">
        <v>0</v>
      </c>
      <c r="BA84">
        <v>84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0</v>
      </c>
      <c r="BI84">
        <v>0</v>
      </c>
      <c r="BJ84">
        <v>0</v>
      </c>
      <c r="BK84">
        <v>0</v>
      </c>
      <c r="BL84">
        <v>0</v>
      </c>
      <c r="BM84">
        <v>0</v>
      </c>
      <c r="BN84">
        <v>0</v>
      </c>
      <c r="BO84">
        <v>0</v>
      </c>
      <c r="BP84">
        <v>0</v>
      </c>
      <c r="BQ84">
        <v>0</v>
      </c>
      <c r="BR84">
        <v>0</v>
      </c>
      <c r="BS84">
        <v>0</v>
      </c>
      <c r="BT84">
        <v>0</v>
      </c>
      <c r="BU84">
        <v>0</v>
      </c>
      <c r="BV84">
        <v>0</v>
      </c>
      <c r="BW84">
        <v>0</v>
      </c>
      <c r="CX84">
        <f>Y84*Source!I51</f>
        <v>0.75901392000000001</v>
      </c>
      <c r="CY84">
        <f>AB84</f>
        <v>1.05</v>
      </c>
      <c r="CZ84">
        <f>AF84</f>
        <v>1</v>
      </c>
      <c r="DA84">
        <f>AJ84</f>
        <v>1</v>
      </c>
      <c r="DB84">
        <f t="shared" si="15"/>
        <v>3.72</v>
      </c>
      <c r="DC84">
        <f t="shared" si="16"/>
        <v>0</v>
      </c>
    </row>
    <row r="85" spans="1:107" x14ac:dyDescent="0.2">
      <c r="A85">
        <f>ROW(Source!A52)</f>
        <v>52</v>
      </c>
      <c r="B85">
        <v>44169784</v>
      </c>
      <c r="C85">
        <v>44170238</v>
      </c>
      <c r="D85">
        <v>34984826</v>
      </c>
      <c r="E85">
        <v>34959076</v>
      </c>
      <c r="F85">
        <v>1</v>
      </c>
      <c r="G85">
        <v>34959076</v>
      </c>
      <c r="H85">
        <v>1</v>
      </c>
      <c r="I85" t="s">
        <v>341</v>
      </c>
      <c r="J85" t="s">
        <v>5</v>
      </c>
      <c r="K85" t="s">
        <v>342</v>
      </c>
      <c r="L85">
        <v>1191</v>
      </c>
      <c r="N85">
        <v>1013</v>
      </c>
      <c r="O85" t="s">
        <v>343</v>
      </c>
      <c r="P85" t="s">
        <v>343</v>
      </c>
      <c r="Q85">
        <v>1</v>
      </c>
      <c r="W85">
        <v>0</v>
      </c>
      <c r="X85">
        <v>476480486</v>
      </c>
      <c r="Y85">
        <v>155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1</v>
      </c>
      <c r="AJ85">
        <v>1</v>
      </c>
      <c r="AK85">
        <v>1</v>
      </c>
      <c r="AL85">
        <v>1</v>
      </c>
      <c r="AN85">
        <v>0</v>
      </c>
      <c r="AO85">
        <v>1</v>
      </c>
      <c r="AP85">
        <v>1</v>
      </c>
      <c r="AQ85">
        <v>0</v>
      </c>
      <c r="AR85">
        <v>0</v>
      </c>
      <c r="AS85" t="s">
        <v>5</v>
      </c>
      <c r="AT85">
        <v>155</v>
      </c>
      <c r="AU85" t="s">
        <v>5</v>
      </c>
      <c r="AV85">
        <v>1</v>
      </c>
      <c r="AW85">
        <v>2</v>
      </c>
      <c r="AX85">
        <v>44170249</v>
      </c>
      <c r="AY85">
        <v>1</v>
      </c>
      <c r="AZ85">
        <v>0</v>
      </c>
      <c r="BA85">
        <v>85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0</v>
      </c>
      <c r="BI85">
        <v>0</v>
      </c>
      <c r="BJ85">
        <v>0</v>
      </c>
      <c r="BK85">
        <v>0</v>
      </c>
      <c r="BL85">
        <v>0</v>
      </c>
      <c r="BM85">
        <v>0</v>
      </c>
      <c r="BN85">
        <v>0</v>
      </c>
      <c r="BO85">
        <v>0</v>
      </c>
      <c r="BP85">
        <v>0</v>
      </c>
      <c r="BQ85">
        <v>0</v>
      </c>
      <c r="BR85">
        <v>0</v>
      </c>
      <c r="BS85">
        <v>0</v>
      </c>
      <c r="BT85">
        <v>0</v>
      </c>
      <c r="BU85">
        <v>0</v>
      </c>
      <c r="BV85">
        <v>0</v>
      </c>
      <c r="BW85">
        <v>0</v>
      </c>
      <c r="CX85">
        <f>Y85*Source!I52</f>
        <v>7.6678499999999996</v>
      </c>
      <c r="CY85">
        <f>AD85</f>
        <v>0</v>
      </c>
      <c r="CZ85">
        <f>AH85</f>
        <v>0</v>
      </c>
      <c r="DA85">
        <f>AL85</f>
        <v>1</v>
      </c>
      <c r="DB85">
        <f t="shared" si="15"/>
        <v>0</v>
      </c>
      <c r="DC85">
        <f t="shared" si="16"/>
        <v>0</v>
      </c>
    </row>
    <row r="86" spans="1:107" x14ac:dyDescent="0.2">
      <c r="A86">
        <f>ROW(Source!A52)</f>
        <v>52</v>
      </c>
      <c r="B86">
        <v>44169784</v>
      </c>
      <c r="C86">
        <v>44170238</v>
      </c>
      <c r="D86">
        <v>35065073</v>
      </c>
      <c r="E86">
        <v>1</v>
      </c>
      <c r="F86">
        <v>1</v>
      </c>
      <c r="G86">
        <v>34959076</v>
      </c>
      <c r="H86">
        <v>2</v>
      </c>
      <c r="I86" t="s">
        <v>344</v>
      </c>
      <c r="J86" t="s">
        <v>345</v>
      </c>
      <c r="K86" t="s">
        <v>346</v>
      </c>
      <c r="L86">
        <v>1367</v>
      </c>
      <c r="N86">
        <v>1011</v>
      </c>
      <c r="O86" t="s">
        <v>347</v>
      </c>
      <c r="P86" t="s">
        <v>347</v>
      </c>
      <c r="Q86">
        <v>1</v>
      </c>
      <c r="W86">
        <v>0</v>
      </c>
      <c r="X86">
        <v>-1426791</v>
      </c>
      <c r="Y86">
        <v>37.5</v>
      </c>
      <c r="AA86">
        <v>0</v>
      </c>
      <c r="AB86">
        <v>701.8</v>
      </c>
      <c r="AC86">
        <v>414.64</v>
      </c>
      <c r="AD86">
        <v>0</v>
      </c>
      <c r="AE86">
        <v>0</v>
      </c>
      <c r="AF86">
        <v>60.77</v>
      </c>
      <c r="AG86">
        <v>18.48</v>
      </c>
      <c r="AH86">
        <v>0</v>
      </c>
      <c r="AI86">
        <v>1</v>
      </c>
      <c r="AJ86">
        <v>11.03</v>
      </c>
      <c r="AK86">
        <v>21.43</v>
      </c>
      <c r="AL86">
        <v>1</v>
      </c>
      <c r="AN86">
        <v>0</v>
      </c>
      <c r="AO86">
        <v>1</v>
      </c>
      <c r="AP86">
        <v>1</v>
      </c>
      <c r="AQ86">
        <v>0</v>
      </c>
      <c r="AR86">
        <v>0</v>
      </c>
      <c r="AS86" t="s">
        <v>5</v>
      </c>
      <c r="AT86">
        <v>37.5</v>
      </c>
      <c r="AU86" t="s">
        <v>5</v>
      </c>
      <c r="AV86">
        <v>0</v>
      </c>
      <c r="AW86">
        <v>2</v>
      </c>
      <c r="AX86">
        <v>44170250</v>
      </c>
      <c r="AY86">
        <v>1</v>
      </c>
      <c r="AZ86">
        <v>0</v>
      </c>
      <c r="BA86">
        <v>86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0</v>
      </c>
      <c r="BI86">
        <v>0</v>
      </c>
      <c r="BJ86">
        <v>0</v>
      </c>
      <c r="BK86">
        <v>0</v>
      </c>
      <c r="BL86">
        <v>0</v>
      </c>
      <c r="BM86">
        <v>0</v>
      </c>
      <c r="BN86">
        <v>0</v>
      </c>
      <c r="BO86">
        <v>0</v>
      </c>
      <c r="BP86">
        <v>0</v>
      </c>
      <c r="BQ86">
        <v>0</v>
      </c>
      <c r="BR86">
        <v>0</v>
      </c>
      <c r="BS86">
        <v>0</v>
      </c>
      <c r="BT86">
        <v>0</v>
      </c>
      <c r="BU86">
        <v>0</v>
      </c>
      <c r="BV86">
        <v>0</v>
      </c>
      <c r="BW86">
        <v>0</v>
      </c>
      <c r="CX86">
        <f>Y86*Source!I52</f>
        <v>1.8551249999999999</v>
      </c>
      <c r="CY86">
        <f>AB86</f>
        <v>701.8</v>
      </c>
      <c r="CZ86">
        <f>AF86</f>
        <v>60.77</v>
      </c>
      <c r="DA86">
        <f>AJ86</f>
        <v>11.03</v>
      </c>
      <c r="DB86">
        <f t="shared" si="15"/>
        <v>2278.88</v>
      </c>
      <c r="DC86">
        <f t="shared" si="16"/>
        <v>693</v>
      </c>
    </row>
    <row r="87" spans="1:107" x14ac:dyDescent="0.2">
      <c r="A87">
        <f>ROW(Source!A52)</f>
        <v>52</v>
      </c>
      <c r="B87">
        <v>44169784</v>
      </c>
      <c r="C87">
        <v>44170238</v>
      </c>
      <c r="D87">
        <v>35065539</v>
      </c>
      <c r="E87">
        <v>1</v>
      </c>
      <c r="F87">
        <v>1</v>
      </c>
      <c r="G87">
        <v>34959076</v>
      </c>
      <c r="H87">
        <v>2</v>
      </c>
      <c r="I87" t="s">
        <v>348</v>
      </c>
      <c r="J87" t="s">
        <v>349</v>
      </c>
      <c r="K87" t="s">
        <v>350</v>
      </c>
      <c r="L87">
        <v>1367</v>
      </c>
      <c r="N87">
        <v>1011</v>
      </c>
      <c r="O87" t="s">
        <v>347</v>
      </c>
      <c r="P87" t="s">
        <v>347</v>
      </c>
      <c r="Q87">
        <v>1</v>
      </c>
      <c r="W87">
        <v>0</v>
      </c>
      <c r="X87">
        <v>-48163219</v>
      </c>
      <c r="Y87">
        <v>75</v>
      </c>
      <c r="AA87">
        <v>0</v>
      </c>
      <c r="AB87">
        <v>5.56</v>
      </c>
      <c r="AC87">
        <v>0.9</v>
      </c>
      <c r="AD87">
        <v>0</v>
      </c>
      <c r="AE87">
        <v>0</v>
      </c>
      <c r="AF87">
        <v>3.16</v>
      </c>
      <c r="AG87">
        <v>0.04</v>
      </c>
      <c r="AH87">
        <v>0</v>
      </c>
      <c r="AI87">
        <v>1</v>
      </c>
      <c r="AJ87">
        <v>1.68</v>
      </c>
      <c r="AK87">
        <v>21.43</v>
      </c>
      <c r="AL87">
        <v>1</v>
      </c>
      <c r="AN87">
        <v>0</v>
      </c>
      <c r="AO87">
        <v>1</v>
      </c>
      <c r="AP87">
        <v>1</v>
      </c>
      <c r="AQ87">
        <v>0</v>
      </c>
      <c r="AR87">
        <v>0</v>
      </c>
      <c r="AS87" t="s">
        <v>5</v>
      </c>
      <c r="AT87">
        <v>75</v>
      </c>
      <c r="AU87" t="s">
        <v>5</v>
      </c>
      <c r="AV87">
        <v>0</v>
      </c>
      <c r="AW87">
        <v>2</v>
      </c>
      <c r="AX87">
        <v>44170251</v>
      </c>
      <c r="AY87">
        <v>1</v>
      </c>
      <c r="AZ87">
        <v>0</v>
      </c>
      <c r="BA87">
        <v>87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0</v>
      </c>
      <c r="BI87">
        <v>0</v>
      </c>
      <c r="BJ87">
        <v>0</v>
      </c>
      <c r="BK87">
        <v>0</v>
      </c>
      <c r="BL87">
        <v>0</v>
      </c>
      <c r="BM87">
        <v>0</v>
      </c>
      <c r="BN87">
        <v>0</v>
      </c>
      <c r="BO87">
        <v>0</v>
      </c>
      <c r="BP87">
        <v>0</v>
      </c>
      <c r="BQ87">
        <v>0</v>
      </c>
      <c r="BR87">
        <v>0</v>
      </c>
      <c r="BS87">
        <v>0</v>
      </c>
      <c r="BT87">
        <v>0</v>
      </c>
      <c r="BU87">
        <v>0</v>
      </c>
      <c r="BV87">
        <v>0</v>
      </c>
      <c r="BW87">
        <v>0</v>
      </c>
      <c r="CX87">
        <f>Y87*Source!I52</f>
        <v>3.7102499999999998</v>
      </c>
      <c r="CY87">
        <f>AB87</f>
        <v>5.56</v>
      </c>
      <c r="CZ87">
        <f>AF87</f>
        <v>3.16</v>
      </c>
      <c r="DA87">
        <f>AJ87</f>
        <v>1.68</v>
      </c>
      <c r="DB87">
        <f t="shared" si="15"/>
        <v>237</v>
      </c>
      <c r="DC87">
        <f t="shared" si="16"/>
        <v>3</v>
      </c>
    </row>
    <row r="88" spans="1:107" x14ac:dyDescent="0.2">
      <c r="A88">
        <f>ROW(Source!A52)</f>
        <v>52</v>
      </c>
      <c r="B88">
        <v>44169784</v>
      </c>
      <c r="C88">
        <v>44170238</v>
      </c>
      <c r="D88">
        <v>35064906</v>
      </c>
      <c r="E88">
        <v>1</v>
      </c>
      <c r="F88">
        <v>1</v>
      </c>
      <c r="G88">
        <v>34959076</v>
      </c>
      <c r="H88">
        <v>2</v>
      </c>
      <c r="I88" t="s">
        <v>351</v>
      </c>
      <c r="J88" t="s">
        <v>352</v>
      </c>
      <c r="K88" t="s">
        <v>353</v>
      </c>
      <c r="L88">
        <v>1367</v>
      </c>
      <c r="N88">
        <v>1011</v>
      </c>
      <c r="O88" t="s">
        <v>347</v>
      </c>
      <c r="P88" t="s">
        <v>347</v>
      </c>
      <c r="Q88">
        <v>1</v>
      </c>
      <c r="W88">
        <v>0</v>
      </c>
      <c r="X88">
        <v>856318566</v>
      </c>
      <c r="Y88">
        <v>1.55</v>
      </c>
      <c r="AA88">
        <v>0</v>
      </c>
      <c r="AB88">
        <v>1429.33</v>
      </c>
      <c r="AC88">
        <v>555.1</v>
      </c>
      <c r="AD88">
        <v>0</v>
      </c>
      <c r="AE88">
        <v>0</v>
      </c>
      <c r="AF88">
        <v>125.13</v>
      </c>
      <c r="AG88">
        <v>24.74</v>
      </c>
      <c r="AH88">
        <v>0</v>
      </c>
      <c r="AI88">
        <v>1</v>
      </c>
      <c r="AJ88">
        <v>10.91</v>
      </c>
      <c r="AK88">
        <v>21.43</v>
      </c>
      <c r="AL88">
        <v>1</v>
      </c>
      <c r="AN88">
        <v>0</v>
      </c>
      <c r="AO88">
        <v>1</v>
      </c>
      <c r="AP88">
        <v>1</v>
      </c>
      <c r="AQ88">
        <v>0</v>
      </c>
      <c r="AR88">
        <v>0</v>
      </c>
      <c r="AS88" t="s">
        <v>5</v>
      </c>
      <c r="AT88">
        <v>1.55</v>
      </c>
      <c r="AU88" t="s">
        <v>5</v>
      </c>
      <c r="AV88">
        <v>0</v>
      </c>
      <c r="AW88">
        <v>2</v>
      </c>
      <c r="AX88">
        <v>44170252</v>
      </c>
      <c r="AY88">
        <v>1</v>
      </c>
      <c r="AZ88">
        <v>0</v>
      </c>
      <c r="BA88">
        <v>88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0</v>
      </c>
      <c r="BI88">
        <v>0</v>
      </c>
      <c r="BJ88">
        <v>0</v>
      </c>
      <c r="BK88">
        <v>0</v>
      </c>
      <c r="BL88">
        <v>0</v>
      </c>
      <c r="BM88">
        <v>0</v>
      </c>
      <c r="BN88">
        <v>0</v>
      </c>
      <c r="BO88">
        <v>0</v>
      </c>
      <c r="BP88">
        <v>0</v>
      </c>
      <c r="BQ88">
        <v>0</v>
      </c>
      <c r="BR88">
        <v>0</v>
      </c>
      <c r="BS88">
        <v>0</v>
      </c>
      <c r="BT88">
        <v>0</v>
      </c>
      <c r="BU88">
        <v>0</v>
      </c>
      <c r="BV88">
        <v>0</v>
      </c>
      <c r="BW88">
        <v>0</v>
      </c>
      <c r="CX88">
        <f>Y88*Source!I52</f>
        <v>7.6678499999999997E-2</v>
      </c>
      <c r="CY88">
        <f>AB88</f>
        <v>1429.33</v>
      </c>
      <c r="CZ88">
        <f>AF88</f>
        <v>125.13</v>
      </c>
      <c r="DA88">
        <f>AJ88</f>
        <v>10.91</v>
      </c>
      <c r="DB88">
        <f t="shared" si="15"/>
        <v>193.95</v>
      </c>
      <c r="DC88">
        <f t="shared" si="16"/>
        <v>38.35</v>
      </c>
    </row>
    <row r="89" spans="1:107" x14ac:dyDescent="0.2">
      <c r="A89">
        <f>ROW(Source!A52)</f>
        <v>52</v>
      </c>
      <c r="B89">
        <v>44169784</v>
      </c>
      <c r="C89">
        <v>44170238</v>
      </c>
      <c r="D89">
        <v>34984824</v>
      </c>
      <c r="E89">
        <v>34959076</v>
      </c>
      <c r="F89">
        <v>1</v>
      </c>
      <c r="G89">
        <v>34959076</v>
      </c>
      <c r="H89">
        <v>2</v>
      </c>
      <c r="I89" t="s">
        <v>354</v>
      </c>
      <c r="J89" t="s">
        <v>5</v>
      </c>
      <c r="K89" t="s">
        <v>355</v>
      </c>
      <c r="L89">
        <v>1344</v>
      </c>
      <c r="N89">
        <v>1008</v>
      </c>
      <c r="O89" t="s">
        <v>356</v>
      </c>
      <c r="P89" t="s">
        <v>356</v>
      </c>
      <c r="Q89">
        <v>1</v>
      </c>
      <c r="W89">
        <v>0</v>
      </c>
      <c r="X89">
        <v>-1180195794</v>
      </c>
      <c r="Y89">
        <v>3.72</v>
      </c>
      <c r="AA89">
        <v>0</v>
      </c>
      <c r="AB89">
        <v>1.05</v>
      </c>
      <c r="AC89">
        <v>0</v>
      </c>
      <c r="AD89">
        <v>0</v>
      </c>
      <c r="AE89">
        <v>0</v>
      </c>
      <c r="AF89">
        <v>1</v>
      </c>
      <c r="AG89">
        <v>0</v>
      </c>
      <c r="AH89">
        <v>0</v>
      </c>
      <c r="AI89">
        <v>1</v>
      </c>
      <c r="AJ89">
        <v>1</v>
      </c>
      <c r="AK89">
        <v>1</v>
      </c>
      <c r="AL89">
        <v>1</v>
      </c>
      <c r="AN89">
        <v>0</v>
      </c>
      <c r="AO89">
        <v>1</v>
      </c>
      <c r="AP89">
        <v>1</v>
      </c>
      <c r="AQ89">
        <v>0</v>
      </c>
      <c r="AR89">
        <v>0</v>
      </c>
      <c r="AS89" t="s">
        <v>5</v>
      </c>
      <c r="AT89">
        <v>3.72</v>
      </c>
      <c r="AU89" t="s">
        <v>5</v>
      </c>
      <c r="AV89">
        <v>0</v>
      </c>
      <c r="AW89">
        <v>2</v>
      </c>
      <c r="AX89">
        <v>44170253</v>
      </c>
      <c r="AY89">
        <v>1</v>
      </c>
      <c r="AZ89">
        <v>0</v>
      </c>
      <c r="BA89">
        <v>89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0</v>
      </c>
      <c r="BI89">
        <v>0</v>
      </c>
      <c r="BJ89">
        <v>0</v>
      </c>
      <c r="BK89">
        <v>0</v>
      </c>
      <c r="BL89">
        <v>0</v>
      </c>
      <c r="BM89">
        <v>0</v>
      </c>
      <c r="BN89">
        <v>0</v>
      </c>
      <c r="BO89">
        <v>0</v>
      </c>
      <c r="BP89">
        <v>0</v>
      </c>
      <c r="BQ89">
        <v>0</v>
      </c>
      <c r="BR89">
        <v>0</v>
      </c>
      <c r="BS89">
        <v>0</v>
      </c>
      <c r="BT89">
        <v>0</v>
      </c>
      <c r="BU89">
        <v>0</v>
      </c>
      <c r="BV89">
        <v>0</v>
      </c>
      <c r="BW89">
        <v>0</v>
      </c>
      <c r="CX89">
        <f>Y89*Source!I52</f>
        <v>0.18402840000000001</v>
      </c>
      <c r="CY89">
        <f>AB89</f>
        <v>1.05</v>
      </c>
      <c r="CZ89">
        <f>AF89</f>
        <v>1</v>
      </c>
      <c r="DA89">
        <f>AJ89</f>
        <v>1</v>
      </c>
      <c r="DB89">
        <f t="shared" si="15"/>
        <v>3.72</v>
      </c>
      <c r="DC89">
        <f t="shared" si="16"/>
        <v>0</v>
      </c>
    </row>
    <row r="90" spans="1:107" x14ac:dyDescent="0.2">
      <c r="A90">
        <f>ROW(Source!A53)</f>
        <v>53</v>
      </c>
      <c r="B90">
        <v>44169784</v>
      </c>
      <c r="C90">
        <v>44170254</v>
      </c>
      <c r="D90">
        <v>34984826</v>
      </c>
      <c r="E90">
        <v>34959076</v>
      </c>
      <c r="F90">
        <v>1</v>
      </c>
      <c r="G90">
        <v>34959076</v>
      </c>
      <c r="H90">
        <v>1</v>
      </c>
      <c r="I90" t="s">
        <v>341</v>
      </c>
      <c r="J90" t="s">
        <v>5</v>
      </c>
      <c r="K90" t="s">
        <v>342</v>
      </c>
      <c r="L90">
        <v>1191</v>
      </c>
      <c r="N90">
        <v>1013</v>
      </c>
      <c r="O90" t="s">
        <v>343</v>
      </c>
      <c r="P90" t="s">
        <v>343</v>
      </c>
      <c r="Q90">
        <v>1</v>
      </c>
      <c r="W90">
        <v>0</v>
      </c>
      <c r="X90">
        <v>476480486</v>
      </c>
      <c r="Y90">
        <v>11.7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1</v>
      </c>
      <c r="AJ90">
        <v>1</v>
      </c>
      <c r="AK90">
        <v>1</v>
      </c>
      <c r="AL90">
        <v>1</v>
      </c>
      <c r="AN90">
        <v>0</v>
      </c>
      <c r="AO90">
        <v>1</v>
      </c>
      <c r="AP90">
        <v>0</v>
      </c>
      <c r="AQ90">
        <v>0</v>
      </c>
      <c r="AR90">
        <v>0</v>
      </c>
      <c r="AS90" t="s">
        <v>5</v>
      </c>
      <c r="AT90">
        <v>11.7</v>
      </c>
      <c r="AU90" t="s">
        <v>5</v>
      </c>
      <c r="AV90">
        <v>1</v>
      </c>
      <c r="AW90">
        <v>2</v>
      </c>
      <c r="AX90">
        <v>44170263</v>
      </c>
      <c r="AY90">
        <v>1</v>
      </c>
      <c r="AZ90">
        <v>0</v>
      </c>
      <c r="BA90">
        <v>90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0</v>
      </c>
      <c r="BI90">
        <v>0</v>
      </c>
      <c r="BJ90">
        <v>0</v>
      </c>
      <c r="BK90">
        <v>0</v>
      </c>
      <c r="BL90">
        <v>0</v>
      </c>
      <c r="BM90">
        <v>0</v>
      </c>
      <c r="BN90">
        <v>0</v>
      </c>
      <c r="BO90">
        <v>0</v>
      </c>
      <c r="BP90">
        <v>0</v>
      </c>
      <c r="BQ90">
        <v>0</v>
      </c>
      <c r="BR90">
        <v>0</v>
      </c>
      <c r="BS90">
        <v>0</v>
      </c>
      <c r="BT90">
        <v>0</v>
      </c>
      <c r="BU90">
        <v>0</v>
      </c>
      <c r="BV90">
        <v>0</v>
      </c>
      <c r="BW90">
        <v>0</v>
      </c>
      <c r="CX90">
        <f>Y90*Source!I53</f>
        <v>1.1575979999999999</v>
      </c>
      <c r="CY90">
        <f>AD90</f>
        <v>0</v>
      </c>
      <c r="CZ90">
        <f>AH90</f>
        <v>0</v>
      </c>
      <c r="DA90">
        <f>AL90</f>
        <v>1</v>
      </c>
      <c r="DB90">
        <f t="shared" si="15"/>
        <v>0</v>
      </c>
      <c r="DC90">
        <f t="shared" si="16"/>
        <v>0</v>
      </c>
    </row>
    <row r="91" spans="1:107" x14ac:dyDescent="0.2">
      <c r="A91">
        <f>ROW(Source!A53)</f>
        <v>53</v>
      </c>
      <c r="B91">
        <v>44169784</v>
      </c>
      <c r="C91">
        <v>44170254</v>
      </c>
      <c r="D91">
        <v>35064650</v>
      </c>
      <c r="E91">
        <v>1</v>
      </c>
      <c r="F91">
        <v>1</v>
      </c>
      <c r="G91">
        <v>34959076</v>
      </c>
      <c r="H91">
        <v>2</v>
      </c>
      <c r="I91" t="s">
        <v>366</v>
      </c>
      <c r="J91" t="s">
        <v>367</v>
      </c>
      <c r="K91" t="s">
        <v>368</v>
      </c>
      <c r="L91">
        <v>1367</v>
      </c>
      <c r="N91">
        <v>1011</v>
      </c>
      <c r="O91" t="s">
        <v>347</v>
      </c>
      <c r="P91" t="s">
        <v>347</v>
      </c>
      <c r="Q91">
        <v>1</v>
      </c>
      <c r="W91">
        <v>0</v>
      </c>
      <c r="X91">
        <v>1928543733</v>
      </c>
      <c r="Y91">
        <v>1.26</v>
      </c>
      <c r="AA91">
        <v>0</v>
      </c>
      <c r="AB91">
        <v>1154.08</v>
      </c>
      <c r="AC91">
        <v>525.26</v>
      </c>
      <c r="AD91">
        <v>0</v>
      </c>
      <c r="AE91">
        <v>0</v>
      </c>
      <c r="AF91">
        <v>116.89</v>
      </c>
      <c r="AG91">
        <v>23.41</v>
      </c>
      <c r="AH91">
        <v>0</v>
      </c>
      <c r="AI91">
        <v>1</v>
      </c>
      <c r="AJ91">
        <v>9.43</v>
      </c>
      <c r="AK91">
        <v>21.43</v>
      </c>
      <c r="AL91">
        <v>1</v>
      </c>
      <c r="AN91">
        <v>0</v>
      </c>
      <c r="AO91">
        <v>1</v>
      </c>
      <c r="AP91">
        <v>0</v>
      </c>
      <c r="AQ91">
        <v>0</v>
      </c>
      <c r="AR91">
        <v>0</v>
      </c>
      <c r="AS91" t="s">
        <v>5</v>
      </c>
      <c r="AT91">
        <v>1.26</v>
      </c>
      <c r="AU91" t="s">
        <v>5</v>
      </c>
      <c r="AV91">
        <v>0</v>
      </c>
      <c r="AW91">
        <v>2</v>
      </c>
      <c r="AX91">
        <v>44170264</v>
      </c>
      <c r="AY91">
        <v>1</v>
      </c>
      <c r="AZ91">
        <v>0</v>
      </c>
      <c r="BA91">
        <v>91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0</v>
      </c>
      <c r="BI91">
        <v>0</v>
      </c>
      <c r="BJ91">
        <v>0</v>
      </c>
      <c r="BK91">
        <v>0</v>
      </c>
      <c r="BL91">
        <v>0</v>
      </c>
      <c r="BM91">
        <v>0</v>
      </c>
      <c r="BN91">
        <v>0</v>
      </c>
      <c r="BO91">
        <v>0</v>
      </c>
      <c r="BP91">
        <v>0</v>
      </c>
      <c r="BQ91">
        <v>0</v>
      </c>
      <c r="BR91">
        <v>0</v>
      </c>
      <c r="BS91">
        <v>0</v>
      </c>
      <c r="BT91">
        <v>0</v>
      </c>
      <c r="BU91">
        <v>0</v>
      </c>
      <c r="BV91">
        <v>0</v>
      </c>
      <c r="BW91">
        <v>0</v>
      </c>
      <c r="CX91">
        <f>Y91*Source!I53</f>
        <v>0.12466439999999999</v>
      </c>
      <c r="CY91">
        <f>AB91</f>
        <v>1154.08</v>
      </c>
      <c r="CZ91">
        <f>AF91</f>
        <v>116.89</v>
      </c>
      <c r="DA91">
        <f>AJ91</f>
        <v>9.43</v>
      </c>
      <c r="DB91">
        <f t="shared" si="15"/>
        <v>147.28</v>
      </c>
      <c r="DC91">
        <f t="shared" si="16"/>
        <v>29.5</v>
      </c>
    </row>
    <row r="92" spans="1:107" x14ac:dyDescent="0.2">
      <c r="A92">
        <f>ROW(Source!A53)</f>
        <v>53</v>
      </c>
      <c r="B92">
        <v>44169784</v>
      </c>
      <c r="C92">
        <v>44170254</v>
      </c>
      <c r="D92">
        <v>35064906</v>
      </c>
      <c r="E92">
        <v>1</v>
      </c>
      <c r="F92">
        <v>1</v>
      </c>
      <c r="G92">
        <v>34959076</v>
      </c>
      <c r="H92">
        <v>2</v>
      </c>
      <c r="I92" t="s">
        <v>351</v>
      </c>
      <c r="J92" t="s">
        <v>352</v>
      </c>
      <c r="K92" t="s">
        <v>353</v>
      </c>
      <c r="L92">
        <v>1367</v>
      </c>
      <c r="N92">
        <v>1011</v>
      </c>
      <c r="O92" t="s">
        <v>347</v>
      </c>
      <c r="P92" t="s">
        <v>347</v>
      </c>
      <c r="Q92">
        <v>1</v>
      </c>
      <c r="W92">
        <v>0</v>
      </c>
      <c r="X92">
        <v>856318566</v>
      </c>
      <c r="Y92">
        <v>1.7</v>
      </c>
      <c r="AA92">
        <v>0</v>
      </c>
      <c r="AB92">
        <v>1429.33</v>
      </c>
      <c r="AC92">
        <v>555.1</v>
      </c>
      <c r="AD92">
        <v>0</v>
      </c>
      <c r="AE92">
        <v>0</v>
      </c>
      <c r="AF92">
        <v>125.13</v>
      </c>
      <c r="AG92">
        <v>24.74</v>
      </c>
      <c r="AH92">
        <v>0</v>
      </c>
      <c r="AI92">
        <v>1</v>
      </c>
      <c r="AJ92">
        <v>10.91</v>
      </c>
      <c r="AK92">
        <v>21.43</v>
      </c>
      <c r="AL92">
        <v>1</v>
      </c>
      <c r="AN92">
        <v>0</v>
      </c>
      <c r="AO92">
        <v>1</v>
      </c>
      <c r="AP92">
        <v>0</v>
      </c>
      <c r="AQ92">
        <v>0</v>
      </c>
      <c r="AR92">
        <v>0</v>
      </c>
      <c r="AS92" t="s">
        <v>5</v>
      </c>
      <c r="AT92">
        <v>1.7</v>
      </c>
      <c r="AU92" t="s">
        <v>5</v>
      </c>
      <c r="AV92">
        <v>0</v>
      </c>
      <c r="AW92">
        <v>2</v>
      </c>
      <c r="AX92">
        <v>44170265</v>
      </c>
      <c r="AY92">
        <v>1</v>
      </c>
      <c r="AZ92">
        <v>0</v>
      </c>
      <c r="BA92">
        <v>92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0</v>
      </c>
      <c r="BI92">
        <v>0</v>
      </c>
      <c r="BJ92">
        <v>0</v>
      </c>
      <c r="BK92">
        <v>0</v>
      </c>
      <c r="BL92">
        <v>0</v>
      </c>
      <c r="BM92">
        <v>0</v>
      </c>
      <c r="BN92">
        <v>0</v>
      </c>
      <c r="BO92">
        <v>0</v>
      </c>
      <c r="BP92">
        <v>0</v>
      </c>
      <c r="BQ92">
        <v>0</v>
      </c>
      <c r="BR92">
        <v>0</v>
      </c>
      <c r="BS92">
        <v>0</v>
      </c>
      <c r="BT92">
        <v>0</v>
      </c>
      <c r="BU92">
        <v>0</v>
      </c>
      <c r="BV92">
        <v>0</v>
      </c>
      <c r="BW92">
        <v>0</v>
      </c>
      <c r="CX92">
        <f>Y92*Source!I53</f>
        <v>0.16819799999999999</v>
      </c>
      <c r="CY92">
        <f>AB92</f>
        <v>1429.33</v>
      </c>
      <c r="CZ92">
        <f>AF92</f>
        <v>125.13</v>
      </c>
      <c r="DA92">
        <f>AJ92</f>
        <v>10.91</v>
      </c>
      <c r="DB92">
        <f t="shared" si="15"/>
        <v>212.72</v>
      </c>
      <c r="DC92">
        <f t="shared" si="16"/>
        <v>42.06</v>
      </c>
    </row>
    <row r="93" spans="1:107" x14ac:dyDescent="0.2">
      <c r="A93">
        <f>ROW(Source!A53)</f>
        <v>53</v>
      </c>
      <c r="B93">
        <v>44169784</v>
      </c>
      <c r="C93">
        <v>44170254</v>
      </c>
      <c r="D93">
        <v>34984824</v>
      </c>
      <c r="E93">
        <v>34959076</v>
      </c>
      <c r="F93">
        <v>1</v>
      </c>
      <c r="G93">
        <v>34959076</v>
      </c>
      <c r="H93">
        <v>2</v>
      </c>
      <c r="I93" t="s">
        <v>354</v>
      </c>
      <c r="J93" t="s">
        <v>5</v>
      </c>
      <c r="K93" t="s">
        <v>355</v>
      </c>
      <c r="L93">
        <v>1344</v>
      </c>
      <c r="N93">
        <v>1008</v>
      </c>
      <c r="O93" t="s">
        <v>356</v>
      </c>
      <c r="P93" t="s">
        <v>356</v>
      </c>
      <c r="Q93">
        <v>1</v>
      </c>
      <c r="W93">
        <v>0</v>
      </c>
      <c r="X93">
        <v>-1180195794</v>
      </c>
      <c r="Y93">
        <v>42.43</v>
      </c>
      <c r="AA93">
        <v>0</v>
      </c>
      <c r="AB93">
        <v>1.05</v>
      </c>
      <c r="AC93">
        <v>0</v>
      </c>
      <c r="AD93">
        <v>0</v>
      </c>
      <c r="AE93">
        <v>0</v>
      </c>
      <c r="AF93">
        <v>1</v>
      </c>
      <c r="AG93">
        <v>0</v>
      </c>
      <c r="AH93">
        <v>0</v>
      </c>
      <c r="AI93">
        <v>1</v>
      </c>
      <c r="AJ93">
        <v>1</v>
      </c>
      <c r="AK93">
        <v>1</v>
      </c>
      <c r="AL93">
        <v>1</v>
      </c>
      <c r="AN93">
        <v>0</v>
      </c>
      <c r="AO93">
        <v>1</v>
      </c>
      <c r="AP93">
        <v>0</v>
      </c>
      <c r="AQ93">
        <v>0</v>
      </c>
      <c r="AR93">
        <v>0</v>
      </c>
      <c r="AS93" t="s">
        <v>5</v>
      </c>
      <c r="AT93">
        <v>42.43</v>
      </c>
      <c r="AU93" t="s">
        <v>5</v>
      </c>
      <c r="AV93">
        <v>0</v>
      </c>
      <c r="AW93">
        <v>2</v>
      </c>
      <c r="AX93">
        <v>44170266</v>
      </c>
      <c r="AY93">
        <v>1</v>
      </c>
      <c r="AZ93">
        <v>0</v>
      </c>
      <c r="BA93">
        <v>93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0</v>
      </c>
      <c r="BI93">
        <v>0</v>
      </c>
      <c r="BJ93">
        <v>0</v>
      </c>
      <c r="BK93">
        <v>0</v>
      </c>
      <c r="BL93">
        <v>0</v>
      </c>
      <c r="BM93">
        <v>0</v>
      </c>
      <c r="BN93">
        <v>0</v>
      </c>
      <c r="BO93">
        <v>0</v>
      </c>
      <c r="BP93">
        <v>0</v>
      </c>
      <c r="BQ93">
        <v>0</v>
      </c>
      <c r="BR93">
        <v>0</v>
      </c>
      <c r="BS93">
        <v>0</v>
      </c>
      <c r="BT93">
        <v>0</v>
      </c>
      <c r="BU93">
        <v>0</v>
      </c>
      <c r="BV93">
        <v>0</v>
      </c>
      <c r="BW93">
        <v>0</v>
      </c>
      <c r="CX93">
        <f>Y93*Source!I53</f>
        <v>4.1980241999999999</v>
      </c>
      <c r="CY93">
        <f>AB93</f>
        <v>1.05</v>
      </c>
      <c r="CZ93">
        <f>AF93</f>
        <v>1</v>
      </c>
      <c r="DA93">
        <f>AJ93</f>
        <v>1</v>
      </c>
      <c r="DB93">
        <f t="shared" si="15"/>
        <v>42.43</v>
      </c>
      <c r="DC93">
        <f t="shared" si="16"/>
        <v>0</v>
      </c>
    </row>
    <row r="94" spans="1:107" x14ac:dyDescent="0.2">
      <c r="A94">
        <f>ROW(Source!A54)</f>
        <v>54</v>
      </c>
      <c r="B94">
        <v>44169784</v>
      </c>
      <c r="C94">
        <v>44170267</v>
      </c>
      <c r="D94">
        <v>34984826</v>
      </c>
      <c r="E94">
        <v>34959076</v>
      </c>
      <c r="F94">
        <v>1</v>
      </c>
      <c r="G94">
        <v>34959076</v>
      </c>
      <c r="H94">
        <v>1</v>
      </c>
      <c r="I94" t="s">
        <v>341</v>
      </c>
      <c r="J94" t="s">
        <v>5</v>
      </c>
      <c r="K94" t="s">
        <v>342</v>
      </c>
      <c r="L94">
        <v>1191</v>
      </c>
      <c r="N94">
        <v>1013</v>
      </c>
      <c r="O94" t="s">
        <v>343</v>
      </c>
      <c r="P94" t="s">
        <v>343</v>
      </c>
      <c r="Q94">
        <v>1</v>
      </c>
      <c r="W94">
        <v>0</v>
      </c>
      <c r="X94">
        <v>476480486</v>
      </c>
      <c r="Y94">
        <v>76.7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1</v>
      </c>
      <c r="AJ94">
        <v>1</v>
      </c>
      <c r="AK94">
        <v>1</v>
      </c>
      <c r="AL94">
        <v>1</v>
      </c>
      <c r="AN94">
        <v>0</v>
      </c>
      <c r="AO94">
        <v>1</v>
      </c>
      <c r="AP94">
        <v>1</v>
      </c>
      <c r="AQ94">
        <v>0</v>
      </c>
      <c r="AR94">
        <v>0</v>
      </c>
      <c r="AS94" t="s">
        <v>5</v>
      </c>
      <c r="AT94">
        <v>76.7</v>
      </c>
      <c r="AU94" t="s">
        <v>5</v>
      </c>
      <c r="AV94">
        <v>1</v>
      </c>
      <c r="AW94">
        <v>2</v>
      </c>
      <c r="AX94">
        <v>44170270</v>
      </c>
      <c r="AY94">
        <v>1</v>
      </c>
      <c r="AZ94">
        <v>0</v>
      </c>
      <c r="BA94">
        <v>94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0</v>
      </c>
      <c r="BI94">
        <v>0</v>
      </c>
      <c r="BJ94">
        <v>0</v>
      </c>
      <c r="BK94">
        <v>0</v>
      </c>
      <c r="BL94">
        <v>0</v>
      </c>
      <c r="BM94">
        <v>0</v>
      </c>
      <c r="BN94">
        <v>0</v>
      </c>
      <c r="BO94">
        <v>0</v>
      </c>
      <c r="BP94">
        <v>0</v>
      </c>
      <c r="BQ94">
        <v>0</v>
      </c>
      <c r="BR94">
        <v>0</v>
      </c>
      <c r="BS94">
        <v>0</v>
      </c>
      <c r="BT94">
        <v>0</v>
      </c>
      <c r="BU94">
        <v>0</v>
      </c>
      <c r="BV94">
        <v>0</v>
      </c>
      <c r="BW94">
        <v>0</v>
      </c>
      <c r="CX94">
        <f>Y94*Source!I54</f>
        <v>0</v>
      </c>
      <c r="CY94">
        <f>AD94</f>
        <v>0</v>
      </c>
      <c r="CZ94">
        <f>AH94</f>
        <v>0</v>
      </c>
      <c r="DA94">
        <f>AL94</f>
        <v>1</v>
      </c>
      <c r="DB94">
        <f t="shared" si="15"/>
        <v>0</v>
      </c>
      <c r="DC94">
        <f t="shared" si="16"/>
        <v>0</v>
      </c>
    </row>
    <row r="95" spans="1:107" x14ac:dyDescent="0.2">
      <c r="A95">
        <f>ROW(Source!A55)</f>
        <v>55</v>
      </c>
      <c r="B95">
        <v>44169784</v>
      </c>
      <c r="C95">
        <v>44170271</v>
      </c>
      <c r="D95">
        <v>34984826</v>
      </c>
      <c r="E95">
        <v>34959076</v>
      </c>
      <c r="F95">
        <v>1</v>
      </c>
      <c r="G95">
        <v>34959076</v>
      </c>
      <c r="H95">
        <v>1</v>
      </c>
      <c r="I95" t="s">
        <v>341</v>
      </c>
      <c r="J95" t="s">
        <v>5</v>
      </c>
      <c r="K95" t="s">
        <v>342</v>
      </c>
      <c r="L95">
        <v>1191</v>
      </c>
      <c r="N95">
        <v>1013</v>
      </c>
      <c r="O95" t="s">
        <v>343</v>
      </c>
      <c r="P95" t="s">
        <v>343</v>
      </c>
      <c r="Q95">
        <v>1</v>
      </c>
      <c r="W95">
        <v>0</v>
      </c>
      <c r="X95">
        <v>476480486</v>
      </c>
      <c r="Y95">
        <v>1.1200000000000001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1</v>
      </c>
      <c r="AJ95">
        <v>1</v>
      </c>
      <c r="AK95">
        <v>1</v>
      </c>
      <c r="AL95">
        <v>1</v>
      </c>
      <c r="AN95">
        <v>0</v>
      </c>
      <c r="AO95">
        <v>1</v>
      </c>
      <c r="AP95">
        <v>1</v>
      </c>
      <c r="AQ95">
        <v>0</v>
      </c>
      <c r="AR95">
        <v>0</v>
      </c>
      <c r="AS95" t="s">
        <v>5</v>
      </c>
      <c r="AT95">
        <v>1.1200000000000001</v>
      </c>
      <c r="AU95" t="s">
        <v>5</v>
      </c>
      <c r="AV95">
        <v>1</v>
      </c>
      <c r="AW95">
        <v>2</v>
      </c>
      <c r="AX95">
        <v>44170276</v>
      </c>
      <c r="AY95">
        <v>1</v>
      </c>
      <c r="AZ95">
        <v>0</v>
      </c>
      <c r="BA95">
        <v>95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0</v>
      </c>
      <c r="BI95">
        <v>0</v>
      </c>
      <c r="BJ95">
        <v>0</v>
      </c>
      <c r="BK95">
        <v>0</v>
      </c>
      <c r="BL95">
        <v>0</v>
      </c>
      <c r="BM95">
        <v>0</v>
      </c>
      <c r="BN95">
        <v>0</v>
      </c>
      <c r="BO95">
        <v>0</v>
      </c>
      <c r="BP95">
        <v>0</v>
      </c>
      <c r="BQ95">
        <v>0</v>
      </c>
      <c r="BR95">
        <v>0</v>
      </c>
      <c r="BS95">
        <v>0</v>
      </c>
      <c r="BT95">
        <v>0</v>
      </c>
      <c r="BU95">
        <v>0</v>
      </c>
      <c r="BV95">
        <v>0</v>
      </c>
      <c r="BW95">
        <v>0</v>
      </c>
      <c r="CX95">
        <f>Y95*Source!I55</f>
        <v>0</v>
      </c>
      <c r="CY95">
        <f>AD95</f>
        <v>0</v>
      </c>
      <c r="CZ95">
        <f>AH95</f>
        <v>0</v>
      </c>
      <c r="DA95">
        <f>AL95</f>
        <v>1</v>
      </c>
      <c r="DB95">
        <f t="shared" si="15"/>
        <v>0</v>
      </c>
      <c r="DC95">
        <f t="shared" si="16"/>
        <v>0</v>
      </c>
    </row>
    <row r="96" spans="1:107" x14ac:dyDescent="0.2">
      <c r="A96">
        <f>ROW(Source!A55)</f>
        <v>55</v>
      </c>
      <c r="B96">
        <v>44169784</v>
      </c>
      <c r="C96">
        <v>44170271</v>
      </c>
      <c r="D96">
        <v>35065343</v>
      </c>
      <c r="E96">
        <v>1</v>
      </c>
      <c r="F96">
        <v>1</v>
      </c>
      <c r="G96">
        <v>34959076</v>
      </c>
      <c r="H96">
        <v>2</v>
      </c>
      <c r="I96" t="s">
        <v>363</v>
      </c>
      <c r="J96" t="s">
        <v>364</v>
      </c>
      <c r="K96" t="s">
        <v>365</v>
      </c>
      <c r="L96">
        <v>1367</v>
      </c>
      <c r="N96">
        <v>1011</v>
      </c>
      <c r="O96" t="s">
        <v>347</v>
      </c>
      <c r="P96" t="s">
        <v>347</v>
      </c>
      <c r="Q96">
        <v>1</v>
      </c>
      <c r="W96">
        <v>0</v>
      </c>
      <c r="X96">
        <v>879431454</v>
      </c>
      <c r="Y96">
        <v>0.38</v>
      </c>
      <c r="AA96">
        <v>0</v>
      </c>
      <c r="AB96">
        <v>1070.53</v>
      </c>
      <c r="AC96">
        <v>866.53</v>
      </c>
      <c r="AD96">
        <v>0</v>
      </c>
      <c r="AE96">
        <v>0</v>
      </c>
      <c r="AF96">
        <v>148.4</v>
      </c>
      <c r="AG96">
        <v>38.619999999999997</v>
      </c>
      <c r="AH96">
        <v>0</v>
      </c>
      <c r="AI96">
        <v>1</v>
      </c>
      <c r="AJ96">
        <v>6.89</v>
      </c>
      <c r="AK96">
        <v>21.43</v>
      </c>
      <c r="AL96">
        <v>1</v>
      </c>
      <c r="AN96">
        <v>0</v>
      </c>
      <c r="AO96">
        <v>1</v>
      </c>
      <c r="AP96">
        <v>1</v>
      </c>
      <c r="AQ96">
        <v>0</v>
      </c>
      <c r="AR96">
        <v>0</v>
      </c>
      <c r="AS96" t="s">
        <v>5</v>
      </c>
      <c r="AT96">
        <v>0.38</v>
      </c>
      <c r="AU96" t="s">
        <v>5</v>
      </c>
      <c r="AV96">
        <v>0</v>
      </c>
      <c r="AW96">
        <v>2</v>
      </c>
      <c r="AX96">
        <v>44170277</v>
      </c>
      <c r="AY96">
        <v>1</v>
      </c>
      <c r="AZ96">
        <v>0</v>
      </c>
      <c r="BA96">
        <v>96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0</v>
      </c>
      <c r="BI96">
        <v>0</v>
      </c>
      <c r="BJ96">
        <v>0</v>
      </c>
      <c r="BK96">
        <v>0</v>
      </c>
      <c r="BL96">
        <v>0</v>
      </c>
      <c r="BM96">
        <v>0</v>
      </c>
      <c r="BN96">
        <v>0</v>
      </c>
      <c r="BO96">
        <v>0</v>
      </c>
      <c r="BP96">
        <v>0</v>
      </c>
      <c r="BQ96">
        <v>0</v>
      </c>
      <c r="BR96">
        <v>0</v>
      </c>
      <c r="BS96">
        <v>0</v>
      </c>
      <c r="BT96">
        <v>0</v>
      </c>
      <c r="BU96">
        <v>0</v>
      </c>
      <c r="BV96">
        <v>0</v>
      </c>
      <c r="BW96">
        <v>0</v>
      </c>
      <c r="CX96">
        <f>Y96*Source!I55</f>
        <v>0</v>
      </c>
      <c r="CY96">
        <f>AB96</f>
        <v>1070.53</v>
      </c>
      <c r="CZ96">
        <f>AF96</f>
        <v>148.4</v>
      </c>
      <c r="DA96">
        <f>AJ96</f>
        <v>6.89</v>
      </c>
      <c r="DB96">
        <f t="shared" si="15"/>
        <v>56.39</v>
      </c>
      <c r="DC96">
        <f t="shared" si="16"/>
        <v>14.68</v>
      </c>
    </row>
    <row r="97" spans="1:107" x14ac:dyDescent="0.2">
      <c r="A97">
        <f>ROW(Source!A56)</f>
        <v>56</v>
      </c>
      <c r="B97">
        <v>44169784</v>
      </c>
      <c r="C97">
        <v>44170278</v>
      </c>
      <c r="D97">
        <v>34984824</v>
      </c>
      <c r="E97">
        <v>34959076</v>
      </c>
      <c r="F97">
        <v>1</v>
      </c>
      <c r="G97">
        <v>34959076</v>
      </c>
      <c r="H97">
        <v>2</v>
      </c>
      <c r="I97" t="s">
        <v>354</v>
      </c>
      <c r="J97" t="s">
        <v>5</v>
      </c>
      <c r="K97" t="s">
        <v>355</v>
      </c>
      <c r="L97">
        <v>1344</v>
      </c>
      <c r="N97">
        <v>1008</v>
      </c>
      <c r="O97" t="s">
        <v>356</v>
      </c>
      <c r="P97" t="s">
        <v>356</v>
      </c>
      <c r="Q97">
        <v>1</v>
      </c>
      <c r="W97">
        <v>0</v>
      </c>
      <c r="X97">
        <v>-1180195794</v>
      </c>
      <c r="Y97">
        <v>8.86</v>
      </c>
      <c r="AA97">
        <v>0</v>
      </c>
      <c r="AB97">
        <v>1.05</v>
      </c>
      <c r="AC97">
        <v>0</v>
      </c>
      <c r="AD97">
        <v>0</v>
      </c>
      <c r="AE97">
        <v>0</v>
      </c>
      <c r="AF97">
        <v>1</v>
      </c>
      <c r="AG97">
        <v>0</v>
      </c>
      <c r="AH97">
        <v>0</v>
      </c>
      <c r="AI97">
        <v>1</v>
      </c>
      <c r="AJ97">
        <v>1</v>
      </c>
      <c r="AK97">
        <v>1</v>
      </c>
      <c r="AL97">
        <v>1</v>
      </c>
      <c r="AN97">
        <v>0</v>
      </c>
      <c r="AO97">
        <v>1</v>
      </c>
      <c r="AP97">
        <v>1</v>
      </c>
      <c r="AQ97">
        <v>0</v>
      </c>
      <c r="AR97">
        <v>0</v>
      </c>
      <c r="AS97" t="s">
        <v>5</v>
      </c>
      <c r="AT97">
        <v>8.86</v>
      </c>
      <c r="AU97" t="s">
        <v>5</v>
      </c>
      <c r="AV97">
        <v>0</v>
      </c>
      <c r="AW97">
        <v>2</v>
      </c>
      <c r="AX97">
        <v>44170281</v>
      </c>
      <c r="AY97">
        <v>1</v>
      </c>
      <c r="AZ97">
        <v>0</v>
      </c>
      <c r="BA97">
        <v>97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0</v>
      </c>
      <c r="BI97">
        <v>0</v>
      </c>
      <c r="BJ97">
        <v>0</v>
      </c>
      <c r="BK97">
        <v>0</v>
      </c>
      <c r="BL97">
        <v>0</v>
      </c>
      <c r="BM97">
        <v>0</v>
      </c>
      <c r="BN97">
        <v>0</v>
      </c>
      <c r="BO97">
        <v>0</v>
      </c>
      <c r="BP97">
        <v>0</v>
      </c>
      <c r="BQ97">
        <v>0</v>
      </c>
      <c r="BR97">
        <v>0</v>
      </c>
      <c r="BS97">
        <v>0</v>
      </c>
      <c r="BT97">
        <v>0</v>
      </c>
      <c r="BU97">
        <v>0</v>
      </c>
      <c r="BV97">
        <v>0</v>
      </c>
      <c r="BW97">
        <v>0</v>
      </c>
      <c r="CX97">
        <f>Y97*Source!I56</f>
        <v>661.7803343999999</v>
      </c>
      <c r="CY97">
        <f>AB97</f>
        <v>1.05</v>
      </c>
      <c r="CZ97">
        <f>AF97</f>
        <v>1</v>
      </c>
      <c r="DA97">
        <f>AJ97</f>
        <v>1</v>
      </c>
      <c r="DB97">
        <f t="shared" si="15"/>
        <v>8.86</v>
      </c>
      <c r="DC97">
        <f t="shared" si="16"/>
        <v>0</v>
      </c>
    </row>
    <row r="98" spans="1:107" x14ac:dyDescent="0.2">
      <c r="A98">
        <f>ROW(Source!A57)</f>
        <v>57</v>
      </c>
      <c r="B98">
        <v>44169784</v>
      </c>
      <c r="C98">
        <v>44170282</v>
      </c>
      <c r="D98">
        <v>34984826</v>
      </c>
      <c r="E98">
        <v>34959076</v>
      </c>
      <c r="F98">
        <v>1</v>
      </c>
      <c r="G98">
        <v>34959076</v>
      </c>
      <c r="H98">
        <v>1</v>
      </c>
      <c r="I98" t="s">
        <v>341</v>
      </c>
      <c r="J98" t="s">
        <v>5</v>
      </c>
      <c r="K98" t="s">
        <v>342</v>
      </c>
      <c r="L98">
        <v>1191</v>
      </c>
      <c r="N98">
        <v>1013</v>
      </c>
      <c r="O98" t="s">
        <v>343</v>
      </c>
      <c r="P98" t="s">
        <v>343</v>
      </c>
      <c r="Q98">
        <v>1</v>
      </c>
      <c r="W98">
        <v>0</v>
      </c>
      <c r="X98">
        <v>476480486</v>
      </c>
      <c r="Y98">
        <v>14.4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1</v>
      </c>
      <c r="AJ98">
        <v>1</v>
      </c>
      <c r="AK98">
        <v>1</v>
      </c>
      <c r="AL98">
        <v>1</v>
      </c>
      <c r="AN98">
        <v>0</v>
      </c>
      <c r="AO98">
        <v>1</v>
      </c>
      <c r="AP98">
        <v>1</v>
      </c>
      <c r="AQ98">
        <v>0</v>
      </c>
      <c r="AR98">
        <v>0</v>
      </c>
      <c r="AS98" t="s">
        <v>5</v>
      </c>
      <c r="AT98">
        <v>14.4</v>
      </c>
      <c r="AU98" t="s">
        <v>5</v>
      </c>
      <c r="AV98">
        <v>1</v>
      </c>
      <c r="AW98">
        <v>2</v>
      </c>
      <c r="AX98">
        <v>44170299</v>
      </c>
      <c r="AY98">
        <v>1</v>
      </c>
      <c r="AZ98">
        <v>0</v>
      </c>
      <c r="BA98">
        <v>98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0</v>
      </c>
      <c r="BI98">
        <v>0</v>
      </c>
      <c r="BJ98">
        <v>0</v>
      </c>
      <c r="BK98">
        <v>0</v>
      </c>
      <c r="BL98">
        <v>0</v>
      </c>
      <c r="BM98">
        <v>0</v>
      </c>
      <c r="BN98">
        <v>0</v>
      </c>
      <c r="BO98">
        <v>0</v>
      </c>
      <c r="BP98">
        <v>0</v>
      </c>
      <c r="BQ98">
        <v>0</v>
      </c>
      <c r="BR98">
        <v>0</v>
      </c>
      <c r="BS98">
        <v>0</v>
      </c>
      <c r="BT98">
        <v>0</v>
      </c>
      <c r="BU98">
        <v>0</v>
      </c>
      <c r="BV98">
        <v>0</v>
      </c>
      <c r="BW98">
        <v>0</v>
      </c>
      <c r="CX98">
        <f>Y98*Source!I57</f>
        <v>2.9681999999999999</v>
      </c>
      <c r="CY98">
        <f>AD98</f>
        <v>0</v>
      </c>
      <c r="CZ98">
        <f>AH98</f>
        <v>0</v>
      </c>
      <c r="DA98">
        <f>AL98</f>
        <v>1</v>
      </c>
      <c r="DB98">
        <f t="shared" si="15"/>
        <v>0</v>
      </c>
      <c r="DC98">
        <f t="shared" si="16"/>
        <v>0</v>
      </c>
    </row>
    <row r="99" spans="1:107" x14ac:dyDescent="0.2">
      <c r="A99">
        <f>ROW(Source!A57)</f>
        <v>57</v>
      </c>
      <c r="B99">
        <v>44169784</v>
      </c>
      <c r="C99">
        <v>44170282</v>
      </c>
      <c r="D99">
        <v>35064650</v>
      </c>
      <c r="E99">
        <v>1</v>
      </c>
      <c r="F99">
        <v>1</v>
      </c>
      <c r="G99">
        <v>34959076</v>
      </c>
      <c r="H99">
        <v>2</v>
      </c>
      <c r="I99" t="s">
        <v>366</v>
      </c>
      <c r="J99" t="s">
        <v>367</v>
      </c>
      <c r="K99" t="s">
        <v>368</v>
      </c>
      <c r="L99">
        <v>1367</v>
      </c>
      <c r="N99">
        <v>1011</v>
      </c>
      <c r="O99" t="s">
        <v>347</v>
      </c>
      <c r="P99" t="s">
        <v>347</v>
      </c>
      <c r="Q99">
        <v>1</v>
      </c>
      <c r="W99">
        <v>0</v>
      </c>
      <c r="X99">
        <v>1928543733</v>
      </c>
      <c r="Y99">
        <v>1.66</v>
      </c>
      <c r="AA99">
        <v>0</v>
      </c>
      <c r="AB99">
        <v>1154.08</v>
      </c>
      <c r="AC99">
        <v>525.26</v>
      </c>
      <c r="AD99">
        <v>0</v>
      </c>
      <c r="AE99">
        <v>0</v>
      </c>
      <c r="AF99">
        <v>116.89</v>
      </c>
      <c r="AG99">
        <v>23.41</v>
      </c>
      <c r="AH99">
        <v>0</v>
      </c>
      <c r="AI99">
        <v>1</v>
      </c>
      <c r="AJ99">
        <v>9.43</v>
      </c>
      <c r="AK99">
        <v>21.43</v>
      </c>
      <c r="AL99">
        <v>1</v>
      </c>
      <c r="AN99">
        <v>0</v>
      </c>
      <c r="AO99">
        <v>1</v>
      </c>
      <c r="AP99">
        <v>1</v>
      </c>
      <c r="AQ99">
        <v>0</v>
      </c>
      <c r="AR99">
        <v>0</v>
      </c>
      <c r="AS99" t="s">
        <v>5</v>
      </c>
      <c r="AT99">
        <v>1.66</v>
      </c>
      <c r="AU99" t="s">
        <v>5</v>
      </c>
      <c r="AV99">
        <v>0</v>
      </c>
      <c r="AW99">
        <v>2</v>
      </c>
      <c r="AX99">
        <v>44170300</v>
      </c>
      <c r="AY99">
        <v>1</v>
      </c>
      <c r="AZ99">
        <v>0</v>
      </c>
      <c r="BA99">
        <v>99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0</v>
      </c>
      <c r="BI99">
        <v>0</v>
      </c>
      <c r="BJ99">
        <v>0</v>
      </c>
      <c r="BK99">
        <v>0</v>
      </c>
      <c r="BL99">
        <v>0</v>
      </c>
      <c r="BM99">
        <v>0</v>
      </c>
      <c r="BN99">
        <v>0</v>
      </c>
      <c r="BO99">
        <v>0</v>
      </c>
      <c r="BP99">
        <v>0</v>
      </c>
      <c r="BQ99">
        <v>0</v>
      </c>
      <c r="BR99">
        <v>0</v>
      </c>
      <c r="BS99">
        <v>0</v>
      </c>
      <c r="BT99">
        <v>0</v>
      </c>
      <c r="BU99">
        <v>0</v>
      </c>
      <c r="BV99">
        <v>0</v>
      </c>
      <c r="BW99">
        <v>0</v>
      </c>
      <c r="CX99">
        <f>Y99*Source!I57</f>
        <v>0.34216750000000001</v>
      </c>
      <c r="CY99">
        <f>AB99</f>
        <v>1154.08</v>
      </c>
      <c r="CZ99">
        <f>AF99</f>
        <v>116.89</v>
      </c>
      <c r="DA99">
        <f>AJ99</f>
        <v>9.43</v>
      </c>
      <c r="DB99">
        <f t="shared" si="15"/>
        <v>194.04</v>
      </c>
      <c r="DC99">
        <f t="shared" si="16"/>
        <v>38.86</v>
      </c>
    </row>
    <row r="100" spans="1:107" x14ac:dyDescent="0.2">
      <c r="A100">
        <f>ROW(Source!A57)</f>
        <v>57</v>
      </c>
      <c r="B100">
        <v>44169784</v>
      </c>
      <c r="C100">
        <v>44170282</v>
      </c>
      <c r="D100">
        <v>35064875</v>
      </c>
      <c r="E100">
        <v>1</v>
      </c>
      <c r="F100">
        <v>1</v>
      </c>
      <c r="G100">
        <v>34959076</v>
      </c>
      <c r="H100">
        <v>2</v>
      </c>
      <c r="I100" t="s">
        <v>369</v>
      </c>
      <c r="J100" t="s">
        <v>370</v>
      </c>
      <c r="K100" t="s">
        <v>371</v>
      </c>
      <c r="L100">
        <v>1367</v>
      </c>
      <c r="N100">
        <v>1011</v>
      </c>
      <c r="O100" t="s">
        <v>347</v>
      </c>
      <c r="P100" t="s">
        <v>347</v>
      </c>
      <c r="Q100">
        <v>1</v>
      </c>
      <c r="W100">
        <v>0</v>
      </c>
      <c r="X100">
        <v>142191915</v>
      </c>
      <c r="Y100">
        <v>1.66</v>
      </c>
      <c r="AA100">
        <v>0</v>
      </c>
      <c r="AB100">
        <v>383.05</v>
      </c>
      <c r="AC100">
        <v>148.97999999999999</v>
      </c>
      <c r="AD100">
        <v>0</v>
      </c>
      <c r="AE100">
        <v>0</v>
      </c>
      <c r="AF100">
        <v>62.97</v>
      </c>
      <c r="AG100">
        <v>6.64</v>
      </c>
      <c r="AH100">
        <v>0</v>
      </c>
      <c r="AI100">
        <v>1</v>
      </c>
      <c r="AJ100">
        <v>5.81</v>
      </c>
      <c r="AK100">
        <v>21.43</v>
      </c>
      <c r="AL100">
        <v>1</v>
      </c>
      <c r="AN100">
        <v>0</v>
      </c>
      <c r="AO100">
        <v>1</v>
      </c>
      <c r="AP100">
        <v>1</v>
      </c>
      <c r="AQ100">
        <v>0</v>
      </c>
      <c r="AR100">
        <v>0</v>
      </c>
      <c r="AS100" t="s">
        <v>5</v>
      </c>
      <c r="AT100">
        <v>1.66</v>
      </c>
      <c r="AU100" t="s">
        <v>5</v>
      </c>
      <c r="AV100">
        <v>0</v>
      </c>
      <c r="AW100">
        <v>2</v>
      </c>
      <c r="AX100">
        <v>44170301</v>
      </c>
      <c r="AY100">
        <v>1</v>
      </c>
      <c r="AZ100">
        <v>0</v>
      </c>
      <c r="BA100">
        <v>100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0</v>
      </c>
      <c r="BI100">
        <v>0</v>
      </c>
      <c r="BJ100">
        <v>0</v>
      </c>
      <c r="BK100">
        <v>0</v>
      </c>
      <c r="BL100">
        <v>0</v>
      </c>
      <c r="BM100">
        <v>0</v>
      </c>
      <c r="BN100">
        <v>0</v>
      </c>
      <c r="BO100">
        <v>0</v>
      </c>
      <c r="BP100">
        <v>0</v>
      </c>
      <c r="BQ100">
        <v>0</v>
      </c>
      <c r="BR100">
        <v>0</v>
      </c>
      <c r="BS100">
        <v>0</v>
      </c>
      <c r="BT100">
        <v>0</v>
      </c>
      <c r="BU100">
        <v>0</v>
      </c>
      <c r="BV100">
        <v>0</v>
      </c>
      <c r="BW100">
        <v>0</v>
      </c>
      <c r="CX100">
        <f>Y100*Source!I57</f>
        <v>0.34216750000000001</v>
      </c>
      <c r="CY100">
        <f>AB100</f>
        <v>383.05</v>
      </c>
      <c r="CZ100">
        <f>AF100</f>
        <v>62.97</v>
      </c>
      <c r="DA100">
        <f>AJ100</f>
        <v>5.81</v>
      </c>
      <c r="DB100">
        <f t="shared" si="15"/>
        <v>104.53</v>
      </c>
      <c r="DC100">
        <f t="shared" si="16"/>
        <v>11.02</v>
      </c>
    </row>
    <row r="101" spans="1:107" x14ac:dyDescent="0.2">
      <c r="A101">
        <f>ROW(Source!A57)</f>
        <v>57</v>
      </c>
      <c r="B101">
        <v>44169784</v>
      </c>
      <c r="C101">
        <v>44170282</v>
      </c>
      <c r="D101">
        <v>35064878</v>
      </c>
      <c r="E101">
        <v>1</v>
      </c>
      <c r="F101">
        <v>1</v>
      </c>
      <c r="G101">
        <v>34959076</v>
      </c>
      <c r="H101">
        <v>2</v>
      </c>
      <c r="I101" t="s">
        <v>372</v>
      </c>
      <c r="J101" t="s">
        <v>373</v>
      </c>
      <c r="K101" t="s">
        <v>374</v>
      </c>
      <c r="L101">
        <v>1367</v>
      </c>
      <c r="N101">
        <v>1011</v>
      </c>
      <c r="O101" t="s">
        <v>347</v>
      </c>
      <c r="P101" t="s">
        <v>347</v>
      </c>
      <c r="Q101">
        <v>1</v>
      </c>
      <c r="W101">
        <v>0</v>
      </c>
      <c r="X101">
        <v>378346098</v>
      </c>
      <c r="Y101">
        <v>0.65</v>
      </c>
      <c r="AA101">
        <v>0</v>
      </c>
      <c r="AB101">
        <v>1848.67</v>
      </c>
      <c r="AC101">
        <v>641.92999999999995</v>
      </c>
      <c r="AD101">
        <v>0</v>
      </c>
      <c r="AE101">
        <v>0</v>
      </c>
      <c r="AF101">
        <v>140.58000000000001</v>
      </c>
      <c r="AG101">
        <v>28.61</v>
      </c>
      <c r="AH101">
        <v>0</v>
      </c>
      <c r="AI101">
        <v>1</v>
      </c>
      <c r="AJ101">
        <v>12.56</v>
      </c>
      <c r="AK101">
        <v>21.43</v>
      </c>
      <c r="AL101">
        <v>1</v>
      </c>
      <c r="AN101">
        <v>0</v>
      </c>
      <c r="AO101">
        <v>1</v>
      </c>
      <c r="AP101">
        <v>1</v>
      </c>
      <c r="AQ101">
        <v>0</v>
      </c>
      <c r="AR101">
        <v>0</v>
      </c>
      <c r="AS101" t="s">
        <v>5</v>
      </c>
      <c r="AT101">
        <v>0.65</v>
      </c>
      <c r="AU101" t="s">
        <v>5</v>
      </c>
      <c r="AV101">
        <v>0</v>
      </c>
      <c r="AW101">
        <v>2</v>
      </c>
      <c r="AX101">
        <v>44170302</v>
      </c>
      <c r="AY101">
        <v>1</v>
      </c>
      <c r="AZ101">
        <v>0</v>
      </c>
      <c r="BA101">
        <v>101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0</v>
      </c>
      <c r="BI101">
        <v>0</v>
      </c>
      <c r="BJ101">
        <v>0</v>
      </c>
      <c r="BK101">
        <v>0</v>
      </c>
      <c r="BL101">
        <v>0</v>
      </c>
      <c r="BM101">
        <v>0</v>
      </c>
      <c r="BN101">
        <v>0</v>
      </c>
      <c r="BO101">
        <v>0</v>
      </c>
      <c r="BP101">
        <v>0</v>
      </c>
      <c r="BQ101">
        <v>0</v>
      </c>
      <c r="BR101">
        <v>0</v>
      </c>
      <c r="BS101">
        <v>0</v>
      </c>
      <c r="BT101">
        <v>0</v>
      </c>
      <c r="BU101">
        <v>0</v>
      </c>
      <c r="BV101">
        <v>0</v>
      </c>
      <c r="BW101">
        <v>0</v>
      </c>
      <c r="CX101">
        <f>Y101*Source!I57</f>
        <v>0.13398125</v>
      </c>
      <c r="CY101">
        <f>AB101</f>
        <v>1848.67</v>
      </c>
      <c r="CZ101">
        <f>AF101</f>
        <v>140.58000000000001</v>
      </c>
      <c r="DA101">
        <f>AJ101</f>
        <v>12.56</v>
      </c>
      <c r="DB101">
        <f t="shared" si="15"/>
        <v>91.38</v>
      </c>
      <c r="DC101">
        <f t="shared" si="16"/>
        <v>18.600000000000001</v>
      </c>
    </row>
    <row r="102" spans="1:107" x14ac:dyDescent="0.2">
      <c r="A102">
        <f>ROW(Source!A57)</f>
        <v>57</v>
      </c>
      <c r="B102">
        <v>44169784</v>
      </c>
      <c r="C102">
        <v>44170282</v>
      </c>
      <c r="D102">
        <v>35064906</v>
      </c>
      <c r="E102">
        <v>1</v>
      </c>
      <c r="F102">
        <v>1</v>
      </c>
      <c r="G102">
        <v>34959076</v>
      </c>
      <c r="H102">
        <v>2</v>
      </c>
      <c r="I102" t="s">
        <v>351</v>
      </c>
      <c r="J102" t="s">
        <v>352</v>
      </c>
      <c r="K102" t="s">
        <v>353</v>
      </c>
      <c r="L102">
        <v>1367</v>
      </c>
      <c r="N102">
        <v>1011</v>
      </c>
      <c r="O102" t="s">
        <v>347</v>
      </c>
      <c r="P102" t="s">
        <v>347</v>
      </c>
      <c r="Q102">
        <v>1</v>
      </c>
      <c r="W102">
        <v>0</v>
      </c>
      <c r="X102">
        <v>856318566</v>
      </c>
      <c r="Y102">
        <v>1.55</v>
      </c>
      <c r="AA102">
        <v>0</v>
      </c>
      <c r="AB102">
        <v>1429.33</v>
      </c>
      <c r="AC102">
        <v>555.1</v>
      </c>
      <c r="AD102">
        <v>0</v>
      </c>
      <c r="AE102">
        <v>0</v>
      </c>
      <c r="AF102">
        <v>125.13</v>
      </c>
      <c r="AG102">
        <v>24.74</v>
      </c>
      <c r="AH102">
        <v>0</v>
      </c>
      <c r="AI102">
        <v>1</v>
      </c>
      <c r="AJ102">
        <v>10.91</v>
      </c>
      <c r="AK102">
        <v>21.43</v>
      </c>
      <c r="AL102">
        <v>1</v>
      </c>
      <c r="AN102">
        <v>0</v>
      </c>
      <c r="AO102">
        <v>1</v>
      </c>
      <c r="AP102">
        <v>1</v>
      </c>
      <c r="AQ102">
        <v>0</v>
      </c>
      <c r="AR102">
        <v>0</v>
      </c>
      <c r="AS102" t="s">
        <v>5</v>
      </c>
      <c r="AT102">
        <v>1.55</v>
      </c>
      <c r="AU102" t="s">
        <v>5</v>
      </c>
      <c r="AV102">
        <v>0</v>
      </c>
      <c r="AW102">
        <v>2</v>
      </c>
      <c r="AX102">
        <v>44170303</v>
      </c>
      <c r="AY102">
        <v>1</v>
      </c>
      <c r="AZ102">
        <v>0</v>
      </c>
      <c r="BA102">
        <v>102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0</v>
      </c>
      <c r="BI102">
        <v>0</v>
      </c>
      <c r="BJ102">
        <v>0</v>
      </c>
      <c r="BK102">
        <v>0</v>
      </c>
      <c r="BL102">
        <v>0</v>
      </c>
      <c r="BM102">
        <v>0</v>
      </c>
      <c r="BN102">
        <v>0</v>
      </c>
      <c r="BO102">
        <v>0</v>
      </c>
      <c r="BP102">
        <v>0</v>
      </c>
      <c r="BQ102">
        <v>0</v>
      </c>
      <c r="BR102">
        <v>0</v>
      </c>
      <c r="BS102">
        <v>0</v>
      </c>
      <c r="BT102">
        <v>0</v>
      </c>
      <c r="BU102">
        <v>0</v>
      </c>
      <c r="BV102">
        <v>0</v>
      </c>
      <c r="BW102">
        <v>0</v>
      </c>
      <c r="CX102">
        <f>Y102*Source!I57</f>
        <v>0.31949375000000002</v>
      </c>
      <c r="CY102">
        <f>AB102</f>
        <v>1429.33</v>
      </c>
      <c r="CZ102">
        <f>AF102</f>
        <v>125.13</v>
      </c>
      <c r="DA102">
        <f>AJ102</f>
        <v>10.91</v>
      </c>
      <c r="DB102">
        <f t="shared" si="15"/>
        <v>193.95</v>
      </c>
      <c r="DC102">
        <f t="shared" si="16"/>
        <v>38.35</v>
      </c>
    </row>
    <row r="103" spans="1:107" x14ac:dyDescent="0.2">
      <c r="A103">
        <f>ROW(Source!A57)</f>
        <v>57</v>
      </c>
      <c r="B103">
        <v>44169784</v>
      </c>
      <c r="C103">
        <v>44170282</v>
      </c>
      <c r="D103">
        <v>35064868</v>
      </c>
      <c r="E103">
        <v>1</v>
      </c>
      <c r="F103">
        <v>1</v>
      </c>
      <c r="G103">
        <v>34959076</v>
      </c>
      <c r="H103">
        <v>2</v>
      </c>
      <c r="I103" t="s">
        <v>375</v>
      </c>
      <c r="J103" t="s">
        <v>376</v>
      </c>
      <c r="K103" t="s">
        <v>377</v>
      </c>
      <c r="L103">
        <v>1367</v>
      </c>
      <c r="N103">
        <v>1011</v>
      </c>
      <c r="O103" t="s">
        <v>347</v>
      </c>
      <c r="P103" t="s">
        <v>347</v>
      </c>
      <c r="Q103">
        <v>1</v>
      </c>
      <c r="W103">
        <v>0</v>
      </c>
      <c r="X103">
        <v>2023875219</v>
      </c>
      <c r="Y103">
        <v>0.52</v>
      </c>
      <c r="AA103">
        <v>0</v>
      </c>
      <c r="AB103">
        <v>1895.56</v>
      </c>
      <c r="AC103">
        <v>527.27</v>
      </c>
      <c r="AD103">
        <v>0</v>
      </c>
      <c r="AE103">
        <v>0</v>
      </c>
      <c r="AF103">
        <v>178.02</v>
      </c>
      <c r="AG103">
        <v>23.5</v>
      </c>
      <c r="AH103">
        <v>0</v>
      </c>
      <c r="AI103">
        <v>1</v>
      </c>
      <c r="AJ103">
        <v>10.17</v>
      </c>
      <c r="AK103">
        <v>21.43</v>
      </c>
      <c r="AL103">
        <v>1</v>
      </c>
      <c r="AN103">
        <v>0</v>
      </c>
      <c r="AO103">
        <v>1</v>
      </c>
      <c r="AP103">
        <v>1</v>
      </c>
      <c r="AQ103">
        <v>0</v>
      </c>
      <c r="AR103">
        <v>0</v>
      </c>
      <c r="AS103" t="s">
        <v>5</v>
      </c>
      <c r="AT103">
        <v>0.52</v>
      </c>
      <c r="AU103" t="s">
        <v>5</v>
      </c>
      <c r="AV103">
        <v>0</v>
      </c>
      <c r="AW103">
        <v>2</v>
      </c>
      <c r="AX103">
        <v>44170304</v>
      </c>
      <c r="AY103">
        <v>1</v>
      </c>
      <c r="AZ103">
        <v>0</v>
      </c>
      <c r="BA103">
        <v>103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0</v>
      </c>
      <c r="BI103">
        <v>0</v>
      </c>
      <c r="BJ103">
        <v>0</v>
      </c>
      <c r="BK103">
        <v>0</v>
      </c>
      <c r="BL103">
        <v>0</v>
      </c>
      <c r="BM103">
        <v>0</v>
      </c>
      <c r="BN103">
        <v>0</v>
      </c>
      <c r="BO103">
        <v>0</v>
      </c>
      <c r="BP103">
        <v>0</v>
      </c>
      <c r="BQ103">
        <v>0</v>
      </c>
      <c r="BR103">
        <v>0</v>
      </c>
      <c r="BS103">
        <v>0</v>
      </c>
      <c r="BT103">
        <v>0</v>
      </c>
      <c r="BU103">
        <v>0</v>
      </c>
      <c r="BV103">
        <v>0</v>
      </c>
      <c r="BW103">
        <v>0</v>
      </c>
      <c r="CX103">
        <f>Y103*Source!I57</f>
        <v>0.107185</v>
      </c>
      <c r="CY103">
        <f>AB103</f>
        <v>1895.56</v>
      </c>
      <c r="CZ103">
        <f>AF103</f>
        <v>178.02</v>
      </c>
      <c r="DA103">
        <f>AJ103</f>
        <v>10.17</v>
      </c>
      <c r="DB103">
        <f t="shared" si="15"/>
        <v>92.57</v>
      </c>
      <c r="DC103">
        <f t="shared" si="16"/>
        <v>12.22</v>
      </c>
    </row>
    <row r="104" spans="1:107" x14ac:dyDescent="0.2">
      <c r="A104">
        <f>ROW(Source!A57)</f>
        <v>57</v>
      </c>
      <c r="B104">
        <v>44169784</v>
      </c>
      <c r="C104">
        <v>44170282</v>
      </c>
      <c r="D104">
        <v>0</v>
      </c>
      <c r="E104">
        <v>1</v>
      </c>
      <c r="F104">
        <v>1</v>
      </c>
      <c r="G104">
        <v>34959076</v>
      </c>
      <c r="H104">
        <v>3</v>
      </c>
      <c r="I104" t="s">
        <v>378</v>
      </c>
      <c r="J104" t="s">
        <v>379</v>
      </c>
      <c r="K104" t="s">
        <v>380</v>
      </c>
      <c r="L104">
        <v>1339</v>
      </c>
      <c r="N104">
        <v>1007</v>
      </c>
      <c r="O104" t="s">
        <v>59</v>
      </c>
      <c r="P104" t="s">
        <v>59</v>
      </c>
      <c r="Q104">
        <v>1</v>
      </c>
      <c r="W104">
        <v>0</v>
      </c>
      <c r="X104">
        <v>55300385</v>
      </c>
      <c r="Y104">
        <v>5</v>
      </c>
      <c r="AA104">
        <v>7.08</v>
      </c>
      <c r="AB104">
        <v>0</v>
      </c>
      <c r="AC104">
        <v>0</v>
      </c>
      <c r="AD104">
        <v>0</v>
      </c>
      <c r="AE104">
        <v>7.07</v>
      </c>
      <c r="AF104">
        <v>0</v>
      </c>
      <c r="AG104">
        <v>0</v>
      </c>
      <c r="AH104">
        <v>0</v>
      </c>
      <c r="AI104">
        <v>1</v>
      </c>
      <c r="AJ104">
        <v>1</v>
      </c>
      <c r="AK104">
        <v>1</v>
      </c>
      <c r="AL104">
        <v>1</v>
      </c>
      <c r="AN104">
        <v>0</v>
      </c>
      <c r="AO104">
        <v>1</v>
      </c>
      <c r="AP104">
        <v>0</v>
      </c>
      <c r="AQ104">
        <v>0</v>
      </c>
      <c r="AR104">
        <v>0</v>
      </c>
      <c r="AS104" t="s">
        <v>5</v>
      </c>
      <c r="AT104">
        <v>5</v>
      </c>
      <c r="AU104" t="s">
        <v>5</v>
      </c>
      <c r="AV104">
        <v>0</v>
      </c>
      <c r="AW104">
        <v>2</v>
      </c>
      <c r="AX104">
        <v>44170305</v>
      </c>
      <c r="AY104">
        <v>1</v>
      </c>
      <c r="AZ104">
        <v>0</v>
      </c>
      <c r="BA104">
        <v>104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0</v>
      </c>
      <c r="BI104">
        <v>0</v>
      </c>
      <c r="BJ104">
        <v>0</v>
      </c>
      <c r="BK104">
        <v>0</v>
      </c>
      <c r="BL104">
        <v>0</v>
      </c>
      <c r="BM104">
        <v>0</v>
      </c>
      <c r="BN104">
        <v>0</v>
      </c>
      <c r="BO104">
        <v>0</v>
      </c>
      <c r="BP104">
        <v>0</v>
      </c>
      <c r="BQ104">
        <v>0</v>
      </c>
      <c r="BR104">
        <v>0</v>
      </c>
      <c r="BS104">
        <v>0</v>
      </c>
      <c r="BT104">
        <v>0</v>
      </c>
      <c r="BU104">
        <v>0</v>
      </c>
      <c r="BV104">
        <v>0</v>
      </c>
      <c r="BW104">
        <v>0</v>
      </c>
      <c r="CX104">
        <f>Y104*Source!I57</f>
        <v>1.0306250000000001</v>
      </c>
      <c r="CY104">
        <f>AA104</f>
        <v>7.08</v>
      </c>
      <c r="CZ104">
        <f>AE104</f>
        <v>7.07</v>
      </c>
      <c r="DA104">
        <f>AI104</f>
        <v>1</v>
      </c>
      <c r="DB104">
        <f t="shared" si="15"/>
        <v>35.35</v>
      </c>
      <c r="DC104">
        <f t="shared" si="16"/>
        <v>0</v>
      </c>
    </row>
    <row r="105" spans="1:107" x14ac:dyDescent="0.2">
      <c r="A105">
        <f>ROW(Source!A57)</f>
        <v>57</v>
      </c>
      <c r="B105">
        <v>44169784</v>
      </c>
      <c r="C105">
        <v>44170282</v>
      </c>
      <c r="D105">
        <v>35043338</v>
      </c>
      <c r="E105">
        <v>1</v>
      </c>
      <c r="F105">
        <v>1</v>
      </c>
      <c r="G105">
        <v>34959076</v>
      </c>
      <c r="H105">
        <v>3</v>
      </c>
      <c r="I105" t="s">
        <v>57</v>
      </c>
      <c r="J105" t="s">
        <v>60</v>
      </c>
      <c r="K105" t="s">
        <v>58</v>
      </c>
      <c r="L105">
        <v>1339</v>
      </c>
      <c r="N105">
        <v>1007</v>
      </c>
      <c r="O105" t="s">
        <v>59</v>
      </c>
      <c r="P105" t="s">
        <v>59</v>
      </c>
      <c r="Q105">
        <v>1</v>
      </c>
      <c r="W105">
        <v>0</v>
      </c>
      <c r="X105">
        <v>2069056849</v>
      </c>
      <c r="Y105">
        <v>110</v>
      </c>
      <c r="AA105">
        <v>552.29999999999995</v>
      </c>
      <c r="AB105">
        <v>0</v>
      </c>
      <c r="AC105">
        <v>0</v>
      </c>
      <c r="AD105">
        <v>0</v>
      </c>
      <c r="AE105">
        <v>104.99</v>
      </c>
      <c r="AF105">
        <v>0</v>
      </c>
      <c r="AG105">
        <v>0</v>
      </c>
      <c r="AH105">
        <v>0</v>
      </c>
      <c r="AI105">
        <v>5.25</v>
      </c>
      <c r="AJ105">
        <v>1</v>
      </c>
      <c r="AK105">
        <v>1</v>
      </c>
      <c r="AL105">
        <v>1</v>
      </c>
      <c r="AN105">
        <v>0</v>
      </c>
      <c r="AO105">
        <v>0</v>
      </c>
      <c r="AP105">
        <v>0</v>
      </c>
      <c r="AQ105">
        <v>0</v>
      </c>
      <c r="AR105">
        <v>0</v>
      </c>
      <c r="AS105" t="s">
        <v>5</v>
      </c>
      <c r="AT105">
        <v>110</v>
      </c>
      <c r="AU105" t="s">
        <v>5</v>
      </c>
      <c r="AV105">
        <v>0</v>
      </c>
      <c r="AW105">
        <v>1</v>
      </c>
      <c r="AX105">
        <v>-1</v>
      </c>
      <c r="AY105">
        <v>0</v>
      </c>
      <c r="AZ105">
        <v>0</v>
      </c>
      <c r="BA105" t="s">
        <v>5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0</v>
      </c>
      <c r="BI105">
        <v>0</v>
      </c>
      <c r="BJ105">
        <v>0</v>
      </c>
      <c r="BK105">
        <v>0</v>
      </c>
      <c r="BL105">
        <v>0</v>
      </c>
      <c r="BM105">
        <v>0</v>
      </c>
      <c r="BN105">
        <v>0</v>
      </c>
      <c r="BO105">
        <v>0</v>
      </c>
      <c r="BP105">
        <v>0</v>
      </c>
      <c r="BQ105">
        <v>0</v>
      </c>
      <c r="BR105">
        <v>0</v>
      </c>
      <c r="BS105">
        <v>0</v>
      </c>
      <c r="BT105">
        <v>0</v>
      </c>
      <c r="BU105">
        <v>0</v>
      </c>
      <c r="BV105">
        <v>0</v>
      </c>
      <c r="BW105">
        <v>0</v>
      </c>
      <c r="CX105">
        <f>Y105*Source!I57</f>
        <v>22.673750000000002</v>
      </c>
      <c r="CY105">
        <f>AA105</f>
        <v>552.29999999999995</v>
      </c>
      <c r="CZ105">
        <f>AE105</f>
        <v>104.99</v>
      </c>
      <c r="DA105">
        <f>AI105</f>
        <v>5.25</v>
      </c>
      <c r="DB105">
        <f t="shared" si="15"/>
        <v>11548.9</v>
      </c>
      <c r="DC105">
        <f t="shared" si="16"/>
        <v>0</v>
      </c>
    </row>
    <row r="106" spans="1:107" x14ac:dyDescent="0.2">
      <c r="A106">
        <f>ROW(Source!A59)</f>
        <v>59</v>
      </c>
      <c r="B106">
        <v>44169784</v>
      </c>
      <c r="C106">
        <v>44170308</v>
      </c>
      <c r="D106">
        <v>34984826</v>
      </c>
      <c r="E106">
        <v>34959076</v>
      </c>
      <c r="F106">
        <v>1</v>
      </c>
      <c r="G106">
        <v>34959076</v>
      </c>
      <c r="H106">
        <v>1</v>
      </c>
      <c r="I106" t="s">
        <v>341</v>
      </c>
      <c r="J106" t="s">
        <v>5</v>
      </c>
      <c r="K106" t="s">
        <v>342</v>
      </c>
      <c r="L106">
        <v>1191</v>
      </c>
      <c r="N106">
        <v>1013</v>
      </c>
      <c r="O106" t="s">
        <v>343</v>
      </c>
      <c r="P106" t="s">
        <v>343</v>
      </c>
      <c r="Q106">
        <v>1</v>
      </c>
      <c r="W106">
        <v>0</v>
      </c>
      <c r="X106">
        <v>476480486</v>
      </c>
      <c r="Y106">
        <v>267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1</v>
      </c>
      <c r="AJ106">
        <v>1</v>
      </c>
      <c r="AK106">
        <v>1</v>
      </c>
      <c r="AL106">
        <v>1</v>
      </c>
      <c r="AN106">
        <v>0</v>
      </c>
      <c r="AO106">
        <v>1</v>
      </c>
      <c r="AP106">
        <v>1</v>
      </c>
      <c r="AQ106">
        <v>0</v>
      </c>
      <c r="AR106">
        <v>0</v>
      </c>
      <c r="AS106" t="s">
        <v>5</v>
      </c>
      <c r="AT106">
        <v>267</v>
      </c>
      <c r="AU106" t="s">
        <v>5</v>
      </c>
      <c r="AV106">
        <v>1</v>
      </c>
      <c r="AW106">
        <v>2</v>
      </c>
      <c r="AX106">
        <v>44170329</v>
      </c>
      <c r="AY106">
        <v>1</v>
      </c>
      <c r="AZ106">
        <v>0</v>
      </c>
      <c r="BA106">
        <v>106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0</v>
      </c>
      <c r="BI106">
        <v>0</v>
      </c>
      <c r="BJ106">
        <v>0</v>
      </c>
      <c r="BK106">
        <v>0</v>
      </c>
      <c r="BL106">
        <v>0</v>
      </c>
      <c r="BM106">
        <v>0</v>
      </c>
      <c r="BN106">
        <v>0</v>
      </c>
      <c r="BO106">
        <v>0</v>
      </c>
      <c r="BP106">
        <v>0</v>
      </c>
      <c r="BQ106">
        <v>0</v>
      </c>
      <c r="BR106">
        <v>0</v>
      </c>
      <c r="BS106">
        <v>0</v>
      </c>
      <c r="BT106">
        <v>0</v>
      </c>
      <c r="BU106">
        <v>0</v>
      </c>
      <c r="BV106">
        <v>0</v>
      </c>
      <c r="BW106">
        <v>0</v>
      </c>
      <c r="CX106">
        <f>Y106*Source!I59</f>
        <v>0</v>
      </c>
      <c r="CY106">
        <f>AD106</f>
        <v>0</v>
      </c>
      <c r="CZ106">
        <f>AH106</f>
        <v>0</v>
      </c>
      <c r="DA106">
        <f>AL106</f>
        <v>1</v>
      </c>
      <c r="DB106">
        <f t="shared" si="15"/>
        <v>0</v>
      </c>
      <c r="DC106">
        <f t="shared" si="16"/>
        <v>0</v>
      </c>
    </row>
    <row r="107" spans="1:107" x14ac:dyDescent="0.2">
      <c r="A107">
        <f>ROW(Source!A59)</f>
        <v>59</v>
      </c>
      <c r="B107">
        <v>44169784</v>
      </c>
      <c r="C107">
        <v>44170308</v>
      </c>
      <c r="D107">
        <v>35064878</v>
      </c>
      <c r="E107">
        <v>1</v>
      </c>
      <c r="F107">
        <v>1</v>
      </c>
      <c r="G107">
        <v>34959076</v>
      </c>
      <c r="H107">
        <v>2</v>
      </c>
      <c r="I107" t="s">
        <v>372</v>
      </c>
      <c r="J107" t="s">
        <v>373</v>
      </c>
      <c r="K107" t="s">
        <v>374</v>
      </c>
      <c r="L107">
        <v>1367</v>
      </c>
      <c r="N107">
        <v>1011</v>
      </c>
      <c r="O107" t="s">
        <v>347</v>
      </c>
      <c r="P107" t="s">
        <v>347</v>
      </c>
      <c r="Q107">
        <v>1</v>
      </c>
      <c r="W107">
        <v>0</v>
      </c>
      <c r="X107">
        <v>378346098</v>
      </c>
      <c r="Y107">
        <v>11.76</v>
      </c>
      <c r="AA107">
        <v>0</v>
      </c>
      <c r="AB107">
        <v>1848.67</v>
      </c>
      <c r="AC107">
        <v>641.92999999999995</v>
      </c>
      <c r="AD107">
        <v>0</v>
      </c>
      <c r="AE107">
        <v>0</v>
      </c>
      <c r="AF107">
        <v>140.58000000000001</v>
      </c>
      <c r="AG107">
        <v>28.61</v>
      </c>
      <c r="AH107">
        <v>0</v>
      </c>
      <c r="AI107">
        <v>1</v>
      </c>
      <c r="AJ107">
        <v>12.56</v>
      </c>
      <c r="AK107">
        <v>21.43</v>
      </c>
      <c r="AL107">
        <v>1</v>
      </c>
      <c r="AN107">
        <v>0</v>
      </c>
      <c r="AO107">
        <v>1</v>
      </c>
      <c r="AP107">
        <v>1</v>
      </c>
      <c r="AQ107">
        <v>0</v>
      </c>
      <c r="AR107">
        <v>0</v>
      </c>
      <c r="AS107" t="s">
        <v>5</v>
      </c>
      <c r="AT107">
        <v>11.76</v>
      </c>
      <c r="AU107" t="s">
        <v>5</v>
      </c>
      <c r="AV107">
        <v>0</v>
      </c>
      <c r="AW107">
        <v>2</v>
      </c>
      <c r="AX107">
        <v>44170330</v>
      </c>
      <c r="AY107">
        <v>1</v>
      </c>
      <c r="AZ107">
        <v>0</v>
      </c>
      <c r="BA107">
        <v>107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0</v>
      </c>
      <c r="BI107">
        <v>0</v>
      </c>
      <c r="BJ107">
        <v>0</v>
      </c>
      <c r="BK107">
        <v>0</v>
      </c>
      <c r="BL107">
        <v>0</v>
      </c>
      <c r="BM107">
        <v>0</v>
      </c>
      <c r="BN107">
        <v>0</v>
      </c>
      <c r="BO107">
        <v>0</v>
      </c>
      <c r="BP107">
        <v>0</v>
      </c>
      <c r="BQ107">
        <v>0</v>
      </c>
      <c r="BR107">
        <v>0</v>
      </c>
      <c r="BS107">
        <v>0</v>
      </c>
      <c r="BT107">
        <v>0</v>
      </c>
      <c r="BU107">
        <v>0</v>
      </c>
      <c r="BV107">
        <v>0</v>
      </c>
      <c r="BW107">
        <v>0</v>
      </c>
      <c r="CX107">
        <f>Y107*Source!I59</f>
        <v>0</v>
      </c>
      <c r="CY107">
        <f>AB107</f>
        <v>1848.67</v>
      </c>
      <c r="CZ107">
        <f>AF107</f>
        <v>140.58000000000001</v>
      </c>
      <c r="DA107">
        <f>AJ107</f>
        <v>12.56</v>
      </c>
      <c r="DB107">
        <f t="shared" si="15"/>
        <v>1653.22</v>
      </c>
      <c r="DC107">
        <f t="shared" si="16"/>
        <v>336.45</v>
      </c>
    </row>
    <row r="108" spans="1:107" x14ac:dyDescent="0.2">
      <c r="A108">
        <f>ROW(Source!A59)</f>
        <v>59</v>
      </c>
      <c r="B108">
        <v>44169784</v>
      </c>
      <c r="C108">
        <v>44170308</v>
      </c>
      <c r="D108">
        <v>35064916</v>
      </c>
      <c r="E108">
        <v>1</v>
      </c>
      <c r="F108">
        <v>1</v>
      </c>
      <c r="G108">
        <v>34959076</v>
      </c>
      <c r="H108">
        <v>2</v>
      </c>
      <c r="I108" t="s">
        <v>381</v>
      </c>
      <c r="J108" t="s">
        <v>382</v>
      </c>
      <c r="K108" t="s">
        <v>383</v>
      </c>
      <c r="L108">
        <v>1367</v>
      </c>
      <c r="N108">
        <v>1011</v>
      </c>
      <c r="O108" t="s">
        <v>347</v>
      </c>
      <c r="P108" t="s">
        <v>347</v>
      </c>
      <c r="Q108">
        <v>1</v>
      </c>
      <c r="W108">
        <v>0</v>
      </c>
      <c r="X108">
        <v>357248294</v>
      </c>
      <c r="Y108">
        <v>10.8</v>
      </c>
      <c r="AA108">
        <v>0</v>
      </c>
      <c r="AB108">
        <v>242.38</v>
      </c>
      <c r="AC108">
        <v>41.51</v>
      </c>
      <c r="AD108">
        <v>0</v>
      </c>
      <c r="AE108">
        <v>0</v>
      </c>
      <c r="AF108">
        <v>25.58</v>
      </c>
      <c r="AG108">
        <v>1.85</v>
      </c>
      <c r="AH108">
        <v>0</v>
      </c>
      <c r="AI108">
        <v>1</v>
      </c>
      <c r="AJ108">
        <v>9.0500000000000007</v>
      </c>
      <c r="AK108">
        <v>21.43</v>
      </c>
      <c r="AL108">
        <v>1</v>
      </c>
      <c r="AN108">
        <v>0</v>
      </c>
      <c r="AO108">
        <v>1</v>
      </c>
      <c r="AP108">
        <v>1</v>
      </c>
      <c r="AQ108">
        <v>0</v>
      </c>
      <c r="AR108">
        <v>0</v>
      </c>
      <c r="AS108" t="s">
        <v>5</v>
      </c>
      <c r="AT108">
        <v>10.8</v>
      </c>
      <c r="AU108" t="s">
        <v>5</v>
      </c>
      <c r="AV108">
        <v>0</v>
      </c>
      <c r="AW108">
        <v>2</v>
      </c>
      <c r="AX108">
        <v>44170331</v>
      </c>
      <c r="AY108">
        <v>1</v>
      </c>
      <c r="AZ108">
        <v>0</v>
      </c>
      <c r="BA108">
        <v>108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0</v>
      </c>
      <c r="BI108">
        <v>0</v>
      </c>
      <c r="BJ108">
        <v>0</v>
      </c>
      <c r="BK108">
        <v>0</v>
      </c>
      <c r="BL108">
        <v>0</v>
      </c>
      <c r="BM108">
        <v>0</v>
      </c>
      <c r="BN108">
        <v>0</v>
      </c>
      <c r="BO108">
        <v>0</v>
      </c>
      <c r="BP108">
        <v>0</v>
      </c>
      <c r="BQ108">
        <v>0</v>
      </c>
      <c r="BR108">
        <v>0</v>
      </c>
      <c r="BS108">
        <v>0</v>
      </c>
      <c r="BT108">
        <v>0</v>
      </c>
      <c r="BU108">
        <v>0</v>
      </c>
      <c r="BV108">
        <v>0</v>
      </c>
      <c r="BW108">
        <v>0</v>
      </c>
      <c r="CX108">
        <f>Y108*Source!I59</f>
        <v>0</v>
      </c>
      <c r="CY108">
        <f>AB108</f>
        <v>242.38</v>
      </c>
      <c r="CZ108">
        <f>AF108</f>
        <v>25.58</v>
      </c>
      <c r="DA108">
        <f>AJ108</f>
        <v>9.0500000000000007</v>
      </c>
      <c r="DB108">
        <f t="shared" si="15"/>
        <v>276.26</v>
      </c>
      <c r="DC108">
        <f t="shared" si="16"/>
        <v>19.98</v>
      </c>
    </row>
    <row r="109" spans="1:107" x14ac:dyDescent="0.2">
      <c r="A109">
        <f>ROW(Source!A59)</f>
        <v>59</v>
      </c>
      <c r="B109">
        <v>44169784</v>
      </c>
      <c r="C109">
        <v>44170308</v>
      </c>
      <c r="D109">
        <v>34984824</v>
      </c>
      <c r="E109">
        <v>34959076</v>
      </c>
      <c r="F109">
        <v>1</v>
      </c>
      <c r="G109">
        <v>34959076</v>
      </c>
      <c r="H109">
        <v>2</v>
      </c>
      <c r="I109" t="s">
        <v>354</v>
      </c>
      <c r="J109" t="s">
        <v>5</v>
      </c>
      <c r="K109" t="s">
        <v>355</v>
      </c>
      <c r="L109">
        <v>1344</v>
      </c>
      <c r="N109">
        <v>1008</v>
      </c>
      <c r="O109" t="s">
        <v>356</v>
      </c>
      <c r="P109" t="s">
        <v>356</v>
      </c>
      <c r="Q109">
        <v>1</v>
      </c>
      <c r="W109">
        <v>0</v>
      </c>
      <c r="X109">
        <v>-1180195794</v>
      </c>
      <c r="Y109">
        <v>4.7699999999999996</v>
      </c>
      <c r="AA109">
        <v>0</v>
      </c>
      <c r="AB109">
        <v>1.05</v>
      </c>
      <c r="AC109">
        <v>0</v>
      </c>
      <c r="AD109">
        <v>0</v>
      </c>
      <c r="AE109">
        <v>0</v>
      </c>
      <c r="AF109">
        <v>1</v>
      </c>
      <c r="AG109">
        <v>0</v>
      </c>
      <c r="AH109">
        <v>0</v>
      </c>
      <c r="AI109">
        <v>1</v>
      </c>
      <c r="AJ109">
        <v>1</v>
      </c>
      <c r="AK109">
        <v>1</v>
      </c>
      <c r="AL109">
        <v>1</v>
      </c>
      <c r="AN109">
        <v>0</v>
      </c>
      <c r="AO109">
        <v>1</v>
      </c>
      <c r="AP109">
        <v>1</v>
      </c>
      <c r="AQ109">
        <v>0</v>
      </c>
      <c r="AR109">
        <v>0</v>
      </c>
      <c r="AS109" t="s">
        <v>5</v>
      </c>
      <c r="AT109">
        <v>4.7699999999999996</v>
      </c>
      <c r="AU109" t="s">
        <v>5</v>
      </c>
      <c r="AV109">
        <v>0</v>
      </c>
      <c r="AW109">
        <v>2</v>
      </c>
      <c r="AX109">
        <v>44170332</v>
      </c>
      <c r="AY109">
        <v>1</v>
      </c>
      <c r="AZ109">
        <v>0</v>
      </c>
      <c r="BA109">
        <v>109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0</v>
      </c>
      <c r="BI109">
        <v>0</v>
      </c>
      <c r="BJ109">
        <v>0</v>
      </c>
      <c r="BK109">
        <v>0</v>
      </c>
      <c r="BL109">
        <v>0</v>
      </c>
      <c r="BM109">
        <v>0</v>
      </c>
      <c r="BN109">
        <v>0</v>
      </c>
      <c r="BO109">
        <v>0</v>
      </c>
      <c r="BP109">
        <v>0</v>
      </c>
      <c r="BQ109">
        <v>0</v>
      </c>
      <c r="BR109">
        <v>0</v>
      </c>
      <c r="BS109">
        <v>0</v>
      </c>
      <c r="BT109">
        <v>0</v>
      </c>
      <c r="BU109">
        <v>0</v>
      </c>
      <c r="BV109">
        <v>0</v>
      </c>
      <c r="BW109">
        <v>0</v>
      </c>
      <c r="CX109">
        <f>Y109*Source!I59</f>
        <v>0</v>
      </c>
      <c r="CY109">
        <f>AB109</f>
        <v>1.05</v>
      </c>
      <c r="CZ109">
        <f>AF109</f>
        <v>1</v>
      </c>
      <c r="DA109">
        <f>AJ109</f>
        <v>1</v>
      </c>
      <c r="DB109">
        <f t="shared" si="15"/>
        <v>4.7699999999999996</v>
      </c>
      <c r="DC109">
        <f t="shared" si="16"/>
        <v>0</v>
      </c>
    </row>
    <row r="110" spans="1:107" x14ac:dyDescent="0.2">
      <c r="A110">
        <f>ROW(Source!A59)</f>
        <v>59</v>
      </c>
      <c r="B110">
        <v>44169784</v>
      </c>
      <c r="C110">
        <v>44170308</v>
      </c>
      <c r="D110">
        <v>0</v>
      </c>
      <c r="E110">
        <v>7157832</v>
      </c>
      <c r="F110">
        <v>1</v>
      </c>
      <c r="G110">
        <v>34959076</v>
      </c>
      <c r="H110">
        <v>3</v>
      </c>
      <c r="I110" t="s">
        <v>384</v>
      </c>
      <c r="J110" t="s">
        <v>5</v>
      </c>
      <c r="K110" t="s">
        <v>385</v>
      </c>
      <c r="L110">
        <v>1344</v>
      </c>
      <c r="N110">
        <v>1008</v>
      </c>
      <c r="O110" t="s">
        <v>356</v>
      </c>
      <c r="P110" t="s">
        <v>356</v>
      </c>
      <c r="Q110">
        <v>1</v>
      </c>
      <c r="W110">
        <v>0</v>
      </c>
      <c r="X110">
        <v>1800942154</v>
      </c>
      <c r="Y110">
        <v>49.28</v>
      </c>
      <c r="AA110">
        <v>1</v>
      </c>
      <c r="AB110">
        <v>0</v>
      </c>
      <c r="AC110">
        <v>0</v>
      </c>
      <c r="AD110">
        <v>0</v>
      </c>
      <c r="AE110">
        <v>1</v>
      </c>
      <c r="AF110">
        <v>0</v>
      </c>
      <c r="AG110">
        <v>0</v>
      </c>
      <c r="AH110">
        <v>0</v>
      </c>
      <c r="AI110">
        <v>1</v>
      </c>
      <c r="AJ110">
        <v>1</v>
      </c>
      <c r="AK110">
        <v>1</v>
      </c>
      <c r="AL110">
        <v>1</v>
      </c>
      <c r="AN110">
        <v>0</v>
      </c>
      <c r="AO110">
        <v>1</v>
      </c>
      <c r="AP110">
        <v>0</v>
      </c>
      <c r="AQ110">
        <v>0</v>
      </c>
      <c r="AR110">
        <v>0</v>
      </c>
      <c r="AS110" t="s">
        <v>5</v>
      </c>
      <c r="AT110">
        <v>49.28</v>
      </c>
      <c r="AU110" t="s">
        <v>5</v>
      </c>
      <c r="AV110">
        <v>0</v>
      </c>
      <c r="AW110">
        <v>1</v>
      </c>
      <c r="AX110">
        <v>-1</v>
      </c>
      <c r="AY110">
        <v>0</v>
      </c>
      <c r="AZ110">
        <v>0</v>
      </c>
      <c r="BA110" t="s">
        <v>5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0</v>
      </c>
      <c r="BI110">
        <v>0</v>
      </c>
      <c r="BJ110">
        <v>0</v>
      </c>
      <c r="BK110">
        <v>0</v>
      </c>
      <c r="BL110">
        <v>0</v>
      </c>
      <c r="BM110">
        <v>0</v>
      </c>
      <c r="BN110">
        <v>0</v>
      </c>
      <c r="BO110">
        <v>0</v>
      </c>
      <c r="BP110">
        <v>0</v>
      </c>
      <c r="BQ110">
        <v>0</v>
      </c>
      <c r="BR110">
        <v>0</v>
      </c>
      <c r="BS110">
        <v>0</v>
      </c>
      <c r="BT110">
        <v>0</v>
      </c>
      <c r="BU110">
        <v>0</v>
      </c>
      <c r="BV110">
        <v>0</v>
      </c>
      <c r="BW110">
        <v>0</v>
      </c>
      <c r="CX110">
        <f>Y110*Source!I59</f>
        <v>0</v>
      </c>
      <c r="CY110">
        <f t="shared" ref="CY110:CY115" si="20">AA110</f>
        <v>1</v>
      </c>
      <c r="CZ110">
        <f t="shared" ref="CZ110:CZ115" si="21">AE110</f>
        <v>1</v>
      </c>
      <c r="DA110">
        <f t="shared" ref="DA110:DA115" si="22">AI110</f>
        <v>1</v>
      </c>
      <c r="DB110">
        <f t="shared" si="15"/>
        <v>49.28</v>
      </c>
      <c r="DC110">
        <f t="shared" si="16"/>
        <v>0</v>
      </c>
    </row>
    <row r="111" spans="1:107" x14ac:dyDescent="0.2">
      <c r="A111">
        <f>ROW(Source!A59)</f>
        <v>59</v>
      </c>
      <c r="B111">
        <v>44169784</v>
      </c>
      <c r="C111">
        <v>44170308</v>
      </c>
      <c r="D111">
        <v>0</v>
      </c>
      <c r="E111">
        <v>1</v>
      </c>
      <c r="F111">
        <v>1</v>
      </c>
      <c r="G111">
        <v>34959076</v>
      </c>
      <c r="H111">
        <v>3</v>
      </c>
      <c r="I111" t="s">
        <v>378</v>
      </c>
      <c r="J111" t="s">
        <v>379</v>
      </c>
      <c r="K111" t="s">
        <v>380</v>
      </c>
      <c r="L111">
        <v>1339</v>
      </c>
      <c r="N111">
        <v>1007</v>
      </c>
      <c r="O111" t="s">
        <v>59</v>
      </c>
      <c r="P111" t="s">
        <v>59</v>
      </c>
      <c r="Q111">
        <v>1</v>
      </c>
      <c r="W111">
        <v>0</v>
      </c>
      <c r="X111">
        <v>55300385</v>
      </c>
      <c r="Y111">
        <v>178</v>
      </c>
      <c r="AA111">
        <v>7.08</v>
      </c>
      <c r="AB111">
        <v>0</v>
      </c>
      <c r="AC111">
        <v>0</v>
      </c>
      <c r="AD111">
        <v>0</v>
      </c>
      <c r="AE111">
        <v>7.07</v>
      </c>
      <c r="AF111">
        <v>0</v>
      </c>
      <c r="AG111">
        <v>0</v>
      </c>
      <c r="AH111">
        <v>0</v>
      </c>
      <c r="AI111">
        <v>1</v>
      </c>
      <c r="AJ111">
        <v>1</v>
      </c>
      <c r="AK111">
        <v>1</v>
      </c>
      <c r="AL111">
        <v>1</v>
      </c>
      <c r="AN111">
        <v>0</v>
      </c>
      <c r="AO111">
        <v>1</v>
      </c>
      <c r="AP111">
        <v>0</v>
      </c>
      <c r="AQ111">
        <v>0</v>
      </c>
      <c r="AR111">
        <v>0</v>
      </c>
      <c r="AS111" t="s">
        <v>5</v>
      </c>
      <c r="AT111">
        <v>178</v>
      </c>
      <c r="AU111" t="s">
        <v>5</v>
      </c>
      <c r="AV111">
        <v>0</v>
      </c>
      <c r="AW111">
        <v>2</v>
      </c>
      <c r="AX111">
        <v>44170333</v>
      </c>
      <c r="AY111">
        <v>1</v>
      </c>
      <c r="AZ111">
        <v>0</v>
      </c>
      <c r="BA111">
        <v>110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0</v>
      </c>
      <c r="BI111">
        <v>0</v>
      </c>
      <c r="BJ111">
        <v>0</v>
      </c>
      <c r="BK111">
        <v>0</v>
      </c>
      <c r="BL111">
        <v>0</v>
      </c>
      <c r="BM111">
        <v>0</v>
      </c>
      <c r="BN111">
        <v>0</v>
      </c>
      <c r="BO111">
        <v>0</v>
      </c>
      <c r="BP111">
        <v>0</v>
      </c>
      <c r="BQ111">
        <v>0</v>
      </c>
      <c r="BR111">
        <v>0</v>
      </c>
      <c r="BS111">
        <v>0</v>
      </c>
      <c r="BT111">
        <v>0</v>
      </c>
      <c r="BU111">
        <v>0</v>
      </c>
      <c r="BV111">
        <v>0</v>
      </c>
      <c r="BW111">
        <v>0</v>
      </c>
      <c r="CX111">
        <f>Y111*Source!I59</f>
        <v>0</v>
      </c>
      <c r="CY111">
        <f t="shared" si="20"/>
        <v>7.08</v>
      </c>
      <c r="CZ111">
        <f t="shared" si="21"/>
        <v>7.07</v>
      </c>
      <c r="DA111">
        <f t="shared" si="22"/>
        <v>1</v>
      </c>
      <c r="DB111">
        <f t="shared" si="15"/>
        <v>1258.46</v>
      </c>
      <c r="DC111">
        <f t="shared" si="16"/>
        <v>0</v>
      </c>
    </row>
    <row r="112" spans="1:107" x14ac:dyDescent="0.2">
      <c r="A112">
        <f>ROW(Source!A59)</f>
        <v>59</v>
      </c>
      <c r="B112">
        <v>44169784</v>
      </c>
      <c r="C112">
        <v>44170308</v>
      </c>
      <c r="D112">
        <v>0</v>
      </c>
      <c r="E112">
        <v>1</v>
      </c>
      <c r="F112">
        <v>1</v>
      </c>
      <c r="G112">
        <v>34959076</v>
      </c>
      <c r="H112">
        <v>3</v>
      </c>
      <c r="I112" t="s">
        <v>386</v>
      </c>
      <c r="J112" t="s">
        <v>387</v>
      </c>
      <c r="K112" t="s">
        <v>388</v>
      </c>
      <c r="L112">
        <v>1348</v>
      </c>
      <c r="N112">
        <v>1009</v>
      </c>
      <c r="O112" t="s">
        <v>87</v>
      </c>
      <c r="P112" t="s">
        <v>87</v>
      </c>
      <c r="Q112">
        <v>1000</v>
      </c>
      <c r="W112">
        <v>0</v>
      </c>
      <c r="X112">
        <v>-313357772</v>
      </c>
      <c r="Y112">
        <v>0.09</v>
      </c>
      <c r="AA112">
        <v>3392.84</v>
      </c>
      <c r="AB112">
        <v>0</v>
      </c>
      <c r="AC112">
        <v>0</v>
      </c>
      <c r="AD112">
        <v>0</v>
      </c>
      <c r="AE112">
        <v>3386.07</v>
      </c>
      <c r="AF112">
        <v>0</v>
      </c>
      <c r="AG112">
        <v>0</v>
      </c>
      <c r="AH112">
        <v>0</v>
      </c>
      <c r="AI112">
        <v>1</v>
      </c>
      <c r="AJ112">
        <v>1</v>
      </c>
      <c r="AK112">
        <v>1</v>
      </c>
      <c r="AL112">
        <v>1</v>
      </c>
      <c r="AN112">
        <v>0</v>
      </c>
      <c r="AO112">
        <v>1</v>
      </c>
      <c r="AP112">
        <v>0</v>
      </c>
      <c r="AQ112">
        <v>0</v>
      </c>
      <c r="AR112">
        <v>0</v>
      </c>
      <c r="AS112" t="s">
        <v>5</v>
      </c>
      <c r="AT112">
        <v>0.09</v>
      </c>
      <c r="AU112" t="s">
        <v>5</v>
      </c>
      <c r="AV112">
        <v>0</v>
      </c>
      <c r="AW112">
        <v>2</v>
      </c>
      <c r="AX112">
        <v>44170334</v>
      </c>
      <c r="AY112">
        <v>1</v>
      </c>
      <c r="AZ112">
        <v>0</v>
      </c>
      <c r="BA112">
        <v>111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0</v>
      </c>
      <c r="BI112">
        <v>0</v>
      </c>
      <c r="BJ112">
        <v>0</v>
      </c>
      <c r="BK112">
        <v>0</v>
      </c>
      <c r="BL112">
        <v>0</v>
      </c>
      <c r="BM112">
        <v>0</v>
      </c>
      <c r="BN112">
        <v>0</v>
      </c>
      <c r="BO112">
        <v>0</v>
      </c>
      <c r="BP112">
        <v>0</v>
      </c>
      <c r="BQ112">
        <v>0</v>
      </c>
      <c r="BR112">
        <v>0</v>
      </c>
      <c r="BS112">
        <v>0</v>
      </c>
      <c r="BT112">
        <v>0</v>
      </c>
      <c r="BU112">
        <v>0</v>
      </c>
      <c r="BV112">
        <v>0</v>
      </c>
      <c r="BW112">
        <v>0</v>
      </c>
      <c r="CX112">
        <f>Y112*Source!I59</f>
        <v>0</v>
      </c>
      <c r="CY112">
        <f t="shared" si="20"/>
        <v>3392.84</v>
      </c>
      <c r="CZ112">
        <f t="shared" si="21"/>
        <v>3386.07</v>
      </c>
      <c r="DA112">
        <f t="shared" si="22"/>
        <v>1</v>
      </c>
      <c r="DB112">
        <f t="shared" si="15"/>
        <v>304.75</v>
      </c>
      <c r="DC112">
        <f t="shared" si="16"/>
        <v>0</v>
      </c>
    </row>
    <row r="113" spans="1:107" x14ac:dyDescent="0.2">
      <c r="A113">
        <f>ROW(Source!A59)</f>
        <v>59</v>
      </c>
      <c r="B113">
        <v>44169784</v>
      </c>
      <c r="C113">
        <v>44170308</v>
      </c>
      <c r="D113">
        <v>0</v>
      </c>
      <c r="E113">
        <v>1</v>
      </c>
      <c r="F113">
        <v>1</v>
      </c>
      <c r="G113">
        <v>34959076</v>
      </c>
      <c r="H113">
        <v>3</v>
      </c>
      <c r="I113" t="s">
        <v>57</v>
      </c>
      <c r="J113" t="s">
        <v>389</v>
      </c>
      <c r="K113" t="s">
        <v>390</v>
      </c>
      <c r="L113">
        <v>1339</v>
      </c>
      <c r="N113">
        <v>1007</v>
      </c>
      <c r="O113" t="s">
        <v>59</v>
      </c>
      <c r="P113" t="s">
        <v>59</v>
      </c>
      <c r="Q113">
        <v>1</v>
      </c>
      <c r="W113">
        <v>0</v>
      </c>
      <c r="X113">
        <v>-419971176</v>
      </c>
      <c r="Y113">
        <v>40</v>
      </c>
      <c r="AA113">
        <v>105.2</v>
      </c>
      <c r="AB113">
        <v>0</v>
      </c>
      <c r="AC113">
        <v>0</v>
      </c>
      <c r="AD113">
        <v>0</v>
      </c>
      <c r="AE113">
        <v>104.99</v>
      </c>
      <c r="AF113">
        <v>0</v>
      </c>
      <c r="AG113">
        <v>0</v>
      </c>
      <c r="AH113">
        <v>0</v>
      </c>
      <c r="AI113">
        <v>1</v>
      </c>
      <c r="AJ113">
        <v>1</v>
      </c>
      <c r="AK113">
        <v>1</v>
      </c>
      <c r="AL113">
        <v>1</v>
      </c>
      <c r="AN113">
        <v>0</v>
      </c>
      <c r="AO113">
        <v>1</v>
      </c>
      <c r="AP113">
        <v>0</v>
      </c>
      <c r="AQ113">
        <v>0</v>
      </c>
      <c r="AR113">
        <v>0</v>
      </c>
      <c r="AS113" t="s">
        <v>5</v>
      </c>
      <c r="AT113">
        <v>40</v>
      </c>
      <c r="AU113" t="s">
        <v>5</v>
      </c>
      <c r="AV113">
        <v>0</v>
      </c>
      <c r="AW113">
        <v>2</v>
      </c>
      <c r="AX113">
        <v>44170335</v>
      </c>
      <c r="AY113">
        <v>1</v>
      </c>
      <c r="AZ113">
        <v>0</v>
      </c>
      <c r="BA113">
        <v>112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0</v>
      </c>
      <c r="BI113">
        <v>0</v>
      </c>
      <c r="BJ113">
        <v>0</v>
      </c>
      <c r="BK113">
        <v>0</v>
      </c>
      <c r="BL113">
        <v>0</v>
      </c>
      <c r="BM113">
        <v>0</v>
      </c>
      <c r="BN113">
        <v>0</v>
      </c>
      <c r="BO113">
        <v>0</v>
      </c>
      <c r="BP113">
        <v>0</v>
      </c>
      <c r="BQ113">
        <v>0</v>
      </c>
      <c r="BR113">
        <v>0</v>
      </c>
      <c r="BS113">
        <v>0</v>
      </c>
      <c r="BT113">
        <v>0</v>
      </c>
      <c r="BU113">
        <v>0</v>
      </c>
      <c r="BV113">
        <v>0</v>
      </c>
      <c r="BW113">
        <v>0</v>
      </c>
      <c r="CX113">
        <f>Y113*Source!I59</f>
        <v>0</v>
      </c>
      <c r="CY113">
        <f t="shared" si="20"/>
        <v>105.2</v>
      </c>
      <c r="CZ113">
        <f t="shared" si="21"/>
        <v>104.99</v>
      </c>
      <c r="DA113">
        <f t="shared" si="22"/>
        <v>1</v>
      </c>
      <c r="DB113">
        <f t="shared" si="15"/>
        <v>4199.6000000000004</v>
      </c>
      <c r="DC113">
        <f t="shared" si="16"/>
        <v>0</v>
      </c>
    </row>
    <row r="114" spans="1:107" x14ac:dyDescent="0.2">
      <c r="A114">
        <f>ROW(Source!A59)</f>
        <v>59</v>
      </c>
      <c r="B114">
        <v>44169784</v>
      </c>
      <c r="C114">
        <v>44170308</v>
      </c>
      <c r="D114">
        <v>35058768</v>
      </c>
      <c r="E114">
        <v>1</v>
      </c>
      <c r="F114">
        <v>1</v>
      </c>
      <c r="G114">
        <v>34959076</v>
      </c>
      <c r="H114">
        <v>3</v>
      </c>
      <c r="I114" t="s">
        <v>69</v>
      </c>
      <c r="J114" t="s">
        <v>71</v>
      </c>
      <c r="K114" t="s">
        <v>70</v>
      </c>
      <c r="L114">
        <v>1339</v>
      </c>
      <c r="N114">
        <v>1007</v>
      </c>
      <c r="O114" t="s">
        <v>59</v>
      </c>
      <c r="P114" t="s">
        <v>59</v>
      </c>
      <c r="Q114">
        <v>1</v>
      </c>
      <c r="W114">
        <v>0</v>
      </c>
      <c r="X114">
        <v>412444006</v>
      </c>
      <c r="Y114">
        <v>162</v>
      </c>
      <c r="AA114">
        <v>3860.4</v>
      </c>
      <c r="AB114">
        <v>0</v>
      </c>
      <c r="AC114">
        <v>0</v>
      </c>
      <c r="AD114">
        <v>0</v>
      </c>
      <c r="AE114">
        <v>517.14</v>
      </c>
      <c r="AF114">
        <v>0</v>
      </c>
      <c r="AG114">
        <v>0</v>
      </c>
      <c r="AH114">
        <v>0</v>
      </c>
      <c r="AI114">
        <v>7.45</v>
      </c>
      <c r="AJ114">
        <v>1</v>
      </c>
      <c r="AK114">
        <v>1</v>
      </c>
      <c r="AL114">
        <v>1</v>
      </c>
      <c r="AN114">
        <v>0</v>
      </c>
      <c r="AO114">
        <v>0</v>
      </c>
      <c r="AP114">
        <v>0</v>
      </c>
      <c r="AQ114">
        <v>0</v>
      </c>
      <c r="AR114">
        <v>0</v>
      </c>
      <c r="AS114" t="s">
        <v>5</v>
      </c>
      <c r="AT114">
        <v>162</v>
      </c>
      <c r="AU114" t="s">
        <v>5</v>
      </c>
      <c r="AV114">
        <v>0</v>
      </c>
      <c r="AW114">
        <v>1</v>
      </c>
      <c r="AX114">
        <v>-1</v>
      </c>
      <c r="AY114">
        <v>0</v>
      </c>
      <c r="AZ114">
        <v>0</v>
      </c>
      <c r="BA114" t="s">
        <v>5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0</v>
      </c>
      <c r="BI114">
        <v>0</v>
      </c>
      <c r="BJ114">
        <v>0</v>
      </c>
      <c r="BK114">
        <v>0</v>
      </c>
      <c r="BL114">
        <v>0</v>
      </c>
      <c r="BM114">
        <v>0</v>
      </c>
      <c r="BN114">
        <v>0</v>
      </c>
      <c r="BO114">
        <v>0</v>
      </c>
      <c r="BP114">
        <v>0</v>
      </c>
      <c r="BQ114">
        <v>0</v>
      </c>
      <c r="BR114">
        <v>0</v>
      </c>
      <c r="BS114">
        <v>0</v>
      </c>
      <c r="BT114">
        <v>0</v>
      </c>
      <c r="BU114">
        <v>0</v>
      </c>
      <c r="BV114">
        <v>0</v>
      </c>
      <c r="BW114">
        <v>0</v>
      </c>
      <c r="CX114">
        <f>Y114*Source!I59</f>
        <v>0</v>
      </c>
      <c r="CY114">
        <f t="shared" si="20"/>
        <v>3860.4</v>
      </c>
      <c r="CZ114">
        <f t="shared" si="21"/>
        <v>517.14</v>
      </c>
      <c r="DA114">
        <f t="shared" si="22"/>
        <v>7.45</v>
      </c>
      <c r="DB114">
        <f t="shared" si="15"/>
        <v>83776.679999999993</v>
      </c>
      <c r="DC114">
        <f t="shared" si="16"/>
        <v>0</v>
      </c>
    </row>
    <row r="115" spans="1:107" x14ac:dyDescent="0.2">
      <c r="A115">
        <f>ROW(Source!A59)</f>
        <v>59</v>
      </c>
      <c r="B115">
        <v>44169784</v>
      </c>
      <c r="C115">
        <v>44170308</v>
      </c>
      <c r="D115">
        <v>0</v>
      </c>
      <c r="E115">
        <v>1</v>
      </c>
      <c r="F115">
        <v>1</v>
      </c>
      <c r="G115">
        <v>34959076</v>
      </c>
      <c r="H115">
        <v>3</v>
      </c>
      <c r="I115" t="s">
        <v>391</v>
      </c>
      <c r="J115" t="s">
        <v>392</v>
      </c>
      <c r="K115" t="s">
        <v>393</v>
      </c>
      <c r="L115">
        <v>1327</v>
      </c>
      <c r="N115">
        <v>1005</v>
      </c>
      <c r="O115" t="s">
        <v>199</v>
      </c>
      <c r="P115" t="s">
        <v>199</v>
      </c>
      <c r="Q115">
        <v>1</v>
      </c>
      <c r="W115">
        <v>0</v>
      </c>
      <c r="X115">
        <v>71660933</v>
      </c>
      <c r="Y115">
        <v>10.199999999999999</v>
      </c>
      <c r="AA115">
        <v>90.33</v>
      </c>
      <c r="AB115">
        <v>0</v>
      </c>
      <c r="AC115">
        <v>0</v>
      </c>
      <c r="AD115">
        <v>0</v>
      </c>
      <c r="AE115">
        <v>90.15</v>
      </c>
      <c r="AF115">
        <v>0</v>
      </c>
      <c r="AG115">
        <v>0</v>
      </c>
      <c r="AH115">
        <v>0</v>
      </c>
      <c r="AI115">
        <v>1</v>
      </c>
      <c r="AJ115">
        <v>1</v>
      </c>
      <c r="AK115">
        <v>1</v>
      </c>
      <c r="AL115">
        <v>1</v>
      </c>
      <c r="AN115">
        <v>0</v>
      </c>
      <c r="AO115">
        <v>1</v>
      </c>
      <c r="AP115">
        <v>0</v>
      </c>
      <c r="AQ115">
        <v>0</v>
      </c>
      <c r="AR115">
        <v>0</v>
      </c>
      <c r="AS115" t="s">
        <v>5</v>
      </c>
      <c r="AT115">
        <v>10.199999999999999</v>
      </c>
      <c r="AU115" t="s">
        <v>5</v>
      </c>
      <c r="AV115">
        <v>0</v>
      </c>
      <c r="AW115">
        <v>2</v>
      </c>
      <c r="AX115">
        <v>44170336</v>
      </c>
      <c r="AY115">
        <v>1</v>
      </c>
      <c r="AZ115">
        <v>0</v>
      </c>
      <c r="BA115">
        <v>113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0</v>
      </c>
      <c r="BI115">
        <v>0</v>
      </c>
      <c r="BJ115">
        <v>0</v>
      </c>
      <c r="BK115">
        <v>0</v>
      </c>
      <c r="BL115">
        <v>0</v>
      </c>
      <c r="BM115">
        <v>0</v>
      </c>
      <c r="BN115">
        <v>0</v>
      </c>
      <c r="BO115">
        <v>0</v>
      </c>
      <c r="BP115">
        <v>0</v>
      </c>
      <c r="BQ115">
        <v>0</v>
      </c>
      <c r="BR115">
        <v>0</v>
      </c>
      <c r="BS115">
        <v>0</v>
      </c>
      <c r="BT115">
        <v>0</v>
      </c>
      <c r="BU115">
        <v>0</v>
      </c>
      <c r="BV115">
        <v>0</v>
      </c>
      <c r="BW115">
        <v>0</v>
      </c>
      <c r="CX115">
        <f>Y115*Source!I59</f>
        <v>0</v>
      </c>
      <c r="CY115">
        <f t="shared" si="20"/>
        <v>90.33</v>
      </c>
      <c r="CZ115">
        <f t="shared" si="21"/>
        <v>90.15</v>
      </c>
      <c r="DA115">
        <f t="shared" si="22"/>
        <v>1</v>
      </c>
      <c r="DB115">
        <f t="shared" si="15"/>
        <v>919.53</v>
      </c>
      <c r="DC115">
        <f t="shared" si="16"/>
        <v>0</v>
      </c>
    </row>
    <row r="116" spans="1:107" x14ac:dyDescent="0.2">
      <c r="A116">
        <f>ROW(Source!A61)</f>
        <v>61</v>
      </c>
      <c r="B116">
        <v>44169784</v>
      </c>
      <c r="C116">
        <v>44170340</v>
      </c>
      <c r="D116">
        <v>34984826</v>
      </c>
      <c r="E116">
        <v>34959076</v>
      </c>
      <c r="F116">
        <v>1</v>
      </c>
      <c r="G116">
        <v>34959076</v>
      </c>
      <c r="H116">
        <v>1</v>
      </c>
      <c r="I116" t="s">
        <v>341</v>
      </c>
      <c r="J116" t="s">
        <v>5</v>
      </c>
      <c r="K116" t="s">
        <v>342</v>
      </c>
      <c r="L116">
        <v>1191</v>
      </c>
      <c r="N116">
        <v>1013</v>
      </c>
      <c r="O116" t="s">
        <v>343</v>
      </c>
      <c r="P116" t="s">
        <v>343</v>
      </c>
      <c r="Q116">
        <v>1</v>
      </c>
      <c r="W116">
        <v>0</v>
      </c>
      <c r="X116">
        <v>476480486</v>
      </c>
      <c r="Y116">
        <v>20.68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1</v>
      </c>
      <c r="AJ116">
        <v>1</v>
      </c>
      <c r="AK116">
        <v>1</v>
      </c>
      <c r="AL116">
        <v>1</v>
      </c>
      <c r="AN116">
        <v>0</v>
      </c>
      <c r="AO116">
        <v>1</v>
      </c>
      <c r="AP116">
        <v>1</v>
      </c>
      <c r="AQ116">
        <v>0</v>
      </c>
      <c r="AR116">
        <v>0</v>
      </c>
      <c r="AS116" t="s">
        <v>5</v>
      </c>
      <c r="AT116">
        <v>5.17</v>
      </c>
      <c r="AU116" t="s">
        <v>126</v>
      </c>
      <c r="AV116">
        <v>1</v>
      </c>
      <c r="AW116">
        <v>2</v>
      </c>
      <c r="AX116">
        <v>44170347</v>
      </c>
      <c r="AY116">
        <v>1</v>
      </c>
      <c r="AZ116">
        <v>0</v>
      </c>
      <c r="BA116">
        <v>116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0</v>
      </c>
      <c r="BI116">
        <v>0</v>
      </c>
      <c r="BJ116">
        <v>0</v>
      </c>
      <c r="BK116">
        <v>0</v>
      </c>
      <c r="BL116">
        <v>0</v>
      </c>
      <c r="BM116">
        <v>0</v>
      </c>
      <c r="BN116">
        <v>0</v>
      </c>
      <c r="BO116">
        <v>0</v>
      </c>
      <c r="BP116">
        <v>0</v>
      </c>
      <c r="BQ116">
        <v>0</v>
      </c>
      <c r="BR116">
        <v>0</v>
      </c>
      <c r="BS116">
        <v>0</v>
      </c>
      <c r="BT116">
        <v>0</v>
      </c>
      <c r="BU116">
        <v>0</v>
      </c>
      <c r="BV116">
        <v>0</v>
      </c>
      <c r="BW116">
        <v>0</v>
      </c>
      <c r="CX116">
        <f>Y116*Source!I61</f>
        <v>0</v>
      </c>
      <c r="CY116">
        <f>AD116</f>
        <v>0</v>
      </c>
      <c r="CZ116">
        <f>AH116</f>
        <v>0</v>
      </c>
      <c r="DA116">
        <f>AL116</f>
        <v>1</v>
      </c>
      <c r="DB116">
        <f>ROUND((ROUND(AT116*CZ116,2)*4),6)</f>
        <v>0</v>
      </c>
      <c r="DC116">
        <f>ROUND((ROUND(AT116*AG116,2)*4),6)</f>
        <v>0</v>
      </c>
    </row>
    <row r="117" spans="1:107" x14ac:dyDescent="0.2">
      <c r="A117">
        <f>ROW(Source!A61)</f>
        <v>61</v>
      </c>
      <c r="B117">
        <v>44169784</v>
      </c>
      <c r="C117">
        <v>44170340</v>
      </c>
      <c r="D117">
        <v>35058768</v>
      </c>
      <c r="E117">
        <v>1</v>
      </c>
      <c r="F117">
        <v>1</v>
      </c>
      <c r="G117">
        <v>34959076</v>
      </c>
      <c r="H117">
        <v>3</v>
      </c>
      <c r="I117" t="s">
        <v>69</v>
      </c>
      <c r="J117" t="s">
        <v>71</v>
      </c>
      <c r="K117" t="s">
        <v>70</v>
      </c>
      <c r="L117">
        <v>1339</v>
      </c>
      <c r="N117">
        <v>1007</v>
      </c>
      <c r="O117" t="s">
        <v>59</v>
      </c>
      <c r="P117" t="s">
        <v>59</v>
      </c>
      <c r="Q117">
        <v>1</v>
      </c>
      <c r="W117">
        <v>0</v>
      </c>
      <c r="X117">
        <v>412444006</v>
      </c>
      <c r="Y117">
        <v>40.799999999999997</v>
      </c>
      <c r="AA117">
        <v>3860.4</v>
      </c>
      <c r="AB117">
        <v>0</v>
      </c>
      <c r="AC117">
        <v>0</v>
      </c>
      <c r="AD117">
        <v>0</v>
      </c>
      <c r="AE117">
        <v>517.14</v>
      </c>
      <c r="AF117">
        <v>0</v>
      </c>
      <c r="AG117">
        <v>0</v>
      </c>
      <c r="AH117">
        <v>0</v>
      </c>
      <c r="AI117">
        <v>7.45</v>
      </c>
      <c r="AJ117">
        <v>1</v>
      </c>
      <c r="AK117">
        <v>1</v>
      </c>
      <c r="AL117">
        <v>1</v>
      </c>
      <c r="AN117">
        <v>0</v>
      </c>
      <c r="AO117">
        <v>0</v>
      </c>
      <c r="AP117">
        <v>1</v>
      </c>
      <c r="AQ117">
        <v>0</v>
      </c>
      <c r="AR117">
        <v>0</v>
      </c>
      <c r="AS117" t="s">
        <v>5</v>
      </c>
      <c r="AT117">
        <v>10.199999999999999</v>
      </c>
      <c r="AU117" t="s">
        <v>126</v>
      </c>
      <c r="AV117">
        <v>0</v>
      </c>
      <c r="AW117">
        <v>1</v>
      </c>
      <c r="AX117">
        <v>-1</v>
      </c>
      <c r="AY117">
        <v>0</v>
      </c>
      <c r="AZ117">
        <v>0</v>
      </c>
      <c r="BA117" t="s">
        <v>5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0</v>
      </c>
      <c r="BI117">
        <v>0</v>
      </c>
      <c r="BJ117">
        <v>0</v>
      </c>
      <c r="BK117">
        <v>0</v>
      </c>
      <c r="BL117">
        <v>0</v>
      </c>
      <c r="BM117">
        <v>0</v>
      </c>
      <c r="BN117">
        <v>0</v>
      </c>
      <c r="BO117">
        <v>0</v>
      </c>
      <c r="BP117">
        <v>0</v>
      </c>
      <c r="BQ117">
        <v>0</v>
      </c>
      <c r="BR117">
        <v>0</v>
      </c>
      <c r="BS117">
        <v>0</v>
      </c>
      <c r="BT117">
        <v>0</v>
      </c>
      <c r="BU117">
        <v>0</v>
      </c>
      <c r="BV117">
        <v>0</v>
      </c>
      <c r="BW117">
        <v>0</v>
      </c>
      <c r="CX117">
        <f>Y117*Source!I61</f>
        <v>0</v>
      </c>
      <c r="CY117">
        <f>AA117</f>
        <v>3860.4</v>
      </c>
      <c r="CZ117">
        <f>AE117</f>
        <v>517.14</v>
      </c>
      <c r="DA117">
        <f>AI117</f>
        <v>7.45</v>
      </c>
      <c r="DB117">
        <f>ROUND((ROUND(AT117*CZ117,2)*4),6)</f>
        <v>21099.32</v>
      </c>
      <c r="DC117">
        <f>ROUND((ROUND(AT117*AG117,2)*4),6)</f>
        <v>0</v>
      </c>
    </row>
    <row r="118" spans="1:107" x14ac:dyDescent="0.2">
      <c r="A118">
        <f>ROW(Source!A61)</f>
        <v>61</v>
      </c>
      <c r="B118">
        <v>44169784</v>
      </c>
      <c r="C118">
        <v>44170340</v>
      </c>
      <c r="D118">
        <v>0</v>
      </c>
      <c r="E118">
        <v>1</v>
      </c>
      <c r="F118">
        <v>1</v>
      </c>
      <c r="G118">
        <v>34959076</v>
      </c>
      <c r="H118">
        <v>3</v>
      </c>
      <c r="I118" t="s">
        <v>391</v>
      </c>
      <c r="J118" t="s">
        <v>392</v>
      </c>
      <c r="K118" t="s">
        <v>393</v>
      </c>
      <c r="L118">
        <v>1327</v>
      </c>
      <c r="N118">
        <v>1005</v>
      </c>
      <c r="O118" t="s">
        <v>199</v>
      </c>
      <c r="P118" t="s">
        <v>199</v>
      </c>
      <c r="Q118">
        <v>1</v>
      </c>
      <c r="W118">
        <v>0</v>
      </c>
      <c r="X118">
        <v>71660933</v>
      </c>
      <c r="Y118">
        <v>2.6</v>
      </c>
      <c r="AA118">
        <v>90.33</v>
      </c>
      <c r="AB118">
        <v>0</v>
      </c>
      <c r="AC118">
        <v>0</v>
      </c>
      <c r="AD118">
        <v>0</v>
      </c>
      <c r="AE118">
        <v>90.15</v>
      </c>
      <c r="AF118">
        <v>0</v>
      </c>
      <c r="AG118">
        <v>0</v>
      </c>
      <c r="AH118">
        <v>0</v>
      </c>
      <c r="AI118">
        <v>1</v>
      </c>
      <c r="AJ118">
        <v>1</v>
      </c>
      <c r="AK118">
        <v>1</v>
      </c>
      <c r="AL118">
        <v>1</v>
      </c>
      <c r="AN118">
        <v>0</v>
      </c>
      <c r="AO118">
        <v>1</v>
      </c>
      <c r="AP118">
        <v>1</v>
      </c>
      <c r="AQ118">
        <v>0</v>
      </c>
      <c r="AR118">
        <v>0</v>
      </c>
      <c r="AS118" t="s">
        <v>5</v>
      </c>
      <c r="AT118">
        <v>0.65</v>
      </c>
      <c r="AU118" t="s">
        <v>126</v>
      </c>
      <c r="AV118">
        <v>0</v>
      </c>
      <c r="AW118">
        <v>2</v>
      </c>
      <c r="AX118">
        <v>44170348</v>
      </c>
      <c r="AY118">
        <v>1</v>
      </c>
      <c r="AZ118">
        <v>0</v>
      </c>
      <c r="BA118">
        <v>117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0</v>
      </c>
      <c r="BI118">
        <v>0</v>
      </c>
      <c r="BJ118">
        <v>0</v>
      </c>
      <c r="BK118">
        <v>0</v>
      </c>
      <c r="BL118">
        <v>0</v>
      </c>
      <c r="BM118">
        <v>0</v>
      </c>
      <c r="BN118">
        <v>0</v>
      </c>
      <c r="BO118">
        <v>0</v>
      </c>
      <c r="BP118">
        <v>0</v>
      </c>
      <c r="BQ118">
        <v>0</v>
      </c>
      <c r="BR118">
        <v>0</v>
      </c>
      <c r="BS118">
        <v>0</v>
      </c>
      <c r="BT118">
        <v>0</v>
      </c>
      <c r="BU118">
        <v>0</v>
      </c>
      <c r="BV118">
        <v>0</v>
      </c>
      <c r="BW118">
        <v>0</v>
      </c>
      <c r="CX118">
        <f>Y118*Source!I61</f>
        <v>0</v>
      </c>
      <c r="CY118">
        <f>AA118</f>
        <v>90.33</v>
      </c>
      <c r="CZ118">
        <f>AE118</f>
        <v>90.15</v>
      </c>
      <c r="DA118">
        <f>AI118</f>
        <v>1</v>
      </c>
      <c r="DB118">
        <f>ROUND((ROUND(AT118*CZ118,2)*4),6)</f>
        <v>234.4</v>
      </c>
      <c r="DC118">
        <f>ROUND((ROUND(AT118*AG118,2)*4),6)</f>
        <v>0</v>
      </c>
    </row>
    <row r="119" spans="1:107" x14ac:dyDescent="0.2">
      <c r="A119">
        <f>ROW(Source!A63)</f>
        <v>63</v>
      </c>
      <c r="B119">
        <v>44169784</v>
      </c>
      <c r="C119">
        <v>44170351</v>
      </c>
      <c r="D119">
        <v>34984826</v>
      </c>
      <c r="E119">
        <v>34959076</v>
      </c>
      <c r="F119">
        <v>1</v>
      </c>
      <c r="G119">
        <v>34959076</v>
      </c>
      <c r="H119">
        <v>1</v>
      </c>
      <c r="I119" t="s">
        <v>341</v>
      </c>
      <c r="J119" t="s">
        <v>5</v>
      </c>
      <c r="K119" t="s">
        <v>342</v>
      </c>
      <c r="L119">
        <v>1191</v>
      </c>
      <c r="N119">
        <v>1013</v>
      </c>
      <c r="O119" t="s">
        <v>343</v>
      </c>
      <c r="P119" t="s">
        <v>343</v>
      </c>
      <c r="Q119">
        <v>1</v>
      </c>
      <c r="W119">
        <v>0</v>
      </c>
      <c r="X119">
        <v>476480486</v>
      </c>
      <c r="Y119">
        <v>24.3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1</v>
      </c>
      <c r="AJ119">
        <v>1</v>
      </c>
      <c r="AK119">
        <v>1</v>
      </c>
      <c r="AL119">
        <v>1</v>
      </c>
      <c r="AN119">
        <v>0</v>
      </c>
      <c r="AO119">
        <v>1</v>
      </c>
      <c r="AP119">
        <v>1</v>
      </c>
      <c r="AQ119">
        <v>0</v>
      </c>
      <c r="AR119">
        <v>0</v>
      </c>
      <c r="AS119" t="s">
        <v>5</v>
      </c>
      <c r="AT119">
        <v>24.3</v>
      </c>
      <c r="AU119" t="s">
        <v>5</v>
      </c>
      <c r="AV119">
        <v>1</v>
      </c>
      <c r="AW119">
        <v>2</v>
      </c>
      <c r="AX119">
        <v>44170362</v>
      </c>
      <c r="AY119">
        <v>1</v>
      </c>
      <c r="AZ119">
        <v>0</v>
      </c>
      <c r="BA119">
        <v>119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0</v>
      </c>
      <c r="BI119">
        <v>0</v>
      </c>
      <c r="BJ119">
        <v>0</v>
      </c>
      <c r="BK119">
        <v>0</v>
      </c>
      <c r="BL119">
        <v>0</v>
      </c>
      <c r="BM119">
        <v>0</v>
      </c>
      <c r="BN119">
        <v>0</v>
      </c>
      <c r="BO119">
        <v>0</v>
      </c>
      <c r="BP119">
        <v>0</v>
      </c>
      <c r="BQ119">
        <v>0</v>
      </c>
      <c r="BR119">
        <v>0</v>
      </c>
      <c r="BS119">
        <v>0</v>
      </c>
      <c r="BT119">
        <v>0</v>
      </c>
      <c r="BU119">
        <v>0</v>
      </c>
      <c r="BV119">
        <v>0</v>
      </c>
      <c r="BW119">
        <v>0</v>
      </c>
      <c r="CX119">
        <f>Y119*Source!I63</f>
        <v>20.035350000000001</v>
      </c>
      <c r="CY119">
        <f>AD119</f>
        <v>0</v>
      </c>
      <c r="CZ119">
        <f>AH119</f>
        <v>0</v>
      </c>
      <c r="DA119">
        <f>AL119</f>
        <v>1</v>
      </c>
      <c r="DB119">
        <f t="shared" ref="DB119:DB125" si="23">ROUND(ROUND(AT119*CZ119,2),6)</f>
        <v>0</v>
      </c>
      <c r="DC119">
        <f t="shared" ref="DC119:DC125" si="24">ROUND(ROUND(AT119*AG119,2),6)</f>
        <v>0</v>
      </c>
    </row>
    <row r="120" spans="1:107" x14ac:dyDescent="0.2">
      <c r="A120">
        <f>ROW(Source!A63)</f>
        <v>63</v>
      </c>
      <c r="B120">
        <v>44169784</v>
      </c>
      <c r="C120">
        <v>44170351</v>
      </c>
      <c r="D120">
        <v>35064878</v>
      </c>
      <c r="E120">
        <v>1</v>
      </c>
      <c r="F120">
        <v>1</v>
      </c>
      <c r="G120">
        <v>34959076</v>
      </c>
      <c r="H120">
        <v>2</v>
      </c>
      <c r="I120" t="s">
        <v>372</v>
      </c>
      <c r="J120" t="s">
        <v>373</v>
      </c>
      <c r="K120" t="s">
        <v>374</v>
      </c>
      <c r="L120">
        <v>1367</v>
      </c>
      <c r="N120">
        <v>1011</v>
      </c>
      <c r="O120" t="s">
        <v>347</v>
      </c>
      <c r="P120" t="s">
        <v>347</v>
      </c>
      <c r="Q120">
        <v>1</v>
      </c>
      <c r="W120">
        <v>0</v>
      </c>
      <c r="X120">
        <v>378346098</v>
      </c>
      <c r="Y120">
        <v>0.47</v>
      </c>
      <c r="AA120">
        <v>0</v>
      </c>
      <c r="AB120">
        <v>1848.67</v>
      </c>
      <c r="AC120">
        <v>641.92999999999995</v>
      </c>
      <c r="AD120">
        <v>0</v>
      </c>
      <c r="AE120">
        <v>0</v>
      </c>
      <c r="AF120">
        <v>140.58000000000001</v>
      </c>
      <c r="AG120">
        <v>28.61</v>
      </c>
      <c r="AH120">
        <v>0</v>
      </c>
      <c r="AI120">
        <v>1</v>
      </c>
      <c r="AJ120">
        <v>12.56</v>
      </c>
      <c r="AK120">
        <v>21.43</v>
      </c>
      <c r="AL120">
        <v>1</v>
      </c>
      <c r="AN120">
        <v>0</v>
      </c>
      <c r="AO120">
        <v>1</v>
      </c>
      <c r="AP120">
        <v>1</v>
      </c>
      <c r="AQ120">
        <v>0</v>
      </c>
      <c r="AR120">
        <v>0</v>
      </c>
      <c r="AS120" t="s">
        <v>5</v>
      </c>
      <c r="AT120">
        <v>0.47</v>
      </c>
      <c r="AU120" t="s">
        <v>5</v>
      </c>
      <c r="AV120">
        <v>0</v>
      </c>
      <c r="AW120">
        <v>2</v>
      </c>
      <c r="AX120">
        <v>44170363</v>
      </c>
      <c r="AY120">
        <v>1</v>
      </c>
      <c r="AZ120">
        <v>0</v>
      </c>
      <c r="BA120">
        <v>120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0</v>
      </c>
      <c r="BI120">
        <v>0</v>
      </c>
      <c r="BJ120">
        <v>0</v>
      </c>
      <c r="BK120">
        <v>0</v>
      </c>
      <c r="BL120">
        <v>0</v>
      </c>
      <c r="BM120">
        <v>0</v>
      </c>
      <c r="BN120">
        <v>0</v>
      </c>
      <c r="BO120">
        <v>0</v>
      </c>
      <c r="BP120">
        <v>0</v>
      </c>
      <c r="BQ120">
        <v>0</v>
      </c>
      <c r="BR120">
        <v>0</v>
      </c>
      <c r="BS120">
        <v>0</v>
      </c>
      <c r="BT120">
        <v>0</v>
      </c>
      <c r="BU120">
        <v>0</v>
      </c>
      <c r="BV120">
        <v>0</v>
      </c>
      <c r="BW120">
        <v>0</v>
      </c>
      <c r="CX120">
        <f>Y120*Source!I63</f>
        <v>0.387515</v>
      </c>
      <c r="CY120">
        <f>AB120</f>
        <v>1848.67</v>
      </c>
      <c r="CZ120">
        <f>AF120</f>
        <v>140.58000000000001</v>
      </c>
      <c r="DA120">
        <f>AJ120</f>
        <v>12.56</v>
      </c>
      <c r="DB120">
        <f t="shared" si="23"/>
        <v>66.069999999999993</v>
      </c>
      <c r="DC120">
        <f t="shared" si="24"/>
        <v>13.45</v>
      </c>
    </row>
    <row r="121" spans="1:107" x14ac:dyDescent="0.2">
      <c r="A121">
        <f>ROW(Source!A63)</f>
        <v>63</v>
      </c>
      <c r="B121">
        <v>44169784</v>
      </c>
      <c r="C121">
        <v>44170351</v>
      </c>
      <c r="D121">
        <v>35064863</v>
      </c>
      <c r="E121">
        <v>1</v>
      </c>
      <c r="F121">
        <v>1</v>
      </c>
      <c r="G121">
        <v>34959076</v>
      </c>
      <c r="H121">
        <v>2</v>
      </c>
      <c r="I121" t="s">
        <v>403</v>
      </c>
      <c r="J121" t="s">
        <v>404</v>
      </c>
      <c r="K121" t="s">
        <v>405</v>
      </c>
      <c r="L121">
        <v>1367</v>
      </c>
      <c r="N121">
        <v>1011</v>
      </c>
      <c r="O121" t="s">
        <v>347</v>
      </c>
      <c r="P121" t="s">
        <v>347</v>
      </c>
      <c r="Q121">
        <v>1</v>
      </c>
      <c r="W121">
        <v>0</v>
      </c>
      <c r="X121">
        <v>-251987950</v>
      </c>
      <c r="Y121">
        <v>1.3</v>
      </c>
      <c r="AA121">
        <v>0</v>
      </c>
      <c r="AB121">
        <v>1173.1300000000001</v>
      </c>
      <c r="AC121">
        <v>512.69000000000005</v>
      </c>
      <c r="AD121">
        <v>0</v>
      </c>
      <c r="AE121">
        <v>0</v>
      </c>
      <c r="AF121">
        <v>84.82</v>
      </c>
      <c r="AG121">
        <v>22.85</v>
      </c>
      <c r="AH121">
        <v>0</v>
      </c>
      <c r="AI121">
        <v>1</v>
      </c>
      <c r="AJ121">
        <v>13.21</v>
      </c>
      <c r="AK121">
        <v>21.43</v>
      </c>
      <c r="AL121">
        <v>1</v>
      </c>
      <c r="AN121">
        <v>0</v>
      </c>
      <c r="AO121">
        <v>1</v>
      </c>
      <c r="AP121">
        <v>1</v>
      </c>
      <c r="AQ121">
        <v>0</v>
      </c>
      <c r="AR121">
        <v>0</v>
      </c>
      <c r="AS121" t="s">
        <v>5</v>
      </c>
      <c r="AT121">
        <v>1.3</v>
      </c>
      <c r="AU121" t="s">
        <v>5</v>
      </c>
      <c r="AV121">
        <v>0</v>
      </c>
      <c r="AW121">
        <v>2</v>
      </c>
      <c r="AX121">
        <v>44170364</v>
      </c>
      <c r="AY121">
        <v>1</v>
      </c>
      <c r="AZ121">
        <v>0</v>
      </c>
      <c r="BA121">
        <v>121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0</v>
      </c>
      <c r="BI121">
        <v>0</v>
      </c>
      <c r="BJ121">
        <v>0</v>
      </c>
      <c r="BK121">
        <v>0</v>
      </c>
      <c r="BL121">
        <v>0</v>
      </c>
      <c r="BM121">
        <v>0</v>
      </c>
      <c r="BN121">
        <v>0</v>
      </c>
      <c r="BO121">
        <v>0</v>
      </c>
      <c r="BP121">
        <v>0</v>
      </c>
      <c r="BQ121">
        <v>0</v>
      </c>
      <c r="BR121">
        <v>0</v>
      </c>
      <c r="BS121">
        <v>0</v>
      </c>
      <c r="BT121">
        <v>0</v>
      </c>
      <c r="BU121">
        <v>0</v>
      </c>
      <c r="BV121">
        <v>0</v>
      </c>
      <c r="BW121">
        <v>0</v>
      </c>
      <c r="CX121">
        <f>Y121*Source!I63</f>
        <v>1.07185</v>
      </c>
      <c r="CY121">
        <f>AB121</f>
        <v>1173.1300000000001</v>
      </c>
      <c r="CZ121">
        <f>AF121</f>
        <v>84.82</v>
      </c>
      <c r="DA121">
        <f>AJ121</f>
        <v>13.21</v>
      </c>
      <c r="DB121">
        <f t="shared" si="23"/>
        <v>110.27</v>
      </c>
      <c r="DC121">
        <f t="shared" si="24"/>
        <v>29.71</v>
      </c>
    </row>
    <row r="122" spans="1:107" x14ac:dyDescent="0.2">
      <c r="A122">
        <f>ROW(Source!A63)</f>
        <v>63</v>
      </c>
      <c r="B122">
        <v>44169784</v>
      </c>
      <c r="C122">
        <v>44170351</v>
      </c>
      <c r="D122">
        <v>0</v>
      </c>
      <c r="E122">
        <v>1</v>
      </c>
      <c r="F122">
        <v>1</v>
      </c>
      <c r="G122">
        <v>34959076</v>
      </c>
      <c r="H122">
        <v>3</v>
      </c>
      <c r="I122" t="s">
        <v>378</v>
      </c>
      <c r="J122" t="s">
        <v>379</v>
      </c>
      <c r="K122" t="s">
        <v>380</v>
      </c>
      <c r="L122">
        <v>1339</v>
      </c>
      <c r="N122">
        <v>1007</v>
      </c>
      <c r="O122" t="s">
        <v>59</v>
      </c>
      <c r="P122" t="s">
        <v>59</v>
      </c>
      <c r="Q122">
        <v>1</v>
      </c>
      <c r="W122">
        <v>0</v>
      </c>
      <c r="X122">
        <v>55300385</v>
      </c>
      <c r="Y122">
        <v>2</v>
      </c>
      <c r="AA122">
        <v>7.08</v>
      </c>
      <c r="AB122">
        <v>0</v>
      </c>
      <c r="AC122">
        <v>0</v>
      </c>
      <c r="AD122">
        <v>0</v>
      </c>
      <c r="AE122">
        <v>7.07</v>
      </c>
      <c r="AF122">
        <v>0</v>
      </c>
      <c r="AG122">
        <v>0</v>
      </c>
      <c r="AH122">
        <v>0</v>
      </c>
      <c r="AI122">
        <v>1</v>
      </c>
      <c r="AJ122">
        <v>1</v>
      </c>
      <c r="AK122">
        <v>1</v>
      </c>
      <c r="AL122">
        <v>1</v>
      </c>
      <c r="AN122">
        <v>0</v>
      </c>
      <c r="AO122">
        <v>1</v>
      </c>
      <c r="AP122">
        <v>0</v>
      </c>
      <c r="AQ122">
        <v>0</v>
      </c>
      <c r="AR122">
        <v>0</v>
      </c>
      <c r="AS122" t="s">
        <v>5</v>
      </c>
      <c r="AT122">
        <v>2</v>
      </c>
      <c r="AU122" t="s">
        <v>5</v>
      </c>
      <c r="AV122">
        <v>0</v>
      </c>
      <c r="AW122">
        <v>2</v>
      </c>
      <c r="AX122">
        <v>44170365</v>
      </c>
      <c r="AY122">
        <v>1</v>
      </c>
      <c r="AZ122">
        <v>0</v>
      </c>
      <c r="BA122">
        <v>122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0</v>
      </c>
      <c r="BI122">
        <v>0</v>
      </c>
      <c r="BJ122">
        <v>0</v>
      </c>
      <c r="BK122">
        <v>0</v>
      </c>
      <c r="BL122">
        <v>0</v>
      </c>
      <c r="BM122">
        <v>0</v>
      </c>
      <c r="BN122">
        <v>0</v>
      </c>
      <c r="BO122">
        <v>0</v>
      </c>
      <c r="BP122">
        <v>0</v>
      </c>
      <c r="BQ122">
        <v>0</v>
      </c>
      <c r="BR122">
        <v>0</v>
      </c>
      <c r="BS122">
        <v>0</v>
      </c>
      <c r="BT122">
        <v>0</v>
      </c>
      <c r="BU122">
        <v>0</v>
      </c>
      <c r="BV122">
        <v>0</v>
      </c>
      <c r="BW122">
        <v>0</v>
      </c>
      <c r="CX122">
        <f>Y122*Source!I63</f>
        <v>1.649</v>
      </c>
      <c r="CY122">
        <f>AA122</f>
        <v>7.08</v>
      </c>
      <c r="CZ122">
        <f>AE122</f>
        <v>7.07</v>
      </c>
      <c r="DA122">
        <f>AI122</f>
        <v>1</v>
      </c>
      <c r="DB122">
        <f t="shared" si="23"/>
        <v>14.14</v>
      </c>
      <c r="DC122">
        <f t="shared" si="24"/>
        <v>0</v>
      </c>
    </row>
    <row r="123" spans="1:107" x14ac:dyDescent="0.2">
      <c r="A123">
        <f>ROW(Source!A63)</f>
        <v>63</v>
      </c>
      <c r="B123">
        <v>44169784</v>
      </c>
      <c r="C123">
        <v>44170351</v>
      </c>
      <c r="D123">
        <v>35042596</v>
      </c>
      <c r="E123">
        <v>1</v>
      </c>
      <c r="F123">
        <v>1</v>
      </c>
      <c r="G123">
        <v>34959076</v>
      </c>
      <c r="H123">
        <v>3</v>
      </c>
      <c r="I123" t="s">
        <v>136</v>
      </c>
      <c r="J123" t="s">
        <v>138</v>
      </c>
      <c r="K123" t="s">
        <v>137</v>
      </c>
      <c r="L123">
        <v>1339</v>
      </c>
      <c r="N123">
        <v>1007</v>
      </c>
      <c r="O123" t="s">
        <v>59</v>
      </c>
      <c r="P123" t="s">
        <v>59</v>
      </c>
      <c r="Q123">
        <v>1</v>
      </c>
      <c r="W123">
        <v>0</v>
      </c>
      <c r="X123">
        <v>558400410</v>
      </c>
      <c r="Y123">
        <v>17.399999999999999</v>
      </c>
      <c r="AA123">
        <v>2203.29</v>
      </c>
      <c r="AB123">
        <v>0</v>
      </c>
      <c r="AC123">
        <v>0</v>
      </c>
      <c r="AD123">
        <v>0</v>
      </c>
      <c r="AE123">
        <v>160.62</v>
      </c>
      <c r="AF123">
        <v>0</v>
      </c>
      <c r="AG123">
        <v>0</v>
      </c>
      <c r="AH123">
        <v>0</v>
      </c>
      <c r="AI123">
        <v>13.69</v>
      </c>
      <c r="AJ123">
        <v>1</v>
      </c>
      <c r="AK123">
        <v>1</v>
      </c>
      <c r="AL123">
        <v>1</v>
      </c>
      <c r="AN123">
        <v>0</v>
      </c>
      <c r="AO123">
        <v>0</v>
      </c>
      <c r="AP123">
        <v>0</v>
      </c>
      <c r="AQ123">
        <v>0</v>
      </c>
      <c r="AR123">
        <v>0</v>
      </c>
      <c r="AS123" t="s">
        <v>5</v>
      </c>
      <c r="AT123">
        <v>17.399999999999999</v>
      </c>
      <c r="AU123" t="s">
        <v>5</v>
      </c>
      <c r="AV123">
        <v>0</v>
      </c>
      <c r="AW123">
        <v>1</v>
      </c>
      <c r="AX123">
        <v>-1</v>
      </c>
      <c r="AY123">
        <v>0</v>
      </c>
      <c r="AZ123">
        <v>0</v>
      </c>
      <c r="BA123" t="s">
        <v>5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0</v>
      </c>
      <c r="BI123">
        <v>0</v>
      </c>
      <c r="BJ123">
        <v>0</v>
      </c>
      <c r="BK123">
        <v>0</v>
      </c>
      <c r="BL123">
        <v>0</v>
      </c>
      <c r="BM123">
        <v>0</v>
      </c>
      <c r="BN123">
        <v>0</v>
      </c>
      <c r="BO123">
        <v>0</v>
      </c>
      <c r="BP123">
        <v>0</v>
      </c>
      <c r="BQ123">
        <v>0</v>
      </c>
      <c r="BR123">
        <v>0</v>
      </c>
      <c r="BS123">
        <v>0</v>
      </c>
      <c r="BT123">
        <v>0</v>
      </c>
      <c r="BU123">
        <v>0</v>
      </c>
      <c r="BV123">
        <v>0</v>
      </c>
      <c r="BW123">
        <v>0</v>
      </c>
      <c r="CX123">
        <f>Y123*Source!I63</f>
        <v>14.346299999999999</v>
      </c>
      <c r="CY123">
        <f>AA123</f>
        <v>2203.29</v>
      </c>
      <c r="CZ123">
        <f>AE123</f>
        <v>160.62</v>
      </c>
      <c r="DA123">
        <f>AI123</f>
        <v>13.69</v>
      </c>
      <c r="DB123">
        <f t="shared" si="23"/>
        <v>2794.79</v>
      </c>
      <c r="DC123">
        <f t="shared" si="24"/>
        <v>0</v>
      </c>
    </row>
    <row r="124" spans="1:107" x14ac:dyDescent="0.2">
      <c r="A124">
        <f>ROW(Source!A65)</f>
        <v>65</v>
      </c>
      <c r="B124">
        <v>44169784</v>
      </c>
      <c r="C124">
        <v>44170368</v>
      </c>
      <c r="D124">
        <v>34984826</v>
      </c>
      <c r="E124">
        <v>34959076</v>
      </c>
      <c r="F124">
        <v>1</v>
      </c>
      <c r="G124">
        <v>34959076</v>
      </c>
      <c r="H124">
        <v>1</v>
      </c>
      <c r="I124" t="s">
        <v>341</v>
      </c>
      <c r="J124" t="s">
        <v>5</v>
      </c>
      <c r="K124" t="s">
        <v>342</v>
      </c>
      <c r="L124">
        <v>1191</v>
      </c>
      <c r="N124">
        <v>1013</v>
      </c>
      <c r="O124" t="s">
        <v>343</v>
      </c>
      <c r="P124" t="s">
        <v>343</v>
      </c>
      <c r="Q124">
        <v>1</v>
      </c>
      <c r="W124">
        <v>0</v>
      </c>
      <c r="X124">
        <v>476480486</v>
      </c>
      <c r="Y124">
        <v>8.9600000000000009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1</v>
      </c>
      <c r="AJ124">
        <v>1</v>
      </c>
      <c r="AK124">
        <v>1</v>
      </c>
      <c r="AL124">
        <v>1</v>
      </c>
      <c r="AN124">
        <v>0</v>
      </c>
      <c r="AO124">
        <v>1</v>
      </c>
      <c r="AP124">
        <v>1</v>
      </c>
      <c r="AQ124">
        <v>0</v>
      </c>
      <c r="AR124">
        <v>0</v>
      </c>
      <c r="AS124" t="s">
        <v>5</v>
      </c>
      <c r="AT124">
        <v>8.9600000000000009</v>
      </c>
      <c r="AU124" t="s">
        <v>5</v>
      </c>
      <c r="AV124">
        <v>1</v>
      </c>
      <c r="AW124">
        <v>2</v>
      </c>
      <c r="AX124">
        <v>44170377</v>
      </c>
      <c r="AY124">
        <v>1</v>
      </c>
      <c r="AZ124">
        <v>0</v>
      </c>
      <c r="BA124">
        <v>124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0</v>
      </c>
      <c r="BI124">
        <v>0</v>
      </c>
      <c r="BJ124">
        <v>0</v>
      </c>
      <c r="BK124">
        <v>0</v>
      </c>
      <c r="BL124">
        <v>0</v>
      </c>
      <c r="BM124">
        <v>0</v>
      </c>
      <c r="BN124">
        <v>0</v>
      </c>
      <c r="BO124">
        <v>0</v>
      </c>
      <c r="BP124">
        <v>0</v>
      </c>
      <c r="BQ124">
        <v>0</v>
      </c>
      <c r="BR124">
        <v>0</v>
      </c>
      <c r="BS124">
        <v>0</v>
      </c>
      <c r="BT124">
        <v>0</v>
      </c>
      <c r="BU124">
        <v>0</v>
      </c>
      <c r="BV124">
        <v>0</v>
      </c>
      <c r="BW124">
        <v>0</v>
      </c>
      <c r="CX124">
        <f>Y124*Source!I65</f>
        <v>7.3875200000000012</v>
      </c>
      <c r="CY124">
        <f>AD124</f>
        <v>0</v>
      </c>
      <c r="CZ124">
        <f>AH124</f>
        <v>0</v>
      </c>
      <c r="DA124">
        <f>AL124</f>
        <v>1</v>
      </c>
      <c r="DB124">
        <f t="shared" si="23"/>
        <v>0</v>
      </c>
      <c r="DC124">
        <f t="shared" si="24"/>
        <v>0</v>
      </c>
    </row>
    <row r="125" spans="1:107" x14ac:dyDescent="0.2">
      <c r="A125">
        <f>ROW(Source!A65)</f>
        <v>65</v>
      </c>
      <c r="B125">
        <v>44169784</v>
      </c>
      <c r="C125">
        <v>44170368</v>
      </c>
      <c r="D125">
        <v>35064863</v>
      </c>
      <c r="E125">
        <v>1</v>
      </c>
      <c r="F125">
        <v>1</v>
      </c>
      <c r="G125">
        <v>34959076</v>
      </c>
      <c r="H125">
        <v>2</v>
      </c>
      <c r="I125" t="s">
        <v>403</v>
      </c>
      <c r="J125" t="s">
        <v>404</v>
      </c>
      <c r="K125" t="s">
        <v>405</v>
      </c>
      <c r="L125">
        <v>1367</v>
      </c>
      <c r="N125">
        <v>1011</v>
      </c>
      <c r="O125" t="s">
        <v>347</v>
      </c>
      <c r="P125" t="s">
        <v>347</v>
      </c>
      <c r="Q125">
        <v>1</v>
      </c>
      <c r="W125">
        <v>0</v>
      </c>
      <c r="X125">
        <v>-251987950</v>
      </c>
      <c r="Y125">
        <v>0.71</v>
      </c>
      <c r="AA125">
        <v>0</v>
      </c>
      <c r="AB125">
        <v>1173.1300000000001</v>
      </c>
      <c r="AC125">
        <v>512.69000000000005</v>
      </c>
      <c r="AD125">
        <v>0</v>
      </c>
      <c r="AE125">
        <v>0</v>
      </c>
      <c r="AF125">
        <v>84.82</v>
      </c>
      <c r="AG125">
        <v>22.85</v>
      </c>
      <c r="AH125">
        <v>0</v>
      </c>
      <c r="AI125">
        <v>1</v>
      </c>
      <c r="AJ125">
        <v>13.21</v>
      </c>
      <c r="AK125">
        <v>21.43</v>
      </c>
      <c r="AL125">
        <v>1</v>
      </c>
      <c r="AN125">
        <v>0</v>
      </c>
      <c r="AO125">
        <v>1</v>
      </c>
      <c r="AP125">
        <v>1</v>
      </c>
      <c r="AQ125">
        <v>0</v>
      </c>
      <c r="AR125">
        <v>0</v>
      </c>
      <c r="AS125" t="s">
        <v>5</v>
      </c>
      <c r="AT125">
        <v>0.71</v>
      </c>
      <c r="AU125" t="s">
        <v>5</v>
      </c>
      <c r="AV125">
        <v>0</v>
      </c>
      <c r="AW125">
        <v>2</v>
      </c>
      <c r="AX125">
        <v>44170378</v>
      </c>
      <c r="AY125">
        <v>1</v>
      </c>
      <c r="AZ125">
        <v>0</v>
      </c>
      <c r="BA125">
        <v>125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0</v>
      </c>
      <c r="BI125">
        <v>0</v>
      </c>
      <c r="BJ125">
        <v>0</v>
      </c>
      <c r="BK125">
        <v>0</v>
      </c>
      <c r="BL125">
        <v>0</v>
      </c>
      <c r="BM125">
        <v>0</v>
      </c>
      <c r="BN125">
        <v>0</v>
      </c>
      <c r="BO125">
        <v>0</v>
      </c>
      <c r="BP125">
        <v>0</v>
      </c>
      <c r="BQ125">
        <v>0</v>
      </c>
      <c r="BR125">
        <v>0</v>
      </c>
      <c r="BS125">
        <v>0</v>
      </c>
      <c r="BT125">
        <v>0</v>
      </c>
      <c r="BU125">
        <v>0</v>
      </c>
      <c r="BV125">
        <v>0</v>
      </c>
      <c r="BW125">
        <v>0</v>
      </c>
      <c r="CX125">
        <f>Y125*Source!I65</f>
        <v>0.585395</v>
      </c>
      <c r="CY125">
        <f>AB125</f>
        <v>1173.1300000000001</v>
      </c>
      <c r="CZ125">
        <f>AF125</f>
        <v>84.82</v>
      </c>
      <c r="DA125">
        <f>AJ125</f>
        <v>13.21</v>
      </c>
      <c r="DB125">
        <f t="shared" si="23"/>
        <v>60.22</v>
      </c>
      <c r="DC125">
        <f t="shared" si="24"/>
        <v>16.22</v>
      </c>
    </row>
    <row r="126" spans="1:107" x14ac:dyDescent="0.2">
      <c r="A126">
        <f>ROW(Source!A65)</f>
        <v>65</v>
      </c>
      <c r="B126">
        <v>44169784</v>
      </c>
      <c r="C126">
        <v>44170368</v>
      </c>
      <c r="D126">
        <v>0</v>
      </c>
      <c r="E126">
        <v>1</v>
      </c>
      <c r="F126">
        <v>1</v>
      </c>
      <c r="G126">
        <v>34959076</v>
      </c>
      <c r="H126">
        <v>3</v>
      </c>
      <c r="I126" t="s">
        <v>415</v>
      </c>
      <c r="J126" t="s">
        <v>416</v>
      </c>
      <c r="K126" t="s">
        <v>417</v>
      </c>
      <c r="L126">
        <v>1348</v>
      </c>
      <c r="N126">
        <v>1009</v>
      </c>
      <c r="O126" t="s">
        <v>87</v>
      </c>
      <c r="P126" t="s">
        <v>87</v>
      </c>
      <c r="Q126">
        <v>1000</v>
      </c>
      <c r="W126">
        <v>0</v>
      </c>
      <c r="X126">
        <v>-1021851273</v>
      </c>
      <c r="Y126">
        <v>7.9799999999999996E-2</v>
      </c>
      <c r="AA126">
        <v>3501.78</v>
      </c>
      <c r="AB126">
        <v>0</v>
      </c>
      <c r="AC126">
        <v>0</v>
      </c>
      <c r="AD126">
        <v>0</v>
      </c>
      <c r="AE126">
        <v>3501.78</v>
      </c>
      <c r="AF126">
        <v>0</v>
      </c>
      <c r="AG126">
        <v>0</v>
      </c>
      <c r="AH126">
        <v>0</v>
      </c>
      <c r="AI126">
        <v>1</v>
      </c>
      <c r="AJ126">
        <v>1</v>
      </c>
      <c r="AK126">
        <v>1</v>
      </c>
      <c r="AL126">
        <v>1</v>
      </c>
      <c r="AN126">
        <v>0</v>
      </c>
      <c r="AO126">
        <v>1</v>
      </c>
      <c r="AP126">
        <v>1</v>
      </c>
      <c r="AQ126">
        <v>0</v>
      </c>
      <c r="AR126">
        <v>0</v>
      </c>
      <c r="AS126" t="s">
        <v>5</v>
      </c>
      <c r="AT126">
        <v>0.06</v>
      </c>
      <c r="AU126" t="s">
        <v>418</v>
      </c>
      <c r="AV126">
        <v>0</v>
      </c>
      <c r="AW126">
        <v>2</v>
      </c>
      <c r="AX126">
        <v>44170379</v>
      </c>
      <c r="AY126">
        <v>1</v>
      </c>
      <c r="AZ126">
        <v>2048</v>
      </c>
      <c r="BA126">
        <v>126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0</v>
      </c>
      <c r="BI126">
        <v>0</v>
      </c>
      <c r="BJ126">
        <v>0</v>
      </c>
      <c r="BK126">
        <v>0</v>
      </c>
      <c r="BL126">
        <v>0</v>
      </c>
      <c r="BM126">
        <v>0</v>
      </c>
      <c r="BN126">
        <v>0</v>
      </c>
      <c r="BO126">
        <v>0</v>
      </c>
      <c r="BP126">
        <v>0</v>
      </c>
      <c r="BQ126">
        <v>0</v>
      </c>
      <c r="BR126">
        <v>0</v>
      </c>
      <c r="BS126">
        <v>0</v>
      </c>
      <c r="BT126">
        <v>0</v>
      </c>
      <c r="BU126">
        <v>0</v>
      </c>
      <c r="BV126">
        <v>0</v>
      </c>
      <c r="BW126">
        <v>0</v>
      </c>
      <c r="CX126">
        <f>Y126*Source!I65</f>
        <v>6.5795099999999995E-2</v>
      </c>
      <c r="CY126">
        <f>AA126</f>
        <v>3501.78</v>
      </c>
      <c r="CZ126">
        <f>AE126</f>
        <v>3501.78</v>
      </c>
      <c r="DA126">
        <f>AI126</f>
        <v>1</v>
      </c>
      <c r="DB126">
        <f>ROUND((ROUND(AT126*CZ126,2)*1.33),6)</f>
        <v>279.44630000000001</v>
      </c>
      <c r="DC126">
        <f>ROUND((ROUND(AT126*AG126,2)*1.33),6)</f>
        <v>0</v>
      </c>
    </row>
    <row r="127" spans="1:107" x14ac:dyDescent="0.2">
      <c r="A127">
        <f>ROW(Source!A65)</f>
        <v>65</v>
      </c>
      <c r="B127">
        <v>44169784</v>
      </c>
      <c r="C127">
        <v>44170368</v>
      </c>
      <c r="D127">
        <v>35059080</v>
      </c>
      <c r="E127">
        <v>1</v>
      </c>
      <c r="F127">
        <v>1</v>
      </c>
      <c r="G127">
        <v>34959076</v>
      </c>
      <c r="H127">
        <v>3</v>
      </c>
      <c r="I127" t="s">
        <v>85</v>
      </c>
      <c r="J127" t="s">
        <v>88</v>
      </c>
      <c r="K127" t="s">
        <v>86</v>
      </c>
      <c r="L127">
        <v>1348</v>
      </c>
      <c r="N127">
        <v>1009</v>
      </c>
      <c r="O127" t="s">
        <v>87</v>
      </c>
      <c r="P127" t="s">
        <v>87</v>
      </c>
      <c r="Q127">
        <v>1000</v>
      </c>
      <c r="W127">
        <v>0</v>
      </c>
      <c r="X127">
        <v>-2026741202</v>
      </c>
      <c r="Y127">
        <v>14.231</v>
      </c>
      <c r="AA127">
        <v>2768.21</v>
      </c>
      <c r="AB127">
        <v>0</v>
      </c>
      <c r="AC127">
        <v>0</v>
      </c>
      <c r="AD127">
        <v>0</v>
      </c>
      <c r="AE127">
        <v>296.7</v>
      </c>
      <c r="AF127">
        <v>0</v>
      </c>
      <c r="AG127">
        <v>0</v>
      </c>
      <c r="AH127">
        <v>0</v>
      </c>
      <c r="AI127">
        <v>9.33</v>
      </c>
      <c r="AJ127">
        <v>1</v>
      </c>
      <c r="AK127">
        <v>1</v>
      </c>
      <c r="AL127">
        <v>1</v>
      </c>
      <c r="AN127">
        <v>0</v>
      </c>
      <c r="AO127">
        <v>0</v>
      </c>
      <c r="AP127">
        <v>1</v>
      </c>
      <c r="AQ127">
        <v>0</v>
      </c>
      <c r="AR127">
        <v>0</v>
      </c>
      <c r="AS127" t="s">
        <v>5</v>
      </c>
      <c r="AT127">
        <v>10.7</v>
      </c>
      <c r="AU127" t="s">
        <v>418</v>
      </c>
      <c r="AV127">
        <v>0</v>
      </c>
      <c r="AW127">
        <v>1</v>
      </c>
      <c r="AX127">
        <v>-1</v>
      </c>
      <c r="AY127">
        <v>0</v>
      </c>
      <c r="AZ127">
        <v>0</v>
      </c>
      <c r="BA127" t="s">
        <v>5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0</v>
      </c>
      <c r="BI127">
        <v>0</v>
      </c>
      <c r="BJ127">
        <v>0</v>
      </c>
      <c r="BK127">
        <v>0</v>
      </c>
      <c r="BL127">
        <v>0</v>
      </c>
      <c r="BM127">
        <v>0</v>
      </c>
      <c r="BN127">
        <v>0</v>
      </c>
      <c r="BO127">
        <v>0</v>
      </c>
      <c r="BP127">
        <v>0</v>
      </c>
      <c r="BQ127">
        <v>0</v>
      </c>
      <c r="BR127">
        <v>0</v>
      </c>
      <c r="BS127">
        <v>0</v>
      </c>
      <c r="BT127">
        <v>0</v>
      </c>
      <c r="BU127">
        <v>0</v>
      </c>
      <c r="BV127">
        <v>0</v>
      </c>
      <c r="BW127">
        <v>0</v>
      </c>
      <c r="CX127">
        <f>Y127*Source!I65</f>
        <v>11.7334595</v>
      </c>
      <c r="CY127">
        <f>AA127</f>
        <v>2768.21</v>
      </c>
      <c r="CZ127">
        <f>AE127</f>
        <v>296.7</v>
      </c>
      <c r="DA127">
        <f>AI127</f>
        <v>9.33</v>
      </c>
      <c r="DB127">
        <f>ROUND((ROUND(AT127*CZ127,2)*1.33),6)</f>
        <v>4222.3377</v>
      </c>
      <c r="DC127">
        <f>ROUND((ROUND(AT127*AG127,2)*1.33),6)</f>
        <v>0</v>
      </c>
    </row>
    <row r="128" spans="1:107" x14ac:dyDescent="0.2">
      <c r="A128">
        <f>ROW(Source!A67)</f>
        <v>67</v>
      </c>
      <c r="B128">
        <v>44169784</v>
      </c>
      <c r="C128">
        <v>44170382</v>
      </c>
      <c r="D128">
        <v>34984826</v>
      </c>
      <c r="E128">
        <v>34959076</v>
      </c>
      <c r="F128">
        <v>1</v>
      </c>
      <c r="G128">
        <v>34959076</v>
      </c>
      <c r="H128">
        <v>1</v>
      </c>
      <c r="I128" t="s">
        <v>341</v>
      </c>
      <c r="J128" t="s">
        <v>5</v>
      </c>
      <c r="K128" t="s">
        <v>342</v>
      </c>
      <c r="L128">
        <v>1191</v>
      </c>
      <c r="N128">
        <v>1013</v>
      </c>
      <c r="O128" t="s">
        <v>343</v>
      </c>
      <c r="P128" t="s">
        <v>343</v>
      </c>
      <c r="Q128">
        <v>1</v>
      </c>
      <c r="W128">
        <v>0</v>
      </c>
      <c r="X128">
        <v>476480486</v>
      </c>
      <c r="Y128">
        <v>8.9600000000000009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1</v>
      </c>
      <c r="AJ128">
        <v>1</v>
      </c>
      <c r="AK128">
        <v>1</v>
      </c>
      <c r="AL128">
        <v>1</v>
      </c>
      <c r="AN128">
        <v>0</v>
      </c>
      <c r="AO128">
        <v>1</v>
      </c>
      <c r="AP128">
        <v>1</v>
      </c>
      <c r="AQ128">
        <v>0</v>
      </c>
      <c r="AR128">
        <v>0</v>
      </c>
      <c r="AS128" t="s">
        <v>5</v>
      </c>
      <c r="AT128">
        <v>8.9600000000000009</v>
      </c>
      <c r="AU128" t="s">
        <v>5</v>
      </c>
      <c r="AV128">
        <v>1</v>
      </c>
      <c r="AW128">
        <v>2</v>
      </c>
      <c r="AX128">
        <v>44170391</v>
      </c>
      <c r="AY128">
        <v>1</v>
      </c>
      <c r="AZ128">
        <v>0</v>
      </c>
      <c r="BA128">
        <v>128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0</v>
      </c>
      <c r="BI128">
        <v>0</v>
      </c>
      <c r="BJ128">
        <v>0</v>
      </c>
      <c r="BK128">
        <v>0</v>
      </c>
      <c r="BL128">
        <v>0</v>
      </c>
      <c r="BM128">
        <v>0</v>
      </c>
      <c r="BN128">
        <v>0</v>
      </c>
      <c r="BO128">
        <v>0</v>
      </c>
      <c r="BP128">
        <v>0</v>
      </c>
      <c r="BQ128">
        <v>0</v>
      </c>
      <c r="BR128">
        <v>0</v>
      </c>
      <c r="BS128">
        <v>0</v>
      </c>
      <c r="BT128">
        <v>0</v>
      </c>
      <c r="BU128">
        <v>0</v>
      </c>
      <c r="BV128">
        <v>0</v>
      </c>
      <c r="BW128">
        <v>0</v>
      </c>
      <c r="CX128">
        <f>Y128*Source!I67</f>
        <v>45.70406400000001</v>
      </c>
      <c r="CY128">
        <f>AD128</f>
        <v>0</v>
      </c>
      <c r="CZ128">
        <f>AH128</f>
        <v>0</v>
      </c>
      <c r="DA128">
        <f>AL128</f>
        <v>1</v>
      </c>
      <c r="DB128">
        <f>ROUND(ROUND(AT128*CZ128,2),6)</f>
        <v>0</v>
      </c>
      <c r="DC128">
        <f>ROUND(ROUND(AT128*AG128,2),6)</f>
        <v>0</v>
      </c>
    </row>
    <row r="129" spans="1:107" x14ac:dyDescent="0.2">
      <c r="A129">
        <f>ROW(Source!A67)</f>
        <v>67</v>
      </c>
      <c r="B129">
        <v>44169784</v>
      </c>
      <c r="C129">
        <v>44170382</v>
      </c>
      <c r="D129">
        <v>35064863</v>
      </c>
      <c r="E129">
        <v>1</v>
      </c>
      <c r="F129">
        <v>1</v>
      </c>
      <c r="G129">
        <v>34959076</v>
      </c>
      <c r="H129">
        <v>2</v>
      </c>
      <c r="I129" t="s">
        <v>403</v>
      </c>
      <c r="J129" t="s">
        <v>404</v>
      </c>
      <c r="K129" t="s">
        <v>405</v>
      </c>
      <c r="L129">
        <v>1367</v>
      </c>
      <c r="N129">
        <v>1011</v>
      </c>
      <c r="O129" t="s">
        <v>347</v>
      </c>
      <c r="P129" t="s">
        <v>347</v>
      </c>
      <c r="Q129">
        <v>1</v>
      </c>
      <c r="W129">
        <v>0</v>
      </c>
      <c r="X129">
        <v>-251987950</v>
      </c>
      <c r="Y129">
        <v>0.71</v>
      </c>
      <c r="AA129">
        <v>0</v>
      </c>
      <c r="AB129">
        <v>1173.1300000000001</v>
      </c>
      <c r="AC129">
        <v>512.69000000000005</v>
      </c>
      <c r="AD129">
        <v>0</v>
      </c>
      <c r="AE129">
        <v>0</v>
      </c>
      <c r="AF129">
        <v>84.82</v>
      </c>
      <c r="AG129">
        <v>22.85</v>
      </c>
      <c r="AH129">
        <v>0</v>
      </c>
      <c r="AI129">
        <v>1</v>
      </c>
      <c r="AJ129">
        <v>13.21</v>
      </c>
      <c r="AK129">
        <v>21.43</v>
      </c>
      <c r="AL129">
        <v>1</v>
      </c>
      <c r="AN129">
        <v>0</v>
      </c>
      <c r="AO129">
        <v>1</v>
      </c>
      <c r="AP129">
        <v>1</v>
      </c>
      <c r="AQ129">
        <v>0</v>
      </c>
      <c r="AR129">
        <v>0</v>
      </c>
      <c r="AS129" t="s">
        <v>5</v>
      </c>
      <c r="AT129">
        <v>0.71</v>
      </c>
      <c r="AU129" t="s">
        <v>5</v>
      </c>
      <c r="AV129">
        <v>0</v>
      </c>
      <c r="AW129">
        <v>2</v>
      </c>
      <c r="AX129">
        <v>44170392</v>
      </c>
      <c r="AY129">
        <v>1</v>
      </c>
      <c r="AZ129">
        <v>0</v>
      </c>
      <c r="BA129">
        <v>129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0</v>
      </c>
      <c r="BI129">
        <v>0</v>
      </c>
      <c r="BJ129">
        <v>0</v>
      </c>
      <c r="BK129">
        <v>0</v>
      </c>
      <c r="BL129">
        <v>0</v>
      </c>
      <c r="BM129">
        <v>0</v>
      </c>
      <c r="BN129">
        <v>0</v>
      </c>
      <c r="BO129">
        <v>0</v>
      </c>
      <c r="BP129">
        <v>0</v>
      </c>
      <c r="BQ129">
        <v>0</v>
      </c>
      <c r="BR129">
        <v>0</v>
      </c>
      <c r="BS129">
        <v>0</v>
      </c>
      <c r="BT129">
        <v>0</v>
      </c>
      <c r="BU129">
        <v>0</v>
      </c>
      <c r="BV129">
        <v>0</v>
      </c>
      <c r="BW129">
        <v>0</v>
      </c>
      <c r="CX129">
        <f>Y129*Source!I67</f>
        <v>3.6216390000000001</v>
      </c>
      <c r="CY129">
        <f>AB129</f>
        <v>1173.1300000000001</v>
      </c>
      <c r="CZ129">
        <f>AF129</f>
        <v>84.82</v>
      </c>
      <c r="DA129">
        <f>AJ129</f>
        <v>13.21</v>
      </c>
      <c r="DB129">
        <f>ROUND(ROUND(AT129*CZ129,2),6)</f>
        <v>60.22</v>
      </c>
      <c r="DC129">
        <f>ROUND(ROUND(AT129*AG129,2),6)</f>
        <v>16.22</v>
      </c>
    </row>
    <row r="130" spans="1:107" x14ac:dyDescent="0.2">
      <c r="A130">
        <f>ROW(Source!A67)</f>
        <v>67</v>
      </c>
      <c r="B130">
        <v>44169784</v>
      </c>
      <c r="C130">
        <v>44170382</v>
      </c>
      <c r="D130">
        <v>0</v>
      </c>
      <c r="E130">
        <v>1</v>
      </c>
      <c r="F130">
        <v>1</v>
      </c>
      <c r="G130">
        <v>34959076</v>
      </c>
      <c r="H130">
        <v>3</v>
      </c>
      <c r="I130" t="s">
        <v>415</v>
      </c>
      <c r="J130" t="s">
        <v>416</v>
      </c>
      <c r="K130" t="s">
        <v>417</v>
      </c>
      <c r="L130">
        <v>1348</v>
      </c>
      <c r="N130">
        <v>1009</v>
      </c>
      <c r="O130" t="s">
        <v>87</v>
      </c>
      <c r="P130" t="s">
        <v>87</v>
      </c>
      <c r="Q130">
        <v>1000</v>
      </c>
      <c r="W130">
        <v>0</v>
      </c>
      <c r="X130">
        <v>-1021851273</v>
      </c>
      <c r="Y130">
        <v>7.9799999999999996E-2</v>
      </c>
      <c r="AA130">
        <v>3501.78</v>
      </c>
      <c r="AB130">
        <v>0</v>
      </c>
      <c r="AC130">
        <v>0</v>
      </c>
      <c r="AD130">
        <v>0</v>
      </c>
      <c r="AE130">
        <v>3501.78</v>
      </c>
      <c r="AF130">
        <v>0</v>
      </c>
      <c r="AG130">
        <v>0</v>
      </c>
      <c r="AH130">
        <v>0</v>
      </c>
      <c r="AI130">
        <v>1</v>
      </c>
      <c r="AJ130">
        <v>1</v>
      </c>
      <c r="AK130">
        <v>1</v>
      </c>
      <c r="AL130">
        <v>1</v>
      </c>
      <c r="AN130">
        <v>0</v>
      </c>
      <c r="AO130">
        <v>1</v>
      </c>
      <c r="AP130">
        <v>1</v>
      </c>
      <c r="AQ130">
        <v>0</v>
      </c>
      <c r="AR130">
        <v>0</v>
      </c>
      <c r="AS130" t="s">
        <v>5</v>
      </c>
      <c r="AT130">
        <v>0.06</v>
      </c>
      <c r="AU130" t="s">
        <v>418</v>
      </c>
      <c r="AV130">
        <v>0</v>
      </c>
      <c r="AW130">
        <v>2</v>
      </c>
      <c r="AX130">
        <v>44170393</v>
      </c>
      <c r="AY130">
        <v>1</v>
      </c>
      <c r="AZ130">
        <v>2048</v>
      </c>
      <c r="BA130">
        <v>130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0</v>
      </c>
      <c r="BI130">
        <v>0</v>
      </c>
      <c r="BJ130">
        <v>0</v>
      </c>
      <c r="BK130">
        <v>0</v>
      </c>
      <c r="BL130">
        <v>0</v>
      </c>
      <c r="BM130">
        <v>0</v>
      </c>
      <c r="BN130">
        <v>0</v>
      </c>
      <c r="BO130">
        <v>0</v>
      </c>
      <c r="BP130">
        <v>0</v>
      </c>
      <c r="BQ130">
        <v>0</v>
      </c>
      <c r="BR130">
        <v>0</v>
      </c>
      <c r="BS130">
        <v>0</v>
      </c>
      <c r="BT130">
        <v>0</v>
      </c>
      <c r="BU130">
        <v>0</v>
      </c>
      <c r="BV130">
        <v>0</v>
      </c>
      <c r="BW130">
        <v>0</v>
      </c>
      <c r="CX130">
        <f>Y130*Source!I67</f>
        <v>0.40705182000000001</v>
      </c>
      <c r="CY130">
        <f>AA130</f>
        <v>3501.78</v>
      </c>
      <c r="CZ130">
        <f>AE130</f>
        <v>3501.78</v>
      </c>
      <c r="DA130">
        <f>AI130</f>
        <v>1</v>
      </c>
      <c r="DB130">
        <f>ROUND((ROUND(AT130*CZ130,2)*1.33),6)</f>
        <v>279.44630000000001</v>
      </c>
      <c r="DC130">
        <f>ROUND((ROUND(AT130*AG130,2)*1.33),6)</f>
        <v>0</v>
      </c>
    </row>
    <row r="131" spans="1:107" x14ac:dyDescent="0.2">
      <c r="A131">
        <f>ROW(Source!A67)</f>
        <v>67</v>
      </c>
      <c r="B131">
        <v>44169784</v>
      </c>
      <c r="C131">
        <v>44170382</v>
      </c>
      <c r="D131">
        <v>35059082</v>
      </c>
      <c r="E131">
        <v>1</v>
      </c>
      <c r="F131">
        <v>1</v>
      </c>
      <c r="G131">
        <v>34959076</v>
      </c>
      <c r="H131">
        <v>3</v>
      </c>
      <c r="I131" t="s">
        <v>104</v>
      </c>
      <c r="J131" t="s">
        <v>106</v>
      </c>
      <c r="K131" t="s">
        <v>105</v>
      </c>
      <c r="L131">
        <v>1348</v>
      </c>
      <c r="N131">
        <v>1009</v>
      </c>
      <c r="O131" t="s">
        <v>87</v>
      </c>
      <c r="P131" t="s">
        <v>87</v>
      </c>
      <c r="Q131">
        <v>1000</v>
      </c>
      <c r="W131">
        <v>0</v>
      </c>
      <c r="X131">
        <v>-951986387</v>
      </c>
      <c r="Y131">
        <v>9.4962169999999997</v>
      </c>
      <c r="AA131">
        <v>2768.31</v>
      </c>
      <c r="AB131">
        <v>0</v>
      </c>
      <c r="AC131">
        <v>0</v>
      </c>
      <c r="AD131">
        <v>0</v>
      </c>
      <c r="AE131">
        <v>307.58999999999997</v>
      </c>
      <c r="AF131">
        <v>0</v>
      </c>
      <c r="AG131">
        <v>0</v>
      </c>
      <c r="AH131">
        <v>0</v>
      </c>
      <c r="AI131">
        <v>9</v>
      </c>
      <c r="AJ131">
        <v>1</v>
      </c>
      <c r="AK131">
        <v>1</v>
      </c>
      <c r="AL131">
        <v>1</v>
      </c>
      <c r="AN131">
        <v>0</v>
      </c>
      <c r="AO131">
        <v>0</v>
      </c>
      <c r="AP131">
        <v>1</v>
      </c>
      <c r="AQ131">
        <v>0</v>
      </c>
      <c r="AR131">
        <v>0</v>
      </c>
      <c r="AS131" t="s">
        <v>5</v>
      </c>
      <c r="AT131">
        <v>9.4962169999999997</v>
      </c>
      <c r="AU131" t="s">
        <v>5</v>
      </c>
      <c r="AV131">
        <v>0</v>
      </c>
      <c r="AW131">
        <v>1</v>
      </c>
      <c r="AX131">
        <v>-1</v>
      </c>
      <c r="AY131">
        <v>0</v>
      </c>
      <c r="AZ131">
        <v>0</v>
      </c>
      <c r="BA131" t="s">
        <v>5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0</v>
      </c>
      <c r="BI131">
        <v>0</v>
      </c>
      <c r="BJ131">
        <v>0</v>
      </c>
      <c r="BK131">
        <v>0</v>
      </c>
      <c r="BL131">
        <v>0</v>
      </c>
      <c r="BM131">
        <v>0</v>
      </c>
      <c r="BN131">
        <v>0</v>
      </c>
      <c r="BO131">
        <v>0</v>
      </c>
      <c r="BP131">
        <v>0</v>
      </c>
      <c r="BQ131">
        <v>0</v>
      </c>
      <c r="BR131">
        <v>0</v>
      </c>
      <c r="BS131">
        <v>0</v>
      </c>
      <c r="BT131">
        <v>0</v>
      </c>
      <c r="BU131">
        <v>0</v>
      </c>
      <c r="BV131">
        <v>0</v>
      </c>
      <c r="BW131">
        <v>0</v>
      </c>
      <c r="CX131">
        <f>Y131*Source!I67</f>
        <v>48.439253295299999</v>
      </c>
      <c r="CY131">
        <f>AA131</f>
        <v>2768.31</v>
      </c>
      <c r="CZ131">
        <f>AE131</f>
        <v>307.58999999999997</v>
      </c>
      <c r="DA131">
        <f>AI131</f>
        <v>9</v>
      </c>
      <c r="DB131">
        <f t="shared" ref="DB131:DB162" si="25">ROUND(ROUND(AT131*CZ131,2),6)</f>
        <v>2920.94</v>
      </c>
      <c r="DC131">
        <f t="shared" ref="DC131:DC162" si="26">ROUND(ROUND(AT131*AG131,2),6)</f>
        <v>0</v>
      </c>
    </row>
    <row r="132" spans="1:107" x14ac:dyDescent="0.2">
      <c r="A132">
        <f>ROW(Source!A69)</f>
        <v>69</v>
      </c>
      <c r="B132">
        <v>44169784</v>
      </c>
      <c r="C132">
        <v>44170396</v>
      </c>
      <c r="D132">
        <v>34984826</v>
      </c>
      <c r="E132">
        <v>34959076</v>
      </c>
      <c r="F132">
        <v>1</v>
      </c>
      <c r="G132">
        <v>34959076</v>
      </c>
      <c r="H132">
        <v>1</v>
      </c>
      <c r="I132" t="s">
        <v>341</v>
      </c>
      <c r="J132" t="s">
        <v>5</v>
      </c>
      <c r="K132" t="s">
        <v>342</v>
      </c>
      <c r="L132">
        <v>1191</v>
      </c>
      <c r="N132">
        <v>1013</v>
      </c>
      <c r="O132" t="s">
        <v>343</v>
      </c>
      <c r="P132" t="s">
        <v>343</v>
      </c>
      <c r="Q132">
        <v>1</v>
      </c>
      <c r="W132">
        <v>0</v>
      </c>
      <c r="X132">
        <v>476480486</v>
      </c>
      <c r="Y132">
        <v>69.8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1</v>
      </c>
      <c r="AJ132">
        <v>1</v>
      </c>
      <c r="AK132">
        <v>1</v>
      </c>
      <c r="AL132">
        <v>1</v>
      </c>
      <c r="AN132">
        <v>0</v>
      </c>
      <c r="AO132">
        <v>1</v>
      </c>
      <c r="AP132">
        <v>1</v>
      </c>
      <c r="AQ132">
        <v>0</v>
      </c>
      <c r="AR132">
        <v>0</v>
      </c>
      <c r="AS132" t="s">
        <v>5</v>
      </c>
      <c r="AT132">
        <v>69.8</v>
      </c>
      <c r="AU132" t="s">
        <v>5</v>
      </c>
      <c r="AV132">
        <v>1</v>
      </c>
      <c r="AW132">
        <v>2</v>
      </c>
      <c r="AX132">
        <v>44170409</v>
      </c>
      <c r="AY132">
        <v>1</v>
      </c>
      <c r="AZ132">
        <v>0</v>
      </c>
      <c r="BA132">
        <v>132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0</v>
      </c>
      <c r="BI132">
        <v>0</v>
      </c>
      <c r="BJ132">
        <v>0</v>
      </c>
      <c r="BK132">
        <v>0</v>
      </c>
      <c r="BL132">
        <v>0</v>
      </c>
      <c r="BM132">
        <v>0</v>
      </c>
      <c r="BN132">
        <v>0</v>
      </c>
      <c r="BO132">
        <v>0</v>
      </c>
      <c r="BP132">
        <v>0</v>
      </c>
      <c r="BQ132">
        <v>0</v>
      </c>
      <c r="BR132">
        <v>0</v>
      </c>
      <c r="BS132">
        <v>0</v>
      </c>
      <c r="BT132">
        <v>0</v>
      </c>
      <c r="BU132">
        <v>0</v>
      </c>
      <c r="BV132">
        <v>0</v>
      </c>
      <c r="BW132">
        <v>0</v>
      </c>
      <c r="CX132">
        <f>Y132*Source!I69</f>
        <v>0</v>
      </c>
      <c r="CY132">
        <f>AD132</f>
        <v>0</v>
      </c>
      <c r="CZ132">
        <f>AH132</f>
        <v>0</v>
      </c>
      <c r="DA132">
        <f>AL132</f>
        <v>1</v>
      </c>
      <c r="DB132">
        <f t="shared" si="25"/>
        <v>0</v>
      </c>
      <c r="DC132">
        <f t="shared" si="26"/>
        <v>0</v>
      </c>
    </row>
    <row r="133" spans="1:107" x14ac:dyDescent="0.2">
      <c r="A133">
        <f>ROW(Source!A69)</f>
        <v>69</v>
      </c>
      <c r="B133">
        <v>44169784</v>
      </c>
      <c r="C133">
        <v>44170396</v>
      </c>
      <c r="D133">
        <v>31745890</v>
      </c>
      <c r="E133">
        <v>1</v>
      </c>
      <c r="F133">
        <v>1</v>
      </c>
      <c r="G133">
        <v>34959076</v>
      </c>
      <c r="H133">
        <v>2</v>
      </c>
      <c r="I133" t="s">
        <v>419</v>
      </c>
      <c r="J133" t="s">
        <v>420</v>
      </c>
      <c r="K133" t="s">
        <v>421</v>
      </c>
      <c r="L133">
        <v>1367</v>
      </c>
      <c r="N133">
        <v>1011</v>
      </c>
      <c r="O133" t="s">
        <v>347</v>
      </c>
      <c r="P133" t="s">
        <v>347</v>
      </c>
      <c r="Q133">
        <v>1</v>
      </c>
      <c r="W133">
        <v>0</v>
      </c>
      <c r="X133">
        <v>-94137371</v>
      </c>
      <c r="Y133">
        <v>0.61</v>
      </c>
      <c r="AA133">
        <v>0</v>
      </c>
      <c r="AB133">
        <v>106.91</v>
      </c>
      <c r="AC133">
        <v>31.44</v>
      </c>
      <c r="AD133">
        <v>0</v>
      </c>
      <c r="AE133">
        <v>0</v>
      </c>
      <c r="AF133">
        <v>102.11</v>
      </c>
      <c r="AG133">
        <v>30.03</v>
      </c>
      <c r="AH133">
        <v>0</v>
      </c>
      <c r="AI133">
        <v>1</v>
      </c>
      <c r="AJ133">
        <v>1</v>
      </c>
      <c r="AK133">
        <v>1</v>
      </c>
      <c r="AL133">
        <v>1</v>
      </c>
      <c r="AN133">
        <v>0</v>
      </c>
      <c r="AO133">
        <v>1</v>
      </c>
      <c r="AP133">
        <v>1</v>
      </c>
      <c r="AQ133">
        <v>0</v>
      </c>
      <c r="AR133">
        <v>0</v>
      </c>
      <c r="AS133" t="s">
        <v>5</v>
      </c>
      <c r="AT133">
        <v>0.61</v>
      </c>
      <c r="AU133" t="s">
        <v>5</v>
      </c>
      <c r="AV133">
        <v>0</v>
      </c>
      <c r="AW133">
        <v>2</v>
      </c>
      <c r="AX133">
        <v>44170410</v>
      </c>
      <c r="AY133">
        <v>1</v>
      </c>
      <c r="AZ133">
        <v>0</v>
      </c>
      <c r="BA133">
        <v>133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0</v>
      </c>
      <c r="BI133">
        <v>0</v>
      </c>
      <c r="BJ133">
        <v>0</v>
      </c>
      <c r="BK133">
        <v>0</v>
      </c>
      <c r="BL133">
        <v>0</v>
      </c>
      <c r="BM133">
        <v>0</v>
      </c>
      <c r="BN133">
        <v>0</v>
      </c>
      <c r="BO133">
        <v>0</v>
      </c>
      <c r="BP133">
        <v>0</v>
      </c>
      <c r="BQ133">
        <v>0</v>
      </c>
      <c r="BR133">
        <v>0</v>
      </c>
      <c r="BS133">
        <v>0</v>
      </c>
      <c r="BT133">
        <v>0</v>
      </c>
      <c r="BU133">
        <v>0</v>
      </c>
      <c r="BV133">
        <v>0</v>
      </c>
      <c r="BW133">
        <v>0</v>
      </c>
      <c r="CX133">
        <f>Y133*Source!I69</f>
        <v>0</v>
      </c>
      <c r="CY133">
        <f>AB133</f>
        <v>106.91</v>
      </c>
      <c r="CZ133">
        <f>AF133</f>
        <v>102.11</v>
      </c>
      <c r="DA133">
        <f>AJ133</f>
        <v>1</v>
      </c>
      <c r="DB133">
        <f t="shared" si="25"/>
        <v>62.29</v>
      </c>
      <c r="DC133">
        <f t="shared" si="26"/>
        <v>18.32</v>
      </c>
    </row>
    <row r="134" spans="1:107" x14ac:dyDescent="0.2">
      <c r="A134">
        <f>ROW(Source!A69)</f>
        <v>69</v>
      </c>
      <c r="B134">
        <v>44169784</v>
      </c>
      <c r="C134">
        <v>44170396</v>
      </c>
      <c r="D134">
        <v>0</v>
      </c>
      <c r="E134">
        <v>1</v>
      </c>
      <c r="F134">
        <v>1</v>
      </c>
      <c r="G134">
        <v>34959076</v>
      </c>
      <c r="H134">
        <v>3</v>
      </c>
      <c r="I134" t="s">
        <v>422</v>
      </c>
      <c r="J134" t="s">
        <v>423</v>
      </c>
      <c r="K134" t="s">
        <v>424</v>
      </c>
      <c r="L134">
        <v>1339</v>
      </c>
      <c r="N134">
        <v>1007</v>
      </c>
      <c r="O134" t="s">
        <v>59</v>
      </c>
      <c r="P134" t="s">
        <v>59</v>
      </c>
      <c r="Q134">
        <v>1</v>
      </c>
      <c r="W134">
        <v>0</v>
      </c>
      <c r="X134">
        <v>-193017344</v>
      </c>
      <c r="Y134">
        <v>3.9</v>
      </c>
      <c r="AA134">
        <v>726.04</v>
      </c>
      <c r="AB134">
        <v>0</v>
      </c>
      <c r="AC134">
        <v>0</v>
      </c>
      <c r="AD134">
        <v>0</v>
      </c>
      <c r="AE134">
        <v>704.89</v>
      </c>
      <c r="AF134">
        <v>0</v>
      </c>
      <c r="AG134">
        <v>0</v>
      </c>
      <c r="AH134">
        <v>0</v>
      </c>
      <c r="AI134">
        <v>1</v>
      </c>
      <c r="AJ134">
        <v>1</v>
      </c>
      <c r="AK134">
        <v>1</v>
      </c>
      <c r="AL134">
        <v>1</v>
      </c>
      <c r="AN134">
        <v>0</v>
      </c>
      <c r="AO134">
        <v>1</v>
      </c>
      <c r="AP134">
        <v>0</v>
      </c>
      <c r="AQ134">
        <v>0</v>
      </c>
      <c r="AR134">
        <v>0</v>
      </c>
      <c r="AS134" t="s">
        <v>5</v>
      </c>
      <c r="AT134">
        <v>3.9</v>
      </c>
      <c r="AU134" t="s">
        <v>5</v>
      </c>
      <c r="AV134">
        <v>0</v>
      </c>
      <c r="AW134">
        <v>2</v>
      </c>
      <c r="AX134">
        <v>44170411</v>
      </c>
      <c r="AY134">
        <v>1</v>
      </c>
      <c r="AZ134">
        <v>0</v>
      </c>
      <c r="BA134">
        <v>134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0</v>
      </c>
      <c r="BI134">
        <v>0</v>
      </c>
      <c r="BJ134">
        <v>0</v>
      </c>
      <c r="BK134">
        <v>0</v>
      </c>
      <c r="BL134">
        <v>0</v>
      </c>
      <c r="BM134">
        <v>0</v>
      </c>
      <c r="BN134">
        <v>0</v>
      </c>
      <c r="BO134">
        <v>0</v>
      </c>
      <c r="BP134">
        <v>0</v>
      </c>
      <c r="BQ134">
        <v>0</v>
      </c>
      <c r="BR134">
        <v>0</v>
      </c>
      <c r="BS134">
        <v>0</v>
      </c>
      <c r="BT134">
        <v>0</v>
      </c>
      <c r="BU134">
        <v>0</v>
      </c>
      <c r="BV134">
        <v>0</v>
      </c>
      <c r="BW134">
        <v>0</v>
      </c>
      <c r="CX134">
        <f>Y134*Source!I69</f>
        <v>0</v>
      </c>
      <c r="CY134">
        <f>AA134</f>
        <v>726.04</v>
      </c>
      <c r="CZ134">
        <f>AE134</f>
        <v>704.89</v>
      </c>
      <c r="DA134">
        <f>AI134</f>
        <v>1</v>
      </c>
      <c r="DB134">
        <f t="shared" si="25"/>
        <v>2749.07</v>
      </c>
      <c r="DC134">
        <f t="shared" si="26"/>
        <v>0</v>
      </c>
    </row>
    <row r="135" spans="1:107" x14ac:dyDescent="0.2">
      <c r="A135">
        <f>ROW(Source!A69)</f>
        <v>69</v>
      </c>
      <c r="B135">
        <v>44169784</v>
      </c>
      <c r="C135">
        <v>44170396</v>
      </c>
      <c r="D135">
        <v>0</v>
      </c>
      <c r="E135">
        <v>1</v>
      </c>
      <c r="F135">
        <v>1</v>
      </c>
      <c r="G135">
        <v>34959076</v>
      </c>
      <c r="H135">
        <v>3</v>
      </c>
      <c r="I135" t="s">
        <v>425</v>
      </c>
      <c r="J135" t="s">
        <v>426</v>
      </c>
      <c r="K135" t="s">
        <v>427</v>
      </c>
      <c r="L135">
        <v>1339</v>
      </c>
      <c r="N135">
        <v>1007</v>
      </c>
      <c r="O135" t="s">
        <v>59</v>
      </c>
      <c r="P135" t="s">
        <v>59</v>
      </c>
      <c r="Q135">
        <v>1</v>
      </c>
      <c r="W135">
        <v>0</v>
      </c>
      <c r="X135">
        <v>-1859827725</v>
      </c>
      <c r="Y135">
        <v>0.06</v>
      </c>
      <c r="AA135">
        <v>464.67</v>
      </c>
      <c r="AB135">
        <v>0</v>
      </c>
      <c r="AC135">
        <v>0</v>
      </c>
      <c r="AD135">
        <v>0</v>
      </c>
      <c r="AE135">
        <v>451.14</v>
      </c>
      <c r="AF135">
        <v>0</v>
      </c>
      <c r="AG135">
        <v>0</v>
      </c>
      <c r="AH135">
        <v>0</v>
      </c>
      <c r="AI135">
        <v>1</v>
      </c>
      <c r="AJ135">
        <v>1</v>
      </c>
      <c r="AK135">
        <v>1</v>
      </c>
      <c r="AL135">
        <v>1</v>
      </c>
      <c r="AN135">
        <v>0</v>
      </c>
      <c r="AO135">
        <v>1</v>
      </c>
      <c r="AP135">
        <v>0</v>
      </c>
      <c r="AQ135">
        <v>0</v>
      </c>
      <c r="AR135">
        <v>0</v>
      </c>
      <c r="AS135" t="s">
        <v>5</v>
      </c>
      <c r="AT135">
        <v>0.06</v>
      </c>
      <c r="AU135" t="s">
        <v>5</v>
      </c>
      <c r="AV135">
        <v>0</v>
      </c>
      <c r="AW135">
        <v>2</v>
      </c>
      <c r="AX135">
        <v>44170412</v>
      </c>
      <c r="AY135">
        <v>1</v>
      </c>
      <c r="AZ135">
        <v>0</v>
      </c>
      <c r="BA135">
        <v>135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0</v>
      </c>
      <c r="BI135">
        <v>0</v>
      </c>
      <c r="BJ135">
        <v>0</v>
      </c>
      <c r="BK135">
        <v>0</v>
      </c>
      <c r="BL135">
        <v>0</v>
      </c>
      <c r="BM135">
        <v>0</v>
      </c>
      <c r="BN135">
        <v>0</v>
      </c>
      <c r="BO135">
        <v>0</v>
      </c>
      <c r="BP135">
        <v>0</v>
      </c>
      <c r="BQ135">
        <v>0</v>
      </c>
      <c r="BR135">
        <v>0</v>
      </c>
      <c r="BS135">
        <v>0</v>
      </c>
      <c r="BT135">
        <v>0</v>
      </c>
      <c r="BU135">
        <v>0</v>
      </c>
      <c r="BV135">
        <v>0</v>
      </c>
      <c r="BW135">
        <v>0</v>
      </c>
      <c r="CX135">
        <f>Y135*Source!I69</f>
        <v>0</v>
      </c>
      <c r="CY135">
        <f>AA135</f>
        <v>464.67</v>
      </c>
      <c r="CZ135">
        <f>AE135</f>
        <v>451.14</v>
      </c>
      <c r="DA135">
        <f>AI135</f>
        <v>1</v>
      </c>
      <c r="DB135">
        <f t="shared" si="25"/>
        <v>27.07</v>
      </c>
      <c r="DC135">
        <f t="shared" si="26"/>
        <v>0</v>
      </c>
    </row>
    <row r="136" spans="1:107" x14ac:dyDescent="0.2">
      <c r="A136">
        <f>ROW(Source!A69)</f>
        <v>69</v>
      </c>
      <c r="B136">
        <v>44169784</v>
      </c>
      <c r="C136">
        <v>44170396</v>
      </c>
      <c r="D136">
        <v>0</v>
      </c>
      <c r="E136">
        <v>1</v>
      </c>
      <c r="F136">
        <v>1</v>
      </c>
      <c r="G136">
        <v>34959076</v>
      </c>
      <c r="H136">
        <v>3</v>
      </c>
      <c r="I136" t="s">
        <v>159</v>
      </c>
      <c r="J136" t="s">
        <v>161</v>
      </c>
      <c r="K136" t="s">
        <v>160</v>
      </c>
      <c r="L136">
        <v>1339</v>
      </c>
      <c r="N136">
        <v>1007</v>
      </c>
      <c r="O136" t="s">
        <v>59</v>
      </c>
      <c r="P136" t="s">
        <v>59</v>
      </c>
      <c r="Q136">
        <v>1</v>
      </c>
      <c r="W136">
        <v>0</v>
      </c>
      <c r="X136">
        <v>-1741621792</v>
      </c>
      <c r="Y136">
        <v>4.3</v>
      </c>
      <c r="AA136">
        <v>6783.34</v>
      </c>
      <c r="AB136">
        <v>0</v>
      </c>
      <c r="AC136">
        <v>0</v>
      </c>
      <c r="AD136">
        <v>0</v>
      </c>
      <c r="AE136">
        <v>1765.62</v>
      </c>
      <c r="AF136">
        <v>0</v>
      </c>
      <c r="AG136">
        <v>0</v>
      </c>
      <c r="AH136">
        <v>0</v>
      </c>
      <c r="AI136">
        <v>3.73</v>
      </c>
      <c r="AJ136">
        <v>1</v>
      </c>
      <c r="AK136">
        <v>1</v>
      </c>
      <c r="AL136">
        <v>1</v>
      </c>
      <c r="AN136">
        <v>0</v>
      </c>
      <c r="AO136">
        <v>0</v>
      </c>
      <c r="AP136">
        <v>0</v>
      </c>
      <c r="AQ136">
        <v>0</v>
      </c>
      <c r="AR136">
        <v>0</v>
      </c>
      <c r="AS136" t="s">
        <v>5</v>
      </c>
      <c r="AT136">
        <v>4.3</v>
      </c>
      <c r="AU136" t="s">
        <v>5</v>
      </c>
      <c r="AV136">
        <v>0</v>
      </c>
      <c r="AW136">
        <v>1</v>
      </c>
      <c r="AX136">
        <v>-1</v>
      </c>
      <c r="AY136">
        <v>0</v>
      </c>
      <c r="AZ136">
        <v>0</v>
      </c>
      <c r="BA136" t="s">
        <v>5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0</v>
      </c>
      <c r="BI136">
        <v>0</v>
      </c>
      <c r="BJ136">
        <v>0</v>
      </c>
      <c r="BK136">
        <v>0</v>
      </c>
      <c r="BL136">
        <v>0</v>
      </c>
      <c r="BM136">
        <v>0</v>
      </c>
      <c r="BN136">
        <v>0</v>
      </c>
      <c r="BO136">
        <v>0</v>
      </c>
      <c r="BP136">
        <v>0</v>
      </c>
      <c r="BQ136">
        <v>0</v>
      </c>
      <c r="BR136">
        <v>0</v>
      </c>
      <c r="BS136">
        <v>0</v>
      </c>
      <c r="BT136">
        <v>0</v>
      </c>
      <c r="BU136">
        <v>0</v>
      </c>
      <c r="BV136">
        <v>0</v>
      </c>
      <c r="BW136">
        <v>0</v>
      </c>
      <c r="CX136">
        <f>Y136*Source!I69</f>
        <v>0</v>
      </c>
      <c r="CY136">
        <f>AA136</f>
        <v>6783.34</v>
      </c>
      <c r="CZ136">
        <f>AE136</f>
        <v>1765.62</v>
      </c>
      <c r="DA136">
        <f>AI136</f>
        <v>3.73</v>
      </c>
      <c r="DB136">
        <f t="shared" si="25"/>
        <v>7592.17</v>
      </c>
      <c r="DC136">
        <f t="shared" si="26"/>
        <v>0</v>
      </c>
    </row>
    <row r="137" spans="1:107" x14ac:dyDescent="0.2">
      <c r="A137">
        <f>ROW(Source!A69)</f>
        <v>69</v>
      </c>
      <c r="B137">
        <v>44169784</v>
      </c>
      <c r="C137">
        <v>44170396</v>
      </c>
      <c r="D137">
        <v>34984822</v>
      </c>
      <c r="E137">
        <v>34959076</v>
      </c>
      <c r="F137">
        <v>1</v>
      </c>
      <c r="G137">
        <v>34959076</v>
      </c>
      <c r="H137">
        <v>3</v>
      </c>
      <c r="I137" t="s">
        <v>428</v>
      </c>
      <c r="J137" t="s">
        <v>5</v>
      </c>
      <c r="K137" t="s">
        <v>429</v>
      </c>
      <c r="L137">
        <v>1344</v>
      </c>
      <c r="N137">
        <v>1008</v>
      </c>
      <c r="O137" t="s">
        <v>356</v>
      </c>
      <c r="P137" t="s">
        <v>356</v>
      </c>
      <c r="Q137">
        <v>1</v>
      </c>
      <c r="W137">
        <v>0</v>
      </c>
      <c r="X137">
        <v>-94250534</v>
      </c>
      <c r="Y137">
        <v>116.34</v>
      </c>
      <c r="AA137">
        <v>1.03</v>
      </c>
      <c r="AB137">
        <v>0</v>
      </c>
      <c r="AC137">
        <v>0</v>
      </c>
      <c r="AD137">
        <v>0</v>
      </c>
      <c r="AE137">
        <v>1</v>
      </c>
      <c r="AF137">
        <v>0</v>
      </c>
      <c r="AG137">
        <v>0</v>
      </c>
      <c r="AH137">
        <v>0</v>
      </c>
      <c r="AI137">
        <v>1</v>
      </c>
      <c r="AJ137">
        <v>1</v>
      </c>
      <c r="AK137">
        <v>1</v>
      </c>
      <c r="AL137">
        <v>1</v>
      </c>
      <c r="AN137">
        <v>0</v>
      </c>
      <c r="AO137">
        <v>1</v>
      </c>
      <c r="AP137">
        <v>0</v>
      </c>
      <c r="AQ137">
        <v>0</v>
      </c>
      <c r="AR137">
        <v>0</v>
      </c>
      <c r="AS137" t="s">
        <v>5</v>
      </c>
      <c r="AT137">
        <v>116.34</v>
      </c>
      <c r="AU137" t="s">
        <v>5</v>
      </c>
      <c r="AV137">
        <v>0</v>
      </c>
      <c r="AW137">
        <v>2</v>
      </c>
      <c r="AX137">
        <v>44170414</v>
      </c>
      <c r="AY137">
        <v>1</v>
      </c>
      <c r="AZ137">
        <v>0</v>
      </c>
      <c r="BA137">
        <v>137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0</v>
      </c>
      <c r="BI137">
        <v>0</v>
      </c>
      <c r="BJ137">
        <v>0</v>
      </c>
      <c r="BK137">
        <v>0</v>
      </c>
      <c r="BL137">
        <v>0</v>
      </c>
      <c r="BM137">
        <v>0</v>
      </c>
      <c r="BN137">
        <v>0</v>
      </c>
      <c r="BO137">
        <v>0</v>
      </c>
      <c r="BP137">
        <v>0</v>
      </c>
      <c r="BQ137">
        <v>0</v>
      </c>
      <c r="BR137">
        <v>0</v>
      </c>
      <c r="BS137">
        <v>0</v>
      </c>
      <c r="BT137">
        <v>0</v>
      </c>
      <c r="BU137">
        <v>0</v>
      </c>
      <c r="BV137">
        <v>0</v>
      </c>
      <c r="BW137">
        <v>0</v>
      </c>
      <c r="CX137">
        <f>Y137*Source!I69</f>
        <v>0</v>
      </c>
      <c r="CY137">
        <f>AA137</f>
        <v>1.03</v>
      </c>
      <c r="CZ137">
        <f>AE137</f>
        <v>1</v>
      </c>
      <c r="DA137">
        <f>AI137</f>
        <v>1</v>
      </c>
      <c r="DB137">
        <f t="shared" si="25"/>
        <v>116.34</v>
      </c>
      <c r="DC137">
        <f t="shared" si="26"/>
        <v>0</v>
      </c>
    </row>
    <row r="138" spans="1:107" x14ac:dyDescent="0.2">
      <c r="A138">
        <f>ROW(Source!A72)</f>
        <v>72</v>
      </c>
      <c r="B138">
        <v>44169784</v>
      </c>
      <c r="C138">
        <v>44170417</v>
      </c>
      <c r="D138">
        <v>34984826</v>
      </c>
      <c r="E138">
        <v>34959076</v>
      </c>
      <c r="F138">
        <v>1</v>
      </c>
      <c r="G138">
        <v>34959076</v>
      </c>
      <c r="H138">
        <v>1</v>
      </c>
      <c r="I138" t="s">
        <v>341</v>
      </c>
      <c r="J138" t="s">
        <v>5</v>
      </c>
      <c r="K138" t="s">
        <v>342</v>
      </c>
      <c r="L138">
        <v>1191</v>
      </c>
      <c r="N138">
        <v>1013</v>
      </c>
      <c r="O138" t="s">
        <v>343</v>
      </c>
      <c r="P138" t="s">
        <v>343</v>
      </c>
      <c r="Q138">
        <v>1</v>
      </c>
      <c r="W138">
        <v>0</v>
      </c>
      <c r="X138">
        <v>476480486</v>
      </c>
      <c r="Y138">
        <v>76.7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1</v>
      </c>
      <c r="AJ138">
        <v>1</v>
      </c>
      <c r="AK138">
        <v>1</v>
      </c>
      <c r="AL138">
        <v>1</v>
      </c>
      <c r="AN138">
        <v>0</v>
      </c>
      <c r="AO138">
        <v>1</v>
      </c>
      <c r="AP138">
        <v>1</v>
      </c>
      <c r="AQ138">
        <v>0</v>
      </c>
      <c r="AR138">
        <v>0</v>
      </c>
      <c r="AS138" t="s">
        <v>5</v>
      </c>
      <c r="AT138">
        <v>76.7</v>
      </c>
      <c r="AU138" t="s">
        <v>5</v>
      </c>
      <c r="AV138">
        <v>1</v>
      </c>
      <c r="AW138">
        <v>2</v>
      </c>
      <c r="AX138">
        <v>44170420</v>
      </c>
      <c r="AY138">
        <v>1</v>
      </c>
      <c r="AZ138">
        <v>0</v>
      </c>
      <c r="BA138">
        <v>138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0</v>
      </c>
      <c r="BI138">
        <v>0</v>
      </c>
      <c r="BJ138">
        <v>0</v>
      </c>
      <c r="BK138">
        <v>0</v>
      </c>
      <c r="BL138">
        <v>0</v>
      </c>
      <c r="BM138">
        <v>0</v>
      </c>
      <c r="BN138">
        <v>0</v>
      </c>
      <c r="BO138">
        <v>0</v>
      </c>
      <c r="BP138">
        <v>0</v>
      </c>
      <c r="BQ138">
        <v>0</v>
      </c>
      <c r="BR138">
        <v>0</v>
      </c>
      <c r="BS138">
        <v>0</v>
      </c>
      <c r="BT138">
        <v>0</v>
      </c>
      <c r="BU138">
        <v>0</v>
      </c>
      <c r="BV138">
        <v>0</v>
      </c>
      <c r="BW138">
        <v>0</v>
      </c>
      <c r="CX138">
        <f>Y138*Source!I72</f>
        <v>0</v>
      </c>
      <c r="CY138">
        <f>AD138</f>
        <v>0</v>
      </c>
      <c r="CZ138">
        <f>AH138</f>
        <v>0</v>
      </c>
      <c r="DA138">
        <f>AL138</f>
        <v>1</v>
      </c>
      <c r="DB138">
        <f t="shared" si="25"/>
        <v>0</v>
      </c>
      <c r="DC138">
        <f t="shared" si="26"/>
        <v>0</v>
      </c>
    </row>
    <row r="139" spans="1:107" x14ac:dyDescent="0.2">
      <c r="A139">
        <f>ROW(Source!A73)</f>
        <v>73</v>
      </c>
      <c r="B139">
        <v>44169784</v>
      </c>
      <c r="C139">
        <v>44170421</v>
      </c>
      <c r="D139">
        <v>34984824</v>
      </c>
      <c r="E139">
        <v>34959076</v>
      </c>
      <c r="F139">
        <v>1</v>
      </c>
      <c r="G139">
        <v>34959076</v>
      </c>
      <c r="H139">
        <v>2</v>
      </c>
      <c r="I139" t="s">
        <v>354</v>
      </c>
      <c r="J139" t="s">
        <v>5</v>
      </c>
      <c r="K139" t="s">
        <v>355</v>
      </c>
      <c r="L139">
        <v>1344</v>
      </c>
      <c r="N139">
        <v>1008</v>
      </c>
      <c r="O139" t="s">
        <v>356</v>
      </c>
      <c r="P139" t="s">
        <v>356</v>
      </c>
      <c r="Q139">
        <v>1</v>
      </c>
      <c r="W139">
        <v>0</v>
      </c>
      <c r="X139">
        <v>-1180195794</v>
      </c>
      <c r="Y139">
        <v>8.86</v>
      </c>
      <c r="AA139">
        <v>0</v>
      </c>
      <c r="AB139">
        <v>1.05</v>
      </c>
      <c r="AC139">
        <v>0</v>
      </c>
      <c r="AD139">
        <v>0</v>
      </c>
      <c r="AE139">
        <v>0</v>
      </c>
      <c r="AF139">
        <v>1</v>
      </c>
      <c r="AG139">
        <v>0</v>
      </c>
      <c r="AH139">
        <v>0</v>
      </c>
      <c r="AI139">
        <v>1</v>
      </c>
      <c r="AJ139">
        <v>1</v>
      </c>
      <c r="AK139">
        <v>1</v>
      </c>
      <c r="AL139">
        <v>1</v>
      </c>
      <c r="AN139">
        <v>0</v>
      </c>
      <c r="AO139">
        <v>1</v>
      </c>
      <c r="AP139">
        <v>1</v>
      </c>
      <c r="AQ139">
        <v>0</v>
      </c>
      <c r="AR139">
        <v>0</v>
      </c>
      <c r="AS139" t="s">
        <v>5</v>
      </c>
      <c r="AT139">
        <v>8.86</v>
      </c>
      <c r="AU139" t="s">
        <v>5</v>
      </c>
      <c r="AV139">
        <v>0</v>
      </c>
      <c r="AW139">
        <v>2</v>
      </c>
      <c r="AX139">
        <v>44170424</v>
      </c>
      <c r="AY139">
        <v>1</v>
      </c>
      <c r="AZ139">
        <v>0</v>
      </c>
      <c r="BA139">
        <v>139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0</v>
      </c>
      <c r="BI139">
        <v>0</v>
      </c>
      <c r="BJ139">
        <v>0</v>
      </c>
      <c r="BK139">
        <v>0</v>
      </c>
      <c r="BL139">
        <v>0</v>
      </c>
      <c r="BM139">
        <v>0</v>
      </c>
      <c r="BN139">
        <v>0</v>
      </c>
      <c r="BO139">
        <v>0</v>
      </c>
      <c r="BP139">
        <v>0</v>
      </c>
      <c r="BQ139">
        <v>0</v>
      </c>
      <c r="BR139">
        <v>0</v>
      </c>
      <c r="BS139">
        <v>0</v>
      </c>
      <c r="BT139">
        <v>0</v>
      </c>
      <c r="BU139">
        <v>0</v>
      </c>
      <c r="BV139">
        <v>0</v>
      </c>
      <c r="BW139">
        <v>0</v>
      </c>
      <c r="CX139">
        <f>Y139*Source!I73</f>
        <v>0</v>
      </c>
      <c r="CY139">
        <f>AB139</f>
        <v>1.05</v>
      </c>
      <c r="CZ139">
        <f>AF139</f>
        <v>1</v>
      </c>
      <c r="DA139">
        <f>AJ139</f>
        <v>1</v>
      </c>
      <c r="DB139">
        <f t="shared" si="25"/>
        <v>8.86</v>
      </c>
      <c r="DC139">
        <f t="shared" si="26"/>
        <v>0</v>
      </c>
    </row>
    <row r="140" spans="1:107" x14ac:dyDescent="0.2">
      <c r="A140">
        <f>ROW(Source!A74)</f>
        <v>74</v>
      </c>
      <c r="B140">
        <v>44169784</v>
      </c>
      <c r="C140">
        <v>44170425</v>
      </c>
      <c r="D140">
        <v>34984826</v>
      </c>
      <c r="E140">
        <v>34959076</v>
      </c>
      <c r="F140">
        <v>1</v>
      </c>
      <c r="G140">
        <v>34959076</v>
      </c>
      <c r="H140">
        <v>1</v>
      </c>
      <c r="I140" t="s">
        <v>341</v>
      </c>
      <c r="J140" t="s">
        <v>5</v>
      </c>
      <c r="K140" t="s">
        <v>342</v>
      </c>
      <c r="L140">
        <v>1191</v>
      </c>
      <c r="N140">
        <v>1013</v>
      </c>
      <c r="O140" t="s">
        <v>343</v>
      </c>
      <c r="P140" t="s">
        <v>343</v>
      </c>
      <c r="Q140">
        <v>1</v>
      </c>
      <c r="W140">
        <v>0</v>
      </c>
      <c r="X140">
        <v>476480486</v>
      </c>
      <c r="Y140">
        <v>63.43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1</v>
      </c>
      <c r="AJ140">
        <v>1</v>
      </c>
      <c r="AK140">
        <v>1</v>
      </c>
      <c r="AL140">
        <v>1</v>
      </c>
      <c r="AN140">
        <v>0</v>
      </c>
      <c r="AO140">
        <v>1</v>
      </c>
      <c r="AP140">
        <v>0</v>
      </c>
      <c r="AQ140">
        <v>0</v>
      </c>
      <c r="AR140">
        <v>0</v>
      </c>
      <c r="AS140" t="s">
        <v>5</v>
      </c>
      <c r="AT140">
        <v>63.43</v>
      </c>
      <c r="AU140" t="s">
        <v>5</v>
      </c>
      <c r="AV140">
        <v>1</v>
      </c>
      <c r="AW140">
        <v>2</v>
      </c>
      <c r="AX140">
        <v>44170444</v>
      </c>
      <c r="AY140">
        <v>1</v>
      </c>
      <c r="AZ140">
        <v>0</v>
      </c>
      <c r="BA140">
        <v>140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0</v>
      </c>
      <c r="BI140">
        <v>0</v>
      </c>
      <c r="BJ140">
        <v>0</v>
      </c>
      <c r="BK140">
        <v>0</v>
      </c>
      <c r="BL140">
        <v>0</v>
      </c>
      <c r="BM140">
        <v>0</v>
      </c>
      <c r="BN140">
        <v>0</v>
      </c>
      <c r="BO140">
        <v>0</v>
      </c>
      <c r="BP140">
        <v>0</v>
      </c>
      <c r="BQ140">
        <v>0</v>
      </c>
      <c r="BR140">
        <v>0</v>
      </c>
      <c r="BS140">
        <v>0</v>
      </c>
      <c r="BT140">
        <v>0</v>
      </c>
      <c r="BU140">
        <v>0</v>
      </c>
      <c r="BV140">
        <v>0</v>
      </c>
      <c r="BW140">
        <v>0</v>
      </c>
      <c r="CX140">
        <f>Y140*Source!I74</f>
        <v>0</v>
      </c>
      <c r="CY140">
        <f>AD140</f>
        <v>0</v>
      </c>
      <c r="CZ140">
        <f>AH140</f>
        <v>0</v>
      </c>
      <c r="DA140">
        <f>AL140</f>
        <v>1</v>
      </c>
      <c r="DB140">
        <f t="shared" si="25"/>
        <v>0</v>
      </c>
      <c r="DC140">
        <f t="shared" si="26"/>
        <v>0</v>
      </c>
    </row>
    <row r="141" spans="1:107" x14ac:dyDescent="0.2">
      <c r="A141">
        <f>ROW(Source!A74)</f>
        <v>74</v>
      </c>
      <c r="B141">
        <v>44169784</v>
      </c>
      <c r="C141">
        <v>44170425</v>
      </c>
      <c r="D141">
        <v>35065455</v>
      </c>
      <c r="E141">
        <v>1</v>
      </c>
      <c r="F141">
        <v>1</v>
      </c>
      <c r="G141">
        <v>34959076</v>
      </c>
      <c r="H141">
        <v>2</v>
      </c>
      <c r="I141" t="s">
        <v>430</v>
      </c>
      <c r="J141" t="s">
        <v>431</v>
      </c>
      <c r="K141" t="s">
        <v>432</v>
      </c>
      <c r="L141">
        <v>1367</v>
      </c>
      <c r="N141">
        <v>1011</v>
      </c>
      <c r="O141" t="s">
        <v>347</v>
      </c>
      <c r="P141" t="s">
        <v>347</v>
      </c>
      <c r="Q141">
        <v>1</v>
      </c>
      <c r="W141">
        <v>0</v>
      </c>
      <c r="X141">
        <v>-628430174</v>
      </c>
      <c r="Y141">
        <v>0.14000000000000001</v>
      </c>
      <c r="AA141">
        <v>0</v>
      </c>
      <c r="AB141">
        <v>680.35</v>
      </c>
      <c r="AC141">
        <v>322.2</v>
      </c>
      <c r="AD141">
        <v>0</v>
      </c>
      <c r="AE141">
        <v>0</v>
      </c>
      <c r="AF141">
        <v>76.81</v>
      </c>
      <c r="AG141">
        <v>14.36</v>
      </c>
      <c r="AH141">
        <v>0</v>
      </c>
      <c r="AI141">
        <v>1</v>
      </c>
      <c r="AJ141">
        <v>8.4600000000000009</v>
      </c>
      <c r="AK141">
        <v>21.43</v>
      </c>
      <c r="AL141">
        <v>1</v>
      </c>
      <c r="AN141">
        <v>0</v>
      </c>
      <c r="AO141">
        <v>1</v>
      </c>
      <c r="AP141">
        <v>0</v>
      </c>
      <c r="AQ141">
        <v>0</v>
      </c>
      <c r="AR141">
        <v>0</v>
      </c>
      <c r="AS141" t="s">
        <v>5</v>
      </c>
      <c r="AT141">
        <v>0.14000000000000001</v>
      </c>
      <c r="AU141" t="s">
        <v>5</v>
      </c>
      <c r="AV141">
        <v>0</v>
      </c>
      <c r="AW141">
        <v>2</v>
      </c>
      <c r="AX141">
        <v>44170445</v>
      </c>
      <c r="AY141">
        <v>1</v>
      </c>
      <c r="AZ141">
        <v>0</v>
      </c>
      <c r="BA141">
        <v>141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0</v>
      </c>
      <c r="BI141">
        <v>0</v>
      </c>
      <c r="BJ141">
        <v>0</v>
      </c>
      <c r="BK141">
        <v>0</v>
      </c>
      <c r="BL141">
        <v>0</v>
      </c>
      <c r="BM141">
        <v>0</v>
      </c>
      <c r="BN141">
        <v>0</v>
      </c>
      <c r="BO141">
        <v>0</v>
      </c>
      <c r="BP141">
        <v>0</v>
      </c>
      <c r="BQ141">
        <v>0</v>
      </c>
      <c r="BR141">
        <v>0</v>
      </c>
      <c r="BS141">
        <v>0</v>
      </c>
      <c r="BT141">
        <v>0</v>
      </c>
      <c r="BU141">
        <v>0</v>
      </c>
      <c r="BV141">
        <v>0</v>
      </c>
      <c r="BW141">
        <v>0</v>
      </c>
      <c r="CX141">
        <f>Y141*Source!I74</f>
        <v>0</v>
      </c>
      <c r="CY141">
        <f>AB141</f>
        <v>680.35</v>
      </c>
      <c r="CZ141">
        <f>AF141</f>
        <v>76.81</v>
      </c>
      <c r="DA141">
        <f>AJ141</f>
        <v>8.4600000000000009</v>
      </c>
      <c r="DB141">
        <f t="shared" si="25"/>
        <v>10.75</v>
      </c>
      <c r="DC141">
        <f t="shared" si="26"/>
        <v>2.0099999999999998</v>
      </c>
    </row>
    <row r="142" spans="1:107" x14ac:dyDescent="0.2">
      <c r="A142">
        <f>ROW(Source!A74)</f>
        <v>74</v>
      </c>
      <c r="B142">
        <v>44169784</v>
      </c>
      <c r="C142">
        <v>44170425</v>
      </c>
      <c r="D142">
        <v>31745890</v>
      </c>
      <c r="E142">
        <v>1</v>
      </c>
      <c r="F142">
        <v>1</v>
      </c>
      <c r="G142">
        <v>34959076</v>
      </c>
      <c r="H142">
        <v>2</v>
      </c>
      <c r="I142" t="s">
        <v>419</v>
      </c>
      <c r="J142" t="s">
        <v>420</v>
      </c>
      <c r="K142" t="s">
        <v>421</v>
      </c>
      <c r="L142">
        <v>1367</v>
      </c>
      <c r="N142">
        <v>1011</v>
      </c>
      <c r="O142" t="s">
        <v>347</v>
      </c>
      <c r="P142" t="s">
        <v>347</v>
      </c>
      <c r="Q142">
        <v>1</v>
      </c>
      <c r="W142">
        <v>0</v>
      </c>
      <c r="X142">
        <v>-94137371</v>
      </c>
      <c r="Y142">
        <v>0.14000000000000001</v>
      </c>
      <c r="AA142">
        <v>0</v>
      </c>
      <c r="AB142">
        <v>106.91</v>
      </c>
      <c r="AC142">
        <v>31.44</v>
      </c>
      <c r="AD142">
        <v>0</v>
      </c>
      <c r="AE142">
        <v>0</v>
      </c>
      <c r="AF142">
        <v>102.11</v>
      </c>
      <c r="AG142">
        <v>30.03</v>
      </c>
      <c r="AH142">
        <v>0</v>
      </c>
      <c r="AI142">
        <v>1</v>
      </c>
      <c r="AJ142">
        <v>1</v>
      </c>
      <c r="AK142">
        <v>1</v>
      </c>
      <c r="AL142">
        <v>1</v>
      </c>
      <c r="AN142">
        <v>0</v>
      </c>
      <c r="AO142">
        <v>1</v>
      </c>
      <c r="AP142">
        <v>0</v>
      </c>
      <c r="AQ142">
        <v>0</v>
      </c>
      <c r="AR142">
        <v>0</v>
      </c>
      <c r="AS142" t="s">
        <v>5</v>
      </c>
      <c r="AT142">
        <v>0.14000000000000001</v>
      </c>
      <c r="AU142" t="s">
        <v>5</v>
      </c>
      <c r="AV142">
        <v>0</v>
      </c>
      <c r="AW142">
        <v>2</v>
      </c>
      <c r="AX142">
        <v>44170446</v>
      </c>
      <c r="AY142">
        <v>1</v>
      </c>
      <c r="AZ142">
        <v>0</v>
      </c>
      <c r="BA142">
        <v>142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0</v>
      </c>
      <c r="BI142">
        <v>0</v>
      </c>
      <c r="BJ142">
        <v>0</v>
      </c>
      <c r="BK142">
        <v>0</v>
      </c>
      <c r="BL142">
        <v>0</v>
      </c>
      <c r="BM142">
        <v>0</v>
      </c>
      <c r="BN142">
        <v>0</v>
      </c>
      <c r="BO142">
        <v>0</v>
      </c>
      <c r="BP142">
        <v>0</v>
      </c>
      <c r="BQ142">
        <v>0</v>
      </c>
      <c r="BR142">
        <v>0</v>
      </c>
      <c r="BS142">
        <v>0</v>
      </c>
      <c r="BT142">
        <v>0</v>
      </c>
      <c r="BU142">
        <v>0</v>
      </c>
      <c r="BV142">
        <v>0</v>
      </c>
      <c r="BW142">
        <v>0</v>
      </c>
      <c r="CX142">
        <f>Y142*Source!I74</f>
        <v>0</v>
      </c>
      <c r="CY142">
        <f>AB142</f>
        <v>106.91</v>
      </c>
      <c r="CZ142">
        <f>AF142</f>
        <v>102.11</v>
      </c>
      <c r="DA142">
        <f>AJ142</f>
        <v>1</v>
      </c>
      <c r="DB142">
        <f t="shared" si="25"/>
        <v>14.3</v>
      </c>
      <c r="DC142">
        <f t="shared" si="26"/>
        <v>4.2</v>
      </c>
    </row>
    <row r="143" spans="1:107" x14ac:dyDescent="0.2">
      <c r="A143">
        <f>ROW(Source!A74)</f>
        <v>74</v>
      </c>
      <c r="B143">
        <v>44169784</v>
      </c>
      <c r="C143">
        <v>44170425</v>
      </c>
      <c r="D143">
        <v>35064792</v>
      </c>
      <c r="E143">
        <v>1</v>
      </c>
      <c r="F143">
        <v>1</v>
      </c>
      <c r="G143">
        <v>34959076</v>
      </c>
      <c r="H143">
        <v>2</v>
      </c>
      <c r="I143" t="s">
        <v>433</v>
      </c>
      <c r="J143" t="s">
        <v>434</v>
      </c>
      <c r="K143" t="s">
        <v>435</v>
      </c>
      <c r="L143">
        <v>1367</v>
      </c>
      <c r="N143">
        <v>1011</v>
      </c>
      <c r="O143" t="s">
        <v>347</v>
      </c>
      <c r="P143" t="s">
        <v>347</v>
      </c>
      <c r="Q143">
        <v>1</v>
      </c>
      <c r="W143">
        <v>0</v>
      </c>
      <c r="X143">
        <v>482200787</v>
      </c>
      <c r="Y143">
        <v>0.21</v>
      </c>
      <c r="AA143">
        <v>0</v>
      </c>
      <c r="AB143">
        <v>651.19000000000005</v>
      </c>
      <c r="AC143">
        <v>379.19</v>
      </c>
      <c r="AD143">
        <v>0</v>
      </c>
      <c r="AE143">
        <v>0</v>
      </c>
      <c r="AF143">
        <v>73</v>
      </c>
      <c r="AG143">
        <v>16.899999999999999</v>
      </c>
      <c r="AH143">
        <v>0</v>
      </c>
      <c r="AI143">
        <v>1</v>
      </c>
      <c r="AJ143">
        <v>8.52</v>
      </c>
      <c r="AK143">
        <v>21.43</v>
      </c>
      <c r="AL143">
        <v>1</v>
      </c>
      <c r="AN143">
        <v>0</v>
      </c>
      <c r="AO143">
        <v>1</v>
      </c>
      <c r="AP143">
        <v>0</v>
      </c>
      <c r="AQ143">
        <v>0</v>
      </c>
      <c r="AR143">
        <v>0</v>
      </c>
      <c r="AS143" t="s">
        <v>5</v>
      </c>
      <c r="AT143">
        <v>0.21</v>
      </c>
      <c r="AU143" t="s">
        <v>5</v>
      </c>
      <c r="AV143">
        <v>0</v>
      </c>
      <c r="AW143">
        <v>2</v>
      </c>
      <c r="AX143">
        <v>44170447</v>
      </c>
      <c r="AY143">
        <v>1</v>
      </c>
      <c r="AZ143">
        <v>0</v>
      </c>
      <c r="BA143">
        <v>143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0</v>
      </c>
      <c r="BI143">
        <v>0</v>
      </c>
      <c r="BJ143">
        <v>0</v>
      </c>
      <c r="BK143">
        <v>0</v>
      </c>
      <c r="BL143">
        <v>0</v>
      </c>
      <c r="BM143">
        <v>0</v>
      </c>
      <c r="BN143">
        <v>0</v>
      </c>
      <c r="BO143">
        <v>0</v>
      </c>
      <c r="BP143">
        <v>0</v>
      </c>
      <c r="BQ143">
        <v>0</v>
      </c>
      <c r="BR143">
        <v>0</v>
      </c>
      <c r="BS143">
        <v>0</v>
      </c>
      <c r="BT143">
        <v>0</v>
      </c>
      <c r="BU143">
        <v>0</v>
      </c>
      <c r="BV143">
        <v>0</v>
      </c>
      <c r="BW143">
        <v>0</v>
      </c>
      <c r="CX143">
        <f>Y143*Source!I74</f>
        <v>0</v>
      </c>
      <c r="CY143">
        <f>AB143</f>
        <v>651.19000000000005</v>
      </c>
      <c r="CZ143">
        <f>AF143</f>
        <v>73</v>
      </c>
      <c r="DA143">
        <f>AJ143</f>
        <v>8.52</v>
      </c>
      <c r="DB143">
        <f t="shared" si="25"/>
        <v>15.33</v>
      </c>
      <c r="DC143">
        <f t="shared" si="26"/>
        <v>3.55</v>
      </c>
    </row>
    <row r="144" spans="1:107" x14ac:dyDescent="0.2">
      <c r="A144">
        <f>ROW(Source!A74)</f>
        <v>74</v>
      </c>
      <c r="B144">
        <v>44169784</v>
      </c>
      <c r="C144">
        <v>44170425</v>
      </c>
      <c r="D144">
        <v>0</v>
      </c>
      <c r="E144">
        <v>1</v>
      </c>
      <c r="F144">
        <v>1</v>
      </c>
      <c r="G144">
        <v>34959076</v>
      </c>
      <c r="H144">
        <v>3</v>
      </c>
      <c r="I144" t="s">
        <v>436</v>
      </c>
      <c r="J144" t="s">
        <v>437</v>
      </c>
      <c r="K144" t="s">
        <v>438</v>
      </c>
      <c r="L144">
        <v>1348</v>
      </c>
      <c r="N144">
        <v>1009</v>
      </c>
      <c r="O144" t="s">
        <v>87</v>
      </c>
      <c r="P144" t="s">
        <v>87</v>
      </c>
      <c r="Q144">
        <v>1000</v>
      </c>
      <c r="W144">
        <v>0</v>
      </c>
      <c r="X144">
        <v>-1423428334</v>
      </c>
      <c r="Y144">
        <v>1E-3</v>
      </c>
      <c r="AA144">
        <v>6717.06</v>
      </c>
      <c r="AB144">
        <v>0</v>
      </c>
      <c r="AC144">
        <v>0</v>
      </c>
      <c r="AD144">
        <v>0</v>
      </c>
      <c r="AE144">
        <v>6521.42</v>
      </c>
      <c r="AF144">
        <v>0</v>
      </c>
      <c r="AG144">
        <v>0</v>
      </c>
      <c r="AH144">
        <v>0</v>
      </c>
      <c r="AI144">
        <v>1</v>
      </c>
      <c r="AJ144">
        <v>1</v>
      </c>
      <c r="AK144">
        <v>1</v>
      </c>
      <c r="AL144">
        <v>1</v>
      </c>
      <c r="AN144">
        <v>0</v>
      </c>
      <c r="AO144">
        <v>1</v>
      </c>
      <c r="AP144">
        <v>0</v>
      </c>
      <c r="AQ144">
        <v>0</v>
      </c>
      <c r="AR144">
        <v>0</v>
      </c>
      <c r="AS144" t="s">
        <v>5</v>
      </c>
      <c r="AT144">
        <v>1E-3</v>
      </c>
      <c r="AU144" t="s">
        <v>5</v>
      </c>
      <c r="AV144">
        <v>0</v>
      </c>
      <c r="AW144">
        <v>2</v>
      </c>
      <c r="AX144">
        <v>44170448</v>
      </c>
      <c r="AY144">
        <v>1</v>
      </c>
      <c r="AZ144">
        <v>0</v>
      </c>
      <c r="BA144">
        <v>144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0</v>
      </c>
      <c r="BI144">
        <v>0</v>
      </c>
      <c r="BJ144">
        <v>0</v>
      </c>
      <c r="BK144">
        <v>0</v>
      </c>
      <c r="BL144">
        <v>0</v>
      </c>
      <c r="BM144">
        <v>0</v>
      </c>
      <c r="BN144">
        <v>0</v>
      </c>
      <c r="BO144">
        <v>0</v>
      </c>
      <c r="BP144">
        <v>0</v>
      </c>
      <c r="BQ144">
        <v>0</v>
      </c>
      <c r="BR144">
        <v>0</v>
      </c>
      <c r="BS144">
        <v>0</v>
      </c>
      <c r="BT144">
        <v>0</v>
      </c>
      <c r="BU144">
        <v>0</v>
      </c>
      <c r="BV144">
        <v>0</v>
      </c>
      <c r="BW144">
        <v>0</v>
      </c>
      <c r="CX144">
        <f>Y144*Source!I74</f>
        <v>0</v>
      </c>
      <c r="CY144">
        <f>AA144</f>
        <v>6717.06</v>
      </c>
      <c r="CZ144">
        <f>AE144</f>
        <v>6521.42</v>
      </c>
      <c r="DA144">
        <f>AI144</f>
        <v>1</v>
      </c>
      <c r="DB144">
        <f t="shared" si="25"/>
        <v>6.52</v>
      </c>
      <c r="DC144">
        <f t="shared" si="26"/>
        <v>0</v>
      </c>
    </row>
    <row r="145" spans="1:107" x14ac:dyDescent="0.2">
      <c r="A145">
        <f>ROW(Source!A74)</f>
        <v>74</v>
      </c>
      <c r="B145">
        <v>44169784</v>
      </c>
      <c r="C145">
        <v>44170425</v>
      </c>
      <c r="D145">
        <v>0</v>
      </c>
      <c r="E145">
        <v>1</v>
      </c>
      <c r="F145">
        <v>1</v>
      </c>
      <c r="G145">
        <v>34959076</v>
      </c>
      <c r="H145">
        <v>3</v>
      </c>
      <c r="I145" t="s">
        <v>439</v>
      </c>
      <c r="J145" t="s">
        <v>440</v>
      </c>
      <c r="K145" t="s">
        <v>441</v>
      </c>
      <c r="L145">
        <v>1339</v>
      </c>
      <c r="N145">
        <v>1007</v>
      </c>
      <c r="O145" t="s">
        <v>59</v>
      </c>
      <c r="P145" t="s">
        <v>59</v>
      </c>
      <c r="Q145">
        <v>1</v>
      </c>
      <c r="W145">
        <v>0</v>
      </c>
      <c r="X145">
        <v>99505658</v>
      </c>
      <c r="Y145">
        <v>0.15</v>
      </c>
      <c r="AA145">
        <v>1883.42</v>
      </c>
      <c r="AB145">
        <v>0</v>
      </c>
      <c r="AC145">
        <v>0</v>
      </c>
      <c r="AD145">
        <v>0</v>
      </c>
      <c r="AE145">
        <v>1828.56</v>
      </c>
      <c r="AF145">
        <v>0</v>
      </c>
      <c r="AG145">
        <v>0</v>
      </c>
      <c r="AH145">
        <v>0</v>
      </c>
      <c r="AI145">
        <v>1</v>
      </c>
      <c r="AJ145">
        <v>1</v>
      </c>
      <c r="AK145">
        <v>1</v>
      </c>
      <c r="AL145">
        <v>1</v>
      </c>
      <c r="AN145">
        <v>0</v>
      </c>
      <c r="AO145">
        <v>1</v>
      </c>
      <c r="AP145">
        <v>0</v>
      </c>
      <c r="AQ145">
        <v>0</v>
      </c>
      <c r="AR145">
        <v>0</v>
      </c>
      <c r="AS145" t="s">
        <v>5</v>
      </c>
      <c r="AT145">
        <v>0.15</v>
      </c>
      <c r="AU145" t="s">
        <v>5</v>
      </c>
      <c r="AV145">
        <v>0</v>
      </c>
      <c r="AW145">
        <v>2</v>
      </c>
      <c r="AX145">
        <v>44170449</v>
      </c>
      <c r="AY145">
        <v>1</v>
      </c>
      <c r="AZ145">
        <v>0</v>
      </c>
      <c r="BA145">
        <v>145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0</v>
      </c>
      <c r="BI145">
        <v>0</v>
      </c>
      <c r="BJ145">
        <v>0</v>
      </c>
      <c r="BK145">
        <v>0</v>
      </c>
      <c r="BL145">
        <v>0</v>
      </c>
      <c r="BM145">
        <v>0</v>
      </c>
      <c r="BN145">
        <v>0</v>
      </c>
      <c r="BO145">
        <v>0</v>
      </c>
      <c r="BP145">
        <v>0</v>
      </c>
      <c r="BQ145">
        <v>0</v>
      </c>
      <c r="BR145">
        <v>0</v>
      </c>
      <c r="BS145">
        <v>0</v>
      </c>
      <c r="BT145">
        <v>0</v>
      </c>
      <c r="BU145">
        <v>0</v>
      </c>
      <c r="BV145">
        <v>0</v>
      </c>
      <c r="BW145">
        <v>0</v>
      </c>
      <c r="CX145">
        <f>Y145*Source!I74</f>
        <v>0</v>
      </c>
      <c r="CY145">
        <f>AA145</f>
        <v>1883.42</v>
      </c>
      <c r="CZ145">
        <f>AE145</f>
        <v>1828.56</v>
      </c>
      <c r="DA145">
        <f>AI145</f>
        <v>1</v>
      </c>
      <c r="DB145">
        <f t="shared" si="25"/>
        <v>274.27999999999997</v>
      </c>
      <c r="DC145">
        <f t="shared" si="26"/>
        <v>0</v>
      </c>
    </row>
    <row r="146" spans="1:107" x14ac:dyDescent="0.2">
      <c r="A146">
        <f>ROW(Source!A74)</f>
        <v>74</v>
      </c>
      <c r="B146">
        <v>44169784</v>
      </c>
      <c r="C146">
        <v>44170425</v>
      </c>
      <c r="D146">
        <v>0</v>
      </c>
      <c r="E146">
        <v>1</v>
      </c>
      <c r="F146">
        <v>1</v>
      </c>
      <c r="G146">
        <v>34959076</v>
      </c>
      <c r="H146">
        <v>3</v>
      </c>
      <c r="I146" t="s">
        <v>422</v>
      </c>
      <c r="J146" t="s">
        <v>423</v>
      </c>
      <c r="K146" t="s">
        <v>424</v>
      </c>
      <c r="L146">
        <v>1339</v>
      </c>
      <c r="N146">
        <v>1007</v>
      </c>
      <c r="O146" t="s">
        <v>59</v>
      </c>
      <c r="P146" t="s">
        <v>59</v>
      </c>
      <c r="Q146">
        <v>1</v>
      </c>
      <c r="W146">
        <v>0</v>
      </c>
      <c r="X146">
        <v>-193017344</v>
      </c>
      <c r="Y146">
        <v>4.3</v>
      </c>
      <c r="AA146">
        <v>726.04</v>
      </c>
      <c r="AB146">
        <v>0</v>
      </c>
      <c r="AC146">
        <v>0</v>
      </c>
      <c r="AD146">
        <v>0</v>
      </c>
      <c r="AE146">
        <v>704.89</v>
      </c>
      <c r="AF146">
        <v>0</v>
      </c>
      <c r="AG146">
        <v>0</v>
      </c>
      <c r="AH146">
        <v>0</v>
      </c>
      <c r="AI146">
        <v>1</v>
      </c>
      <c r="AJ146">
        <v>1</v>
      </c>
      <c r="AK146">
        <v>1</v>
      </c>
      <c r="AL146">
        <v>1</v>
      </c>
      <c r="AN146">
        <v>0</v>
      </c>
      <c r="AO146">
        <v>1</v>
      </c>
      <c r="AP146">
        <v>0</v>
      </c>
      <c r="AQ146">
        <v>0</v>
      </c>
      <c r="AR146">
        <v>0</v>
      </c>
      <c r="AS146" t="s">
        <v>5</v>
      </c>
      <c r="AT146">
        <v>4.3</v>
      </c>
      <c r="AU146" t="s">
        <v>5</v>
      </c>
      <c r="AV146">
        <v>0</v>
      </c>
      <c r="AW146">
        <v>2</v>
      </c>
      <c r="AX146">
        <v>44170450</v>
      </c>
      <c r="AY146">
        <v>1</v>
      </c>
      <c r="AZ146">
        <v>0</v>
      </c>
      <c r="BA146">
        <v>146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0</v>
      </c>
      <c r="BI146">
        <v>0</v>
      </c>
      <c r="BJ146">
        <v>0</v>
      </c>
      <c r="BK146">
        <v>0</v>
      </c>
      <c r="BL146">
        <v>0</v>
      </c>
      <c r="BM146">
        <v>0</v>
      </c>
      <c r="BN146">
        <v>0</v>
      </c>
      <c r="BO146">
        <v>0</v>
      </c>
      <c r="BP146">
        <v>0</v>
      </c>
      <c r="BQ146">
        <v>0</v>
      </c>
      <c r="BR146">
        <v>0</v>
      </c>
      <c r="BS146">
        <v>0</v>
      </c>
      <c r="BT146">
        <v>0</v>
      </c>
      <c r="BU146">
        <v>0</v>
      </c>
      <c r="BV146">
        <v>0</v>
      </c>
      <c r="BW146">
        <v>0</v>
      </c>
      <c r="CX146">
        <f>Y146*Source!I74</f>
        <v>0</v>
      </c>
      <c r="CY146">
        <f>AA146</f>
        <v>726.04</v>
      </c>
      <c r="CZ146">
        <f>AE146</f>
        <v>704.89</v>
      </c>
      <c r="DA146">
        <f>AI146</f>
        <v>1</v>
      </c>
      <c r="DB146">
        <f t="shared" si="25"/>
        <v>3031.03</v>
      </c>
      <c r="DC146">
        <f t="shared" si="26"/>
        <v>0</v>
      </c>
    </row>
    <row r="147" spans="1:107" x14ac:dyDescent="0.2">
      <c r="A147">
        <f>ROW(Source!A74)</f>
        <v>74</v>
      </c>
      <c r="B147">
        <v>44169784</v>
      </c>
      <c r="C147">
        <v>44170425</v>
      </c>
      <c r="D147">
        <v>0</v>
      </c>
      <c r="E147">
        <v>1</v>
      </c>
      <c r="F147">
        <v>1</v>
      </c>
      <c r="G147">
        <v>34959076</v>
      </c>
      <c r="H147">
        <v>3</v>
      </c>
      <c r="I147" t="s">
        <v>425</v>
      </c>
      <c r="J147" t="s">
        <v>426</v>
      </c>
      <c r="K147" t="s">
        <v>427</v>
      </c>
      <c r="L147">
        <v>1339</v>
      </c>
      <c r="N147">
        <v>1007</v>
      </c>
      <c r="O147" t="s">
        <v>59</v>
      </c>
      <c r="P147" t="s">
        <v>59</v>
      </c>
      <c r="Q147">
        <v>1</v>
      </c>
      <c r="W147">
        <v>0</v>
      </c>
      <c r="X147">
        <v>-1859827725</v>
      </c>
      <c r="Y147">
        <v>0.02</v>
      </c>
      <c r="AA147">
        <v>464.67</v>
      </c>
      <c r="AB147">
        <v>0</v>
      </c>
      <c r="AC147">
        <v>0</v>
      </c>
      <c r="AD147">
        <v>0</v>
      </c>
      <c r="AE147">
        <v>451.14</v>
      </c>
      <c r="AF147">
        <v>0</v>
      </c>
      <c r="AG147">
        <v>0</v>
      </c>
      <c r="AH147">
        <v>0</v>
      </c>
      <c r="AI147">
        <v>1</v>
      </c>
      <c r="AJ147">
        <v>1</v>
      </c>
      <c r="AK147">
        <v>1</v>
      </c>
      <c r="AL147">
        <v>1</v>
      </c>
      <c r="AN147">
        <v>0</v>
      </c>
      <c r="AO147">
        <v>1</v>
      </c>
      <c r="AP147">
        <v>0</v>
      </c>
      <c r="AQ147">
        <v>0</v>
      </c>
      <c r="AR147">
        <v>0</v>
      </c>
      <c r="AS147" t="s">
        <v>5</v>
      </c>
      <c r="AT147">
        <v>0.02</v>
      </c>
      <c r="AU147" t="s">
        <v>5</v>
      </c>
      <c r="AV147">
        <v>0</v>
      </c>
      <c r="AW147">
        <v>2</v>
      </c>
      <c r="AX147">
        <v>44170451</v>
      </c>
      <c r="AY147">
        <v>1</v>
      </c>
      <c r="AZ147">
        <v>0</v>
      </c>
      <c r="BA147">
        <v>147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0</v>
      </c>
      <c r="BI147">
        <v>0</v>
      </c>
      <c r="BJ147">
        <v>0</v>
      </c>
      <c r="BK147">
        <v>0</v>
      </c>
      <c r="BL147">
        <v>0</v>
      </c>
      <c r="BM147">
        <v>0</v>
      </c>
      <c r="BN147">
        <v>0</v>
      </c>
      <c r="BO147">
        <v>0</v>
      </c>
      <c r="BP147">
        <v>0</v>
      </c>
      <c r="BQ147">
        <v>0</v>
      </c>
      <c r="BR147">
        <v>0</v>
      </c>
      <c r="BS147">
        <v>0</v>
      </c>
      <c r="BT147">
        <v>0</v>
      </c>
      <c r="BU147">
        <v>0</v>
      </c>
      <c r="BV147">
        <v>0</v>
      </c>
      <c r="BW147">
        <v>0</v>
      </c>
      <c r="CX147">
        <f>Y147*Source!I74</f>
        <v>0</v>
      </c>
      <c r="CY147">
        <f>AA147</f>
        <v>464.67</v>
      </c>
      <c r="CZ147">
        <f>AE147</f>
        <v>451.14</v>
      </c>
      <c r="DA147">
        <f>AI147</f>
        <v>1</v>
      </c>
      <c r="DB147">
        <f t="shared" si="25"/>
        <v>9.02</v>
      </c>
      <c r="DC147">
        <f t="shared" si="26"/>
        <v>0</v>
      </c>
    </row>
    <row r="148" spans="1:107" x14ac:dyDescent="0.2">
      <c r="A148">
        <f>ROW(Source!A74)</f>
        <v>74</v>
      </c>
      <c r="B148">
        <v>44169784</v>
      </c>
      <c r="C148">
        <v>44170425</v>
      </c>
      <c r="D148">
        <v>0</v>
      </c>
      <c r="E148">
        <v>1</v>
      </c>
      <c r="F148">
        <v>1</v>
      </c>
      <c r="G148">
        <v>34959076</v>
      </c>
      <c r="H148">
        <v>3</v>
      </c>
      <c r="I148" t="s">
        <v>172</v>
      </c>
      <c r="J148" t="s">
        <v>174</v>
      </c>
      <c r="K148" t="s">
        <v>173</v>
      </c>
      <c r="L148">
        <v>1339</v>
      </c>
      <c r="N148">
        <v>1007</v>
      </c>
      <c r="O148" t="s">
        <v>59</v>
      </c>
      <c r="P148" t="s">
        <v>59</v>
      </c>
      <c r="Q148">
        <v>1</v>
      </c>
      <c r="W148">
        <v>0</v>
      </c>
      <c r="X148">
        <v>868742244</v>
      </c>
      <c r="Y148">
        <v>1.6</v>
      </c>
      <c r="AA148">
        <v>9070.31</v>
      </c>
      <c r="AB148">
        <v>0</v>
      </c>
      <c r="AC148">
        <v>0</v>
      </c>
      <c r="AD148">
        <v>0</v>
      </c>
      <c r="AE148">
        <v>4021.06</v>
      </c>
      <c r="AF148">
        <v>0</v>
      </c>
      <c r="AG148">
        <v>0</v>
      </c>
      <c r="AH148">
        <v>0</v>
      </c>
      <c r="AI148">
        <v>2.19</v>
      </c>
      <c r="AJ148">
        <v>1</v>
      </c>
      <c r="AK148">
        <v>1</v>
      </c>
      <c r="AL148">
        <v>1</v>
      </c>
      <c r="AN148">
        <v>0</v>
      </c>
      <c r="AO148">
        <v>0</v>
      </c>
      <c r="AP148">
        <v>0</v>
      </c>
      <c r="AQ148">
        <v>0</v>
      </c>
      <c r="AR148">
        <v>0</v>
      </c>
      <c r="AS148" t="s">
        <v>5</v>
      </c>
      <c r="AT148">
        <v>1.6</v>
      </c>
      <c r="AU148" t="s">
        <v>5</v>
      </c>
      <c r="AV148">
        <v>0</v>
      </c>
      <c r="AW148">
        <v>1</v>
      </c>
      <c r="AX148">
        <v>-1</v>
      </c>
      <c r="AY148">
        <v>0</v>
      </c>
      <c r="AZ148">
        <v>0</v>
      </c>
      <c r="BA148" t="s">
        <v>5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0</v>
      </c>
      <c r="BI148">
        <v>0</v>
      </c>
      <c r="BJ148">
        <v>0</v>
      </c>
      <c r="BK148">
        <v>0</v>
      </c>
      <c r="BL148">
        <v>0</v>
      </c>
      <c r="BM148">
        <v>0</v>
      </c>
      <c r="BN148">
        <v>0</v>
      </c>
      <c r="BO148">
        <v>0</v>
      </c>
      <c r="BP148">
        <v>0</v>
      </c>
      <c r="BQ148">
        <v>0</v>
      </c>
      <c r="BR148">
        <v>0</v>
      </c>
      <c r="BS148">
        <v>0</v>
      </c>
      <c r="BT148">
        <v>0</v>
      </c>
      <c r="BU148">
        <v>0</v>
      </c>
      <c r="BV148">
        <v>0</v>
      </c>
      <c r="BW148">
        <v>0</v>
      </c>
      <c r="CX148">
        <f>Y148*Source!I74</f>
        <v>0</v>
      </c>
      <c r="CY148">
        <f>AA148</f>
        <v>9070.31</v>
      </c>
      <c r="CZ148">
        <f>AE148</f>
        <v>4021.06</v>
      </c>
      <c r="DA148">
        <f>AI148</f>
        <v>2.19</v>
      </c>
      <c r="DB148">
        <f t="shared" si="25"/>
        <v>6433.7</v>
      </c>
      <c r="DC148">
        <f t="shared" si="26"/>
        <v>0</v>
      </c>
    </row>
    <row r="149" spans="1:107" x14ac:dyDescent="0.2">
      <c r="A149">
        <f>ROW(Source!A77)</f>
        <v>77</v>
      </c>
      <c r="B149">
        <v>44169784</v>
      </c>
      <c r="C149">
        <v>44170455</v>
      </c>
      <c r="D149">
        <v>34984826</v>
      </c>
      <c r="E149">
        <v>34959076</v>
      </c>
      <c r="F149">
        <v>1</v>
      </c>
      <c r="G149">
        <v>34959076</v>
      </c>
      <c r="H149">
        <v>1</v>
      </c>
      <c r="I149" t="s">
        <v>341</v>
      </c>
      <c r="J149" t="s">
        <v>5</v>
      </c>
      <c r="K149" t="s">
        <v>342</v>
      </c>
      <c r="L149">
        <v>1191</v>
      </c>
      <c r="N149">
        <v>1013</v>
      </c>
      <c r="O149" t="s">
        <v>343</v>
      </c>
      <c r="P149" t="s">
        <v>343</v>
      </c>
      <c r="Q149">
        <v>1</v>
      </c>
      <c r="W149">
        <v>0</v>
      </c>
      <c r="X149">
        <v>476480486</v>
      </c>
      <c r="Y149">
        <v>11.7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1</v>
      </c>
      <c r="AJ149">
        <v>1</v>
      </c>
      <c r="AK149">
        <v>1</v>
      </c>
      <c r="AL149">
        <v>1</v>
      </c>
      <c r="AN149">
        <v>0</v>
      </c>
      <c r="AO149">
        <v>1</v>
      </c>
      <c r="AP149">
        <v>1</v>
      </c>
      <c r="AQ149">
        <v>0</v>
      </c>
      <c r="AR149">
        <v>0</v>
      </c>
      <c r="AS149" t="s">
        <v>5</v>
      </c>
      <c r="AT149">
        <v>11.7</v>
      </c>
      <c r="AU149" t="s">
        <v>5</v>
      </c>
      <c r="AV149">
        <v>1</v>
      </c>
      <c r="AW149">
        <v>2</v>
      </c>
      <c r="AX149">
        <v>44170460</v>
      </c>
      <c r="AY149">
        <v>1</v>
      </c>
      <c r="AZ149">
        <v>0</v>
      </c>
      <c r="BA149">
        <v>149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0</v>
      </c>
      <c r="BI149">
        <v>0</v>
      </c>
      <c r="BJ149">
        <v>0</v>
      </c>
      <c r="BK149">
        <v>0</v>
      </c>
      <c r="BL149">
        <v>0</v>
      </c>
      <c r="BM149">
        <v>0</v>
      </c>
      <c r="BN149">
        <v>0</v>
      </c>
      <c r="BO149">
        <v>0</v>
      </c>
      <c r="BP149">
        <v>0</v>
      </c>
      <c r="BQ149">
        <v>0</v>
      </c>
      <c r="BR149">
        <v>0</v>
      </c>
      <c r="BS149">
        <v>0</v>
      </c>
      <c r="BT149">
        <v>0</v>
      </c>
      <c r="BU149">
        <v>0</v>
      </c>
      <c r="BV149">
        <v>0</v>
      </c>
      <c r="BW149">
        <v>0</v>
      </c>
      <c r="CX149">
        <f>Y149*Source!I77</f>
        <v>0.1743768</v>
      </c>
      <c r="CY149">
        <f>AD149</f>
        <v>0</v>
      </c>
      <c r="CZ149">
        <f>AH149</f>
        <v>0</v>
      </c>
      <c r="DA149">
        <f>AL149</f>
        <v>1</v>
      </c>
      <c r="DB149">
        <f t="shared" si="25"/>
        <v>0</v>
      </c>
      <c r="DC149">
        <f t="shared" si="26"/>
        <v>0</v>
      </c>
    </row>
    <row r="150" spans="1:107" x14ac:dyDescent="0.2">
      <c r="A150">
        <f>ROW(Source!A77)</f>
        <v>77</v>
      </c>
      <c r="B150">
        <v>44169784</v>
      </c>
      <c r="C150">
        <v>44170455</v>
      </c>
      <c r="D150">
        <v>35064650</v>
      </c>
      <c r="E150">
        <v>1</v>
      </c>
      <c r="F150">
        <v>1</v>
      </c>
      <c r="G150">
        <v>34959076</v>
      </c>
      <c r="H150">
        <v>2</v>
      </c>
      <c r="I150" t="s">
        <v>366</v>
      </c>
      <c r="J150" t="s">
        <v>367</v>
      </c>
      <c r="K150" t="s">
        <v>368</v>
      </c>
      <c r="L150">
        <v>1367</v>
      </c>
      <c r="N150">
        <v>1011</v>
      </c>
      <c r="O150" t="s">
        <v>347</v>
      </c>
      <c r="P150" t="s">
        <v>347</v>
      </c>
      <c r="Q150">
        <v>1</v>
      </c>
      <c r="W150">
        <v>0</v>
      </c>
      <c r="X150">
        <v>1928543733</v>
      </c>
      <c r="Y150">
        <v>1.26</v>
      </c>
      <c r="AA150">
        <v>0</v>
      </c>
      <c r="AB150">
        <v>1154.08</v>
      </c>
      <c r="AC150">
        <v>525.26</v>
      </c>
      <c r="AD150">
        <v>0</v>
      </c>
      <c r="AE150">
        <v>0</v>
      </c>
      <c r="AF150">
        <v>116.89</v>
      </c>
      <c r="AG150">
        <v>23.41</v>
      </c>
      <c r="AH150">
        <v>0</v>
      </c>
      <c r="AI150">
        <v>1</v>
      </c>
      <c r="AJ150">
        <v>9.43</v>
      </c>
      <c r="AK150">
        <v>21.43</v>
      </c>
      <c r="AL150">
        <v>1</v>
      </c>
      <c r="AN150">
        <v>0</v>
      </c>
      <c r="AO150">
        <v>1</v>
      </c>
      <c r="AP150">
        <v>1</v>
      </c>
      <c r="AQ150">
        <v>0</v>
      </c>
      <c r="AR150">
        <v>0</v>
      </c>
      <c r="AS150" t="s">
        <v>5</v>
      </c>
      <c r="AT150">
        <v>1.26</v>
      </c>
      <c r="AU150" t="s">
        <v>5</v>
      </c>
      <c r="AV150">
        <v>0</v>
      </c>
      <c r="AW150">
        <v>2</v>
      </c>
      <c r="AX150">
        <v>44170461</v>
      </c>
      <c r="AY150">
        <v>1</v>
      </c>
      <c r="AZ150">
        <v>0</v>
      </c>
      <c r="BA150">
        <v>150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0</v>
      </c>
      <c r="BI150">
        <v>0</v>
      </c>
      <c r="BJ150">
        <v>0</v>
      </c>
      <c r="BK150">
        <v>0</v>
      </c>
      <c r="BL150">
        <v>0</v>
      </c>
      <c r="BM150">
        <v>0</v>
      </c>
      <c r="BN150">
        <v>0</v>
      </c>
      <c r="BO150">
        <v>0</v>
      </c>
      <c r="BP150">
        <v>0</v>
      </c>
      <c r="BQ150">
        <v>0</v>
      </c>
      <c r="BR150">
        <v>0</v>
      </c>
      <c r="BS150">
        <v>0</v>
      </c>
      <c r="BT150">
        <v>0</v>
      </c>
      <c r="BU150">
        <v>0</v>
      </c>
      <c r="BV150">
        <v>0</v>
      </c>
      <c r="BW150">
        <v>0</v>
      </c>
      <c r="CX150">
        <f>Y150*Source!I77</f>
        <v>1.877904E-2</v>
      </c>
      <c r="CY150">
        <f>AB150</f>
        <v>1154.08</v>
      </c>
      <c r="CZ150">
        <f>AF150</f>
        <v>116.89</v>
      </c>
      <c r="DA150">
        <f>AJ150</f>
        <v>9.43</v>
      </c>
      <c r="DB150">
        <f t="shared" si="25"/>
        <v>147.28</v>
      </c>
      <c r="DC150">
        <f t="shared" si="26"/>
        <v>29.5</v>
      </c>
    </row>
    <row r="151" spans="1:107" x14ac:dyDescent="0.2">
      <c r="A151">
        <f>ROW(Source!A77)</f>
        <v>77</v>
      </c>
      <c r="B151">
        <v>44169784</v>
      </c>
      <c r="C151">
        <v>44170455</v>
      </c>
      <c r="D151">
        <v>35064906</v>
      </c>
      <c r="E151">
        <v>1</v>
      </c>
      <c r="F151">
        <v>1</v>
      </c>
      <c r="G151">
        <v>34959076</v>
      </c>
      <c r="H151">
        <v>2</v>
      </c>
      <c r="I151" t="s">
        <v>351</v>
      </c>
      <c r="J151" t="s">
        <v>352</v>
      </c>
      <c r="K151" t="s">
        <v>353</v>
      </c>
      <c r="L151">
        <v>1367</v>
      </c>
      <c r="N151">
        <v>1011</v>
      </c>
      <c r="O151" t="s">
        <v>347</v>
      </c>
      <c r="P151" t="s">
        <v>347</v>
      </c>
      <c r="Q151">
        <v>1</v>
      </c>
      <c r="W151">
        <v>0</v>
      </c>
      <c r="X151">
        <v>856318566</v>
      </c>
      <c r="Y151">
        <v>1.7</v>
      </c>
      <c r="AA151">
        <v>0</v>
      </c>
      <c r="AB151">
        <v>1429.33</v>
      </c>
      <c r="AC151">
        <v>555.1</v>
      </c>
      <c r="AD151">
        <v>0</v>
      </c>
      <c r="AE151">
        <v>0</v>
      </c>
      <c r="AF151">
        <v>125.13</v>
      </c>
      <c r="AG151">
        <v>24.74</v>
      </c>
      <c r="AH151">
        <v>0</v>
      </c>
      <c r="AI151">
        <v>1</v>
      </c>
      <c r="AJ151">
        <v>10.91</v>
      </c>
      <c r="AK151">
        <v>21.43</v>
      </c>
      <c r="AL151">
        <v>1</v>
      </c>
      <c r="AN151">
        <v>0</v>
      </c>
      <c r="AO151">
        <v>1</v>
      </c>
      <c r="AP151">
        <v>1</v>
      </c>
      <c r="AQ151">
        <v>0</v>
      </c>
      <c r="AR151">
        <v>0</v>
      </c>
      <c r="AS151" t="s">
        <v>5</v>
      </c>
      <c r="AT151">
        <v>1.7</v>
      </c>
      <c r="AU151" t="s">
        <v>5</v>
      </c>
      <c r="AV151">
        <v>0</v>
      </c>
      <c r="AW151">
        <v>2</v>
      </c>
      <c r="AX151">
        <v>44170462</v>
      </c>
      <c r="AY151">
        <v>1</v>
      </c>
      <c r="AZ151">
        <v>0</v>
      </c>
      <c r="BA151">
        <v>151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0</v>
      </c>
      <c r="BI151">
        <v>0</v>
      </c>
      <c r="BJ151">
        <v>0</v>
      </c>
      <c r="BK151">
        <v>0</v>
      </c>
      <c r="BL151">
        <v>0</v>
      </c>
      <c r="BM151">
        <v>0</v>
      </c>
      <c r="BN151">
        <v>0</v>
      </c>
      <c r="BO151">
        <v>0</v>
      </c>
      <c r="BP151">
        <v>0</v>
      </c>
      <c r="BQ151">
        <v>0</v>
      </c>
      <c r="BR151">
        <v>0</v>
      </c>
      <c r="BS151">
        <v>0</v>
      </c>
      <c r="BT151">
        <v>0</v>
      </c>
      <c r="BU151">
        <v>0</v>
      </c>
      <c r="BV151">
        <v>0</v>
      </c>
      <c r="BW151">
        <v>0</v>
      </c>
      <c r="CX151">
        <f>Y151*Source!I77</f>
        <v>2.53368E-2</v>
      </c>
      <c r="CY151">
        <f>AB151</f>
        <v>1429.33</v>
      </c>
      <c r="CZ151">
        <f>AF151</f>
        <v>125.13</v>
      </c>
      <c r="DA151">
        <f>AJ151</f>
        <v>10.91</v>
      </c>
      <c r="DB151">
        <f t="shared" si="25"/>
        <v>212.72</v>
      </c>
      <c r="DC151">
        <f t="shared" si="26"/>
        <v>42.06</v>
      </c>
    </row>
    <row r="152" spans="1:107" x14ac:dyDescent="0.2">
      <c r="A152">
        <f>ROW(Source!A77)</f>
        <v>77</v>
      </c>
      <c r="B152">
        <v>44169784</v>
      </c>
      <c r="C152">
        <v>44170455</v>
      </c>
      <c r="D152">
        <v>34984824</v>
      </c>
      <c r="E152">
        <v>34959076</v>
      </c>
      <c r="F152">
        <v>1</v>
      </c>
      <c r="G152">
        <v>34959076</v>
      </c>
      <c r="H152">
        <v>2</v>
      </c>
      <c r="I152" t="s">
        <v>354</v>
      </c>
      <c r="J152" t="s">
        <v>5</v>
      </c>
      <c r="K152" t="s">
        <v>355</v>
      </c>
      <c r="L152">
        <v>1344</v>
      </c>
      <c r="N152">
        <v>1008</v>
      </c>
      <c r="O152" t="s">
        <v>356</v>
      </c>
      <c r="P152" t="s">
        <v>356</v>
      </c>
      <c r="Q152">
        <v>1</v>
      </c>
      <c r="W152">
        <v>0</v>
      </c>
      <c r="X152">
        <v>-1180195794</v>
      </c>
      <c r="Y152">
        <v>42.43</v>
      </c>
      <c r="AA152">
        <v>0</v>
      </c>
      <c r="AB152">
        <v>1.05</v>
      </c>
      <c r="AC152">
        <v>0</v>
      </c>
      <c r="AD152">
        <v>0</v>
      </c>
      <c r="AE152">
        <v>0</v>
      </c>
      <c r="AF152">
        <v>1</v>
      </c>
      <c r="AG152">
        <v>0</v>
      </c>
      <c r="AH152">
        <v>0</v>
      </c>
      <c r="AI152">
        <v>1</v>
      </c>
      <c r="AJ152">
        <v>1</v>
      </c>
      <c r="AK152">
        <v>1</v>
      </c>
      <c r="AL152">
        <v>1</v>
      </c>
      <c r="AN152">
        <v>0</v>
      </c>
      <c r="AO152">
        <v>1</v>
      </c>
      <c r="AP152">
        <v>1</v>
      </c>
      <c r="AQ152">
        <v>0</v>
      </c>
      <c r="AR152">
        <v>0</v>
      </c>
      <c r="AS152" t="s">
        <v>5</v>
      </c>
      <c r="AT152">
        <v>42.43</v>
      </c>
      <c r="AU152" t="s">
        <v>5</v>
      </c>
      <c r="AV152">
        <v>0</v>
      </c>
      <c r="AW152">
        <v>2</v>
      </c>
      <c r="AX152">
        <v>44170463</v>
      </c>
      <c r="AY152">
        <v>1</v>
      </c>
      <c r="AZ152">
        <v>0</v>
      </c>
      <c r="BA152">
        <v>152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0</v>
      </c>
      <c r="BI152">
        <v>0</v>
      </c>
      <c r="BJ152">
        <v>0</v>
      </c>
      <c r="BK152">
        <v>0</v>
      </c>
      <c r="BL152">
        <v>0</v>
      </c>
      <c r="BM152">
        <v>0</v>
      </c>
      <c r="BN152">
        <v>0</v>
      </c>
      <c r="BO152">
        <v>0</v>
      </c>
      <c r="BP152">
        <v>0</v>
      </c>
      <c r="BQ152">
        <v>0</v>
      </c>
      <c r="BR152">
        <v>0</v>
      </c>
      <c r="BS152">
        <v>0</v>
      </c>
      <c r="BT152">
        <v>0</v>
      </c>
      <c r="BU152">
        <v>0</v>
      </c>
      <c r="BV152">
        <v>0</v>
      </c>
      <c r="BW152">
        <v>0</v>
      </c>
      <c r="CX152">
        <f>Y152*Source!I77</f>
        <v>0.63237672</v>
      </c>
      <c r="CY152">
        <f>AB152</f>
        <v>1.05</v>
      </c>
      <c r="CZ152">
        <f>AF152</f>
        <v>1</v>
      </c>
      <c r="DA152">
        <f>AJ152</f>
        <v>1</v>
      </c>
      <c r="DB152">
        <f t="shared" si="25"/>
        <v>42.43</v>
      </c>
      <c r="DC152">
        <f t="shared" si="26"/>
        <v>0</v>
      </c>
    </row>
    <row r="153" spans="1:107" x14ac:dyDescent="0.2">
      <c r="A153">
        <f>ROW(Source!A78)</f>
        <v>78</v>
      </c>
      <c r="B153">
        <v>44169784</v>
      </c>
      <c r="C153">
        <v>44170464</v>
      </c>
      <c r="D153">
        <v>34984824</v>
      </c>
      <c r="E153">
        <v>34959076</v>
      </c>
      <c r="F153">
        <v>1</v>
      </c>
      <c r="G153">
        <v>34959076</v>
      </c>
      <c r="H153">
        <v>2</v>
      </c>
      <c r="I153" t="s">
        <v>354</v>
      </c>
      <c r="J153" t="s">
        <v>5</v>
      </c>
      <c r="K153" t="s">
        <v>355</v>
      </c>
      <c r="L153">
        <v>1344</v>
      </c>
      <c r="N153">
        <v>1008</v>
      </c>
      <c r="O153" t="s">
        <v>356</v>
      </c>
      <c r="P153" t="s">
        <v>356</v>
      </c>
      <c r="Q153">
        <v>1</v>
      </c>
      <c r="W153">
        <v>0</v>
      </c>
      <c r="X153">
        <v>-1180195794</v>
      </c>
      <c r="Y153">
        <v>8.86</v>
      </c>
      <c r="AA153">
        <v>0</v>
      </c>
      <c r="AB153">
        <v>1.05</v>
      </c>
      <c r="AC153">
        <v>0</v>
      </c>
      <c r="AD153">
        <v>0</v>
      </c>
      <c r="AE153">
        <v>0</v>
      </c>
      <c r="AF153">
        <v>1</v>
      </c>
      <c r="AG153">
        <v>0</v>
      </c>
      <c r="AH153">
        <v>0</v>
      </c>
      <c r="AI153">
        <v>1</v>
      </c>
      <c r="AJ153">
        <v>1</v>
      </c>
      <c r="AK153">
        <v>1</v>
      </c>
      <c r="AL153">
        <v>1</v>
      </c>
      <c r="AN153">
        <v>0</v>
      </c>
      <c r="AO153">
        <v>1</v>
      </c>
      <c r="AP153">
        <v>1</v>
      </c>
      <c r="AQ153">
        <v>0</v>
      </c>
      <c r="AR153">
        <v>0</v>
      </c>
      <c r="AS153" t="s">
        <v>5</v>
      </c>
      <c r="AT153">
        <v>8.86</v>
      </c>
      <c r="AU153" t="s">
        <v>5</v>
      </c>
      <c r="AV153">
        <v>0</v>
      </c>
      <c r="AW153">
        <v>2</v>
      </c>
      <c r="AX153">
        <v>44170466</v>
      </c>
      <c r="AY153">
        <v>1</v>
      </c>
      <c r="AZ153">
        <v>0</v>
      </c>
      <c r="BA153">
        <v>153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0</v>
      </c>
      <c r="BI153">
        <v>0</v>
      </c>
      <c r="BJ153">
        <v>0</v>
      </c>
      <c r="BK153">
        <v>0</v>
      </c>
      <c r="BL153">
        <v>0</v>
      </c>
      <c r="BM153">
        <v>0</v>
      </c>
      <c r="BN153">
        <v>0</v>
      </c>
      <c r="BO153">
        <v>0</v>
      </c>
      <c r="BP153">
        <v>0</v>
      </c>
      <c r="BQ153">
        <v>0</v>
      </c>
      <c r="BR153">
        <v>0</v>
      </c>
      <c r="BS153">
        <v>0</v>
      </c>
      <c r="BT153">
        <v>0</v>
      </c>
      <c r="BU153">
        <v>0</v>
      </c>
      <c r="BV153">
        <v>0</v>
      </c>
      <c r="BW153">
        <v>0</v>
      </c>
      <c r="CX153">
        <f>Y153*Source!I78</f>
        <v>18.486921599999999</v>
      </c>
      <c r="CY153">
        <f>AB153</f>
        <v>1.05</v>
      </c>
      <c r="CZ153">
        <f>AF153</f>
        <v>1</v>
      </c>
      <c r="DA153">
        <f>AJ153</f>
        <v>1</v>
      </c>
      <c r="DB153">
        <f t="shared" si="25"/>
        <v>8.86</v>
      </c>
      <c r="DC153">
        <f t="shared" si="26"/>
        <v>0</v>
      </c>
    </row>
    <row r="154" spans="1:107" x14ac:dyDescent="0.2">
      <c r="A154">
        <f>ROW(Source!A79)</f>
        <v>79</v>
      </c>
      <c r="B154">
        <v>44169784</v>
      </c>
      <c r="C154">
        <v>44170467</v>
      </c>
      <c r="D154">
        <v>34984826</v>
      </c>
      <c r="E154">
        <v>34959076</v>
      </c>
      <c r="F154">
        <v>1</v>
      </c>
      <c r="G154">
        <v>34959076</v>
      </c>
      <c r="H154">
        <v>1</v>
      </c>
      <c r="I154" t="s">
        <v>341</v>
      </c>
      <c r="J154" t="s">
        <v>5</v>
      </c>
      <c r="K154" t="s">
        <v>342</v>
      </c>
      <c r="L154">
        <v>1191</v>
      </c>
      <c r="N154">
        <v>1013</v>
      </c>
      <c r="O154" t="s">
        <v>343</v>
      </c>
      <c r="P154" t="s">
        <v>343</v>
      </c>
      <c r="Q154">
        <v>1</v>
      </c>
      <c r="W154">
        <v>0</v>
      </c>
      <c r="X154">
        <v>476480486</v>
      </c>
      <c r="Y154">
        <v>14.4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1</v>
      </c>
      <c r="AJ154">
        <v>1</v>
      </c>
      <c r="AK154">
        <v>1</v>
      </c>
      <c r="AL154">
        <v>1</v>
      </c>
      <c r="AN154">
        <v>0</v>
      </c>
      <c r="AO154">
        <v>1</v>
      </c>
      <c r="AP154">
        <v>1</v>
      </c>
      <c r="AQ154">
        <v>0</v>
      </c>
      <c r="AR154">
        <v>0</v>
      </c>
      <c r="AS154" t="s">
        <v>5</v>
      </c>
      <c r="AT154">
        <v>14.4</v>
      </c>
      <c r="AU154" t="s">
        <v>5</v>
      </c>
      <c r="AV154">
        <v>1</v>
      </c>
      <c r="AW154">
        <v>2</v>
      </c>
      <c r="AX154">
        <v>44170476</v>
      </c>
      <c r="AY154">
        <v>1</v>
      </c>
      <c r="AZ154">
        <v>0</v>
      </c>
      <c r="BA154">
        <v>154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0</v>
      </c>
      <c r="BI154">
        <v>0</v>
      </c>
      <c r="BJ154">
        <v>0</v>
      </c>
      <c r="BK154">
        <v>0</v>
      </c>
      <c r="BL154">
        <v>0</v>
      </c>
      <c r="BM154">
        <v>0</v>
      </c>
      <c r="BN154">
        <v>0</v>
      </c>
      <c r="BO154">
        <v>0</v>
      </c>
      <c r="BP154">
        <v>0</v>
      </c>
      <c r="BQ154">
        <v>0</v>
      </c>
      <c r="BR154">
        <v>0</v>
      </c>
      <c r="BS154">
        <v>0</v>
      </c>
      <c r="BT154">
        <v>0</v>
      </c>
      <c r="BU154">
        <v>0</v>
      </c>
      <c r="BV154">
        <v>0</v>
      </c>
      <c r="BW154">
        <v>0</v>
      </c>
      <c r="CX154">
        <f>Y154*Source!I79</f>
        <v>0.44712000000000002</v>
      </c>
      <c r="CY154">
        <f>AD154</f>
        <v>0</v>
      </c>
      <c r="CZ154">
        <f>AH154</f>
        <v>0</v>
      </c>
      <c r="DA154">
        <f>AL154</f>
        <v>1</v>
      </c>
      <c r="DB154">
        <f t="shared" si="25"/>
        <v>0</v>
      </c>
      <c r="DC154">
        <f t="shared" si="26"/>
        <v>0</v>
      </c>
    </row>
    <row r="155" spans="1:107" x14ac:dyDescent="0.2">
      <c r="A155">
        <f>ROW(Source!A79)</f>
        <v>79</v>
      </c>
      <c r="B155">
        <v>44169784</v>
      </c>
      <c r="C155">
        <v>44170467</v>
      </c>
      <c r="D155">
        <v>35064650</v>
      </c>
      <c r="E155">
        <v>1</v>
      </c>
      <c r="F155">
        <v>1</v>
      </c>
      <c r="G155">
        <v>34959076</v>
      </c>
      <c r="H155">
        <v>2</v>
      </c>
      <c r="I155" t="s">
        <v>366</v>
      </c>
      <c r="J155" t="s">
        <v>367</v>
      </c>
      <c r="K155" t="s">
        <v>368</v>
      </c>
      <c r="L155">
        <v>1367</v>
      </c>
      <c r="N155">
        <v>1011</v>
      </c>
      <c r="O155" t="s">
        <v>347</v>
      </c>
      <c r="P155" t="s">
        <v>347</v>
      </c>
      <c r="Q155">
        <v>1</v>
      </c>
      <c r="W155">
        <v>0</v>
      </c>
      <c r="X155">
        <v>1928543733</v>
      </c>
      <c r="Y155">
        <v>1.66</v>
      </c>
      <c r="AA155">
        <v>0</v>
      </c>
      <c r="AB155">
        <v>1154.08</v>
      </c>
      <c r="AC155">
        <v>525.26</v>
      </c>
      <c r="AD155">
        <v>0</v>
      </c>
      <c r="AE155">
        <v>0</v>
      </c>
      <c r="AF155">
        <v>116.89</v>
      </c>
      <c r="AG155">
        <v>23.41</v>
      </c>
      <c r="AH155">
        <v>0</v>
      </c>
      <c r="AI155">
        <v>1</v>
      </c>
      <c r="AJ155">
        <v>9.43</v>
      </c>
      <c r="AK155">
        <v>21.43</v>
      </c>
      <c r="AL155">
        <v>1</v>
      </c>
      <c r="AN155">
        <v>0</v>
      </c>
      <c r="AO155">
        <v>1</v>
      </c>
      <c r="AP155">
        <v>1</v>
      </c>
      <c r="AQ155">
        <v>0</v>
      </c>
      <c r="AR155">
        <v>0</v>
      </c>
      <c r="AS155" t="s">
        <v>5</v>
      </c>
      <c r="AT155">
        <v>1.66</v>
      </c>
      <c r="AU155" t="s">
        <v>5</v>
      </c>
      <c r="AV155">
        <v>0</v>
      </c>
      <c r="AW155">
        <v>2</v>
      </c>
      <c r="AX155">
        <v>44170477</v>
      </c>
      <c r="AY155">
        <v>1</v>
      </c>
      <c r="AZ155">
        <v>0</v>
      </c>
      <c r="BA155">
        <v>155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0</v>
      </c>
      <c r="BI155">
        <v>0</v>
      </c>
      <c r="BJ155">
        <v>0</v>
      </c>
      <c r="BK155">
        <v>0</v>
      </c>
      <c r="BL155">
        <v>0</v>
      </c>
      <c r="BM155">
        <v>0</v>
      </c>
      <c r="BN155">
        <v>0</v>
      </c>
      <c r="BO155">
        <v>0</v>
      </c>
      <c r="BP155">
        <v>0</v>
      </c>
      <c r="BQ155">
        <v>0</v>
      </c>
      <c r="BR155">
        <v>0</v>
      </c>
      <c r="BS155">
        <v>0</v>
      </c>
      <c r="BT155">
        <v>0</v>
      </c>
      <c r="BU155">
        <v>0</v>
      </c>
      <c r="BV155">
        <v>0</v>
      </c>
      <c r="BW155">
        <v>0</v>
      </c>
      <c r="CX155">
        <f>Y155*Source!I79</f>
        <v>5.1542999999999999E-2</v>
      </c>
      <c r="CY155">
        <f>AB155</f>
        <v>1154.08</v>
      </c>
      <c r="CZ155">
        <f>AF155</f>
        <v>116.89</v>
      </c>
      <c r="DA155">
        <f>AJ155</f>
        <v>9.43</v>
      </c>
      <c r="DB155">
        <f t="shared" si="25"/>
        <v>194.04</v>
      </c>
      <c r="DC155">
        <f t="shared" si="26"/>
        <v>38.86</v>
      </c>
    </row>
    <row r="156" spans="1:107" x14ac:dyDescent="0.2">
      <c r="A156">
        <f>ROW(Source!A79)</f>
        <v>79</v>
      </c>
      <c r="B156">
        <v>44169784</v>
      </c>
      <c r="C156">
        <v>44170467</v>
      </c>
      <c r="D156">
        <v>35064875</v>
      </c>
      <c r="E156">
        <v>1</v>
      </c>
      <c r="F156">
        <v>1</v>
      </c>
      <c r="G156">
        <v>34959076</v>
      </c>
      <c r="H156">
        <v>2</v>
      </c>
      <c r="I156" t="s">
        <v>369</v>
      </c>
      <c r="J156" t="s">
        <v>370</v>
      </c>
      <c r="K156" t="s">
        <v>371</v>
      </c>
      <c r="L156">
        <v>1367</v>
      </c>
      <c r="N156">
        <v>1011</v>
      </c>
      <c r="O156" t="s">
        <v>347</v>
      </c>
      <c r="P156" t="s">
        <v>347</v>
      </c>
      <c r="Q156">
        <v>1</v>
      </c>
      <c r="W156">
        <v>0</v>
      </c>
      <c r="X156">
        <v>142191915</v>
      </c>
      <c r="Y156">
        <v>1.66</v>
      </c>
      <c r="AA156">
        <v>0</v>
      </c>
      <c r="AB156">
        <v>383.05</v>
      </c>
      <c r="AC156">
        <v>148.97999999999999</v>
      </c>
      <c r="AD156">
        <v>0</v>
      </c>
      <c r="AE156">
        <v>0</v>
      </c>
      <c r="AF156">
        <v>62.97</v>
      </c>
      <c r="AG156">
        <v>6.64</v>
      </c>
      <c r="AH156">
        <v>0</v>
      </c>
      <c r="AI156">
        <v>1</v>
      </c>
      <c r="AJ156">
        <v>5.81</v>
      </c>
      <c r="AK156">
        <v>21.43</v>
      </c>
      <c r="AL156">
        <v>1</v>
      </c>
      <c r="AN156">
        <v>0</v>
      </c>
      <c r="AO156">
        <v>1</v>
      </c>
      <c r="AP156">
        <v>1</v>
      </c>
      <c r="AQ156">
        <v>0</v>
      </c>
      <c r="AR156">
        <v>0</v>
      </c>
      <c r="AS156" t="s">
        <v>5</v>
      </c>
      <c r="AT156">
        <v>1.66</v>
      </c>
      <c r="AU156" t="s">
        <v>5</v>
      </c>
      <c r="AV156">
        <v>0</v>
      </c>
      <c r="AW156">
        <v>2</v>
      </c>
      <c r="AX156">
        <v>44170478</v>
      </c>
      <c r="AY156">
        <v>1</v>
      </c>
      <c r="AZ156">
        <v>0</v>
      </c>
      <c r="BA156">
        <v>156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0</v>
      </c>
      <c r="BI156">
        <v>0</v>
      </c>
      <c r="BJ156">
        <v>0</v>
      </c>
      <c r="BK156">
        <v>0</v>
      </c>
      <c r="BL156">
        <v>0</v>
      </c>
      <c r="BM156">
        <v>0</v>
      </c>
      <c r="BN156">
        <v>0</v>
      </c>
      <c r="BO156">
        <v>0</v>
      </c>
      <c r="BP156">
        <v>0</v>
      </c>
      <c r="BQ156">
        <v>0</v>
      </c>
      <c r="BR156">
        <v>0</v>
      </c>
      <c r="BS156">
        <v>0</v>
      </c>
      <c r="BT156">
        <v>0</v>
      </c>
      <c r="BU156">
        <v>0</v>
      </c>
      <c r="BV156">
        <v>0</v>
      </c>
      <c r="BW156">
        <v>0</v>
      </c>
      <c r="CX156">
        <f>Y156*Source!I79</f>
        <v>5.1542999999999999E-2</v>
      </c>
      <c r="CY156">
        <f>AB156</f>
        <v>383.05</v>
      </c>
      <c r="CZ156">
        <f>AF156</f>
        <v>62.97</v>
      </c>
      <c r="DA156">
        <f>AJ156</f>
        <v>5.81</v>
      </c>
      <c r="DB156">
        <f t="shared" si="25"/>
        <v>104.53</v>
      </c>
      <c r="DC156">
        <f t="shared" si="26"/>
        <v>11.02</v>
      </c>
    </row>
    <row r="157" spans="1:107" x14ac:dyDescent="0.2">
      <c r="A157">
        <f>ROW(Source!A79)</f>
        <v>79</v>
      </c>
      <c r="B157">
        <v>44169784</v>
      </c>
      <c r="C157">
        <v>44170467</v>
      </c>
      <c r="D157">
        <v>35064878</v>
      </c>
      <c r="E157">
        <v>1</v>
      </c>
      <c r="F157">
        <v>1</v>
      </c>
      <c r="G157">
        <v>34959076</v>
      </c>
      <c r="H157">
        <v>2</v>
      </c>
      <c r="I157" t="s">
        <v>372</v>
      </c>
      <c r="J157" t="s">
        <v>373</v>
      </c>
      <c r="K157" t="s">
        <v>374</v>
      </c>
      <c r="L157">
        <v>1367</v>
      </c>
      <c r="N157">
        <v>1011</v>
      </c>
      <c r="O157" t="s">
        <v>347</v>
      </c>
      <c r="P157" t="s">
        <v>347</v>
      </c>
      <c r="Q157">
        <v>1</v>
      </c>
      <c r="W157">
        <v>0</v>
      </c>
      <c r="X157">
        <v>378346098</v>
      </c>
      <c r="Y157">
        <v>0.65</v>
      </c>
      <c r="AA157">
        <v>0</v>
      </c>
      <c r="AB157">
        <v>1848.67</v>
      </c>
      <c r="AC157">
        <v>641.92999999999995</v>
      </c>
      <c r="AD157">
        <v>0</v>
      </c>
      <c r="AE157">
        <v>0</v>
      </c>
      <c r="AF157">
        <v>140.58000000000001</v>
      </c>
      <c r="AG157">
        <v>28.61</v>
      </c>
      <c r="AH157">
        <v>0</v>
      </c>
      <c r="AI157">
        <v>1</v>
      </c>
      <c r="AJ157">
        <v>12.56</v>
      </c>
      <c r="AK157">
        <v>21.43</v>
      </c>
      <c r="AL157">
        <v>1</v>
      </c>
      <c r="AN157">
        <v>0</v>
      </c>
      <c r="AO157">
        <v>1</v>
      </c>
      <c r="AP157">
        <v>1</v>
      </c>
      <c r="AQ157">
        <v>0</v>
      </c>
      <c r="AR157">
        <v>0</v>
      </c>
      <c r="AS157" t="s">
        <v>5</v>
      </c>
      <c r="AT157">
        <v>0.65</v>
      </c>
      <c r="AU157" t="s">
        <v>5</v>
      </c>
      <c r="AV157">
        <v>0</v>
      </c>
      <c r="AW157">
        <v>2</v>
      </c>
      <c r="AX157">
        <v>44170479</v>
      </c>
      <c r="AY157">
        <v>1</v>
      </c>
      <c r="AZ157">
        <v>0</v>
      </c>
      <c r="BA157">
        <v>157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0</v>
      </c>
      <c r="BI157">
        <v>0</v>
      </c>
      <c r="BJ157">
        <v>0</v>
      </c>
      <c r="BK157">
        <v>0</v>
      </c>
      <c r="BL157">
        <v>0</v>
      </c>
      <c r="BM157">
        <v>0</v>
      </c>
      <c r="BN157">
        <v>0</v>
      </c>
      <c r="BO157">
        <v>0</v>
      </c>
      <c r="BP157">
        <v>0</v>
      </c>
      <c r="BQ157">
        <v>0</v>
      </c>
      <c r="BR157">
        <v>0</v>
      </c>
      <c r="BS157">
        <v>0</v>
      </c>
      <c r="BT157">
        <v>0</v>
      </c>
      <c r="BU157">
        <v>0</v>
      </c>
      <c r="BV157">
        <v>0</v>
      </c>
      <c r="BW157">
        <v>0</v>
      </c>
      <c r="CX157">
        <f>Y157*Source!I79</f>
        <v>2.0182500000000003E-2</v>
      </c>
      <c r="CY157">
        <f>AB157</f>
        <v>1848.67</v>
      </c>
      <c r="CZ157">
        <f>AF157</f>
        <v>140.58000000000001</v>
      </c>
      <c r="DA157">
        <f>AJ157</f>
        <v>12.56</v>
      </c>
      <c r="DB157">
        <f t="shared" si="25"/>
        <v>91.38</v>
      </c>
      <c r="DC157">
        <f t="shared" si="26"/>
        <v>18.600000000000001</v>
      </c>
    </row>
    <row r="158" spans="1:107" x14ac:dyDescent="0.2">
      <c r="A158">
        <f>ROW(Source!A79)</f>
        <v>79</v>
      </c>
      <c r="B158">
        <v>44169784</v>
      </c>
      <c r="C158">
        <v>44170467</v>
      </c>
      <c r="D158">
        <v>35064906</v>
      </c>
      <c r="E158">
        <v>1</v>
      </c>
      <c r="F158">
        <v>1</v>
      </c>
      <c r="G158">
        <v>34959076</v>
      </c>
      <c r="H158">
        <v>2</v>
      </c>
      <c r="I158" t="s">
        <v>351</v>
      </c>
      <c r="J158" t="s">
        <v>352</v>
      </c>
      <c r="K158" t="s">
        <v>353</v>
      </c>
      <c r="L158">
        <v>1367</v>
      </c>
      <c r="N158">
        <v>1011</v>
      </c>
      <c r="O158" t="s">
        <v>347</v>
      </c>
      <c r="P158" t="s">
        <v>347</v>
      </c>
      <c r="Q158">
        <v>1</v>
      </c>
      <c r="W158">
        <v>0</v>
      </c>
      <c r="X158">
        <v>856318566</v>
      </c>
      <c r="Y158">
        <v>1.55</v>
      </c>
      <c r="AA158">
        <v>0</v>
      </c>
      <c r="AB158">
        <v>1429.33</v>
      </c>
      <c r="AC158">
        <v>555.1</v>
      </c>
      <c r="AD158">
        <v>0</v>
      </c>
      <c r="AE158">
        <v>0</v>
      </c>
      <c r="AF158">
        <v>125.13</v>
      </c>
      <c r="AG158">
        <v>24.74</v>
      </c>
      <c r="AH158">
        <v>0</v>
      </c>
      <c r="AI158">
        <v>1</v>
      </c>
      <c r="AJ158">
        <v>10.91</v>
      </c>
      <c r="AK158">
        <v>21.43</v>
      </c>
      <c r="AL158">
        <v>1</v>
      </c>
      <c r="AN158">
        <v>0</v>
      </c>
      <c r="AO158">
        <v>1</v>
      </c>
      <c r="AP158">
        <v>1</v>
      </c>
      <c r="AQ158">
        <v>0</v>
      </c>
      <c r="AR158">
        <v>0</v>
      </c>
      <c r="AS158" t="s">
        <v>5</v>
      </c>
      <c r="AT158">
        <v>1.55</v>
      </c>
      <c r="AU158" t="s">
        <v>5</v>
      </c>
      <c r="AV158">
        <v>0</v>
      </c>
      <c r="AW158">
        <v>2</v>
      </c>
      <c r="AX158">
        <v>44170480</v>
      </c>
      <c r="AY158">
        <v>1</v>
      </c>
      <c r="AZ158">
        <v>0</v>
      </c>
      <c r="BA158">
        <v>158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0</v>
      </c>
      <c r="BI158">
        <v>0</v>
      </c>
      <c r="BJ158">
        <v>0</v>
      </c>
      <c r="BK158">
        <v>0</v>
      </c>
      <c r="BL158">
        <v>0</v>
      </c>
      <c r="BM158">
        <v>0</v>
      </c>
      <c r="BN158">
        <v>0</v>
      </c>
      <c r="BO158">
        <v>0</v>
      </c>
      <c r="BP158">
        <v>0</v>
      </c>
      <c r="BQ158">
        <v>0</v>
      </c>
      <c r="BR158">
        <v>0</v>
      </c>
      <c r="BS158">
        <v>0</v>
      </c>
      <c r="BT158">
        <v>0</v>
      </c>
      <c r="BU158">
        <v>0</v>
      </c>
      <c r="BV158">
        <v>0</v>
      </c>
      <c r="BW158">
        <v>0</v>
      </c>
      <c r="CX158">
        <f>Y158*Source!I79</f>
        <v>4.8127500000000004E-2</v>
      </c>
      <c r="CY158">
        <f>AB158</f>
        <v>1429.33</v>
      </c>
      <c r="CZ158">
        <f>AF158</f>
        <v>125.13</v>
      </c>
      <c r="DA158">
        <f>AJ158</f>
        <v>10.91</v>
      </c>
      <c r="DB158">
        <f t="shared" si="25"/>
        <v>193.95</v>
      </c>
      <c r="DC158">
        <f t="shared" si="26"/>
        <v>38.35</v>
      </c>
    </row>
    <row r="159" spans="1:107" x14ac:dyDescent="0.2">
      <c r="A159">
        <f>ROW(Source!A79)</f>
        <v>79</v>
      </c>
      <c r="B159">
        <v>44169784</v>
      </c>
      <c r="C159">
        <v>44170467</v>
      </c>
      <c r="D159">
        <v>35064868</v>
      </c>
      <c r="E159">
        <v>1</v>
      </c>
      <c r="F159">
        <v>1</v>
      </c>
      <c r="G159">
        <v>34959076</v>
      </c>
      <c r="H159">
        <v>2</v>
      </c>
      <c r="I159" t="s">
        <v>375</v>
      </c>
      <c r="J159" t="s">
        <v>376</v>
      </c>
      <c r="K159" t="s">
        <v>377</v>
      </c>
      <c r="L159">
        <v>1367</v>
      </c>
      <c r="N159">
        <v>1011</v>
      </c>
      <c r="O159" t="s">
        <v>347</v>
      </c>
      <c r="P159" t="s">
        <v>347</v>
      </c>
      <c r="Q159">
        <v>1</v>
      </c>
      <c r="W159">
        <v>0</v>
      </c>
      <c r="X159">
        <v>2023875219</v>
      </c>
      <c r="Y159">
        <v>0.52</v>
      </c>
      <c r="AA159">
        <v>0</v>
      </c>
      <c r="AB159">
        <v>1895.56</v>
      </c>
      <c r="AC159">
        <v>527.27</v>
      </c>
      <c r="AD159">
        <v>0</v>
      </c>
      <c r="AE159">
        <v>0</v>
      </c>
      <c r="AF159">
        <v>178.02</v>
      </c>
      <c r="AG159">
        <v>23.5</v>
      </c>
      <c r="AH159">
        <v>0</v>
      </c>
      <c r="AI159">
        <v>1</v>
      </c>
      <c r="AJ159">
        <v>10.17</v>
      </c>
      <c r="AK159">
        <v>21.43</v>
      </c>
      <c r="AL159">
        <v>1</v>
      </c>
      <c r="AN159">
        <v>0</v>
      </c>
      <c r="AO159">
        <v>1</v>
      </c>
      <c r="AP159">
        <v>1</v>
      </c>
      <c r="AQ159">
        <v>0</v>
      </c>
      <c r="AR159">
        <v>0</v>
      </c>
      <c r="AS159" t="s">
        <v>5</v>
      </c>
      <c r="AT159">
        <v>0.52</v>
      </c>
      <c r="AU159" t="s">
        <v>5</v>
      </c>
      <c r="AV159">
        <v>0</v>
      </c>
      <c r="AW159">
        <v>2</v>
      </c>
      <c r="AX159">
        <v>44170481</v>
      </c>
      <c r="AY159">
        <v>1</v>
      </c>
      <c r="AZ159">
        <v>0</v>
      </c>
      <c r="BA159">
        <v>159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0</v>
      </c>
      <c r="BI159">
        <v>0</v>
      </c>
      <c r="BJ159">
        <v>0</v>
      </c>
      <c r="BK159">
        <v>0</v>
      </c>
      <c r="BL159">
        <v>0</v>
      </c>
      <c r="BM159">
        <v>0</v>
      </c>
      <c r="BN159">
        <v>0</v>
      </c>
      <c r="BO159">
        <v>0</v>
      </c>
      <c r="BP159">
        <v>0</v>
      </c>
      <c r="BQ159">
        <v>0</v>
      </c>
      <c r="BR159">
        <v>0</v>
      </c>
      <c r="BS159">
        <v>0</v>
      </c>
      <c r="BT159">
        <v>0</v>
      </c>
      <c r="BU159">
        <v>0</v>
      </c>
      <c r="BV159">
        <v>0</v>
      </c>
      <c r="BW159">
        <v>0</v>
      </c>
      <c r="CX159">
        <f>Y159*Source!I79</f>
        <v>1.6146000000000001E-2</v>
      </c>
      <c r="CY159">
        <f>AB159</f>
        <v>1895.56</v>
      </c>
      <c r="CZ159">
        <f>AF159</f>
        <v>178.02</v>
      </c>
      <c r="DA159">
        <f>AJ159</f>
        <v>10.17</v>
      </c>
      <c r="DB159">
        <f t="shared" si="25"/>
        <v>92.57</v>
      </c>
      <c r="DC159">
        <f t="shared" si="26"/>
        <v>12.22</v>
      </c>
    </row>
    <row r="160" spans="1:107" x14ac:dyDescent="0.2">
      <c r="A160">
        <f>ROW(Source!A79)</f>
        <v>79</v>
      </c>
      <c r="B160">
        <v>44169784</v>
      </c>
      <c r="C160">
        <v>44170467</v>
      </c>
      <c r="D160">
        <v>0</v>
      </c>
      <c r="E160">
        <v>1</v>
      </c>
      <c r="F160">
        <v>1</v>
      </c>
      <c r="G160">
        <v>34959076</v>
      </c>
      <c r="H160">
        <v>3</v>
      </c>
      <c r="I160" t="s">
        <v>378</v>
      </c>
      <c r="J160" t="s">
        <v>379</v>
      </c>
      <c r="K160" t="s">
        <v>380</v>
      </c>
      <c r="L160">
        <v>1339</v>
      </c>
      <c r="N160">
        <v>1007</v>
      </c>
      <c r="O160" t="s">
        <v>59</v>
      </c>
      <c r="P160" t="s">
        <v>59</v>
      </c>
      <c r="Q160">
        <v>1</v>
      </c>
      <c r="W160">
        <v>0</v>
      </c>
      <c r="X160">
        <v>55300385</v>
      </c>
      <c r="Y160">
        <v>5</v>
      </c>
      <c r="AA160">
        <v>7.08</v>
      </c>
      <c r="AB160">
        <v>0</v>
      </c>
      <c r="AC160">
        <v>0</v>
      </c>
      <c r="AD160">
        <v>0</v>
      </c>
      <c r="AE160">
        <v>7.07</v>
      </c>
      <c r="AF160">
        <v>0</v>
      </c>
      <c r="AG160">
        <v>0</v>
      </c>
      <c r="AH160">
        <v>0</v>
      </c>
      <c r="AI160">
        <v>1</v>
      </c>
      <c r="AJ160">
        <v>1</v>
      </c>
      <c r="AK160">
        <v>1</v>
      </c>
      <c r="AL160">
        <v>1</v>
      </c>
      <c r="AN160">
        <v>0</v>
      </c>
      <c r="AO160">
        <v>1</v>
      </c>
      <c r="AP160">
        <v>0</v>
      </c>
      <c r="AQ160">
        <v>0</v>
      </c>
      <c r="AR160">
        <v>0</v>
      </c>
      <c r="AS160" t="s">
        <v>5</v>
      </c>
      <c r="AT160">
        <v>5</v>
      </c>
      <c r="AU160" t="s">
        <v>5</v>
      </c>
      <c r="AV160">
        <v>0</v>
      </c>
      <c r="AW160">
        <v>2</v>
      </c>
      <c r="AX160">
        <v>44170482</v>
      </c>
      <c r="AY160">
        <v>1</v>
      </c>
      <c r="AZ160">
        <v>0</v>
      </c>
      <c r="BA160">
        <v>160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0</v>
      </c>
      <c r="BI160">
        <v>0</v>
      </c>
      <c r="BJ160">
        <v>0</v>
      </c>
      <c r="BK160">
        <v>0</v>
      </c>
      <c r="BL160">
        <v>0</v>
      </c>
      <c r="BM160">
        <v>0</v>
      </c>
      <c r="BN160">
        <v>0</v>
      </c>
      <c r="BO160">
        <v>0</v>
      </c>
      <c r="BP160">
        <v>0</v>
      </c>
      <c r="BQ160">
        <v>0</v>
      </c>
      <c r="BR160">
        <v>0</v>
      </c>
      <c r="BS160">
        <v>0</v>
      </c>
      <c r="BT160">
        <v>0</v>
      </c>
      <c r="BU160">
        <v>0</v>
      </c>
      <c r="BV160">
        <v>0</v>
      </c>
      <c r="BW160">
        <v>0</v>
      </c>
      <c r="CX160">
        <f>Y160*Source!I79</f>
        <v>0.15525</v>
      </c>
      <c r="CY160">
        <f>AA160</f>
        <v>7.08</v>
      </c>
      <c r="CZ160">
        <f>AE160</f>
        <v>7.07</v>
      </c>
      <c r="DA160">
        <f>AI160</f>
        <v>1</v>
      </c>
      <c r="DB160">
        <f t="shared" si="25"/>
        <v>35.35</v>
      </c>
      <c r="DC160">
        <f t="shared" si="26"/>
        <v>0</v>
      </c>
    </row>
    <row r="161" spans="1:107" x14ac:dyDescent="0.2">
      <c r="A161">
        <f>ROW(Source!A79)</f>
        <v>79</v>
      </c>
      <c r="B161">
        <v>44169784</v>
      </c>
      <c r="C161">
        <v>44170467</v>
      </c>
      <c r="D161">
        <v>35043338</v>
      </c>
      <c r="E161">
        <v>1</v>
      </c>
      <c r="F161">
        <v>1</v>
      </c>
      <c r="G161">
        <v>34959076</v>
      </c>
      <c r="H161">
        <v>3</v>
      </c>
      <c r="I161" t="s">
        <v>57</v>
      </c>
      <c r="J161" t="s">
        <v>60</v>
      </c>
      <c r="K161" t="s">
        <v>58</v>
      </c>
      <c r="L161">
        <v>1339</v>
      </c>
      <c r="N161">
        <v>1007</v>
      </c>
      <c r="O161" t="s">
        <v>59</v>
      </c>
      <c r="P161" t="s">
        <v>59</v>
      </c>
      <c r="Q161">
        <v>1</v>
      </c>
      <c r="W161">
        <v>0</v>
      </c>
      <c r="X161">
        <v>2069056849</v>
      </c>
      <c r="Y161">
        <v>110</v>
      </c>
      <c r="AA161">
        <v>552.29999999999995</v>
      </c>
      <c r="AB161">
        <v>0</v>
      </c>
      <c r="AC161">
        <v>0</v>
      </c>
      <c r="AD161">
        <v>0</v>
      </c>
      <c r="AE161">
        <v>104.99</v>
      </c>
      <c r="AF161">
        <v>0</v>
      </c>
      <c r="AG161">
        <v>0</v>
      </c>
      <c r="AH161">
        <v>0</v>
      </c>
      <c r="AI161">
        <v>5.25</v>
      </c>
      <c r="AJ161">
        <v>1</v>
      </c>
      <c r="AK161">
        <v>1</v>
      </c>
      <c r="AL161">
        <v>1</v>
      </c>
      <c r="AN161">
        <v>0</v>
      </c>
      <c r="AO161">
        <v>0</v>
      </c>
      <c r="AP161">
        <v>0</v>
      </c>
      <c r="AQ161">
        <v>0</v>
      </c>
      <c r="AR161">
        <v>0</v>
      </c>
      <c r="AS161" t="s">
        <v>5</v>
      </c>
      <c r="AT161">
        <v>110</v>
      </c>
      <c r="AU161" t="s">
        <v>5</v>
      </c>
      <c r="AV161">
        <v>0</v>
      </c>
      <c r="AW161">
        <v>1</v>
      </c>
      <c r="AX161">
        <v>-1</v>
      </c>
      <c r="AY161">
        <v>0</v>
      </c>
      <c r="AZ161">
        <v>0</v>
      </c>
      <c r="BA161" t="s">
        <v>5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0</v>
      </c>
      <c r="BI161">
        <v>0</v>
      </c>
      <c r="BJ161">
        <v>0</v>
      </c>
      <c r="BK161">
        <v>0</v>
      </c>
      <c r="BL161">
        <v>0</v>
      </c>
      <c r="BM161">
        <v>0</v>
      </c>
      <c r="BN161">
        <v>0</v>
      </c>
      <c r="BO161">
        <v>0</v>
      </c>
      <c r="BP161">
        <v>0</v>
      </c>
      <c r="BQ161">
        <v>0</v>
      </c>
      <c r="BR161">
        <v>0</v>
      </c>
      <c r="BS161">
        <v>0</v>
      </c>
      <c r="BT161">
        <v>0</v>
      </c>
      <c r="BU161">
        <v>0</v>
      </c>
      <c r="BV161">
        <v>0</v>
      </c>
      <c r="BW161">
        <v>0</v>
      </c>
      <c r="CX161">
        <f>Y161*Source!I79</f>
        <v>3.4155000000000002</v>
      </c>
      <c r="CY161">
        <f>AA161</f>
        <v>552.29999999999995</v>
      </c>
      <c r="CZ161">
        <f>AE161</f>
        <v>104.99</v>
      </c>
      <c r="DA161">
        <f>AI161</f>
        <v>5.25</v>
      </c>
      <c r="DB161">
        <f t="shared" si="25"/>
        <v>11548.9</v>
      </c>
      <c r="DC161">
        <f t="shared" si="26"/>
        <v>0</v>
      </c>
    </row>
    <row r="162" spans="1:107" x14ac:dyDescent="0.2">
      <c r="A162">
        <f>ROW(Source!A81)</f>
        <v>81</v>
      </c>
      <c r="B162">
        <v>44169784</v>
      </c>
      <c r="C162">
        <v>44170485</v>
      </c>
      <c r="D162">
        <v>34984826</v>
      </c>
      <c r="E162">
        <v>34959076</v>
      </c>
      <c r="F162">
        <v>1</v>
      </c>
      <c r="G162">
        <v>34959076</v>
      </c>
      <c r="H162">
        <v>1</v>
      </c>
      <c r="I162" t="s">
        <v>341</v>
      </c>
      <c r="J162" t="s">
        <v>5</v>
      </c>
      <c r="K162" t="s">
        <v>342</v>
      </c>
      <c r="L162">
        <v>1191</v>
      </c>
      <c r="N162">
        <v>1013</v>
      </c>
      <c r="O162" t="s">
        <v>343</v>
      </c>
      <c r="P162" t="s">
        <v>343</v>
      </c>
      <c r="Q162">
        <v>1</v>
      </c>
      <c r="W162">
        <v>0</v>
      </c>
      <c r="X162">
        <v>476480486</v>
      </c>
      <c r="Y162">
        <v>24.3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1</v>
      </c>
      <c r="AJ162">
        <v>1</v>
      </c>
      <c r="AK162">
        <v>1</v>
      </c>
      <c r="AL162">
        <v>1</v>
      </c>
      <c r="AN162">
        <v>0</v>
      </c>
      <c r="AO162">
        <v>1</v>
      </c>
      <c r="AP162">
        <v>1</v>
      </c>
      <c r="AQ162">
        <v>0</v>
      </c>
      <c r="AR162">
        <v>0</v>
      </c>
      <c r="AS162" t="s">
        <v>5</v>
      </c>
      <c r="AT162">
        <v>24.3</v>
      </c>
      <c r="AU162" t="s">
        <v>5</v>
      </c>
      <c r="AV162">
        <v>1</v>
      </c>
      <c r="AW162">
        <v>2</v>
      </c>
      <c r="AX162">
        <v>44170491</v>
      </c>
      <c r="AY162">
        <v>1</v>
      </c>
      <c r="AZ162">
        <v>0</v>
      </c>
      <c r="BA162">
        <v>162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0</v>
      </c>
      <c r="BI162">
        <v>0</v>
      </c>
      <c r="BJ162">
        <v>0</v>
      </c>
      <c r="BK162">
        <v>0</v>
      </c>
      <c r="BL162">
        <v>0</v>
      </c>
      <c r="BM162">
        <v>0</v>
      </c>
      <c r="BN162">
        <v>0</v>
      </c>
      <c r="BO162">
        <v>0</v>
      </c>
      <c r="BP162">
        <v>0</v>
      </c>
      <c r="BQ162">
        <v>0</v>
      </c>
      <c r="BR162">
        <v>0</v>
      </c>
      <c r="BS162">
        <v>0</v>
      </c>
      <c r="BT162">
        <v>0</v>
      </c>
      <c r="BU162">
        <v>0</v>
      </c>
      <c r="BV162">
        <v>0</v>
      </c>
      <c r="BW162">
        <v>0</v>
      </c>
      <c r="CX162">
        <f>Y162*Source!I81</f>
        <v>3.0180600000000002</v>
      </c>
      <c r="CY162">
        <f>AD162</f>
        <v>0</v>
      </c>
      <c r="CZ162">
        <f>AH162</f>
        <v>0</v>
      </c>
      <c r="DA162">
        <f>AL162</f>
        <v>1</v>
      </c>
      <c r="DB162">
        <f t="shared" si="25"/>
        <v>0</v>
      </c>
      <c r="DC162">
        <f t="shared" si="26"/>
        <v>0</v>
      </c>
    </row>
    <row r="163" spans="1:107" x14ac:dyDescent="0.2">
      <c r="A163">
        <f>ROW(Source!A81)</f>
        <v>81</v>
      </c>
      <c r="B163">
        <v>44169784</v>
      </c>
      <c r="C163">
        <v>44170485</v>
      </c>
      <c r="D163">
        <v>35064878</v>
      </c>
      <c r="E163">
        <v>1</v>
      </c>
      <c r="F163">
        <v>1</v>
      </c>
      <c r="G163">
        <v>34959076</v>
      </c>
      <c r="H163">
        <v>2</v>
      </c>
      <c r="I163" t="s">
        <v>372</v>
      </c>
      <c r="J163" t="s">
        <v>373</v>
      </c>
      <c r="K163" t="s">
        <v>374</v>
      </c>
      <c r="L163">
        <v>1367</v>
      </c>
      <c r="N163">
        <v>1011</v>
      </c>
      <c r="O163" t="s">
        <v>347</v>
      </c>
      <c r="P163" t="s">
        <v>347</v>
      </c>
      <c r="Q163">
        <v>1</v>
      </c>
      <c r="W163">
        <v>0</v>
      </c>
      <c r="X163">
        <v>378346098</v>
      </c>
      <c r="Y163">
        <v>0.47</v>
      </c>
      <c r="AA163">
        <v>0</v>
      </c>
      <c r="AB163">
        <v>1848.67</v>
      </c>
      <c r="AC163">
        <v>641.92999999999995</v>
      </c>
      <c r="AD163">
        <v>0</v>
      </c>
      <c r="AE163">
        <v>0</v>
      </c>
      <c r="AF163">
        <v>140.58000000000001</v>
      </c>
      <c r="AG163">
        <v>28.61</v>
      </c>
      <c r="AH163">
        <v>0</v>
      </c>
      <c r="AI163">
        <v>1</v>
      </c>
      <c r="AJ163">
        <v>12.56</v>
      </c>
      <c r="AK163">
        <v>21.43</v>
      </c>
      <c r="AL163">
        <v>1</v>
      </c>
      <c r="AN163">
        <v>0</v>
      </c>
      <c r="AO163">
        <v>1</v>
      </c>
      <c r="AP163">
        <v>1</v>
      </c>
      <c r="AQ163">
        <v>0</v>
      </c>
      <c r="AR163">
        <v>0</v>
      </c>
      <c r="AS163" t="s">
        <v>5</v>
      </c>
      <c r="AT163">
        <v>0.47</v>
      </c>
      <c r="AU163" t="s">
        <v>5</v>
      </c>
      <c r="AV163">
        <v>0</v>
      </c>
      <c r="AW163">
        <v>2</v>
      </c>
      <c r="AX163">
        <v>44170492</v>
      </c>
      <c r="AY163">
        <v>1</v>
      </c>
      <c r="AZ163">
        <v>0</v>
      </c>
      <c r="BA163">
        <v>163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0</v>
      </c>
      <c r="BI163">
        <v>0</v>
      </c>
      <c r="BJ163">
        <v>0</v>
      </c>
      <c r="BK163">
        <v>0</v>
      </c>
      <c r="BL163">
        <v>0</v>
      </c>
      <c r="BM163">
        <v>0</v>
      </c>
      <c r="BN163">
        <v>0</v>
      </c>
      <c r="BO163">
        <v>0</v>
      </c>
      <c r="BP163">
        <v>0</v>
      </c>
      <c r="BQ163">
        <v>0</v>
      </c>
      <c r="BR163">
        <v>0</v>
      </c>
      <c r="BS163">
        <v>0</v>
      </c>
      <c r="BT163">
        <v>0</v>
      </c>
      <c r="BU163">
        <v>0</v>
      </c>
      <c r="BV163">
        <v>0</v>
      </c>
      <c r="BW163">
        <v>0</v>
      </c>
      <c r="CX163">
        <f>Y163*Source!I81</f>
        <v>5.8374000000000002E-2</v>
      </c>
      <c r="CY163">
        <f>AB163</f>
        <v>1848.67</v>
      </c>
      <c r="CZ163">
        <f>AF163</f>
        <v>140.58000000000001</v>
      </c>
      <c r="DA163">
        <f>AJ163</f>
        <v>12.56</v>
      </c>
      <c r="DB163">
        <f t="shared" ref="DB163:DB194" si="27">ROUND(ROUND(AT163*CZ163,2),6)</f>
        <v>66.069999999999993</v>
      </c>
      <c r="DC163">
        <f t="shared" ref="DC163:DC194" si="28">ROUND(ROUND(AT163*AG163,2),6)</f>
        <v>13.45</v>
      </c>
    </row>
    <row r="164" spans="1:107" x14ac:dyDescent="0.2">
      <c r="A164">
        <f>ROW(Source!A81)</f>
        <v>81</v>
      </c>
      <c r="B164">
        <v>44169784</v>
      </c>
      <c r="C164">
        <v>44170485</v>
      </c>
      <c r="D164">
        <v>35064863</v>
      </c>
      <c r="E164">
        <v>1</v>
      </c>
      <c r="F164">
        <v>1</v>
      </c>
      <c r="G164">
        <v>34959076</v>
      </c>
      <c r="H164">
        <v>2</v>
      </c>
      <c r="I164" t="s">
        <v>403</v>
      </c>
      <c r="J164" t="s">
        <v>404</v>
      </c>
      <c r="K164" t="s">
        <v>405</v>
      </c>
      <c r="L164">
        <v>1367</v>
      </c>
      <c r="N164">
        <v>1011</v>
      </c>
      <c r="O164" t="s">
        <v>347</v>
      </c>
      <c r="P164" t="s">
        <v>347</v>
      </c>
      <c r="Q164">
        <v>1</v>
      </c>
      <c r="W164">
        <v>0</v>
      </c>
      <c r="X164">
        <v>-251987950</v>
      </c>
      <c r="Y164">
        <v>1.3</v>
      </c>
      <c r="AA164">
        <v>0</v>
      </c>
      <c r="AB164">
        <v>1173.1300000000001</v>
      </c>
      <c r="AC164">
        <v>512.69000000000005</v>
      </c>
      <c r="AD164">
        <v>0</v>
      </c>
      <c r="AE164">
        <v>0</v>
      </c>
      <c r="AF164">
        <v>84.82</v>
      </c>
      <c r="AG164">
        <v>22.85</v>
      </c>
      <c r="AH164">
        <v>0</v>
      </c>
      <c r="AI164">
        <v>1</v>
      </c>
      <c r="AJ164">
        <v>13.21</v>
      </c>
      <c r="AK164">
        <v>21.43</v>
      </c>
      <c r="AL164">
        <v>1</v>
      </c>
      <c r="AN164">
        <v>0</v>
      </c>
      <c r="AO164">
        <v>1</v>
      </c>
      <c r="AP164">
        <v>1</v>
      </c>
      <c r="AQ164">
        <v>0</v>
      </c>
      <c r="AR164">
        <v>0</v>
      </c>
      <c r="AS164" t="s">
        <v>5</v>
      </c>
      <c r="AT164">
        <v>1.3</v>
      </c>
      <c r="AU164" t="s">
        <v>5</v>
      </c>
      <c r="AV164">
        <v>0</v>
      </c>
      <c r="AW164">
        <v>2</v>
      </c>
      <c r="AX164">
        <v>44170493</v>
      </c>
      <c r="AY164">
        <v>1</v>
      </c>
      <c r="AZ164">
        <v>0</v>
      </c>
      <c r="BA164">
        <v>164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0</v>
      </c>
      <c r="BI164">
        <v>0</v>
      </c>
      <c r="BJ164">
        <v>0</v>
      </c>
      <c r="BK164">
        <v>0</v>
      </c>
      <c r="BL164">
        <v>0</v>
      </c>
      <c r="BM164">
        <v>0</v>
      </c>
      <c r="BN164">
        <v>0</v>
      </c>
      <c r="BO164">
        <v>0</v>
      </c>
      <c r="BP164">
        <v>0</v>
      </c>
      <c r="BQ164">
        <v>0</v>
      </c>
      <c r="BR164">
        <v>0</v>
      </c>
      <c r="BS164">
        <v>0</v>
      </c>
      <c r="BT164">
        <v>0</v>
      </c>
      <c r="BU164">
        <v>0</v>
      </c>
      <c r="BV164">
        <v>0</v>
      </c>
      <c r="BW164">
        <v>0</v>
      </c>
      <c r="CX164">
        <f>Y164*Source!I81</f>
        <v>0.16146000000000002</v>
      </c>
      <c r="CY164">
        <f>AB164</f>
        <v>1173.1300000000001</v>
      </c>
      <c r="CZ164">
        <f>AF164</f>
        <v>84.82</v>
      </c>
      <c r="DA164">
        <f>AJ164</f>
        <v>13.21</v>
      </c>
      <c r="DB164">
        <f t="shared" si="27"/>
        <v>110.27</v>
      </c>
      <c r="DC164">
        <f t="shared" si="28"/>
        <v>29.71</v>
      </c>
    </row>
    <row r="165" spans="1:107" x14ac:dyDescent="0.2">
      <c r="A165">
        <f>ROW(Source!A81)</f>
        <v>81</v>
      </c>
      <c r="B165">
        <v>44169784</v>
      </c>
      <c r="C165">
        <v>44170485</v>
      </c>
      <c r="D165">
        <v>0</v>
      </c>
      <c r="E165">
        <v>1</v>
      </c>
      <c r="F165">
        <v>1</v>
      </c>
      <c r="G165">
        <v>34959076</v>
      </c>
      <c r="H165">
        <v>3</v>
      </c>
      <c r="I165" t="s">
        <v>378</v>
      </c>
      <c r="J165" t="s">
        <v>379</v>
      </c>
      <c r="K165" t="s">
        <v>380</v>
      </c>
      <c r="L165">
        <v>1339</v>
      </c>
      <c r="N165">
        <v>1007</v>
      </c>
      <c r="O165" t="s">
        <v>59</v>
      </c>
      <c r="P165" t="s">
        <v>59</v>
      </c>
      <c r="Q165">
        <v>1</v>
      </c>
      <c r="W165">
        <v>0</v>
      </c>
      <c r="X165">
        <v>55300385</v>
      </c>
      <c r="Y165">
        <v>2</v>
      </c>
      <c r="AA165">
        <v>7.08</v>
      </c>
      <c r="AB165">
        <v>0</v>
      </c>
      <c r="AC165">
        <v>0</v>
      </c>
      <c r="AD165">
        <v>0</v>
      </c>
      <c r="AE165">
        <v>7.07</v>
      </c>
      <c r="AF165">
        <v>0</v>
      </c>
      <c r="AG165">
        <v>0</v>
      </c>
      <c r="AH165">
        <v>0</v>
      </c>
      <c r="AI165">
        <v>1</v>
      </c>
      <c r="AJ165">
        <v>1</v>
      </c>
      <c r="AK165">
        <v>1</v>
      </c>
      <c r="AL165">
        <v>1</v>
      </c>
      <c r="AN165">
        <v>0</v>
      </c>
      <c r="AO165">
        <v>1</v>
      </c>
      <c r="AP165">
        <v>0</v>
      </c>
      <c r="AQ165">
        <v>0</v>
      </c>
      <c r="AR165">
        <v>0</v>
      </c>
      <c r="AS165" t="s">
        <v>5</v>
      </c>
      <c r="AT165">
        <v>2</v>
      </c>
      <c r="AU165" t="s">
        <v>5</v>
      </c>
      <c r="AV165">
        <v>0</v>
      </c>
      <c r="AW165">
        <v>2</v>
      </c>
      <c r="AX165">
        <v>44170494</v>
      </c>
      <c r="AY165">
        <v>1</v>
      </c>
      <c r="AZ165">
        <v>0</v>
      </c>
      <c r="BA165">
        <v>165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0</v>
      </c>
      <c r="BI165">
        <v>0</v>
      </c>
      <c r="BJ165">
        <v>0</v>
      </c>
      <c r="BK165">
        <v>0</v>
      </c>
      <c r="BL165">
        <v>0</v>
      </c>
      <c r="BM165">
        <v>0</v>
      </c>
      <c r="BN165">
        <v>0</v>
      </c>
      <c r="BO165">
        <v>0</v>
      </c>
      <c r="BP165">
        <v>0</v>
      </c>
      <c r="BQ165">
        <v>0</v>
      </c>
      <c r="BR165">
        <v>0</v>
      </c>
      <c r="BS165">
        <v>0</v>
      </c>
      <c r="BT165">
        <v>0</v>
      </c>
      <c r="BU165">
        <v>0</v>
      </c>
      <c r="BV165">
        <v>0</v>
      </c>
      <c r="BW165">
        <v>0</v>
      </c>
      <c r="CX165">
        <f>Y165*Source!I81</f>
        <v>0.24840000000000001</v>
      </c>
      <c r="CY165">
        <f>AA165</f>
        <v>7.08</v>
      </c>
      <c r="CZ165">
        <f>AE165</f>
        <v>7.07</v>
      </c>
      <c r="DA165">
        <f>AI165</f>
        <v>1</v>
      </c>
      <c r="DB165">
        <f t="shared" si="27"/>
        <v>14.14</v>
      </c>
      <c r="DC165">
        <f t="shared" si="28"/>
        <v>0</v>
      </c>
    </row>
    <row r="166" spans="1:107" x14ac:dyDescent="0.2">
      <c r="A166">
        <f>ROW(Source!A81)</f>
        <v>81</v>
      </c>
      <c r="B166">
        <v>44169784</v>
      </c>
      <c r="C166">
        <v>44170485</v>
      </c>
      <c r="D166">
        <v>35042623</v>
      </c>
      <c r="E166">
        <v>1</v>
      </c>
      <c r="F166">
        <v>1</v>
      </c>
      <c r="G166">
        <v>34959076</v>
      </c>
      <c r="H166">
        <v>3</v>
      </c>
      <c r="I166" t="s">
        <v>182</v>
      </c>
      <c r="J166" t="s">
        <v>184</v>
      </c>
      <c r="K166" t="s">
        <v>183</v>
      </c>
      <c r="L166">
        <v>1339</v>
      </c>
      <c r="N166">
        <v>1007</v>
      </c>
      <c r="O166" t="s">
        <v>59</v>
      </c>
      <c r="P166" t="s">
        <v>59</v>
      </c>
      <c r="Q166">
        <v>1</v>
      </c>
      <c r="W166">
        <v>0</v>
      </c>
      <c r="X166">
        <v>564194019</v>
      </c>
      <c r="Y166">
        <v>17.399999999999999</v>
      </c>
      <c r="AA166">
        <v>2230.2199999999998</v>
      </c>
      <c r="AB166">
        <v>0</v>
      </c>
      <c r="AC166">
        <v>0</v>
      </c>
      <c r="AD166">
        <v>0</v>
      </c>
      <c r="AE166">
        <v>250.65</v>
      </c>
      <c r="AF166">
        <v>0</v>
      </c>
      <c r="AG166">
        <v>0</v>
      </c>
      <c r="AH166">
        <v>0</v>
      </c>
      <c r="AI166">
        <v>8.8800000000000008</v>
      </c>
      <c r="AJ166">
        <v>1</v>
      </c>
      <c r="AK166">
        <v>1</v>
      </c>
      <c r="AL166">
        <v>1</v>
      </c>
      <c r="AN166">
        <v>0</v>
      </c>
      <c r="AO166">
        <v>0</v>
      </c>
      <c r="AP166">
        <v>0</v>
      </c>
      <c r="AQ166">
        <v>0</v>
      </c>
      <c r="AR166">
        <v>0</v>
      </c>
      <c r="AS166" t="s">
        <v>5</v>
      </c>
      <c r="AT166">
        <v>17.399999999999999</v>
      </c>
      <c r="AU166" t="s">
        <v>5</v>
      </c>
      <c r="AV166">
        <v>0</v>
      </c>
      <c r="AW166">
        <v>1</v>
      </c>
      <c r="AX166">
        <v>-1</v>
      </c>
      <c r="AY166">
        <v>0</v>
      </c>
      <c r="AZ166">
        <v>0</v>
      </c>
      <c r="BA166" t="s">
        <v>5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0</v>
      </c>
      <c r="BI166">
        <v>0</v>
      </c>
      <c r="BJ166">
        <v>0</v>
      </c>
      <c r="BK166">
        <v>0</v>
      </c>
      <c r="BL166">
        <v>0</v>
      </c>
      <c r="BM166">
        <v>0</v>
      </c>
      <c r="BN166">
        <v>0</v>
      </c>
      <c r="BO166">
        <v>0</v>
      </c>
      <c r="BP166">
        <v>0</v>
      </c>
      <c r="BQ166">
        <v>0</v>
      </c>
      <c r="BR166">
        <v>0</v>
      </c>
      <c r="BS166">
        <v>0</v>
      </c>
      <c r="BT166">
        <v>0</v>
      </c>
      <c r="BU166">
        <v>0</v>
      </c>
      <c r="BV166">
        <v>0</v>
      </c>
      <c r="BW166">
        <v>0</v>
      </c>
      <c r="CX166">
        <f>Y166*Source!I81</f>
        <v>2.1610800000000001</v>
      </c>
      <c r="CY166">
        <f>AA166</f>
        <v>2230.2199999999998</v>
      </c>
      <c r="CZ166">
        <f>AE166</f>
        <v>250.65</v>
      </c>
      <c r="DA166">
        <f>AI166</f>
        <v>8.8800000000000008</v>
      </c>
      <c r="DB166">
        <f t="shared" si="27"/>
        <v>4361.3100000000004</v>
      </c>
      <c r="DC166">
        <f t="shared" si="28"/>
        <v>0</v>
      </c>
    </row>
    <row r="167" spans="1:107" x14ac:dyDescent="0.2">
      <c r="A167">
        <f>ROW(Source!A84)</f>
        <v>84</v>
      </c>
      <c r="B167">
        <v>44169784</v>
      </c>
      <c r="C167">
        <v>44170498</v>
      </c>
      <c r="D167">
        <v>34984826</v>
      </c>
      <c r="E167">
        <v>34959076</v>
      </c>
      <c r="F167">
        <v>1</v>
      </c>
      <c r="G167">
        <v>34959076</v>
      </c>
      <c r="H167">
        <v>1</v>
      </c>
      <c r="I167" t="s">
        <v>341</v>
      </c>
      <c r="J167" t="s">
        <v>5</v>
      </c>
      <c r="K167" t="s">
        <v>342</v>
      </c>
      <c r="L167">
        <v>1191</v>
      </c>
      <c r="N167">
        <v>1013</v>
      </c>
      <c r="O167" t="s">
        <v>343</v>
      </c>
      <c r="P167" t="s">
        <v>343</v>
      </c>
      <c r="Q167">
        <v>1</v>
      </c>
      <c r="W167">
        <v>0</v>
      </c>
      <c r="X167">
        <v>476480486</v>
      </c>
      <c r="Y167">
        <v>122.1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1</v>
      </c>
      <c r="AJ167">
        <v>1</v>
      </c>
      <c r="AK167">
        <v>1</v>
      </c>
      <c r="AL167">
        <v>1</v>
      </c>
      <c r="AN167">
        <v>0</v>
      </c>
      <c r="AO167">
        <v>1</v>
      </c>
      <c r="AP167">
        <v>0</v>
      </c>
      <c r="AQ167">
        <v>0</v>
      </c>
      <c r="AR167">
        <v>0</v>
      </c>
      <c r="AS167" t="s">
        <v>5</v>
      </c>
      <c r="AT167">
        <v>122.1</v>
      </c>
      <c r="AU167" t="s">
        <v>5</v>
      </c>
      <c r="AV167">
        <v>1</v>
      </c>
      <c r="AW167">
        <v>2</v>
      </c>
      <c r="AX167">
        <v>44170504</v>
      </c>
      <c r="AY167">
        <v>1</v>
      </c>
      <c r="AZ167">
        <v>0</v>
      </c>
      <c r="BA167">
        <v>167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0</v>
      </c>
      <c r="BI167">
        <v>0</v>
      </c>
      <c r="BJ167">
        <v>0</v>
      </c>
      <c r="BK167">
        <v>0</v>
      </c>
      <c r="BL167">
        <v>0</v>
      </c>
      <c r="BM167">
        <v>0</v>
      </c>
      <c r="BN167">
        <v>0</v>
      </c>
      <c r="BO167">
        <v>0</v>
      </c>
      <c r="BP167">
        <v>0</v>
      </c>
      <c r="BQ167">
        <v>0</v>
      </c>
      <c r="BR167">
        <v>0</v>
      </c>
      <c r="BS167">
        <v>0</v>
      </c>
      <c r="BT167">
        <v>0</v>
      </c>
      <c r="BU167">
        <v>0</v>
      </c>
      <c r="BV167">
        <v>0</v>
      </c>
      <c r="BW167">
        <v>0</v>
      </c>
      <c r="CX167">
        <f>Y167*Source!I84</f>
        <v>41.514000000000003</v>
      </c>
      <c r="CY167">
        <f>AD167</f>
        <v>0</v>
      </c>
      <c r="CZ167">
        <f>AH167</f>
        <v>0</v>
      </c>
      <c r="DA167">
        <f>AL167</f>
        <v>1</v>
      </c>
      <c r="DB167">
        <f t="shared" si="27"/>
        <v>0</v>
      </c>
      <c r="DC167">
        <f t="shared" si="28"/>
        <v>0</v>
      </c>
    </row>
    <row r="168" spans="1:107" x14ac:dyDescent="0.2">
      <c r="A168">
        <f>ROW(Source!A84)</f>
        <v>84</v>
      </c>
      <c r="B168">
        <v>44169784</v>
      </c>
      <c r="C168">
        <v>44170498</v>
      </c>
      <c r="D168">
        <v>0</v>
      </c>
      <c r="E168">
        <v>1</v>
      </c>
      <c r="F168">
        <v>1</v>
      </c>
      <c r="G168">
        <v>34959076</v>
      </c>
      <c r="H168">
        <v>3</v>
      </c>
      <c r="I168" t="s">
        <v>442</v>
      </c>
      <c r="J168" t="s">
        <v>443</v>
      </c>
      <c r="K168" t="s">
        <v>444</v>
      </c>
      <c r="L168">
        <v>1339</v>
      </c>
      <c r="N168">
        <v>1007</v>
      </c>
      <c r="O168" t="s">
        <v>59</v>
      </c>
      <c r="P168" t="s">
        <v>59</v>
      </c>
      <c r="Q168">
        <v>1</v>
      </c>
      <c r="W168">
        <v>0</v>
      </c>
      <c r="X168">
        <v>-1472885600</v>
      </c>
      <c r="Y168">
        <v>4</v>
      </c>
      <c r="AA168">
        <v>104.99</v>
      </c>
      <c r="AB168">
        <v>0</v>
      </c>
      <c r="AC168">
        <v>0</v>
      </c>
      <c r="AD168">
        <v>0</v>
      </c>
      <c r="AE168">
        <v>104.99</v>
      </c>
      <c r="AF168">
        <v>0</v>
      </c>
      <c r="AG168">
        <v>0</v>
      </c>
      <c r="AH168">
        <v>0</v>
      </c>
      <c r="AI168">
        <v>1</v>
      </c>
      <c r="AJ168">
        <v>1</v>
      </c>
      <c r="AK168">
        <v>1</v>
      </c>
      <c r="AL168">
        <v>1</v>
      </c>
      <c r="AN168">
        <v>0</v>
      </c>
      <c r="AO168">
        <v>1</v>
      </c>
      <c r="AP168">
        <v>0</v>
      </c>
      <c r="AQ168">
        <v>0</v>
      </c>
      <c r="AR168">
        <v>0</v>
      </c>
      <c r="AS168" t="s">
        <v>5</v>
      </c>
      <c r="AT168">
        <v>4</v>
      </c>
      <c r="AU168" t="s">
        <v>5</v>
      </c>
      <c r="AV168">
        <v>0</v>
      </c>
      <c r="AW168">
        <v>1</v>
      </c>
      <c r="AX168">
        <v>-1</v>
      </c>
      <c r="AY168">
        <v>0</v>
      </c>
      <c r="AZ168">
        <v>0</v>
      </c>
      <c r="BA168" t="s">
        <v>5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0</v>
      </c>
      <c r="BI168">
        <v>0</v>
      </c>
      <c r="BJ168">
        <v>0</v>
      </c>
      <c r="BK168">
        <v>0</v>
      </c>
      <c r="BL168">
        <v>0</v>
      </c>
      <c r="BM168">
        <v>0</v>
      </c>
      <c r="BN168">
        <v>0</v>
      </c>
      <c r="BO168">
        <v>0</v>
      </c>
      <c r="BP168">
        <v>0</v>
      </c>
      <c r="BQ168">
        <v>0</v>
      </c>
      <c r="BR168">
        <v>0</v>
      </c>
      <c r="BS168">
        <v>0</v>
      </c>
      <c r="BT168">
        <v>0</v>
      </c>
      <c r="BU168">
        <v>0</v>
      </c>
      <c r="BV168">
        <v>0</v>
      </c>
      <c r="BW168">
        <v>0</v>
      </c>
      <c r="CX168">
        <f>Y168*Source!I84</f>
        <v>1.36</v>
      </c>
      <c r="CY168">
        <f>AA168</f>
        <v>104.99</v>
      </c>
      <c r="CZ168">
        <f>AE168</f>
        <v>104.99</v>
      </c>
      <c r="DA168">
        <f>AI168</f>
        <v>1</v>
      </c>
      <c r="DB168">
        <f t="shared" si="27"/>
        <v>419.96</v>
      </c>
      <c r="DC168">
        <f t="shared" si="28"/>
        <v>0</v>
      </c>
    </row>
    <row r="169" spans="1:107" x14ac:dyDescent="0.2">
      <c r="A169">
        <f>ROW(Source!A84)</f>
        <v>84</v>
      </c>
      <c r="B169">
        <v>44169784</v>
      </c>
      <c r="C169">
        <v>44170498</v>
      </c>
      <c r="D169">
        <v>0</v>
      </c>
      <c r="E169">
        <v>34959076</v>
      </c>
      <c r="F169">
        <v>1</v>
      </c>
      <c r="G169">
        <v>34959076</v>
      </c>
      <c r="H169">
        <v>3</v>
      </c>
      <c r="I169" t="s">
        <v>193</v>
      </c>
      <c r="J169" t="s">
        <v>195</v>
      </c>
      <c r="K169" t="s">
        <v>194</v>
      </c>
      <c r="L169">
        <v>1348</v>
      </c>
      <c r="N169">
        <v>1009</v>
      </c>
      <c r="O169" t="s">
        <v>87</v>
      </c>
      <c r="P169" t="s">
        <v>87</v>
      </c>
      <c r="Q169">
        <v>1000</v>
      </c>
      <c r="W169">
        <v>0</v>
      </c>
      <c r="X169">
        <v>765474763</v>
      </c>
      <c r="Y169">
        <v>4</v>
      </c>
      <c r="AA169">
        <v>3565.06</v>
      </c>
      <c r="AB169">
        <v>0</v>
      </c>
      <c r="AC169">
        <v>0</v>
      </c>
      <c r="AD169">
        <v>0</v>
      </c>
      <c r="AE169">
        <v>540.16</v>
      </c>
      <c r="AF169">
        <v>0</v>
      </c>
      <c r="AG169">
        <v>0</v>
      </c>
      <c r="AH169">
        <v>0</v>
      </c>
      <c r="AI169">
        <v>6.6</v>
      </c>
      <c r="AJ169">
        <v>1</v>
      </c>
      <c r="AK169">
        <v>1</v>
      </c>
      <c r="AL169">
        <v>1</v>
      </c>
      <c r="AN169">
        <v>0</v>
      </c>
      <c r="AO169">
        <v>0</v>
      </c>
      <c r="AP169">
        <v>0</v>
      </c>
      <c r="AQ169">
        <v>0</v>
      </c>
      <c r="AR169">
        <v>0</v>
      </c>
      <c r="AS169" t="s">
        <v>5</v>
      </c>
      <c r="AT169">
        <v>4</v>
      </c>
      <c r="AU169" t="s">
        <v>5</v>
      </c>
      <c r="AV169">
        <v>0</v>
      </c>
      <c r="AW169">
        <v>1</v>
      </c>
      <c r="AX169">
        <v>-1</v>
      </c>
      <c r="AY169">
        <v>0</v>
      </c>
      <c r="AZ169">
        <v>0</v>
      </c>
      <c r="BA169" t="s">
        <v>5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0</v>
      </c>
      <c r="BI169">
        <v>0</v>
      </c>
      <c r="BJ169">
        <v>0</v>
      </c>
      <c r="BK169">
        <v>0</v>
      </c>
      <c r="BL169">
        <v>0</v>
      </c>
      <c r="BM169">
        <v>0</v>
      </c>
      <c r="BN169">
        <v>0</v>
      </c>
      <c r="BO169">
        <v>0</v>
      </c>
      <c r="BP169">
        <v>0</v>
      </c>
      <c r="BQ169">
        <v>0</v>
      </c>
      <c r="BR169">
        <v>0</v>
      </c>
      <c r="BS169">
        <v>0</v>
      </c>
      <c r="BT169">
        <v>0</v>
      </c>
      <c r="BU169">
        <v>0</v>
      </c>
      <c r="BV169">
        <v>0</v>
      </c>
      <c r="BW169">
        <v>0</v>
      </c>
      <c r="CX169">
        <f>Y169*Source!I84</f>
        <v>1.36</v>
      </c>
      <c r="CY169">
        <f>AA169</f>
        <v>3565.06</v>
      </c>
      <c r="CZ169">
        <f>AE169</f>
        <v>540.16</v>
      </c>
      <c r="DA169">
        <f>AI169</f>
        <v>6.6</v>
      </c>
      <c r="DB169">
        <f t="shared" si="27"/>
        <v>2160.64</v>
      </c>
      <c r="DC169">
        <f t="shared" si="28"/>
        <v>0</v>
      </c>
    </row>
    <row r="170" spans="1:107" x14ac:dyDescent="0.2">
      <c r="A170">
        <f>ROW(Source!A87)</f>
        <v>87</v>
      </c>
      <c r="B170">
        <v>44169784</v>
      </c>
      <c r="C170">
        <v>44170508</v>
      </c>
      <c r="D170">
        <v>34984826</v>
      </c>
      <c r="E170">
        <v>34959076</v>
      </c>
      <c r="F170">
        <v>1</v>
      </c>
      <c r="G170">
        <v>34959076</v>
      </c>
      <c r="H170">
        <v>1</v>
      </c>
      <c r="I170" t="s">
        <v>341</v>
      </c>
      <c r="J170" t="s">
        <v>5</v>
      </c>
      <c r="K170" t="s">
        <v>342</v>
      </c>
      <c r="L170">
        <v>1191</v>
      </c>
      <c r="N170">
        <v>1013</v>
      </c>
      <c r="O170" t="s">
        <v>343</v>
      </c>
      <c r="P170" t="s">
        <v>343</v>
      </c>
      <c r="Q170">
        <v>1</v>
      </c>
      <c r="W170">
        <v>0</v>
      </c>
      <c r="X170">
        <v>476480486</v>
      </c>
      <c r="Y170">
        <v>11.7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1</v>
      </c>
      <c r="AJ170">
        <v>1</v>
      </c>
      <c r="AK170">
        <v>1</v>
      </c>
      <c r="AL170">
        <v>1</v>
      </c>
      <c r="AN170">
        <v>0</v>
      </c>
      <c r="AO170">
        <v>1</v>
      </c>
      <c r="AP170">
        <v>1</v>
      </c>
      <c r="AQ170">
        <v>0</v>
      </c>
      <c r="AR170">
        <v>0</v>
      </c>
      <c r="AS170" t="s">
        <v>5</v>
      </c>
      <c r="AT170">
        <v>11.7</v>
      </c>
      <c r="AU170" t="s">
        <v>5</v>
      </c>
      <c r="AV170">
        <v>1</v>
      </c>
      <c r="AW170">
        <v>2</v>
      </c>
      <c r="AX170">
        <v>44170517</v>
      </c>
      <c r="AY170">
        <v>1</v>
      </c>
      <c r="AZ170">
        <v>0</v>
      </c>
      <c r="BA170">
        <v>169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0</v>
      </c>
      <c r="BI170">
        <v>0</v>
      </c>
      <c r="BJ170">
        <v>0</v>
      </c>
      <c r="BK170">
        <v>0</v>
      </c>
      <c r="BL170">
        <v>0</v>
      </c>
      <c r="BM170">
        <v>0</v>
      </c>
      <c r="BN170">
        <v>0</v>
      </c>
      <c r="BO170">
        <v>0</v>
      </c>
      <c r="BP170">
        <v>0</v>
      </c>
      <c r="BQ170">
        <v>0</v>
      </c>
      <c r="BR170">
        <v>0</v>
      </c>
      <c r="BS170">
        <v>0</v>
      </c>
      <c r="BT170">
        <v>0</v>
      </c>
      <c r="BU170">
        <v>0</v>
      </c>
      <c r="BV170">
        <v>0</v>
      </c>
      <c r="BW170">
        <v>0</v>
      </c>
      <c r="CX170">
        <f>Y170*Source!I87</f>
        <v>0.47736000000000001</v>
      </c>
      <c r="CY170">
        <f>AD170</f>
        <v>0</v>
      </c>
      <c r="CZ170">
        <f>AH170</f>
        <v>0</v>
      </c>
      <c r="DA170">
        <f>AL170</f>
        <v>1</v>
      </c>
      <c r="DB170">
        <f t="shared" si="27"/>
        <v>0</v>
      </c>
      <c r="DC170">
        <f t="shared" si="28"/>
        <v>0</v>
      </c>
    </row>
    <row r="171" spans="1:107" x14ac:dyDescent="0.2">
      <c r="A171">
        <f>ROW(Source!A87)</f>
        <v>87</v>
      </c>
      <c r="B171">
        <v>44169784</v>
      </c>
      <c r="C171">
        <v>44170508</v>
      </c>
      <c r="D171">
        <v>35064650</v>
      </c>
      <c r="E171">
        <v>1</v>
      </c>
      <c r="F171">
        <v>1</v>
      </c>
      <c r="G171">
        <v>34959076</v>
      </c>
      <c r="H171">
        <v>2</v>
      </c>
      <c r="I171" t="s">
        <v>366</v>
      </c>
      <c r="J171" t="s">
        <v>367</v>
      </c>
      <c r="K171" t="s">
        <v>368</v>
      </c>
      <c r="L171">
        <v>1367</v>
      </c>
      <c r="N171">
        <v>1011</v>
      </c>
      <c r="O171" t="s">
        <v>347</v>
      </c>
      <c r="P171" t="s">
        <v>347</v>
      </c>
      <c r="Q171">
        <v>1</v>
      </c>
      <c r="W171">
        <v>0</v>
      </c>
      <c r="X171">
        <v>1928543733</v>
      </c>
      <c r="Y171">
        <v>1.26</v>
      </c>
      <c r="AA171">
        <v>0</v>
      </c>
      <c r="AB171">
        <v>1154.08</v>
      </c>
      <c r="AC171">
        <v>525.26</v>
      </c>
      <c r="AD171">
        <v>0</v>
      </c>
      <c r="AE171">
        <v>0</v>
      </c>
      <c r="AF171">
        <v>116.89</v>
      </c>
      <c r="AG171">
        <v>23.41</v>
      </c>
      <c r="AH171">
        <v>0</v>
      </c>
      <c r="AI171">
        <v>1</v>
      </c>
      <c r="AJ171">
        <v>9.43</v>
      </c>
      <c r="AK171">
        <v>21.43</v>
      </c>
      <c r="AL171">
        <v>1</v>
      </c>
      <c r="AN171">
        <v>0</v>
      </c>
      <c r="AO171">
        <v>1</v>
      </c>
      <c r="AP171">
        <v>1</v>
      </c>
      <c r="AQ171">
        <v>0</v>
      </c>
      <c r="AR171">
        <v>0</v>
      </c>
      <c r="AS171" t="s">
        <v>5</v>
      </c>
      <c r="AT171">
        <v>1.26</v>
      </c>
      <c r="AU171" t="s">
        <v>5</v>
      </c>
      <c r="AV171">
        <v>0</v>
      </c>
      <c r="AW171">
        <v>2</v>
      </c>
      <c r="AX171">
        <v>44170518</v>
      </c>
      <c r="AY171">
        <v>1</v>
      </c>
      <c r="AZ171">
        <v>0</v>
      </c>
      <c r="BA171">
        <v>170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0</v>
      </c>
      <c r="BI171">
        <v>0</v>
      </c>
      <c r="BJ171">
        <v>0</v>
      </c>
      <c r="BK171">
        <v>0</v>
      </c>
      <c r="BL171">
        <v>0</v>
      </c>
      <c r="BM171">
        <v>0</v>
      </c>
      <c r="BN171">
        <v>0</v>
      </c>
      <c r="BO171">
        <v>0</v>
      </c>
      <c r="BP171">
        <v>0</v>
      </c>
      <c r="BQ171">
        <v>0</v>
      </c>
      <c r="BR171">
        <v>0</v>
      </c>
      <c r="BS171">
        <v>0</v>
      </c>
      <c r="BT171">
        <v>0</v>
      </c>
      <c r="BU171">
        <v>0</v>
      </c>
      <c r="BV171">
        <v>0</v>
      </c>
      <c r="BW171">
        <v>0</v>
      </c>
      <c r="CX171">
        <f>Y171*Source!I87</f>
        <v>5.1408000000000002E-2</v>
      </c>
      <c r="CY171">
        <f>AB171</f>
        <v>1154.08</v>
      </c>
      <c r="CZ171">
        <f>AF171</f>
        <v>116.89</v>
      </c>
      <c r="DA171">
        <f>AJ171</f>
        <v>9.43</v>
      </c>
      <c r="DB171">
        <f t="shared" si="27"/>
        <v>147.28</v>
      </c>
      <c r="DC171">
        <f t="shared" si="28"/>
        <v>29.5</v>
      </c>
    </row>
    <row r="172" spans="1:107" x14ac:dyDescent="0.2">
      <c r="A172">
        <f>ROW(Source!A87)</f>
        <v>87</v>
      </c>
      <c r="B172">
        <v>44169784</v>
      </c>
      <c r="C172">
        <v>44170508</v>
      </c>
      <c r="D172">
        <v>35064906</v>
      </c>
      <c r="E172">
        <v>1</v>
      </c>
      <c r="F172">
        <v>1</v>
      </c>
      <c r="G172">
        <v>34959076</v>
      </c>
      <c r="H172">
        <v>2</v>
      </c>
      <c r="I172" t="s">
        <v>351</v>
      </c>
      <c r="J172" t="s">
        <v>352</v>
      </c>
      <c r="K172" t="s">
        <v>353</v>
      </c>
      <c r="L172">
        <v>1367</v>
      </c>
      <c r="N172">
        <v>1011</v>
      </c>
      <c r="O172" t="s">
        <v>347</v>
      </c>
      <c r="P172" t="s">
        <v>347</v>
      </c>
      <c r="Q172">
        <v>1</v>
      </c>
      <c r="W172">
        <v>0</v>
      </c>
      <c r="X172">
        <v>856318566</v>
      </c>
      <c r="Y172">
        <v>1.7</v>
      </c>
      <c r="AA172">
        <v>0</v>
      </c>
      <c r="AB172">
        <v>1429.33</v>
      </c>
      <c r="AC172">
        <v>555.1</v>
      </c>
      <c r="AD172">
        <v>0</v>
      </c>
      <c r="AE172">
        <v>0</v>
      </c>
      <c r="AF172">
        <v>125.13</v>
      </c>
      <c r="AG172">
        <v>24.74</v>
      </c>
      <c r="AH172">
        <v>0</v>
      </c>
      <c r="AI172">
        <v>1</v>
      </c>
      <c r="AJ172">
        <v>10.91</v>
      </c>
      <c r="AK172">
        <v>21.43</v>
      </c>
      <c r="AL172">
        <v>1</v>
      </c>
      <c r="AN172">
        <v>0</v>
      </c>
      <c r="AO172">
        <v>1</v>
      </c>
      <c r="AP172">
        <v>1</v>
      </c>
      <c r="AQ172">
        <v>0</v>
      </c>
      <c r="AR172">
        <v>0</v>
      </c>
      <c r="AS172" t="s">
        <v>5</v>
      </c>
      <c r="AT172">
        <v>1.7</v>
      </c>
      <c r="AU172" t="s">
        <v>5</v>
      </c>
      <c r="AV172">
        <v>0</v>
      </c>
      <c r="AW172">
        <v>2</v>
      </c>
      <c r="AX172">
        <v>44170519</v>
      </c>
      <c r="AY172">
        <v>1</v>
      </c>
      <c r="AZ172">
        <v>0</v>
      </c>
      <c r="BA172">
        <v>171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0</v>
      </c>
      <c r="BI172">
        <v>0</v>
      </c>
      <c r="BJ172">
        <v>0</v>
      </c>
      <c r="BK172">
        <v>0</v>
      </c>
      <c r="BL172">
        <v>0</v>
      </c>
      <c r="BM172">
        <v>0</v>
      </c>
      <c r="BN172">
        <v>0</v>
      </c>
      <c r="BO172">
        <v>0</v>
      </c>
      <c r="BP172">
        <v>0</v>
      </c>
      <c r="BQ172">
        <v>0</v>
      </c>
      <c r="BR172">
        <v>0</v>
      </c>
      <c r="BS172">
        <v>0</v>
      </c>
      <c r="BT172">
        <v>0</v>
      </c>
      <c r="BU172">
        <v>0</v>
      </c>
      <c r="BV172">
        <v>0</v>
      </c>
      <c r="BW172">
        <v>0</v>
      </c>
      <c r="CX172">
        <f>Y172*Source!I87</f>
        <v>6.9360000000000005E-2</v>
      </c>
      <c r="CY172">
        <f>AB172</f>
        <v>1429.33</v>
      </c>
      <c r="CZ172">
        <f>AF172</f>
        <v>125.13</v>
      </c>
      <c r="DA172">
        <f>AJ172</f>
        <v>10.91</v>
      </c>
      <c r="DB172">
        <f t="shared" si="27"/>
        <v>212.72</v>
      </c>
      <c r="DC172">
        <f t="shared" si="28"/>
        <v>42.06</v>
      </c>
    </row>
    <row r="173" spans="1:107" x14ac:dyDescent="0.2">
      <c r="A173">
        <f>ROW(Source!A87)</f>
        <v>87</v>
      </c>
      <c r="B173">
        <v>44169784</v>
      </c>
      <c r="C173">
        <v>44170508</v>
      </c>
      <c r="D173">
        <v>34984824</v>
      </c>
      <c r="E173">
        <v>34959076</v>
      </c>
      <c r="F173">
        <v>1</v>
      </c>
      <c r="G173">
        <v>34959076</v>
      </c>
      <c r="H173">
        <v>2</v>
      </c>
      <c r="I173" t="s">
        <v>354</v>
      </c>
      <c r="J173" t="s">
        <v>5</v>
      </c>
      <c r="K173" t="s">
        <v>355</v>
      </c>
      <c r="L173">
        <v>1344</v>
      </c>
      <c r="N173">
        <v>1008</v>
      </c>
      <c r="O173" t="s">
        <v>356</v>
      </c>
      <c r="P173" t="s">
        <v>356</v>
      </c>
      <c r="Q173">
        <v>1</v>
      </c>
      <c r="W173">
        <v>0</v>
      </c>
      <c r="X173">
        <v>-1180195794</v>
      </c>
      <c r="Y173">
        <v>42.43</v>
      </c>
      <c r="AA173">
        <v>0</v>
      </c>
      <c r="AB173">
        <v>1.05</v>
      </c>
      <c r="AC173">
        <v>0</v>
      </c>
      <c r="AD173">
        <v>0</v>
      </c>
      <c r="AE173">
        <v>0</v>
      </c>
      <c r="AF173">
        <v>1</v>
      </c>
      <c r="AG173">
        <v>0</v>
      </c>
      <c r="AH173">
        <v>0</v>
      </c>
      <c r="AI173">
        <v>1</v>
      </c>
      <c r="AJ173">
        <v>1</v>
      </c>
      <c r="AK173">
        <v>1</v>
      </c>
      <c r="AL173">
        <v>1</v>
      </c>
      <c r="AN173">
        <v>0</v>
      </c>
      <c r="AO173">
        <v>1</v>
      </c>
      <c r="AP173">
        <v>1</v>
      </c>
      <c r="AQ173">
        <v>0</v>
      </c>
      <c r="AR173">
        <v>0</v>
      </c>
      <c r="AS173" t="s">
        <v>5</v>
      </c>
      <c r="AT173">
        <v>42.43</v>
      </c>
      <c r="AU173" t="s">
        <v>5</v>
      </c>
      <c r="AV173">
        <v>0</v>
      </c>
      <c r="AW173">
        <v>2</v>
      </c>
      <c r="AX173">
        <v>44170520</v>
      </c>
      <c r="AY173">
        <v>1</v>
      </c>
      <c r="AZ173">
        <v>0</v>
      </c>
      <c r="BA173">
        <v>172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0</v>
      </c>
      <c r="BI173">
        <v>0</v>
      </c>
      <c r="BJ173">
        <v>0</v>
      </c>
      <c r="BK173">
        <v>0</v>
      </c>
      <c r="BL173">
        <v>0</v>
      </c>
      <c r="BM173">
        <v>0</v>
      </c>
      <c r="BN173">
        <v>0</v>
      </c>
      <c r="BO173">
        <v>0</v>
      </c>
      <c r="BP173">
        <v>0</v>
      </c>
      <c r="BQ173">
        <v>0</v>
      </c>
      <c r="BR173">
        <v>0</v>
      </c>
      <c r="BS173">
        <v>0</v>
      </c>
      <c r="BT173">
        <v>0</v>
      </c>
      <c r="BU173">
        <v>0</v>
      </c>
      <c r="BV173">
        <v>0</v>
      </c>
      <c r="BW173">
        <v>0</v>
      </c>
      <c r="CX173">
        <f>Y173*Source!I87</f>
        <v>1.731144</v>
      </c>
      <c r="CY173">
        <f>AB173</f>
        <v>1.05</v>
      </c>
      <c r="CZ173">
        <f>AF173</f>
        <v>1</v>
      </c>
      <c r="DA173">
        <f>AJ173</f>
        <v>1</v>
      </c>
      <c r="DB173">
        <f t="shared" si="27"/>
        <v>42.43</v>
      </c>
      <c r="DC173">
        <f t="shared" si="28"/>
        <v>0</v>
      </c>
    </row>
    <row r="174" spans="1:107" x14ac:dyDescent="0.2">
      <c r="A174">
        <f>ROW(Source!A88)</f>
        <v>88</v>
      </c>
      <c r="B174">
        <v>44169784</v>
      </c>
      <c r="C174">
        <v>44170521</v>
      </c>
      <c r="D174">
        <v>34984824</v>
      </c>
      <c r="E174">
        <v>34959076</v>
      </c>
      <c r="F174">
        <v>1</v>
      </c>
      <c r="G174">
        <v>34959076</v>
      </c>
      <c r="H174">
        <v>2</v>
      </c>
      <c r="I174" t="s">
        <v>354</v>
      </c>
      <c r="J174" t="s">
        <v>5</v>
      </c>
      <c r="K174" t="s">
        <v>355</v>
      </c>
      <c r="L174">
        <v>1344</v>
      </c>
      <c r="N174">
        <v>1008</v>
      </c>
      <c r="O174" t="s">
        <v>356</v>
      </c>
      <c r="P174" t="s">
        <v>356</v>
      </c>
      <c r="Q174">
        <v>1</v>
      </c>
      <c r="W174">
        <v>0</v>
      </c>
      <c r="X174">
        <v>-1180195794</v>
      </c>
      <c r="Y174">
        <v>8.86</v>
      </c>
      <c r="AA174">
        <v>0</v>
      </c>
      <c r="AB174">
        <v>1.05</v>
      </c>
      <c r="AC174">
        <v>0</v>
      </c>
      <c r="AD174">
        <v>0</v>
      </c>
      <c r="AE174">
        <v>0</v>
      </c>
      <c r="AF174">
        <v>1</v>
      </c>
      <c r="AG174">
        <v>0</v>
      </c>
      <c r="AH174">
        <v>0</v>
      </c>
      <c r="AI174">
        <v>1</v>
      </c>
      <c r="AJ174">
        <v>1</v>
      </c>
      <c r="AK174">
        <v>1</v>
      </c>
      <c r="AL174">
        <v>1</v>
      </c>
      <c r="AN174">
        <v>0</v>
      </c>
      <c r="AO174">
        <v>1</v>
      </c>
      <c r="AP174">
        <v>1</v>
      </c>
      <c r="AQ174">
        <v>0</v>
      </c>
      <c r="AR174">
        <v>0</v>
      </c>
      <c r="AS174" t="s">
        <v>5</v>
      </c>
      <c r="AT174">
        <v>8.86</v>
      </c>
      <c r="AU174" t="s">
        <v>5</v>
      </c>
      <c r="AV174">
        <v>0</v>
      </c>
      <c r="AW174">
        <v>2</v>
      </c>
      <c r="AX174">
        <v>44170524</v>
      </c>
      <c r="AY174">
        <v>1</v>
      </c>
      <c r="AZ174">
        <v>0</v>
      </c>
      <c r="BA174">
        <v>173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0</v>
      </c>
      <c r="BI174">
        <v>0</v>
      </c>
      <c r="BJ174">
        <v>0</v>
      </c>
      <c r="BK174">
        <v>0</v>
      </c>
      <c r="BL174">
        <v>0</v>
      </c>
      <c r="BM174">
        <v>0</v>
      </c>
      <c r="BN174">
        <v>0</v>
      </c>
      <c r="BO174">
        <v>0</v>
      </c>
      <c r="BP174">
        <v>0</v>
      </c>
      <c r="BQ174">
        <v>0</v>
      </c>
      <c r="BR174">
        <v>0</v>
      </c>
      <c r="BS174">
        <v>0</v>
      </c>
      <c r="BT174">
        <v>0</v>
      </c>
      <c r="BU174">
        <v>0</v>
      </c>
      <c r="BV174">
        <v>0</v>
      </c>
      <c r="BW174">
        <v>0</v>
      </c>
      <c r="CX174">
        <f>Y174*Source!I88</f>
        <v>64.525607999999991</v>
      </c>
      <c r="CY174">
        <f>AB174</f>
        <v>1.05</v>
      </c>
      <c r="CZ174">
        <f>AF174</f>
        <v>1</v>
      </c>
      <c r="DA174">
        <f>AJ174</f>
        <v>1</v>
      </c>
      <c r="DB174">
        <f t="shared" si="27"/>
        <v>8.86</v>
      </c>
      <c r="DC174">
        <f t="shared" si="28"/>
        <v>0</v>
      </c>
    </row>
    <row r="175" spans="1:107" x14ac:dyDescent="0.2">
      <c r="A175">
        <f>ROW(Source!A89)</f>
        <v>89</v>
      </c>
      <c r="B175">
        <v>44169784</v>
      </c>
      <c r="C175">
        <v>44170525</v>
      </c>
      <c r="D175">
        <v>34984826</v>
      </c>
      <c r="E175">
        <v>34959076</v>
      </c>
      <c r="F175">
        <v>1</v>
      </c>
      <c r="G175">
        <v>34959076</v>
      </c>
      <c r="H175">
        <v>1</v>
      </c>
      <c r="I175" t="s">
        <v>341</v>
      </c>
      <c r="J175" t="s">
        <v>5</v>
      </c>
      <c r="K175" t="s">
        <v>342</v>
      </c>
      <c r="L175">
        <v>1191</v>
      </c>
      <c r="N175">
        <v>1013</v>
      </c>
      <c r="O175" t="s">
        <v>343</v>
      </c>
      <c r="P175" t="s">
        <v>343</v>
      </c>
      <c r="Q175">
        <v>1</v>
      </c>
      <c r="W175">
        <v>0</v>
      </c>
      <c r="X175">
        <v>476480486</v>
      </c>
      <c r="Y175">
        <v>14.4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1</v>
      </c>
      <c r="AJ175">
        <v>1</v>
      </c>
      <c r="AK175">
        <v>1</v>
      </c>
      <c r="AL175">
        <v>1</v>
      </c>
      <c r="AN175">
        <v>0</v>
      </c>
      <c r="AO175">
        <v>1</v>
      </c>
      <c r="AP175">
        <v>1</v>
      </c>
      <c r="AQ175">
        <v>0</v>
      </c>
      <c r="AR175">
        <v>0</v>
      </c>
      <c r="AS175" t="s">
        <v>5</v>
      </c>
      <c r="AT175">
        <v>14.4</v>
      </c>
      <c r="AU175" t="s">
        <v>5</v>
      </c>
      <c r="AV175">
        <v>1</v>
      </c>
      <c r="AW175">
        <v>2</v>
      </c>
      <c r="AX175">
        <v>44170542</v>
      </c>
      <c r="AY175">
        <v>1</v>
      </c>
      <c r="AZ175">
        <v>0</v>
      </c>
      <c r="BA175">
        <v>174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0</v>
      </c>
      <c r="BI175">
        <v>0</v>
      </c>
      <c r="BJ175">
        <v>0</v>
      </c>
      <c r="BK175">
        <v>0</v>
      </c>
      <c r="BL175">
        <v>0</v>
      </c>
      <c r="BM175">
        <v>0</v>
      </c>
      <c r="BN175">
        <v>0</v>
      </c>
      <c r="BO175">
        <v>0</v>
      </c>
      <c r="BP175">
        <v>0</v>
      </c>
      <c r="BQ175">
        <v>0</v>
      </c>
      <c r="BR175">
        <v>0</v>
      </c>
      <c r="BS175">
        <v>0</v>
      </c>
      <c r="BT175">
        <v>0</v>
      </c>
      <c r="BU175">
        <v>0</v>
      </c>
      <c r="BV175">
        <v>0</v>
      </c>
      <c r="BW175">
        <v>0</v>
      </c>
      <c r="CX175">
        <f>Y175*Source!I89</f>
        <v>1.2240000000000002</v>
      </c>
      <c r="CY175">
        <f>AD175</f>
        <v>0</v>
      </c>
      <c r="CZ175">
        <f>AH175</f>
        <v>0</v>
      </c>
      <c r="DA175">
        <f>AL175</f>
        <v>1</v>
      </c>
      <c r="DB175">
        <f t="shared" si="27"/>
        <v>0</v>
      </c>
      <c r="DC175">
        <f t="shared" si="28"/>
        <v>0</v>
      </c>
    </row>
    <row r="176" spans="1:107" x14ac:dyDescent="0.2">
      <c r="A176">
        <f>ROW(Source!A89)</f>
        <v>89</v>
      </c>
      <c r="B176">
        <v>44169784</v>
      </c>
      <c r="C176">
        <v>44170525</v>
      </c>
      <c r="D176">
        <v>35064650</v>
      </c>
      <c r="E176">
        <v>1</v>
      </c>
      <c r="F176">
        <v>1</v>
      </c>
      <c r="G176">
        <v>34959076</v>
      </c>
      <c r="H176">
        <v>2</v>
      </c>
      <c r="I176" t="s">
        <v>366</v>
      </c>
      <c r="J176" t="s">
        <v>367</v>
      </c>
      <c r="K176" t="s">
        <v>368</v>
      </c>
      <c r="L176">
        <v>1367</v>
      </c>
      <c r="N176">
        <v>1011</v>
      </c>
      <c r="O176" t="s">
        <v>347</v>
      </c>
      <c r="P176" t="s">
        <v>347</v>
      </c>
      <c r="Q176">
        <v>1</v>
      </c>
      <c r="W176">
        <v>0</v>
      </c>
      <c r="X176">
        <v>1928543733</v>
      </c>
      <c r="Y176">
        <v>1.66</v>
      </c>
      <c r="AA176">
        <v>0</v>
      </c>
      <c r="AB176">
        <v>1154.08</v>
      </c>
      <c r="AC176">
        <v>525.26</v>
      </c>
      <c r="AD176">
        <v>0</v>
      </c>
      <c r="AE176">
        <v>0</v>
      </c>
      <c r="AF176">
        <v>116.89</v>
      </c>
      <c r="AG176">
        <v>23.41</v>
      </c>
      <c r="AH176">
        <v>0</v>
      </c>
      <c r="AI176">
        <v>1</v>
      </c>
      <c r="AJ176">
        <v>9.43</v>
      </c>
      <c r="AK176">
        <v>21.43</v>
      </c>
      <c r="AL176">
        <v>1</v>
      </c>
      <c r="AN176">
        <v>0</v>
      </c>
      <c r="AO176">
        <v>1</v>
      </c>
      <c r="AP176">
        <v>1</v>
      </c>
      <c r="AQ176">
        <v>0</v>
      </c>
      <c r="AR176">
        <v>0</v>
      </c>
      <c r="AS176" t="s">
        <v>5</v>
      </c>
      <c r="AT176">
        <v>1.66</v>
      </c>
      <c r="AU176" t="s">
        <v>5</v>
      </c>
      <c r="AV176">
        <v>0</v>
      </c>
      <c r="AW176">
        <v>2</v>
      </c>
      <c r="AX176">
        <v>44170543</v>
      </c>
      <c r="AY176">
        <v>1</v>
      </c>
      <c r="AZ176">
        <v>0</v>
      </c>
      <c r="BA176">
        <v>175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0</v>
      </c>
      <c r="BI176">
        <v>0</v>
      </c>
      <c r="BJ176">
        <v>0</v>
      </c>
      <c r="BK176">
        <v>0</v>
      </c>
      <c r="BL176">
        <v>0</v>
      </c>
      <c r="BM176">
        <v>0</v>
      </c>
      <c r="BN176">
        <v>0</v>
      </c>
      <c r="BO176">
        <v>0</v>
      </c>
      <c r="BP176">
        <v>0</v>
      </c>
      <c r="BQ176">
        <v>0</v>
      </c>
      <c r="BR176">
        <v>0</v>
      </c>
      <c r="BS176">
        <v>0</v>
      </c>
      <c r="BT176">
        <v>0</v>
      </c>
      <c r="BU176">
        <v>0</v>
      </c>
      <c r="BV176">
        <v>0</v>
      </c>
      <c r="BW176">
        <v>0</v>
      </c>
      <c r="CX176">
        <f>Y176*Source!I89</f>
        <v>0.1411</v>
      </c>
      <c r="CY176">
        <f>AB176</f>
        <v>1154.08</v>
      </c>
      <c r="CZ176">
        <f>AF176</f>
        <v>116.89</v>
      </c>
      <c r="DA176">
        <f>AJ176</f>
        <v>9.43</v>
      </c>
      <c r="DB176">
        <f t="shared" si="27"/>
        <v>194.04</v>
      </c>
      <c r="DC176">
        <f t="shared" si="28"/>
        <v>38.86</v>
      </c>
    </row>
    <row r="177" spans="1:107" x14ac:dyDescent="0.2">
      <c r="A177">
        <f>ROW(Source!A89)</f>
        <v>89</v>
      </c>
      <c r="B177">
        <v>44169784</v>
      </c>
      <c r="C177">
        <v>44170525</v>
      </c>
      <c r="D177">
        <v>35064875</v>
      </c>
      <c r="E177">
        <v>1</v>
      </c>
      <c r="F177">
        <v>1</v>
      </c>
      <c r="G177">
        <v>34959076</v>
      </c>
      <c r="H177">
        <v>2</v>
      </c>
      <c r="I177" t="s">
        <v>369</v>
      </c>
      <c r="J177" t="s">
        <v>370</v>
      </c>
      <c r="K177" t="s">
        <v>371</v>
      </c>
      <c r="L177">
        <v>1367</v>
      </c>
      <c r="N177">
        <v>1011</v>
      </c>
      <c r="O177" t="s">
        <v>347</v>
      </c>
      <c r="P177" t="s">
        <v>347</v>
      </c>
      <c r="Q177">
        <v>1</v>
      </c>
      <c r="W177">
        <v>0</v>
      </c>
      <c r="X177">
        <v>142191915</v>
      </c>
      <c r="Y177">
        <v>1.66</v>
      </c>
      <c r="AA177">
        <v>0</v>
      </c>
      <c r="AB177">
        <v>383.05</v>
      </c>
      <c r="AC177">
        <v>148.97999999999999</v>
      </c>
      <c r="AD177">
        <v>0</v>
      </c>
      <c r="AE177">
        <v>0</v>
      </c>
      <c r="AF177">
        <v>62.97</v>
      </c>
      <c r="AG177">
        <v>6.64</v>
      </c>
      <c r="AH177">
        <v>0</v>
      </c>
      <c r="AI177">
        <v>1</v>
      </c>
      <c r="AJ177">
        <v>5.81</v>
      </c>
      <c r="AK177">
        <v>21.43</v>
      </c>
      <c r="AL177">
        <v>1</v>
      </c>
      <c r="AN177">
        <v>0</v>
      </c>
      <c r="AO177">
        <v>1</v>
      </c>
      <c r="AP177">
        <v>1</v>
      </c>
      <c r="AQ177">
        <v>0</v>
      </c>
      <c r="AR177">
        <v>0</v>
      </c>
      <c r="AS177" t="s">
        <v>5</v>
      </c>
      <c r="AT177">
        <v>1.66</v>
      </c>
      <c r="AU177" t="s">
        <v>5</v>
      </c>
      <c r="AV177">
        <v>0</v>
      </c>
      <c r="AW177">
        <v>2</v>
      </c>
      <c r="AX177">
        <v>44170544</v>
      </c>
      <c r="AY177">
        <v>1</v>
      </c>
      <c r="AZ177">
        <v>0</v>
      </c>
      <c r="BA177">
        <v>176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0</v>
      </c>
      <c r="BI177">
        <v>0</v>
      </c>
      <c r="BJ177">
        <v>0</v>
      </c>
      <c r="BK177">
        <v>0</v>
      </c>
      <c r="BL177">
        <v>0</v>
      </c>
      <c r="BM177">
        <v>0</v>
      </c>
      <c r="BN177">
        <v>0</v>
      </c>
      <c r="BO177">
        <v>0</v>
      </c>
      <c r="BP177">
        <v>0</v>
      </c>
      <c r="BQ177">
        <v>0</v>
      </c>
      <c r="BR177">
        <v>0</v>
      </c>
      <c r="BS177">
        <v>0</v>
      </c>
      <c r="BT177">
        <v>0</v>
      </c>
      <c r="BU177">
        <v>0</v>
      </c>
      <c r="BV177">
        <v>0</v>
      </c>
      <c r="BW177">
        <v>0</v>
      </c>
      <c r="CX177">
        <f>Y177*Source!I89</f>
        <v>0.1411</v>
      </c>
      <c r="CY177">
        <f>AB177</f>
        <v>383.05</v>
      </c>
      <c r="CZ177">
        <f>AF177</f>
        <v>62.97</v>
      </c>
      <c r="DA177">
        <f>AJ177</f>
        <v>5.81</v>
      </c>
      <c r="DB177">
        <f t="shared" si="27"/>
        <v>104.53</v>
      </c>
      <c r="DC177">
        <f t="shared" si="28"/>
        <v>11.02</v>
      </c>
    </row>
    <row r="178" spans="1:107" x14ac:dyDescent="0.2">
      <c r="A178">
        <f>ROW(Source!A89)</f>
        <v>89</v>
      </c>
      <c r="B178">
        <v>44169784</v>
      </c>
      <c r="C178">
        <v>44170525</v>
      </c>
      <c r="D178">
        <v>35064878</v>
      </c>
      <c r="E178">
        <v>1</v>
      </c>
      <c r="F178">
        <v>1</v>
      </c>
      <c r="G178">
        <v>34959076</v>
      </c>
      <c r="H178">
        <v>2</v>
      </c>
      <c r="I178" t="s">
        <v>372</v>
      </c>
      <c r="J178" t="s">
        <v>373</v>
      </c>
      <c r="K178" t="s">
        <v>374</v>
      </c>
      <c r="L178">
        <v>1367</v>
      </c>
      <c r="N178">
        <v>1011</v>
      </c>
      <c r="O178" t="s">
        <v>347</v>
      </c>
      <c r="P178" t="s">
        <v>347</v>
      </c>
      <c r="Q178">
        <v>1</v>
      </c>
      <c r="W178">
        <v>0</v>
      </c>
      <c r="X178">
        <v>378346098</v>
      </c>
      <c r="Y178">
        <v>0.65</v>
      </c>
      <c r="AA178">
        <v>0</v>
      </c>
      <c r="AB178">
        <v>1848.67</v>
      </c>
      <c r="AC178">
        <v>641.92999999999995</v>
      </c>
      <c r="AD178">
        <v>0</v>
      </c>
      <c r="AE178">
        <v>0</v>
      </c>
      <c r="AF178">
        <v>140.58000000000001</v>
      </c>
      <c r="AG178">
        <v>28.61</v>
      </c>
      <c r="AH178">
        <v>0</v>
      </c>
      <c r="AI178">
        <v>1</v>
      </c>
      <c r="AJ178">
        <v>12.56</v>
      </c>
      <c r="AK178">
        <v>21.43</v>
      </c>
      <c r="AL178">
        <v>1</v>
      </c>
      <c r="AN178">
        <v>0</v>
      </c>
      <c r="AO178">
        <v>1</v>
      </c>
      <c r="AP178">
        <v>1</v>
      </c>
      <c r="AQ178">
        <v>0</v>
      </c>
      <c r="AR178">
        <v>0</v>
      </c>
      <c r="AS178" t="s">
        <v>5</v>
      </c>
      <c r="AT178">
        <v>0.65</v>
      </c>
      <c r="AU178" t="s">
        <v>5</v>
      </c>
      <c r="AV178">
        <v>0</v>
      </c>
      <c r="AW178">
        <v>2</v>
      </c>
      <c r="AX178">
        <v>44170545</v>
      </c>
      <c r="AY178">
        <v>1</v>
      </c>
      <c r="AZ178">
        <v>0</v>
      </c>
      <c r="BA178">
        <v>177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0</v>
      </c>
      <c r="BI178">
        <v>0</v>
      </c>
      <c r="BJ178">
        <v>0</v>
      </c>
      <c r="BK178">
        <v>0</v>
      </c>
      <c r="BL178">
        <v>0</v>
      </c>
      <c r="BM178">
        <v>0</v>
      </c>
      <c r="BN178">
        <v>0</v>
      </c>
      <c r="BO178">
        <v>0</v>
      </c>
      <c r="BP178">
        <v>0</v>
      </c>
      <c r="BQ178">
        <v>0</v>
      </c>
      <c r="BR178">
        <v>0</v>
      </c>
      <c r="BS178">
        <v>0</v>
      </c>
      <c r="BT178">
        <v>0</v>
      </c>
      <c r="BU178">
        <v>0</v>
      </c>
      <c r="BV178">
        <v>0</v>
      </c>
      <c r="BW178">
        <v>0</v>
      </c>
      <c r="CX178">
        <f>Y178*Source!I89</f>
        <v>5.5250000000000007E-2</v>
      </c>
      <c r="CY178">
        <f>AB178</f>
        <v>1848.67</v>
      </c>
      <c r="CZ178">
        <f>AF178</f>
        <v>140.58000000000001</v>
      </c>
      <c r="DA178">
        <f>AJ178</f>
        <v>12.56</v>
      </c>
      <c r="DB178">
        <f t="shared" si="27"/>
        <v>91.38</v>
      </c>
      <c r="DC178">
        <f t="shared" si="28"/>
        <v>18.600000000000001</v>
      </c>
    </row>
    <row r="179" spans="1:107" x14ac:dyDescent="0.2">
      <c r="A179">
        <f>ROW(Source!A89)</f>
        <v>89</v>
      </c>
      <c r="B179">
        <v>44169784</v>
      </c>
      <c r="C179">
        <v>44170525</v>
      </c>
      <c r="D179">
        <v>35064906</v>
      </c>
      <c r="E179">
        <v>1</v>
      </c>
      <c r="F179">
        <v>1</v>
      </c>
      <c r="G179">
        <v>34959076</v>
      </c>
      <c r="H179">
        <v>2</v>
      </c>
      <c r="I179" t="s">
        <v>351</v>
      </c>
      <c r="J179" t="s">
        <v>352</v>
      </c>
      <c r="K179" t="s">
        <v>353</v>
      </c>
      <c r="L179">
        <v>1367</v>
      </c>
      <c r="N179">
        <v>1011</v>
      </c>
      <c r="O179" t="s">
        <v>347</v>
      </c>
      <c r="P179" t="s">
        <v>347</v>
      </c>
      <c r="Q179">
        <v>1</v>
      </c>
      <c r="W179">
        <v>0</v>
      </c>
      <c r="X179">
        <v>856318566</v>
      </c>
      <c r="Y179">
        <v>1.55</v>
      </c>
      <c r="AA179">
        <v>0</v>
      </c>
      <c r="AB179">
        <v>1429.33</v>
      </c>
      <c r="AC179">
        <v>555.1</v>
      </c>
      <c r="AD179">
        <v>0</v>
      </c>
      <c r="AE179">
        <v>0</v>
      </c>
      <c r="AF179">
        <v>125.13</v>
      </c>
      <c r="AG179">
        <v>24.74</v>
      </c>
      <c r="AH179">
        <v>0</v>
      </c>
      <c r="AI179">
        <v>1</v>
      </c>
      <c r="AJ179">
        <v>10.91</v>
      </c>
      <c r="AK179">
        <v>21.43</v>
      </c>
      <c r="AL179">
        <v>1</v>
      </c>
      <c r="AN179">
        <v>0</v>
      </c>
      <c r="AO179">
        <v>1</v>
      </c>
      <c r="AP179">
        <v>1</v>
      </c>
      <c r="AQ179">
        <v>0</v>
      </c>
      <c r="AR179">
        <v>0</v>
      </c>
      <c r="AS179" t="s">
        <v>5</v>
      </c>
      <c r="AT179">
        <v>1.55</v>
      </c>
      <c r="AU179" t="s">
        <v>5</v>
      </c>
      <c r="AV179">
        <v>0</v>
      </c>
      <c r="AW179">
        <v>2</v>
      </c>
      <c r="AX179">
        <v>44170546</v>
      </c>
      <c r="AY179">
        <v>1</v>
      </c>
      <c r="AZ179">
        <v>0</v>
      </c>
      <c r="BA179">
        <v>178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0</v>
      </c>
      <c r="BI179">
        <v>0</v>
      </c>
      <c r="BJ179">
        <v>0</v>
      </c>
      <c r="BK179">
        <v>0</v>
      </c>
      <c r="BL179">
        <v>0</v>
      </c>
      <c r="BM179">
        <v>0</v>
      </c>
      <c r="BN179">
        <v>0</v>
      </c>
      <c r="BO179">
        <v>0</v>
      </c>
      <c r="BP179">
        <v>0</v>
      </c>
      <c r="BQ179">
        <v>0</v>
      </c>
      <c r="BR179">
        <v>0</v>
      </c>
      <c r="BS179">
        <v>0</v>
      </c>
      <c r="BT179">
        <v>0</v>
      </c>
      <c r="BU179">
        <v>0</v>
      </c>
      <c r="BV179">
        <v>0</v>
      </c>
      <c r="BW179">
        <v>0</v>
      </c>
      <c r="CX179">
        <f>Y179*Source!I89</f>
        <v>0.13175000000000001</v>
      </c>
      <c r="CY179">
        <f>AB179</f>
        <v>1429.33</v>
      </c>
      <c r="CZ179">
        <f>AF179</f>
        <v>125.13</v>
      </c>
      <c r="DA179">
        <f>AJ179</f>
        <v>10.91</v>
      </c>
      <c r="DB179">
        <f t="shared" si="27"/>
        <v>193.95</v>
      </c>
      <c r="DC179">
        <f t="shared" si="28"/>
        <v>38.35</v>
      </c>
    </row>
    <row r="180" spans="1:107" x14ac:dyDescent="0.2">
      <c r="A180">
        <f>ROW(Source!A89)</f>
        <v>89</v>
      </c>
      <c r="B180">
        <v>44169784</v>
      </c>
      <c r="C180">
        <v>44170525</v>
      </c>
      <c r="D180">
        <v>35064868</v>
      </c>
      <c r="E180">
        <v>1</v>
      </c>
      <c r="F180">
        <v>1</v>
      </c>
      <c r="G180">
        <v>34959076</v>
      </c>
      <c r="H180">
        <v>2</v>
      </c>
      <c r="I180" t="s">
        <v>375</v>
      </c>
      <c r="J180" t="s">
        <v>376</v>
      </c>
      <c r="K180" t="s">
        <v>377</v>
      </c>
      <c r="L180">
        <v>1367</v>
      </c>
      <c r="N180">
        <v>1011</v>
      </c>
      <c r="O180" t="s">
        <v>347</v>
      </c>
      <c r="P180" t="s">
        <v>347</v>
      </c>
      <c r="Q180">
        <v>1</v>
      </c>
      <c r="W180">
        <v>0</v>
      </c>
      <c r="X180">
        <v>2023875219</v>
      </c>
      <c r="Y180">
        <v>0.52</v>
      </c>
      <c r="AA180">
        <v>0</v>
      </c>
      <c r="AB180">
        <v>1895.56</v>
      </c>
      <c r="AC180">
        <v>527.27</v>
      </c>
      <c r="AD180">
        <v>0</v>
      </c>
      <c r="AE180">
        <v>0</v>
      </c>
      <c r="AF180">
        <v>178.02</v>
      </c>
      <c r="AG180">
        <v>23.5</v>
      </c>
      <c r="AH180">
        <v>0</v>
      </c>
      <c r="AI180">
        <v>1</v>
      </c>
      <c r="AJ180">
        <v>10.17</v>
      </c>
      <c r="AK180">
        <v>21.43</v>
      </c>
      <c r="AL180">
        <v>1</v>
      </c>
      <c r="AN180">
        <v>0</v>
      </c>
      <c r="AO180">
        <v>1</v>
      </c>
      <c r="AP180">
        <v>1</v>
      </c>
      <c r="AQ180">
        <v>0</v>
      </c>
      <c r="AR180">
        <v>0</v>
      </c>
      <c r="AS180" t="s">
        <v>5</v>
      </c>
      <c r="AT180">
        <v>0.52</v>
      </c>
      <c r="AU180" t="s">
        <v>5</v>
      </c>
      <c r="AV180">
        <v>0</v>
      </c>
      <c r="AW180">
        <v>2</v>
      </c>
      <c r="AX180">
        <v>44170547</v>
      </c>
      <c r="AY180">
        <v>1</v>
      </c>
      <c r="AZ180">
        <v>0</v>
      </c>
      <c r="BA180">
        <v>179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0</v>
      </c>
      <c r="BI180">
        <v>0</v>
      </c>
      <c r="BJ180">
        <v>0</v>
      </c>
      <c r="BK180">
        <v>0</v>
      </c>
      <c r="BL180">
        <v>0</v>
      </c>
      <c r="BM180">
        <v>0</v>
      </c>
      <c r="BN180">
        <v>0</v>
      </c>
      <c r="BO180">
        <v>0</v>
      </c>
      <c r="BP180">
        <v>0</v>
      </c>
      <c r="BQ180">
        <v>0</v>
      </c>
      <c r="BR180">
        <v>0</v>
      </c>
      <c r="BS180">
        <v>0</v>
      </c>
      <c r="BT180">
        <v>0</v>
      </c>
      <c r="BU180">
        <v>0</v>
      </c>
      <c r="BV180">
        <v>0</v>
      </c>
      <c r="BW180">
        <v>0</v>
      </c>
      <c r="CX180">
        <f>Y180*Source!I89</f>
        <v>4.4200000000000003E-2</v>
      </c>
      <c r="CY180">
        <f>AB180</f>
        <v>1895.56</v>
      </c>
      <c r="CZ180">
        <f>AF180</f>
        <v>178.02</v>
      </c>
      <c r="DA180">
        <f>AJ180</f>
        <v>10.17</v>
      </c>
      <c r="DB180">
        <f t="shared" si="27"/>
        <v>92.57</v>
      </c>
      <c r="DC180">
        <f t="shared" si="28"/>
        <v>12.22</v>
      </c>
    </row>
    <row r="181" spans="1:107" x14ac:dyDescent="0.2">
      <c r="A181">
        <f>ROW(Source!A89)</f>
        <v>89</v>
      </c>
      <c r="B181">
        <v>44169784</v>
      </c>
      <c r="C181">
        <v>44170525</v>
      </c>
      <c r="D181">
        <v>0</v>
      </c>
      <c r="E181">
        <v>1</v>
      </c>
      <c r="F181">
        <v>1</v>
      </c>
      <c r="G181">
        <v>34959076</v>
      </c>
      <c r="H181">
        <v>3</v>
      </c>
      <c r="I181" t="s">
        <v>378</v>
      </c>
      <c r="J181" t="s">
        <v>379</v>
      </c>
      <c r="K181" t="s">
        <v>380</v>
      </c>
      <c r="L181">
        <v>1339</v>
      </c>
      <c r="N181">
        <v>1007</v>
      </c>
      <c r="O181" t="s">
        <v>59</v>
      </c>
      <c r="P181" t="s">
        <v>59</v>
      </c>
      <c r="Q181">
        <v>1</v>
      </c>
      <c r="W181">
        <v>0</v>
      </c>
      <c r="X181">
        <v>55300385</v>
      </c>
      <c r="Y181">
        <v>5</v>
      </c>
      <c r="AA181">
        <v>7.08</v>
      </c>
      <c r="AB181">
        <v>0</v>
      </c>
      <c r="AC181">
        <v>0</v>
      </c>
      <c r="AD181">
        <v>0</v>
      </c>
      <c r="AE181">
        <v>7.07</v>
      </c>
      <c r="AF181">
        <v>0</v>
      </c>
      <c r="AG181">
        <v>0</v>
      </c>
      <c r="AH181">
        <v>0</v>
      </c>
      <c r="AI181">
        <v>1</v>
      </c>
      <c r="AJ181">
        <v>1</v>
      </c>
      <c r="AK181">
        <v>1</v>
      </c>
      <c r="AL181">
        <v>1</v>
      </c>
      <c r="AN181">
        <v>0</v>
      </c>
      <c r="AO181">
        <v>1</v>
      </c>
      <c r="AP181">
        <v>0</v>
      </c>
      <c r="AQ181">
        <v>0</v>
      </c>
      <c r="AR181">
        <v>0</v>
      </c>
      <c r="AS181" t="s">
        <v>5</v>
      </c>
      <c r="AT181">
        <v>5</v>
      </c>
      <c r="AU181" t="s">
        <v>5</v>
      </c>
      <c r="AV181">
        <v>0</v>
      </c>
      <c r="AW181">
        <v>2</v>
      </c>
      <c r="AX181">
        <v>44170548</v>
      </c>
      <c r="AY181">
        <v>1</v>
      </c>
      <c r="AZ181">
        <v>0</v>
      </c>
      <c r="BA181">
        <v>180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0</v>
      </c>
      <c r="BI181">
        <v>0</v>
      </c>
      <c r="BJ181">
        <v>0</v>
      </c>
      <c r="BK181">
        <v>0</v>
      </c>
      <c r="BL181">
        <v>0</v>
      </c>
      <c r="BM181">
        <v>0</v>
      </c>
      <c r="BN181">
        <v>0</v>
      </c>
      <c r="BO181">
        <v>0</v>
      </c>
      <c r="BP181">
        <v>0</v>
      </c>
      <c r="BQ181">
        <v>0</v>
      </c>
      <c r="BR181">
        <v>0</v>
      </c>
      <c r="BS181">
        <v>0</v>
      </c>
      <c r="BT181">
        <v>0</v>
      </c>
      <c r="BU181">
        <v>0</v>
      </c>
      <c r="BV181">
        <v>0</v>
      </c>
      <c r="BW181">
        <v>0</v>
      </c>
      <c r="CX181">
        <f>Y181*Source!I89</f>
        <v>0.42500000000000004</v>
      </c>
      <c r="CY181">
        <f>AA181</f>
        <v>7.08</v>
      </c>
      <c r="CZ181">
        <f>AE181</f>
        <v>7.07</v>
      </c>
      <c r="DA181">
        <f>AI181</f>
        <v>1</v>
      </c>
      <c r="DB181">
        <f t="shared" si="27"/>
        <v>35.35</v>
      </c>
      <c r="DC181">
        <f t="shared" si="28"/>
        <v>0</v>
      </c>
    </row>
    <row r="182" spans="1:107" x14ac:dyDescent="0.2">
      <c r="A182">
        <f>ROW(Source!A89)</f>
        <v>89</v>
      </c>
      <c r="B182">
        <v>44169784</v>
      </c>
      <c r="C182">
        <v>44170525</v>
      </c>
      <c r="D182">
        <v>35043338</v>
      </c>
      <c r="E182">
        <v>1</v>
      </c>
      <c r="F182">
        <v>1</v>
      </c>
      <c r="G182">
        <v>34959076</v>
      </c>
      <c r="H182">
        <v>3</v>
      </c>
      <c r="I182" t="s">
        <v>57</v>
      </c>
      <c r="J182" t="s">
        <v>60</v>
      </c>
      <c r="K182" t="s">
        <v>58</v>
      </c>
      <c r="L182">
        <v>1339</v>
      </c>
      <c r="N182">
        <v>1007</v>
      </c>
      <c r="O182" t="s">
        <v>59</v>
      </c>
      <c r="P182" t="s">
        <v>59</v>
      </c>
      <c r="Q182">
        <v>1</v>
      </c>
      <c r="W182">
        <v>0</v>
      </c>
      <c r="X182">
        <v>2069056849</v>
      </c>
      <c r="Y182">
        <v>110</v>
      </c>
      <c r="AA182">
        <v>552.29999999999995</v>
      </c>
      <c r="AB182">
        <v>0</v>
      </c>
      <c r="AC182">
        <v>0</v>
      </c>
      <c r="AD182">
        <v>0</v>
      </c>
      <c r="AE182">
        <v>104.99</v>
      </c>
      <c r="AF182">
        <v>0</v>
      </c>
      <c r="AG182">
        <v>0</v>
      </c>
      <c r="AH182">
        <v>0</v>
      </c>
      <c r="AI182">
        <v>5.25</v>
      </c>
      <c r="AJ182">
        <v>1</v>
      </c>
      <c r="AK182">
        <v>1</v>
      </c>
      <c r="AL182">
        <v>1</v>
      </c>
      <c r="AN182">
        <v>0</v>
      </c>
      <c r="AO182">
        <v>0</v>
      </c>
      <c r="AP182">
        <v>0</v>
      </c>
      <c r="AQ182">
        <v>0</v>
      </c>
      <c r="AR182">
        <v>0</v>
      </c>
      <c r="AS182" t="s">
        <v>5</v>
      </c>
      <c r="AT182">
        <v>110</v>
      </c>
      <c r="AU182" t="s">
        <v>5</v>
      </c>
      <c r="AV182">
        <v>0</v>
      </c>
      <c r="AW182">
        <v>1</v>
      </c>
      <c r="AX182">
        <v>-1</v>
      </c>
      <c r="AY182">
        <v>0</v>
      </c>
      <c r="AZ182">
        <v>0</v>
      </c>
      <c r="BA182" t="s">
        <v>5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0</v>
      </c>
      <c r="BI182">
        <v>0</v>
      </c>
      <c r="BJ182">
        <v>0</v>
      </c>
      <c r="BK182">
        <v>0</v>
      </c>
      <c r="BL182">
        <v>0</v>
      </c>
      <c r="BM182">
        <v>0</v>
      </c>
      <c r="BN182">
        <v>0</v>
      </c>
      <c r="BO182">
        <v>0</v>
      </c>
      <c r="BP182">
        <v>0</v>
      </c>
      <c r="BQ182">
        <v>0</v>
      </c>
      <c r="BR182">
        <v>0</v>
      </c>
      <c r="BS182">
        <v>0</v>
      </c>
      <c r="BT182">
        <v>0</v>
      </c>
      <c r="BU182">
        <v>0</v>
      </c>
      <c r="BV182">
        <v>0</v>
      </c>
      <c r="BW182">
        <v>0</v>
      </c>
      <c r="CX182">
        <f>Y182*Source!I89</f>
        <v>9.3500000000000014</v>
      </c>
      <c r="CY182">
        <f>AA182</f>
        <v>552.29999999999995</v>
      </c>
      <c r="CZ182">
        <f>AE182</f>
        <v>104.99</v>
      </c>
      <c r="DA182">
        <f>AI182</f>
        <v>5.25</v>
      </c>
      <c r="DB182">
        <f t="shared" si="27"/>
        <v>11548.9</v>
      </c>
      <c r="DC182">
        <f t="shared" si="28"/>
        <v>0</v>
      </c>
    </row>
    <row r="183" spans="1:107" x14ac:dyDescent="0.2">
      <c r="A183">
        <f>ROW(Source!A91)</f>
        <v>91</v>
      </c>
      <c r="B183">
        <v>44169784</v>
      </c>
      <c r="C183">
        <v>44170551</v>
      </c>
      <c r="D183">
        <v>34984826</v>
      </c>
      <c r="E183">
        <v>34959076</v>
      </c>
      <c r="F183">
        <v>1</v>
      </c>
      <c r="G183">
        <v>34959076</v>
      </c>
      <c r="H183">
        <v>1</v>
      </c>
      <c r="I183" t="s">
        <v>341</v>
      </c>
      <c r="J183" t="s">
        <v>5</v>
      </c>
      <c r="K183" t="s">
        <v>342</v>
      </c>
      <c r="L183">
        <v>1191</v>
      </c>
      <c r="N183">
        <v>1013</v>
      </c>
      <c r="O183" t="s">
        <v>343</v>
      </c>
      <c r="P183" t="s">
        <v>343</v>
      </c>
      <c r="Q183">
        <v>1</v>
      </c>
      <c r="W183">
        <v>0</v>
      </c>
      <c r="X183">
        <v>476480486</v>
      </c>
      <c r="Y183">
        <v>49.5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1</v>
      </c>
      <c r="AJ183">
        <v>1</v>
      </c>
      <c r="AK183">
        <v>1</v>
      </c>
      <c r="AL183">
        <v>1</v>
      </c>
      <c r="AN183">
        <v>0</v>
      </c>
      <c r="AO183">
        <v>1</v>
      </c>
      <c r="AP183">
        <v>0</v>
      </c>
      <c r="AQ183">
        <v>0</v>
      </c>
      <c r="AR183">
        <v>0</v>
      </c>
      <c r="AS183" t="s">
        <v>5</v>
      </c>
      <c r="AT183">
        <v>49.5</v>
      </c>
      <c r="AU183" t="s">
        <v>5</v>
      </c>
      <c r="AV183">
        <v>1</v>
      </c>
      <c r="AW183">
        <v>2</v>
      </c>
      <c r="AX183">
        <v>44170564</v>
      </c>
      <c r="AY183">
        <v>1</v>
      </c>
      <c r="AZ183">
        <v>0</v>
      </c>
      <c r="BA183">
        <v>182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0</v>
      </c>
      <c r="BI183">
        <v>0</v>
      </c>
      <c r="BJ183">
        <v>0</v>
      </c>
      <c r="BK183">
        <v>0</v>
      </c>
      <c r="BL183">
        <v>0</v>
      </c>
      <c r="BM183">
        <v>0</v>
      </c>
      <c r="BN183">
        <v>0</v>
      </c>
      <c r="BO183">
        <v>0</v>
      </c>
      <c r="BP183">
        <v>0</v>
      </c>
      <c r="BQ183">
        <v>0</v>
      </c>
      <c r="BR183">
        <v>0</v>
      </c>
      <c r="BS183">
        <v>0</v>
      </c>
      <c r="BT183">
        <v>0</v>
      </c>
      <c r="BU183">
        <v>0</v>
      </c>
      <c r="BV183">
        <v>0</v>
      </c>
      <c r="BW183">
        <v>0</v>
      </c>
      <c r="CX183">
        <f>Y183*Source!I91</f>
        <v>0</v>
      </c>
      <c r="CY183">
        <f>AD183</f>
        <v>0</v>
      </c>
      <c r="CZ183">
        <f>AH183</f>
        <v>0</v>
      </c>
      <c r="DA183">
        <f>AL183</f>
        <v>1</v>
      </c>
      <c r="DB183">
        <f t="shared" si="27"/>
        <v>0</v>
      </c>
      <c r="DC183">
        <f t="shared" si="28"/>
        <v>0</v>
      </c>
    </row>
    <row r="184" spans="1:107" x14ac:dyDescent="0.2">
      <c r="A184">
        <f>ROW(Source!A91)</f>
        <v>91</v>
      </c>
      <c r="B184">
        <v>44169784</v>
      </c>
      <c r="C184">
        <v>44170551</v>
      </c>
      <c r="D184">
        <v>35064629</v>
      </c>
      <c r="E184">
        <v>1</v>
      </c>
      <c r="F184">
        <v>1</v>
      </c>
      <c r="G184">
        <v>34959076</v>
      </c>
      <c r="H184">
        <v>2</v>
      </c>
      <c r="I184" t="s">
        <v>357</v>
      </c>
      <c r="J184" t="s">
        <v>358</v>
      </c>
      <c r="K184" t="s">
        <v>359</v>
      </c>
      <c r="L184">
        <v>1367</v>
      </c>
      <c r="N184">
        <v>1011</v>
      </c>
      <c r="O184" t="s">
        <v>347</v>
      </c>
      <c r="P184" t="s">
        <v>347</v>
      </c>
      <c r="Q184">
        <v>1</v>
      </c>
      <c r="W184">
        <v>0</v>
      </c>
      <c r="X184">
        <v>1109083233</v>
      </c>
      <c r="Y184">
        <v>2.35</v>
      </c>
      <c r="AA184">
        <v>0</v>
      </c>
      <c r="AB184">
        <v>899.73</v>
      </c>
      <c r="AC184">
        <v>498.55</v>
      </c>
      <c r="AD184">
        <v>0</v>
      </c>
      <c r="AE184">
        <v>0</v>
      </c>
      <c r="AF184">
        <v>95.06</v>
      </c>
      <c r="AG184">
        <v>22.22</v>
      </c>
      <c r="AH184">
        <v>0</v>
      </c>
      <c r="AI184">
        <v>1</v>
      </c>
      <c r="AJ184">
        <v>9.0399999999999991</v>
      </c>
      <c r="AK184">
        <v>21.43</v>
      </c>
      <c r="AL184">
        <v>1</v>
      </c>
      <c r="AN184">
        <v>0</v>
      </c>
      <c r="AO184">
        <v>1</v>
      </c>
      <c r="AP184">
        <v>0</v>
      </c>
      <c r="AQ184">
        <v>0</v>
      </c>
      <c r="AR184">
        <v>0</v>
      </c>
      <c r="AS184" t="s">
        <v>5</v>
      </c>
      <c r="AT184">
        <v>2.35</v>
      </c>
      <c r="AU184" t="s">
        <v>5</v>
      </c>
      <c r="AV184">
        <v>0</v>
      </c>
      <c r="AW184">
        <v>2</v>
      </c>
      <c r="AX184">
        <v>44170565</v>
      </c>
      <c r="AY184">
        <v>1</v>
      </c>
      <c r="AZ184">
        <v>0</v>
      </c>
      <c r="BA184">
        <v>183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0</v>
      </c>
      <c r="BI184">
        <v>0</v>
      </c>
      <c r="BJ184">
        <v>0</v>
      </c>
      <c r="BK184">
        <v>0</v>
      </c>
      <c r="BL184">
        <v>0</v>
      </c>
      <c r="BM184">
        <v>0</v>
      </c>
      <c r="BN184">
        <v>0</v>
      </c>
      <c r="BO184">
        <v>0</v>
      </c>
      <c r="BP184">
        <v>0</v>
      </c>
      <c r="BQ184">
        <v>0</v>
      </c>
      <c r="BR184">
        <v>0</v>
      </c>
      <c r="BS184">
        <v>0</v>
      </c>
      <c r="BT184">
        <v>0</v>
      </c>
      <c r="BU184">
        <v>0</v>
      </c>
      <c r="BV184">
        <v>0</v>
      </c>
      <c r="BW184">
        <v>0</v>
      </c>
      <c r="CX184">
        <f>Y184*Source!I91</f>
        <v>0</v>
      </c>
      <c r="CY184">
        <f t="shared" ref="CY184:CY190" si="29">AB184</f>
        <v>899.73</v>
      </c>
      <c r="CZ184">
        <f t="shared" ref="CZ184:CZ190" si="30">AF184</f>
        <v>95.06</v>
      </c>
      <c r="DA184">
        <f t="shared" ref="DA184:DA190" si="31">AJ184</f>
        <v>9.0399999999999991</v>
      </c>
      <c r="DB184">
        <f t="shared" si="27"/>
        <v>223.39</v>
      </c>
      <c r="DC184">
        <f t="shared" si="28"/>
        <v>52.22</v>
      </c>
    </row>
    <row r="185" spans="1:107" x14ac:dyDescent="0.2">
      <c r="A185">
        <f>ROW(Source!A91)</f>
        <v>91</v>
      </c>
      <c r="B185">
        <v>44169784</v>
      </c>
      <c r="C185">
        <v>44170551</v>
      </c>
      <c r="D185">
        <v>35064878</v>
      </c>
      <c r="E185">
        <v>1</v>
      </c>
      <c r="F185">
        <v>1</v>
      </c>
      <c r="G185">
        <v>34959076</v>
      </c>
      <c r="H185">
        <v>2</v>
      </c>
      <c r="I185" t="s">
        <v>372</v>
      </c>
      <c r="J185" t="s">
        <v>373</v>
      </c>
      <c r="K185" t="s">
        <v>374</v>
      </c>
      <c r="L185">
        <v>1367</v>
      </c>
      <c r="N185">
        <v>1011</v>
      </c>
      <c r="O185" t="s">
        <v>347</v>
      </c>
      <c r="P185" t="s">
        <v>347</v>
      </c>
      <c r="Q185">
        <v>1</v>
      </c>
      <c r="W185">
        <v>0</v>
      </c>
      <c r="X185">
        <v>378346098</v>
      </c>
      <c r="Y185">
        <v>2.6</v>
      </c>
      <c r="AA185">
        <v>0</v>
      </c>
      <c r="AB185">
        <v>1848.67</v>
      </c>
      <c r="AC185">
        <v>641.92999999999995</v>
      </c>
      <c r="AD185">
        <v>0</v>
      </c>
      <c r="AE185">
        <v>0</v>
      </c>
      <c r="AF185">
        <v>140.58000000000001</v>
      </c>
      <c r="AG185">
        <v>28.61</v>
      </c>
      <c r="AH185">
        <v>0</v>
      </c>
      <c r="AI185">
        <v>1</v>
      </c>
      <c r="AJ185">
        <v>12.56</v>
      </c>
      <c r="AK185">
        <v>21.43</v>
      </c>
      <c r="AL185">
        <v>1</v>
      </c>
      <c r="AN185">
        <v>0</v>
      </c>
      <c r="AO185">
        <v>1</v>
      </c>
      <c r="AP185">
        <v>0</v>
      </c>
      <c r="AQ185">
        <v>0</v>
      </c>
      <c r="AR185">
        <v>0</v>
      </c>
      <c r="AS185" t="s">
        <v>5</v>
      </c>
      <c r="AT185">
        <v>2.6</v>
      </c>
      <c r="AU185" t="s">
        <v>5</v>
      </c>
      <c r="AV185">
        <v>0</v>
      </c>
      <c r="AW185">
        <v>2</v>
      </c>
      <c r="AX185">
        <v>44170566</v>
      </c>
      <c r="AY185">
        <v>1</v>
      </c>
      <c r="AZ185">
        <v>0</v>
      </c>
      <c r="BA185">
        <v>184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0</v>
      </c>
      <c r="BI185">
        <v>0</v>
      </c>
      <c r="BJ185">
        <v>0</v>
      </c>
      <c r="BK185">
        <v>0</v>
      </c>
      <c r="BL185">
        <v>0</v>
      </c>
      <c r="BM185">
        <v>0</v>
      </c>
      <c r="BN185">
        <v>0</v>
      </c>
      <c r="BO185">
        <v>0</v>
      </c>
      <c r="BP185">
        <v>0</v>
      </c>
      <c r="BQ185">
        <v>0</v>
      </c>
      <c r="BR185">
        <v>0</v>
      </c>
      <c r="BS185">
        <v>0</v>
      </c>
      <c r="BT185">
        <v>0</v>
      </c>
      <c r="BU185">
        <v>0</v>
      </c>
      <c r="BV185">
        <v>0</v>
      </c>
      <c r="BW185">
        <v>0</v>
      </c>
      <c r="CX185">
        <f>Y185*Source!I91</f>
        <v>0</v>
      </c>
      <c r="CY185">
        <f t="shared" si="29"/>
        <v>1848.67</v>
      </c>
      <c r="CZ185">
        <f t="shared" si="30"/>
        <v>140.58000000000001</v>
      </c>
      <c r="DA185">
        <f t="shared" si="31"/>
        <v>12.56</v>
      </c>
      <c r="DB185">
        <f t="shared" si="27"/>
        <v>365.51</v>
      </c>
      <c r="DC185">
        <f t="shared" si="28"/>
        <v>74.39</v>
      </c>
    </row>
    <row r="186" spans="1:107" x14ac:dyDescent="0.2">
      <c r="A186">
        <f>ROW(Source!A91)</f>
        <v>91</v>
      </c>
      <c r="B186">
        <v>44169784</v>
      </c>
      <c r="C186">
        <v>44170551</v>
      </c>
      <c r="D186">
        <v>35064863</v>
      </c>
      <c r="E186">
        <v>1</v>
      </c>
      <c r="F186">
        <v>1</v>
      </c>
      <c r="G186">
        <v>34959076</v>
      </c>
      <c r="H186">
        <v>2</v>
      </c>
      <c r="I186" t="s">
        <v>403</v>
      </c>
      <c r="J186" t="s">
        <v>404</v>
      </c>
      <c r="K186" t="s">
        <v>405</v>
      </c>
      <c r="L186">
        <v>1367</v>
      </c>
      <c r="N186">
        <v>1011</v>
      </c>
      <c r="O186" t="s">
        <v>347</v>
      </c>
      <c r="P186" t="s">
        <v>347</v>
      </c>
      <c r="Q186">
        <v>1</v>
      </c>
      <c r="W186">
        <v>0</v>
      </c>
      <c r="X186">
        <v>-251987950</v>
      </c>
      <c r="Y186">
        <v>10.6</v>
      </c>
      <c r="AA186">
        <v>0</v>
      </c>
      <c r="AB186">
        <v>1173.1300000000001</v>
      </c>
      <c r="AC186">
        <v>512.69000000000005</v>
      </c>
      <c r="AD186">
        <v>0</v>
      </c>
      <c r="AE186">
        <v>0</v>
      </c>
      <c r="AF186">
        <v>84.82</v>
      </c>
      <c r="AG186">
        <v>22.85</v>
      </c>
      <c r="AH186">
        <v>0</v>
      </c>
      <c r="AI186">
        <v>1</v>
      </c>
      <c r="AJ186">
        <v>13.21</v>
      </c>
      <c r="AK186">
        <v>21.43</v>
      </c>
      <c r="AL186">
        <v>1</v>
      </c>
      <c r="AN186">
        <v>0</v>
      </c>
      <c r="AO186">
        <v>1</v>
      </c>
      <c r="AP186">
        <v>0</v>
      </c>
      <c r="AQ186">
        <v>0</v>
      </c>
      <c r="AR186">
        <v>0</v>
      </c>
      <c r="AS186" t="s">
        <v>5</v>
      </c>
      <c r="AT186">
        <v>10.6</v>
      </c>
      <c r="AU186" t="s">
        <v>5</v>
      </c>
      <c r="AV186">
        <v>0</v>
      </c>
      <c r="AW186">
        <v>2</v>
      </c>
      <c r="AX186">
        <v>44170567</v>
      </c>
      <c r="AY186">
        <v>1</v>
      </c>
      <c r="AZ186">
        <v>0</v>
      </c>
      <c r="BA186">
        <v>185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0</v>
      </c>
      <c r="BI186">
        <v>0</v>
      </c>
      <c r="BJ186">
        <v>0</v>
      </c>
      <c r="BK186">
        <v>0</v>
      </c>
      <c r="BL186">
        <v>0</v>
      </c>
      <c r="BM186">
        <v>0</v>
      </c>
      <c r="BN186">
        <v>0</v>
      </c>
      <c r="BO186">
        <v>0</v>
      </c>
      <c r="BP186">
        <v>0</v>
      </c>
      <c r="BQ186">
        <v>0</v>
      </c>
      <c r="BR186">
        <v>0</v>
      </c>
      <c r="BS186">
        <v>0</v>
      </c>
      <c r="BT186">
        <v>0</v>
      </c>
      <c r="BU186">
        <v>0</v>
      </c>
      <c r="BV186">
        <v>0</v>
      </c>
      <c r="BW186">
        <v>0</v>
      </c>
      <c r="CX186">
        <f>Y186*Source!I91</f>
        <v>0</v>
      </c>
      <c r="CY186">
        <f t="shared" si="29"/>
        <v>1173.1300000000001</v>
      </c>
      <c r="CZ186">
        <f t="shared" si="30"/>
        <v>84.82</v>
      </c>
      <c r="DA186">
        <f t="shared" si="31"/>
        <v>13.21</v>
      </c>
      <c r="DB186">
        <f t="shared" si="27"/>
        <v>899.09</v>
      </c>
      <c r="DC186">
        <f t="shared" si="28"/>
        <v>242.21</v>
      </c>
    </row>
    <row r="187" spans="1:107" x14ac:dyDescent="0.2">
      <c r="A187">
        <f>ROW(Source!A91)</f>
        <v>91</v>
      </c>
      <c r="B187">
        <v>44169784</v>
      </c>
      <c r="C187">
        <v>44170551</v>
      </c>
      <c r="D187">
        <v>35064880</v>
      </c>
      <c r="E187">
        <v>1</v>
      </c>
      <c r="F187">
        <v>1</v>
      </c>
      <c r="G187">
        <v>34959076</v>
      </c>
      <c r="H187">
        <v>2</v>
      </c>
      <c r="I187" t="s">
        <v>445</v>
      </c>
      <c r="J187" t="s">
        <v>446</v>
      </c>
      <c r="K187" t="s">
        <v>447</v>
      </c>
      <c r="L187">
        <v>1367</v>
      </c>
      <c r="N187">
        <v>1011</v>
      </c>
      <c r="O187" t="s">
        <v>347</v>
      </c>
      <c r="P187" t="s">
        <v>347</v>
      </c>
      <c r="Q187">
        <v>1</v>
      </c>
      <c r="W187">
        <v>0</v>
      </c>
      <c r="X187">
        <v>2079281693</v>
      </c>
      <c r="Y187">
        <v>1.1000000000000001</v>
      </c>
      <c r="AA187">
        <v>0</v>
      </c>
      <c r="AB187">
        <v>1739.5</v>
      </c>
      <c r="AC187">
        <v>844.31</v>
      </c>
      <c r="AD187">
        <v>0</v>
      </c>
      <c r="AE187">
        <v>0</v>
      </c>
      <c r="AF187">
        <v>209.51</v>
      </c>
      <c r="AG187">
        <v>37.630000000000003</v>
      </c>
      <c r="AH187">
        <v>0</v>
      </c>
      <c r="AI187">
        <v>1</v>
      </c>
      <c r="AJ187">
        <v>7.93</v>
      </c>
      <c r="AK187">
        <v>21.43</v>
      </c>
      <c r="AL187">
        <v>1</v>
      </c>
      <c r="AN187">
        <v>0</v>
      </c>
      <c r="AO187">
        <v>1</v>
      </c>
      <c r="AP187">
        <v>0</v>
      </c>
      <c r="AQ187">
        <v>0</v>
      </c>
      <c r="AR187">
        <v>0</v>
      </c>
      <c r="AS187" t="s">
        <v>5</v>
      </c>
      <c r="AT187">
        <v>1.1000000000000001</v>
      </c>
      <c r="AU187" t="s">
        <v>5</v>
      </c>
      <c r="AV187">
        <v>0</v>
      </c>
      <c r="AW187">
        <v>2</v>
      </c>
      <c r="AX187">
        <v>44170568</v>
      </c>
      <c r="AY187">
        <v>1</v>
      </c>
      <c r="AZ187">
        <v>0</v>
      </c>
      <c r="BA187">
        <v>186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0</v>
      </c>
      <c r="BI187">
        <v>0</v>
      </c>
      <c r="BJ187">
        <v>0</v>
      </c>
      <c r="BK187">
        <v>0</v>
      </c>
      <c r="BL187">
        <v>0</v>
      </c>
      <c r="BM187">
        <v>0</v>
      </c>
      <c r="BN187">
        <v>0</v>
      </c>
      <c r="BO187">
        <v>0</v>
      </c>
      <c r="BP187">
        <v>0</v>
      </c>
      <c r="BQ187">
        <v>0</v>
      </c>
      <c r="BR187">
        <v>0</v>
      </c>
      <c r="BS187">
        <v>0</v>
      </c>
      <c r="BT187">
        <v>0</v>
      </c>
      <c r="BU187">
        <v>0</v>
      </c>
      <c r="BV187">
        <v>0</v>
      </c>
      <c r="BW187">
        <v>0</v>
      </c>
      <c r="CX187">
        <f>Y187*Source!I91</f>
        <v>0</v>
      </c>
      <c r="CY187">
        <f t="shared" si="29"/>
        <v>1739.5</v>
      </c>
      <c r="CZ187">
        <f t="shared" si="30"/>
        <v>209.51</v>
      </c>
      <c r="DA187">
        <f t="shared" si="31"/>
        <v>7.93</v>
      </c>
      <c r="DB187">
        <f t="shared" si="27"/>
        <v>230.46</v>
      </c>
      <c r="DC187">
        <f t="shared" si="28"/>
        <v>41.39</v>
      </c>
    </row>
    <row r="188" spans="1:107" x14ac:dyDescent="0.2">
      <c r="A188">
        <f>ROW(Source!A91)</f>
        <v>91</v>
      </c>
      <c r="B188">
        <v>44169784</v>
      </c>
      <c r="C188">
        <v>44170551</v>
      </c>
      <c r="D188">
        <v>35064864</v>
      </c>
      <c r="E188">
        <v>1</v>
      </c>
      <c r="F188">
        <v>1</v>
      </c>
      <c r="G188">
        <v>34959076</v>
      </c>
      <c r="H188">
        <v>2</v>
      </c>
      <c r="I188" t="s">
        <v>448</v>
      </c>
      <c r="J188" t="s">
        <v>449</v>
      </c>
      <c r="K188" t="s">
        <v>450</v>
      </c>
      <c r="L188">
        <v>1367</v>
      </c>
      <c r="N188">
        <v>1011</v>
      </c>
      <c r="O188" t="s">
        <v>347</v>
      </c>
      <c r="P188" t="s">
        <v>347</v>
      </c>
      <c r="Q188">
        <v>1</v>
      </c>
      <c r="W188">
        <v>0</v>
      </c>
      <c r="X188">
        <v>205895447</v>
      </c>
      <c r="Y188">
        <v>26.1</v>
      </c>
      <c r="AA188">
        <v>0</v>
      </c>
      <c r="AB188">
        <v>1721.73</v>
      </c>
      <c r="AC188">
        <v>512.69000000000005</v>
      </c>
      <c r="AD188">
        <v>0</v>
      </c>
      <c r="AE188">
        <v>0</v>
      </c>
      <c r="AF188">
        <v>119.77</v>
      </c>
      <c r="AG188">
        <v>22.85</v>
      </c>
      <c r="AH188">
        <v>0</v>
      </c>
      <c r="AI188">
        <v>1</v>
      </c>
      <c r="AJ188">
        <v>13.73</v>
      </c>
      <c r="AK188">
        <v>21.43</v>
      </c>
      <c r="AL188">
        <v>1</v>
      </c>
      <c r="AN188">
        <v>0</v>
      </c>
      <c r="AO188">
        <v>1</v>
      </c>
      <c r="AP188">
        <v>0</v>
      </c>
      <c r="AQ188">
        <v>0</v>
      </c>
      <c r="AR188">
        <v>0</v>
      </c>
      <c r="AS188" t="s">
        <v>5</v>
      </c>
      <c r="AT188">
        <v>26.1</v>
      </c>
      <c r="AU188" t="s">
        <v>5</v>
      </c>
      <c r="AV188">
        <v>0</v>
      </c>
      <c r="AW188">
        <v>2</v>
      </c>
      <c r="AX188">
        <v>44170569</v>
      </c>
      <c r="AY188">
        <v>1</v>
      </c>
      <c r="AZ188">
        <v>0</v>
      </c>
      <c r="BA188">
        <v>187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0</v>
      </c>
      <c r="BI188">
        <v>0</v>
      </c>
      <c r="BJ188">
        <v>0</v>
      </c>
      <c r="BK188">
        <v>0</v>
      </c>
      <c r="BL188">
        <v>0</v>
      </c>
      <c r="BM188">
        <v>0</v>
      </c>
      <c r="BN188">
        <v>0</v>
      </c>
      <c r="BO188">
        <v>0</v>
      </c>
      <c r="BP188">
        <v>0</v>
      </c>
      <c r="BQ188">
        <v>0</v>
      </c>
      <c r="BR188">
        <v>0</v>
      </c>
      <c r="BS188">
        <v>0</v>
      </c>
      <c r="BT188">
        <v>0</v>
      </c>
      <c r="BU188">
        <v>0</v>
      </c>
      <c r="BV188">
        <v>0</v>
      </c>
      <c r="BW188">
        <v>0</v>
      </c>
      <c r="CX188">
        <f>Y188*Source!I91</f>
        <v>0</v>
      </c>
      <c r="CY188">
        <f t="shared" si="29"/>
        <v>1721.73</v>
      </c>
      <c r="CZ188">
        <f t="shared" si="30"/>
        <v>119.77</v>
      </c>
      <c r="DA188">
        <f t="shared" si="31"/>
        <v>13.73</v>
      </c>
      <c r="DB188">
        <f t="shared" si="27"/>
        <v>3126</v>
      </c>
      <c r="DC188">
        <f t="shared" si="28"/>
        <v>596.39</v>
      </c>
    </row>
    <row r="189" spans="1:107" x14ac:dyDescent="0.2">
      <c r="A189">
        <f>ROW(Source!A91)</f>
        <v>91</v>
      </c>
      <c r="B189">
        <v>44169784</v>
      </c>
      <c r="C189">
        <v>44170551</v>
      </c>
      <c r="D189">
        <v>35064906</v>
      </c>
      <c r="E189">
        <v>1</v>
      </c>
      <c r="F189">
        <v>1</v>
      </c>
      <c r="G189">
        <v>34959076</v>
      </c>
      <c r="H189">
        <v>2</v>
      </c>
      <c r="I189" t="s">
        <v>351</v>
      </c>
      <c r="J189" t="s">
        <v>352</v>
      </c>
      <c r="K189" t="s">
        <v>353</v>
      </c>
      <c r="L189">
        <v>1367</v>
      </c>
      <c r="N189">
        <v>1011</v>
      </c>
      <c r="O189" t="s">
        <v>347</v>
      </c>
      <c r="P189" t="s">
        <v>347</v>
      </c>
      <c r="Q189">
        <v>1</v>
      </c>
      <c r="W189">
        <v>0</v>
      </c>
      <c r="X189">
        <v>856318566</v>
      </c>
      <c r="Y189">
        <v>0.36</v>
      </c>
      <c r="AA189">
        <v>0</v>
      </c>
      <c r="AB189">
        <v>1429.33</v>
      </c>
      <c r="AC189">
        <v>555.1</v>
      </c>
      <c r="AD189">
        <v>0</v>
      </c>
      <c r="AE189">
        <v>0</v>
      </c>
      <c r="AF189">
        <v>125.13</v>
      </c>
      <c r="AG189">
        <v>24.74</v>
      </c>
      <c r="AH189">
        <v>0</v>
      </c>
      <c r="AI189">
        <v>1</v>
      </c>
      <c r="AJ189">
        <v>10.91</v>
      </c>
      <c r="AK189">
        <v>21.43</v>
      </c>
      <c r="AL189">
        <v>1</v>
      </c>
      <c r="AN189">
        <v>0</v>
      </c>
      <c r="AO189">
        <v>1</v>
      </c>
      <c r="AP189">
        <v>0</v>
      </c>
      <c r="AQ189">
        <v>0</v>
      </c>
      <c r="AR189">
        <v>0</v>
      </c>
      <c r="AS189" t="s">
        <v>5</v>
      </c>
      <c r="AT189">
        <v>0.36</v>
      </c>
      <c r="AU189" t="s">
        <v>5</v>
      </c>
      <c r="AV189">
        <v>0</v>
      </c>
      <c r="AW189">
        <v>2</v>
      </c>
      <c r="AX189">
        <v>44170570</v>
      </c>
      <c r="AY189">
        <v>1</v>
      </c>
      <c r="AZ189">
        <v>0</v>
      </c>
      <c r="BA189">
        <v>188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0</v>
      </c>
      <c r="BI189">
        <v>0</v>
      </c>
      <c r="BJ189">
        <v>0</v>
      </c>
      <c r="BK189">
        <v>0</v>
      </c>
      <c r="BL189">
        <v>0</v>
      </c>
      <c r="BM189">
        <v>0</v>
      </c>
      <c r="BN189">
        <v>0</v>
      </c>
      <c r="BO189">
        <v>0</v>
      </c>
      <c r="BP189">
        <v>0</v>
      </c>
      <c r="BQ189">
        <v>0</v>
      </c>
      <c r="BR189">
        <v>0</v>
      </c>
      <c r="BS189">
        <v>0</v>
      </c>
      <c r="BT189">
        <v>0</v>
      </c>
      <c r="BU189">
        <v>0</v>
      </c>
      <c r="BV189">
        <v>0</v>
      </c>
      <c r="BW189">
        <v>0</v>
      </c>
      <c r="CX189">
        <f>Y189*Source!I91</f>
        <v>0</v>
      </c>
      <c r="CY189">
        <f t="shared" si="29"/>
        <v>1429.33</v>
      </c>
      <c r="CZ189">
        <f t="shared" si="30"/>
        <v>125.13</v>
      </c>
      <c r="DA189">
        <f t="shared" si="31"/>
        <v>10.91</v>
      </c>
      <c r="DB189">
        <f t="shared" si="27"/>
        <v>45.05</v>
      </c>
      <c r="DC189">
        <f t="shared" si="28"/>
        <v>8.91</v>
      </c>
    </row>
    <row r="190" spans="1:107" x14ac:dyDescent="0.2">
      <c r="A190">
        <f>ROW(Source!A91)</f>
        <v>91</v>
      </c>
      <c r="B190">
        <v>44169784</v>
      </c>
      <c r="C190">
        <v>44170551</v>
      </c>
      <c r="D190">
        <v>34984824</v>
      </c>
      <c r="E190">
        <v>34959076</v>
      </c>
      <c r="F190">
        <v>1</v>
      </c>
      <c r="G190">
        <v>34959076</v>
      </c>
      <c r="H190">
        <v>2</v>
      </c>
      <c r="I190" t="s">
        <v>354</v>
      </c>
      <c r="J190" t="s">
        <v>5</v>
      </c>
      <c r="K190" t="s">
        <v>355</v>
      </c>
      <c r="L190">
        <v>1344</v>
      </c>
      <c r="N190">
        <v>1008</v>
      </c>
      <c r="O190" t="s">
        <v>356</v>
      </c>
      <c r="P190" t="s">
        <v>356</v>
      </c>
      <c r="Q190">
        <v>1</v>
      </c>
      <c r="W190">
        <v>0</v>
      </c>
      <c r="X190">
        <v>-1180195794</v>
      </c>
      <c r="Y190">
        <v>33.5</v>
      </c>
      <c r="AA190">
        <v>0</v>
      </c>
      <c r="AB190">
        <v>1.05</v>
      </c>
      <c r="AC190">
        <v>0</v>
      </c>
      <c r="AD190">
        <v>0</v>
      </c>
      <c r="AE190">
        <v>0</v>
      </c>
      <c r="AF190">
        <v>1</v>
      </c>
      <c r="AG190">
        <v>0</v>
      </c>
      <c r="AH190">
        <v>0</v>
      </c>
      <c r="AI190">
        <v>1</v>
      </c>
      <c r="AJ190">
        <v>1</v>
      </c>
      <c r="AK190">
        <v>1</v>
      </c>
      <c r="AL190">
        <v>1</v>
      </c>
      <c r="AN190">
        <v>0</v>
      </c>
      <c r="AO190">
        <v>1</v>
      </c>
      <c r="AP190">
        <v>0</v>
      </c>
      <c r="AQ190">
        <v>0</v>
      </c>
      <c r="AR190">
        <v>0</v>
      </c>
      <c r="AS190" t="s">
        <v>5</v>
      </c>
      <c r="AT190">
        <v>33.5</v>
      </c>
      <c r="AU190" t="s">
        <v>5</v>
      </c>
      <c r="AV190">
        <v>0</v>
      </c>
      <c r="AW190">
        <v>2</v>
      </c>
      <c r="AX190">
        <v>44170571</v>
      </c>
      <c r="AY190">
        <v>1</v>
      </c>
      <c r="AZ190">
        <v>0</v>
      </c>
      <c r="BA190">
        <v>189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0</v>
      </c>
      <c r="BI190">
        <v>0</v>
      </c>
      <c r="BJ190">
        <v>0</v>
      </c>
      <c r="BK190">
        <v>0</v>
      </c>
      <c r="BL190">
        <v>0</v>
      </c>
      <c r="BM190">
        <v>0</v>
      </c>
      <c r="BN190">
        <v>0</v>
      </c>
      <c r="BO190">
        <v>0</v>
      </c>
      <c r="BP190">
        <v>0</v>
      </c>
      <c r="BQ190">
        <v>0</v>
      </c>
      <c r="BR190">
        <v>0</v>
      </c>
      <c r="BS190">
        <v>0</v>
      </c>
      <c r="BT190">
        <v>0</v>
      </c>
      <c r="BU190">
        <v>0</v>
      </c>
      <c r="BV190">
        <v>0</v>
      </c>
      <c r="BW190">
        <v>0</v>
      </c>
      <c r="CX190">
        <f>Y190*Source!I91</f>
        <v>0</v>
      </c>
      <c r="CY190">
        <f t="shared" si="29"/>
        <v>1.05</v>
      </c>
      <c r="CZ190">
        <f t="shared" si="30"/>
        <v>1</v>
      </c>
      <c r="DA190">
        <f t="shared" si="31"/>
        <v>1</v>
      </c>
      <c r="DB190">
        <f t="shared" si="27"/>
        <v>33.5</v>
      </c>
      <c r="DC190">
        <f t="shared" si="28"/>
        <v>0</v>
      </c>
    </row>
    <row r="191" spans="1:107" x14ac:dyDescent="0.2">
      <c r="A191">
        <f>ROW(Source!A91)</f>
        <v>91</v>
      </c>
      <c r="B191">
        <v>44169784</v>
      </c>
      <c r="C191">
        <v>44170551</v>
      </c>
      <c r="D191">
        <v>35043897</v>
      </c>
      <c r="E191">
        <v>1</v>
      </c>
      <c r="F191">
        <v>1</v>
      </c>
      <c r="G191">
        <v>34959076</v>
      </c>
      <c r="H191">
        <v>3</v>
      </c>
      <c r="I191" t="s">
        <v>378</v>
      </c>
      <c r="J191" t="s">
        <v>451</v>
      </c>
      <c r="K191" t="s">
        <v>452</v>
      </c>
      <c r="L191">
        <v>1339</v>
      </c>
      <c r="N191">
        <v>1007</v>
      </c>
      <c r="O191" t="s">
        <v>59</v>
      </c>
      <c r="P191" t="s">
        <v>59</v>
      </c>
      <c r="Q191">
        <v>1</v>
      </c>
      <c r="W191">
        <v>0</v>
      </c>
      <c r="X191">
        <v>-862991314</v>
      </c>
      <c r="Y191">
        <v>20</v>
      </c>
      <c r="AA191">
        <v>32.43</v>
      </c>
      <c r="AB191">
        <v>0</v>
      </c>
      <c r="AC191">
        <v>0</v>
      </c>
      <c r="AD191">
        <v>0</v>
      </c>
      <c r="AE191">
        <v>7.07</v>
      </c>
      <c r="AF191">
        <v>0</v>
      </c>
      <c r="AG191">
        <v>0</v>
      </c>
      <c r="AH191">
        <v>0</v>
      </c>
      <c r="AI191">
        <v>4.5599999999999996</v>
      </c>
      <c r="AJ191">
        <v>1</v>
      </c>
      <c r="AK191">
        <v>1</v>
      </c>
      <c r="AL191">
        <v>1</v>
      </c>
      <c r="AN191">
        <v>0</v>
      </c>
      <c r="AO191">
        <v>1</v>
      </c>
      <c r="AP191">
        <v>0</v>
      </c>
      <c r="AQ191">
        <v>0</v>
      </c>
      <c r="AR191">
        <v>0</v>
      </c>
      <c r="AS191" t="s">
        <v>5</v>
      </c>
      <c r="AT191">
        <v>20</v>
      </c>
      <c r="AU191" t="s">
        <v>5</v>
      </c>
      <c r="AV191">
        <v>0</v>
      </c>
      <c r="AW191">
        <v>2</v>
      </c>
      <c r="AX191">
        <v>44170572</v>
      </c>
      <c r="AY191">
        <v>1</v>
      </c>
      <c r="AZ191">
        <v>0</v>
      </c>
      <c r="BA191">
        <v>190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0</v>
      </c>
      <c r="BI191">
        <v>0</v>
      </c>
      <c r="BJ191">
        <v>0</v>
      </c>
      <c r="BK191">
        <v>0</v>
      </c>
      <c r="BL191">
        <v>0</v>
      </c>
      <c r="BM191">
        <v>0</v>
      </c>
      <c r="BN191">
        <v>0</v>
      </c>
      <c r="BO191">
        <v>0</v>
      </c>
      <c r="BP191">
        <v>0</v>
      </c>
      <c r="BQ191">
        <v>0</v>
      </c>
      <c r="BR191">
        <v>0</v>
      </c>
      <c r="BS191">
        <v>0</v>
      </c>
      <c r="BT191">
        <v>0</v>
      </c>
      <c r="BU191">
        <v>0</v>
      </c>
      <c r="BV191">
        <v>0</v>
      </c>
      <c r="BW191">
        <v>0</v>
      </c>
      <c r="CX191">
        <f>Y191*Source!I91</f>
        <v>0</v>
      </c>
      <c r="CY191">
        <f>AA191</f>
        <v>32.43</v>
      </c>
      <c r="CZ191">
        <f>AE191</f>
        <v>7.07</v>
      </c>
      <c r="DA191">
        <f>AI191</f>
        <v>4.5599999999999996</v>
      </c>
      <c r="DB191">
        <f t="shared" si="27"/>
        <v>141.4</v>
      </c>
      <c r="DC191">
        <f t="shared" si="28"/>
        <v>0</v>
      </c>
    </row>
    <row r="192" spans="1:107" x14ac:dyDescent="0.2">
      <c r="A192">
        <f>ROW(Source!A91)</f>
        <v>91</v>
      </c>
      <c r="B192">
        <v>44169784</v>
      </c>
      <c r="C192">
        <v>44170551</v>
      </c>
      <c r="D192">
        <v>35042623</v>
      </c>
      <c r="E192">
        <v>1</v>
      </c>
      <c r="F192">
        <v>1</v>
      </c>
      <c r="G192">
        <v>34959076</v>
      </c>
      <c r="H192">
        <v>3</v>
      </c>
      <c r="I192" t="s">
        <v>182</v>
      </c>
      <c r="J192" t="s">
        <v>184</v>
      </c>
      <c r="K192" t="s">
        <v>183</v>
      </c>
      <c r="L192">
        <v>1339</v>
      </c>
      <c r="N192">
        <v>1007</v>
      </c>
      <c r="O192" t="s">
        <v>59</v>
      </c>
      <c r="P192" t="s">
        <v>59</v>
      </c>
      <c r="Q192">
        <v>1</v>
      </c>
      <c r="W192">
        <v>0</v>
      </c>
      <c r="X192">
        <v>564194019</v>
      </c>
      <c r="Y192">
        <v>10</v>
      </c>
      <c r="AA192">
        <v>2239.13</v>
      </c>
      <c r="AB192">
        <v>0</v>
      </c>
      <c r="AC192">
        <v>0</v>
      </c>
      <c r="AD192">
        <v>0</v>
      </c>
      <c r="AE192">
        <v>250.65</v>
      </c>
      <c r="AF192">
        <v>0</v>
      </c>
      <c r="AG192">
        <v>0</v>
      </c>
      <c r="AH192">
        <v>0</v>
      </c>
      <c r="AI192">
        <v>8.8800000000000008</v>
      </c>
      <c r="AJ192">
        <v>1</v>
      </c>
      <c r="AK192">
        <v>1</v>
      </c>
      <c r="AL192">
        <v>1</v>
      </c>
      <c r="AN192">
        <v>0</v>
      </c>
      <c r="AO192">
        <v>0</v>
      </c>
      <c r="AP192">
        <v>0</v>
      </c>
      <c r="AQ192">
        <v>0</v>
      </c>
      <c r="AR192">
        <v>0</v>
      </c>
      <c r="AS192" t="s">
        <v>5</v>
      </c>
      <c r="AT192">
        <v>10</v>
      </c>
      <c r="AU192" t="s">
        <v>5</v>
      </c>
      <c r="AV192">
        <v>0</v>
      </c>
      <c r="AW192">
        <v>1</v>
      </c>
      <c r="AX192">
        <v>-1</v>
      </c>
      <c r="AY192">
        <v>0</v>
      </c>
      <c r="AZ192">
        <v>0</v>
      </c>
      <c r="BA192" t="s">
        <v>5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0</v>
      </c>
      <c r="BI192">
        <v>0</v>
      </c>
      <c r="BJ192">
        <v>0</v>
      </c>
      <c r="BK192">
        <v>0</v>
      </c>
      <c r="BL192">
        <v>0</v>
      </c>
      <c r="BM192">
        <v>0</v>
      </c>
      <c r="BN192">
        <v>0</v>
      </c>
      <c r="BO192">
        <v>0</v>
      </c>
      <c r="BP192">
        <v>0</v>
      </c>
      <c r="BQ192">
        <v>0</v>
      </c>
      <c r="BR192">
        <v>0</v>
      </c>
      <c r="BS192">
        <v>0</v>
      </c>
      <c r="BT192">
        <v>0</v>
      </c>
      <c r="BU192">
        <v>0</v>
      </c>
      <c r="BV192">
        <v>0</v>
      </c>
      <c r="BW192">
        <v>0</v>
      </c>
      <c r="CX192">
        <f>Y192*Source!I91</f>
        <v>0</v>
      </c>
      <c r="CY192">
        <f>AA192</f>
        <v>2239.13</v>
      </c>
      <c r="CZ192">
        <f>AE192</f>
        <v>250.65</v>
      </c>
      <c r="DA192">
        <f>AI192</f>
        <v>8.8800000000000008</v>
      </c>
      <c r="DB192">
        <f t="shared" si="27"/>
        <v>2506.5</v>
      </c>
      <c r="DC192">
        <f t="shared" si="28"/>
        <v>0</v>
      </c>
    </row>
    <row r="193" spans="1:107" x14ac:dyDescent="0.2">
      <c r="A193">
        <f>ROW(Source!A91)</f>
        <v>91</v>
      </c>
      <c r="B193">
        <v>44169784</v>
      </c>
      <c r="C193">
        <v>44170551</v>
      </c>
      <c r="D193">
        <v>35042622</v>
      </c>
      <c r="E193">
        <v>1</v>
      </c>
      <c r="F193">
        <v>1</v>
      </c>
      <c r="G193">
        <v>34959076</v>
      </c>
      <c r="H193">
        <v>3</v>
      </c>
      <c r="I193" t="s">
        <v>220</v>
      </c>
      <c r="J193" t="s">
        <v>222</v>
      </c>
      <c r="K193" t="s">
        <v>221</v>
      </c>
      <c r="L193">
        <v>1339</v>
      </c>
      <c r="N193">
        <v>1007</v>
      </c>
      <c r="O193" t="s">
        <v>59</v>
      </c>
      <c r="P193" t="s">
        <v>59</v>
      </c>
      <c r="Q193">
        <v>1</v>
      </c>
      <c r="W193">
        <v>0</v>
      </c>
      <c r="X193">
        <v>874290911</v>
      </c>
      <c r="Y193">
        <v>15</v>
      </c>
      <c r="AA193">
        <v>2386.09</v>
      </c>
      <c r="AB193">
        <v>0</v>
      </c>
      <c r="AC193">
        <v>0</v>
      </c>
      <c r="AD193">
        <v>0</v>
      </c>
      <c r="AE193">
        <v>230.95</v>
      </c>
      <c r="AF193">
        <v>0</v>
      </c>
      <c r="AG193">
        <v>0</v>
      </c>
      <c r="AH193">
        <v>0</v>
      </c>
      <c r="AI193">
        <v>10.27</v>
      </c>
      <c r="AJ193">
        <v>1</v>
      </c>
      <c r="AK193">
        <v>1</v>
      </c>
      <c r="AL193">
        <v>1</v>
      </c>
      <c r="AN193">
        <v>0</v>
      </c>
      <c r="AO193">
        <v>0</v>
      </c>
      <c r="AP193">
        <v>0</v>
      </c>
      <c r="AQ193">
        <v>0</v>
      </c>
      <c r="AR193">
        <v>0</v>
      </c>
      <c r="AS193" t="s">
        <v>5</v>
      </c>
      <c r="AT193">
        <v>15</v>
      </c>
      <c r="AU193" t="s">
        <v>5</v>
      </c>
      <c r="AV193">
        <v>0</v>
      </c>
      <c r="AW193">
        <v>1</v>
      </c>
      <c r="AX193">
        <v>-1</v>
      </c>
      <c r="AY193">
        <v>0</v>
      </c>
      <c r="AZ193">
        <v>0</v>
      </c>
      <c r="BA193" t="s">
        <v>5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0</v>
      </c>
      <c r="BI193">
        <v>0</v>
      </c>
      <c r="BJ193">
        <v>0</v>
      </c>
      <c r="BK193">
        <v>0</v>
      </c>
      <c r="BL193">
        <v>0</v>
      </c>
      <c r="BM193">
        <v>0</v>
      </c>
      <c r="BN193">
        <v>0</v>
      </c>
      <c r="BO193">
        <v>0</v>
      </c>
      <c r="BP193">
        <v>0</v>
      </c>
      <c r="BQ193">
        <v>0</v>
      </c>
      <c r="BR193">
        <v>0</v>
      </c>
      <c r="BS193">
        <v>0</v>
      </c>
      <c r="BT193">
        <v>0</v>
      </c>
      <c r="BU193">
        <v>0</v>
      </c>
      <c r="BV193">
        <v>0</v>
      </c>
      <c r="BW193">
        <v>0</v>
      </c>
      <c r="CX193">
        <f>Y193*Source!I91</f>
        <v>0</v>
      </c>
      <c r="CY193">
        <f>AA193</f>
        <v>2386.09</v>
      </c>
      <c r="CZ193">
        <f>AE193</f>
        <v>230.95</v>
      </c>
      <c r="DA193">
        <f>AI193</f>
        <v>10.27</v>
      </c>
      <c r="DB193">
        <f t="shared" si="27"/>
        <v>3464.25</v>
      </c>
      <c r="DC193">
        <f t="shared" si="28"/>
        <v>0</v>
      </c>
    </row>
    <row r="194" spans="1:107" x14ac:dyDescent="0.2">
      <c r="A194">
        <f>ROW(Source!A91)</f>
        <v>91</v>
      </c>
      <c r="B194">
        <v>44169784</v>
      </c>
      <c r="C194">
        <v>44170551</v>
      </c>
      <c r="D194">
        <v>35042620</v>
      </c>
      <c r="E194">
        <v>1</v>
      </c>
      <c r="F194">
        <v>1</v>
      </c>
      <c r="G194">
        <v>34959076</v>
      </c>
      <c r="H194">
        <v>3</v>
      </c>
      <c r="I194" t="s">
        <v>216</v>
      </c>
      <c r="J194" t="s">
        <v>218</v>
      </c>
      <c r="K194" t="s">
        <v>217</v>
      </c>
      <c r="L194">
        <v>1339</v>
      </c>
      <c r="N194">
        <v>1007</v>
      </c>
      <c r="O194" t="s">
        <v>59</v>
      </c>
      <c r="P194" t="s">
        <v>59</v>
      </c>
      <c r="Q194">
        <v>1</v>
      </c>
      <c r="W194">
        <v>0</v>
      </c>
      <c r="X194">
        <v>-1198722019</v>
      </c>
      <c r="Y194">
        <v>189</v>
      </c>
      <c r="AA194">
        <v>2232.02</v>
      </c>
      <c r="AB194">
        <v>0</v>
      </c>
      <c r="AC194">
        <v>0</v>
      </c>
      <c r="AD194">
        <v>0</v>
      </c>
      <c r="AE194">
        <v>168.98</v>
      </c>
      <c r="AF194">
        <v>0</v>
      </c>
      <c r="AG194">
        <v>0</v>
      </c>
      <c r="AH194">
        <v>0</v>
      </c>
      <c r="AI194">
        <v>13.13</v>
      </c>
      <c r="AJ194">
        <v>1</v>
      </c>
      <c r="AK194">
        <v>1</v>
      </c>
      <c r="AL194">
        <v>1</v>
      </c>
      <c r="AN194">
        <v>0</v>
      </c>
      <c r="AO194">
        <v>0</v>
      </c>
      <c r="AP194">
        <v>0</v>
      </c>
      <c r="AQ194">
        <v>0</v>
      </c>
      <c r="AR194">
        <v>0</v>
      </c>
      <c r="AS194" t="s">
        <v>5</v>
      </c>
      <c r="AT194">
        <v>189</v>
      </c>
      <c r="AU194" t="s">
        <v>5</v>
      </c>
      <c r="AV194">
        <v>0</v>
      </c>
      <c r="AW194">
        <v>1</v>
      </c>
      <c r="AX194">
        <v>-1</v>
      </c>
      <c r="AY194">
        <v>0</v>
      </c>
      <c r="AZ194">
        <v>0</v>
      </c>
      <c r="BA194" t="s">
        <v>5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0</v>
      </c>
      <c r="BI194">
        <v>0</v>
      </c>
      <c r="BJ194">
        <v>0</v>
      </c>
      <c r="BK194">
        <v>0</v>
      </c>
      <c r="BL194">
        <v>0</v>
      </c>
      <c r="BM194">
        <v>0</v>
      </c>
      <c r="BN194">
        <v>0</v>
      </c>
      <c r="BO194">
        <v>0</v>
      </c>
      <c r="BP194">
        <v>0</v>
      </c>
      <c r="BQ194">
        <v>0</v>
      </c>
      <c r="BR194">
        <v>0</v>
      </c>
      <c r="BS194">
        <v>0</v>
      </c>
      <c r="BT194">
        <v>0</v>
      </c>
      <c r="BU194">
        <v>0</v>
      </c>
      <c r="BV194">
        <v>0</v>
      </c>
      <c r="BW194">
        <v>0</v>
      </c>
      <c r="CX194">
        <f>Y194*Source!I91</f>
        <v>0</v>
      </c>
      <c r="CY194">
        <f>AA194</f>
        <v>2232.02</v>
      </c>
      <c r="CZ194">
        <f>AE194</f>
        <v>168.98</v>
      </c>
      <c r="DA194">
        <f>AI194</f>
        <v>13.13</v>
      </c>
      <c r="DB194">
        <f t="shared" si="27"/>
        <v>31937.22</v>
      </c>
      <c r="DC194">
        <f t="shared" si="28"/>
        <v>0</v>
      </c>
    </row>
    <row r="195" spans="1:107" x14ac:dyDescent="0.2">
      <c r="A195">
        <f>ROW(Source!A95)</f>
        <v>95</v>
      </c>
      <c r="B195">
        <v>44169784</v>
      </c>
      <c r="C195">
        <v>44170579</v>
      </c>
      <c r="D195">
        <v>34984826</v>
      </c>
      <c r="E195">
        <v>34959076</v>
      </c>
      <c r="F195">
        <v>1</v>
      </c>
      <c r="G195">
        <v>34959076</v>
      </c>
      <c r="H195">
        <v>1</v>
      </c>
      <c r="I195" t="s">
        <v>341</v>
      </c>
      <c r="J195" t="s">
        <v>5</v>
      </c>
      <c r="K195" t="s">
        <v>342</v>
      </c>
      <c r="L195">
        <v>1191</v>
      </c>
      <c r="N195">
        <v>1013</v>
      </c>
      <c r="O195" t="s">
        <v>343</v>
      </c>
      <c r="P195" t="s">
        <v>343</v>
      </c>
      <c r="Q195">
        <v>1</v>
      </c>
      <c r="W195">
        <v>0</v>
      </c>
      <c r="X195">
        <v>476480486</v>
      </c>
      <c r="Y195">
        <v>24.3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1</v>
      </c>
      <c r="AJ195">
        <v>1</v>
      </c>
      <c r="AK195">
        <v>1</v>
      </c>
      <c r="AL195">
        <v>1</v>
      </c>
      <c r="AN195">
        <v>0</v>
      </c>
      <c r="AO195">
        <v>1</v>
      </c>
      <c r="AP195">
        <v>1</v>
      </c>
      <c r="AQ195">
        <v>0</v>
      </c>
      <c r="AR195">
        <v>0</v>
      </c>
      <c r="AS195" t="s">
        <v>5</v>
      </c>
      <c r="AT195">
        <v>24.3</v>
      </c>
      <c r="AU195" t="s">
        <v>5</v>
      </c>
      <c r="AV195">
        <v>1</v>
      </c>
      <c r="AW195">
        <v>2</v>
      </c>
      <c r="AX195">
        <v>44170590</v>
      </c>
      <c r="AY195">
        <v>1</v>
      </c>
      <c r="AZ195">
        <v>0</v>
      </c>
      <c r="BA195">
        <v>194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0</v>
      </c>
      <c r="BI195">
        <v>0</v>
      </c>
      <c r="BJ195">
        <v>0</v>
      </c>
      <c r="BK195">
        <v>0</v>
      </c>
      <c r="BL195">
        <v>0</v>
      </c>
      <c r="BM195">
        <v>0</v>
      </c>
      <c r="BN195">
        <v>0</v>
      </c>
      <c r="BO195">
        <v>0</v>
      </c>
      <c r="BP195">
        <v>0</v>
      </c>
      <c r="BQ195">
        <v>0</v>
      </c>
      <c r="BR195">
        <v>0</v>
      </c>
      <c r="BS195">
        <v>0</v>
      </c>
      <c r="BT195">
        <v>0</v>
      </c>
      <c r="BU195">
        <v>0</v>
      </c>
      <c r="BV195">
        <v>0</v>
      </c>
      <c r="BW195">
        <v>0</v>
      </c>
      <c r="CX195">
        <f>Y195*Source!I95</f>
        <v>8.2620000000000005</v>
      </c>
      <c r="CY195">
        <f>AD195</f>
        <v>0</v>
      </c>
      <c r="CZ195">
        <f>AH195</f>
        <v>0</v>
      </c>
      <c r="DA195">
        <f>AL195</f>
        <v>1</v>
      </c>
      <c r="DB195">
        <f t="shared" ref="DB195:DB211" si="32">ROUND(ROUND(AT195*CZ195,2),6)</f>
        <v>0</v>
      </c>
      <c r="DC195">
        <f t="shared" ref="DC195:DC211" si="33">ROUND(ROUND(AT195*AG195,2),6)</f>
        <v>0</v>
      </c>
    </row>
    <row r="196" spans="1:107" x14ac:dyDescent="0.2">
      <c r="A196">
        <f>ROW(Source!A95)</f>
        <v>95</v>
      </c>
      <c r="B196">
        <v>44169784</v>
      </c>
      <c r="C196">
        <v>44170579</v>
      </c>
      <c r="D196">
        <v>35064878</v>
      </c>
      <c r="E196">
        <v>1</v>
      </c>
      <c r="F196">
        <v>1</v>
      </c>
      <c r="G196">
        <v>34959076</v>
      </c>
      <c r="H196">
        <v>2</v>
      </c>
      <c r="I196" t="s">
        <v>372</v>
      </c>
      <c r="J196" t="s">
        <v>373</v>
      </c>
      <c r="K196" t="s">
        <v>374</v>
      </c>
      <c r="L196">
        <v>1367</v>
      </c>
      <c r="N196">
        <v>1011</v>
      </c>
      <c r="O196" t="s">
        <v>347</v>
      </c>
      <c r="P196" t="s">
        <v>347</v>
      </c>
      <c r="Q196">
        <v>1</v>
      </c>
      <c r="W196">
        <v>0</v>
      </c>
      <c r="X196">
        <v>378346098</v>
      </c>
      <c r="Y196">
        <v>0.47</v>
      </c>
      <c r="AA196">
        <v>0</v>
      </c>
      <c r="AB196">
        <v>1848.67</v>
      </c>
      <c r="AC196">
        <v>641.92999999999995</v>
      </c>
      <c r="AD196">
        <v>0</v>
      </c>
      <c r="AE196">
        <v>0</v>
      </c>
      <c r="AF196">
        <v>140.58000000000001</v>
      </c>
      <c r="AG196">
        <v>28.61</v>
      </c>
      <c r="AH196">
        <v>0</v>
      </c>
      <c r="AI196">
        <v>1</v>
      </c>
      <c r="AJ196">
        <v>12.56</v>
      </c>
      <c r="AK196">
        <v>21.43</v>
      </c>
      <c r="AL196">
        <v>1</v>
      </c>
      <c r="AN196">
        <v>0</v>
      </c>
      <c r="AO196">
        <v>1</v>
      </c>
      <c r="AP196">
        <v>1</v>
      </c>
      <c r="AQ196">
        <v>0</v>
      </c>
      <c r="AR196">
        <v>0</v>
      </c>
      <c r="AS196" t="s">
        <v>5</v>
      </c>
      <c r="AT196">
        <v>0.47</v>
      </c>
      <c r="AU196" t="s">
        <v>5</v>
      </c>
      <c r="AV196">
        <v>0</v>
      </c>
      <c r="AW196">
        <v>2</v>
      </c>
      <c r="AX196">
        <v>44170591</v>
      </c>
      <c r="AY196">
        <v>1</v>
      </c>
      <c r="AZ196">
        <v>0</v>
      </c>
      <c r="BA196">
        <v>195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0</v>
      </c>
      <c r="BI196">
        <v>0</v>
      </c>
      <c r="BJ196">
        <v>0</v>
      </c>
      <c r="BK196">
        <v>0</v>
      </c>
      <c r="BL196">
        <v>0</v>
      </c>
      <c r="BM196">
        <v>0</v>
      </c>
      <c r="BN196">
        <v>0</v>
      </c>
      <c r="BO196">
        <v>0</v>
      </c>
      <c r="BP196">
        <v>0</v>
      </c>
      <c r="BQ196">
        <v>0</v>
      </c>
      <c r="BR196">
        <v>0</v>
      </c>
      <c r="BS196">
        <v>0</v>
      </c>
      <c r="BT196">
        <v>0</v>
      </c>
      <c r="BU196">
        <v>0</v>
      </c>
      <c r="BV196">
        <v>0</v>
      </c>
      <c r="BW196">
        <v>0</v>
      </c>
      <c r="CX196">
        <f>Y196*Source!I95</f>
        <v>0.1598</v>
      </c>
      <c r="CY196">
        <f>AB196</f>
        <v>1848.67</v>
      </c>
      <c r="CZ196">
        <f>AF196</f>
        <v>140.58000000000001</v>
      </c>
      <c r="DA196">
        <f>AJ196</f>
        <v>12.56</v>
      </c>
      <c r="DB196">
        <f t="shared" si="32"/>
        <v>66.069999999999993</v>
      </c>
      <c r="DC196">
        <f t="shared" si="33"/>
        <v>13.45</v>
      </c>
    </row>
    <row r="197" spans="1:107" x14ac:dyDescent="0.2">
      <c r="A197">
        <f>ROW(Source!A95)</f>
        <v>95</v>
      </c>
      <c r="B197">
        <v>44169784</v>
      </c>
      <c r="C197">
        <v>44170579</v>
      </c>
      <c r="D197">
        <v>35064863</v>
      </c>
      <c r="E197">
        <v>1</v>
      </c>
      <c r="F197">
        <v>1</v>
      </c>
      <c r="G197">
        <v>34959076</v>
      </c>
      <c r="H197">
        <v>2</v>
      </c>
      <c r="I197" t="s">
        <v>403</v>
      </c>
      <c r="J197" t="s">
        <v>404</v>
      </c>
      <c r="K197" t="s">
        <v>405</v>
      </c>
      <c r="L197">
        <v>1367</v>
      </c>
      <c r="N197">
        <v>1011</v>
      </c>
      <c r="O197" t="s">
        <v>347</v>
      </c>
      <c r="P197" t="s">
        <v>347</v>
      </c>
      <c r="Q197">
        <v>1</v>
      </c>
      <c r="W197">
        <v>0</v>
      </c>
      <c r="X197">
        <v>-251987950</v>
      </c>
      <c r="Y197">
        <v>1.3</v>
      </c>
      <c r="AA197">
        <v>0</v>
      </c>
      <c r="AB197">
        <v>1173.1300000000001</v>
      </c>
      <c r="AC197">
        <v>512.69000000000005</v>
      </c>
      <c r="AD197">
        <v>0</v>
      </c>
      <c r="AE197">
        <v>0</v>
      </c>
      <c r="AF197">
        <v>84.82</v>
      </c>
      <c r="AG197">
        <v>22.85</v>
      </c>
      <c r="AH197">
        <v>0</v>
      </c>
      <c r="AI197">
        <v>1</v>
      </c>
      <c r="AJ197">
        <v>13.21</v>
      </c>
      <c r="AK197">
        <v>21.43</v>
      </c>
      <c r="AL197">
        <v>1</v>
      </c>
      <c r="AN197">
        <v>0</v>
      </c>
      <c r="AO197">
        <v>1</v>
      </c>
      <c r="AP197">
        <v>1</v>
      </c>
      <c r="AQ197">
        <v>0</v>
      </c>
      <c r="AR197">
        <v>0</v>
      </c>
      <c r="AS197" t="s">
        <v>5</v>
      </c>
      <c r="AT197">
        <v>1.3</v>
      </c>
      <c r="AU197" t="s">
        <v>5</v>
      </c>
      <c r="AV197">
        <v>0</v>
      </c>
      <c r="AW197">
        <v>2</v>
      </c>
      <c r="AX197">
        <v>44170592</v>
      </c>
      <c r="AY197">
        <v>1</v>
      </c>
      <c r="AZ197">
        <v>0</v>
      </c>
      <c r="BA197">
        <v>196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0</v>
      </c>
      <c r="BI197">
        <v>0</v>
      </c>
      <c r="BJ197">
        <v>0</v>
      </c>
      <c r="BK197">
        <v>0</v>
      </c>
      <c r="BL197">
        <v>0</v>
      </c>
      <c r="BM197">
        <v>0</v>
      </c>
      <c r="BN197">
        <v>0</v>
      </c>
      <c r="BO197">
        <v>0</v>
      </c>
      <c r="BP197">
        <v>0</v>
      </c>
      <c r="BQ197">
        <v>0</v>
      </c>
      <c r="BR197">
        <v>0</v>
      </c>
      <c r="BS197">
        <v>0</v>
      </c>
      <c r="BT197">
        <v>0</v>
      </c>
      <c r="BU197">
        <v>0</v>
      </c>
      <c r="BV197">
        <v>0</v>
      </c>
      <c r="BW197">
        <v>0</v>
      </c>
      <c r="CX197">
        <f>Y197*Source!I95</f>
        <v>0.44200000000000006</v>
      </c>
      <c r="CY197">
        <f>AB197</f>
        <v>1173.1300000000001</v>
      </c>
      <c r="CZ197">
        <f>AF197</f>
        <v>84.82</v>
      </c>
      <c r="DA197">
        <f>AJ197</f>
        <v>13.21</v>
      </c>
      <c r="DB197">
        <f t="shared" si="32"/>
        <v>110.27</v>
      </c>
      <c r="DC197">
        <f t="shared" si="33"/>
        <v>29.71</v>
      </c>
    </row>
    <row r="198" spans="1:107" x14ac:dyDescent="0.2">
      <c r="A198">
        <f>ROW(Source!A95)</f>
        <v>95</v>
      </c>
      <c r="B198">
        <v>44169784</v>
      </c>
      <c r="C198">
        <v>44170579</v>
      </c>
      <c r="D198">
        <v>0</v>
      </c>
      <c r="E198">
        <v>1</v>
      </c>
      <c r="F198">
        <v>1</v>
      </c>
      <c r="G198">
        <v>34959076</v>
      </c>
      <c r="H198">
        <v>3</v>
      </c>
      <c r="I198" t="s">
        <v>378</v>
      </c>
      <c r="J198" t="s">
        <v>379</v>
      </c>
      <c r="K198" t="s">
        <v>380</v>
      </c>
      <c r="L198">
        <v>1339</v>
      </c>
      <c r="N198">
        <v>1007</v>
      </c>
      <c r="O198" t="s">
        <v>59</v>
      </c>
      <c r="P198" t="s">
        <v>59</v>
      </c>
      <c r="Q198">
        <v>1</v>
      </c>
      <c r="W198">
        <v>0</v>
      </c>
      <c r="X198">
        <v>55300385</v>
      </c>
      <c r="Y198">
        <v>2</v>
      </c>
      <c r="AA198">
        <v>7.08</v>
      </c>
      <c r="AB198">
        <v>0</v>
      </c>
      <c r="AC198">
        <v>0</v>
      </c>
      <c r="AD198">
        <v>0</v>
      </c>
      <c r="AE198">
        <v>7.07</v>
      </c>
      <c r="AF198">
        <v>0</v>
      </c>
      <c r="AG198">
        <v>0</v>
      </c>
      <c r="AH198">
        <v>0</v>
      </c>
      <c r="AI198">
        <v>1</v>
      </c>
      <c r="AJ198">
        <v>1</v>
      </c>
      <c r="AK198">
        <v>1</v>
      </c>
      <c r="AL198">
        <v>1</v>
      </c>
      <c r="AN198">
        <v>0</v>
      </c>
      <c r="AO198">
        <v>1</v>
      </c>
      <c r="AP198">
        <v>0</v>
      </c>
      <c r="AQ198">
        <v>0</v>
      </c>
      <c r="AR198">
        <v>0</v>
      </c>
      <c r="AS198" t="s">
        <v>5</v>
      </c>
      <c r="AT198">
        <v>2</v>
      </c>
      <c r="AU198" t="s">
        <v>5</v>
      </c>
      <c r="AV198">
        <v>0</v>
      </c>
      <c r="AW198">
        <v>2</v>
      </c>
      <c r="AX198">
        <v>44170593</v>
      </c>
      <c r="AY198">
        <v>1</v>
      </c>
      <c r="AZ198">
        <v>0</v>
      </c>
      <c r="BA198">
        <v>197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0</v>
      </c>
      <c r="BI198">
        <v>0</v>
      </c>
      <c r="BJ198">
        <v>0</v>
      </c>
      <c r="BK198">
        <v>0</v>
      </c>
      <c r="BL198">
        <v>0</v>
      </c>
      <c r="BM198">
        <v>0</v>
      </c>
      <c r="BN198">
        <v>0</v>
      </c>
      <c r="BO198">
        <v>0</v>
      </c>
      <c r="BP198">
        <v>0</v>
      </c>
      <c r="BQ198">
        <v>0</v>
      </c>
      <c r="BR198">
        <v>0</v>
      </c>
      <c r="BS198">
        <v>0</v>
      </c>
      <c r="BT198">
        <v>0</v>
      </c>
      <c r="BU198">
        <v>0</v>
      </c>
      <c r="BV198">
        <v>0</v>
      </c>
      <c r="BW198">
        <v>0</v>
      </c>
      <c r="CX198">
        <f>Y198*Source!I95</f>
        <v>0.68</v>
      </c>
      <c r="CY198">
        <f>AA198</f>
        <v>7.08</v>
      </c>
      <c r="CZ198">
        <f>AE198</f>
        <v>7.07</v>
      </c>
      <c r="DA198">
        <f>AI198</f>
        <v>1</v>
      </c>
      <c r="DB198">
        <f t="shared" si="32"/>
        <v>14.14</v>
      </c>
      <c r="DC198">
        <f t="shared" si="33"/>
        <v>0</v>
      </c>
    </row>
    <row r="199" spans="1:107" x14ac:dyDescent="0.2">
      <c r="A199">
        <f>ROW(Source!A95)</f>
        <v>95</v>
      </c>
      <c r="B199">
        <v>44169784</v>
      </c>
      <c r="C199">
        <v>44170579</v>
      </c>
      <c r="D199">
        <v>35042623</v>
      </c>
      <c r="E199">
        <v>1</v>
      </c>
      <c r="F199">
        <v>1</v>
      </c>
      <c r="G199">
        <v>34959076</v>
      </c>
      <c r="H199">
        <v>3</v>
      </c>
      <c r="I199" t="s">
        <v>182</v>
      </c>
      <c r="J199" t="s">
        <v>184</v>
      </c>
      <c r="K199" t="s">
        <v>183</v>
      </c>
      <c r="L199">
        <v>1339</v>
      </c>
      <c r="N199">
        <v>1007</v>
      </c>
      <c r="O199" t="s">
        <v>59</v>
      </c>
      <c r="P199" t="s">
        <v>59</v>
      </c>
      <c r="Q199">
        <v>1</v>
      </c>
      <c r="W199">
        <v>0</v>
      </c>
      <c r="X199">
        <v>564194019</v>
      </c>
      <c r="Y199">
        <v>17.399999999999999</v>
      </c>
      <c r="AA199">
        <v>2230.2199999999998</v>
      </c>
      <c r="AB199">
        <v>0</v>
      </c>
      <c r="AC199">
        <v>0</v>
      </c>
      <c r="AD199">
        <v>0</v>
      </c>
      <c r="AE199">
        <v>250.65</v>
      </c>
      <c r="AF199">
        <v>0</v>
      </c>
      <c r="AG199">
        <v>0</v>
      </c>
      <c r="AH199">
        <v>0</v>
      </c>
      <c r="AI199">
        <v>8.8800000000000008</v>
      </c>
      <c r="AJ199">
        <v>1</v>
      </c>
      <c r="AK199">
        <v>1</v>
      </c>
      <c r="AL199">
        <v>1</v>
      </c>
      <c r="AN199">
        <v>0</v>
      </c>
      <c r="AO199">
        <v>0</v>
      </c>
      <c r="AP199">
        <v>0</v>
      </c>
      <c r="AQ199">
        <v>0</v>
      </c>
      <c r="AR199">
        <v>0</v>
      </c>
      <c r="AS199" t="s">
        <v>5</v>
      </c>
      <c r="AT199">
        <v>17.399999999999999</v>
      </c>
      <c r="AU199" t="s">
        <v>5</v>
      </c>
      <c r="AV199">
        <v>0</v>
      </c>
      <c r="AW199">
        <v>1</v>
      </c>
      <c r="AX199">
        <v>-1</v>
      </c>
      <c r="AY199">
        <v>0</v>
      </c>
      <c r="AZ199">
        <v>0</v>
      </c>
      <c r="BA199" t="s">
        <v>5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0</v>
      </c>
      <c r="BI199">
        <v>0</v>
      </c>
      <c r="BJ199">
        <v>0</v>
      </c>
      <c r="BK199">
        <v>0</v>
      </c>
      <c r="BL199">
        <v>0</v>
      </c>
      <c r="BM199">
        <v>0</v>
      </c>
      <c r="BN199">
        <v>0</v>
      </c>
      <c r="BO199">
        <v>0</v>
      </c>
      <c r="BP199">
        <v>0</v>
      </c>
      <c r="BQ199">
        <v>0</v>
      </c>
      <c r="BR199">
        <v>0</v>
      </c>
      <c r="BS199">
        <v>0</v>
      </c>
      <c r="BT199">
        <v>0</v>
      </c>
      <c r="BU199">
        <v>0</v>
      </c>
      <c r="BV199">
        <v>0</v>
      </c>
      <c r="BW199">
        <v>0</v>
      </c>
      <c r="CX199">
        <f>Y199*Source!I95</f>
        <v>5.9160000000000004</v>
      </c>
      <c r="CY199">
        <f>AA199</f>
        <v>2230.2199999999998</v>
      </c>
      <c r="CZ199">
        <f>AE199</f>
        <v>250.65</v>
      </c>
      <c r="DA199">
        <f>AI199</f>
        <v>8.8800000000000008</v>
      </c>
      <c r="DB199">
        <f t="shared" si="32"/>
        <v>4361.3100000000004</v>
      </c>
      <c r="DC199">
        <f t="shared" si="33"/>
        <v>0</v>
      </c>
    </row>
    <row r="200" spans="1:107" x14ac:dyDescent="0.2">
      <c r="A200">
        <f>ROW(Source!A98)</f>
        <v>98</v>
      </c>
      <c r="B200">
        <v>44169784</v>
      </c>
      <c r="C200">
        <v>44170597</v>
      </c>
      <c r="D200">
        <v>34984826</v>
      </c>
      <c r="E200">
        <v>34959076</v>
      </c>
      <c r="F200">
        <v>1</v>
      </c>
      <c r="G200">
        <v>34959076</v>
      </c>
      <c r="H200">
        <v>1</v>
      </c>
      <c r="I200" t="s">
        <v>341</v>
      </c>
      <c r="J200" t="s">
        <v>5</v>
      </c>
      <c r="K200" t="s">
        <v>342</v>
      </c>
      <c r="L200">
        <v>1191</v>
      </c>
      <c r="N200">
        <v>1013</v>
      </c>
      <c r="O200" t="s">
        <v>343</v>
      </c>
      <c r="P200" t="s">
        <v>343</v>
      </c>
      <c r="Q200">
        <v>1</v>
      </c>
      <c r="W200">
        <v>0</v>
      </c>
      <c r="X200">
        <v>476480486</v>
      </c>
      <c r="Y200">
        <v>26.78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1</v>
      </c>
      <c r="AJ200">
        <v>1</v>
      </c>
      <c r="AK200">
        <v>1</v>
      </c>
      <c r="AL200">
        <v>1</v>
      </c>
      <c r="AN200">
        <v>0</v>
      </c>
      <c r="AO200">
        <v>1</v>
      </c>
      <c r="AP200">
        <v>0</v>
      </c>
      <c r="AQ200">
        <v>0</v>
      </c>
      <c r="AR200">
        <v>0</v>
      </c>
      <c r="AS200" t="s">
        <v>5</v>
      </c>
      <c r="AT200">
        <v>26.78</v>
      </c>
      <c r="AU200" t="s">
        <v>5</v>
      </c>
      <c r="AV200">
        <v>1</v>
      </c>
      <c r="AW200">
        <v>2</v>
      </c>
      <c r="AX200">
        <v>44170602</v>
      </c>
      <c r="AY200">
        <v>1</v>
      </c>
      <c r="AZ200">
        <v>0</v>
      </c>
      <c r="BA200">
        <v>199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0</v>
      </c>
      <c r="BI200">
        <v>0</v>
      </c>
      <c r="BJ200">
        <v>0</v>
      </c>
      <c r="BK200">
        <v>0</v>
      </c>
      <c r="BL200">
        <v>0</v>
      </c>
      <c r="BM200">
        <v>0</v>
      </c>
      <c r="BN200">
        <v>0</v>
      </c>
      <c r="BO200">
        <v>0</v>
      </c>
      <c r="BP200">
        <v>0</v>
      </c>
      <c r="BQ200">
        <v>0</v>
      </c>
      <c r="BR200">
        <v>0</v>
      </c>
      <c r="BS200">
        <v>0</v>
      </c>
      <c r="BT200">
        <v>0</v>
      </c>
      <c r="BU200">
        <v>0</v>
      </c>
      <c r="BV200">
        <v>0</v>
      </c>
      <c r="BW200">
        <v>0</v>
      </c>
      <c r="CX200">
        <f>Y200*Source!I98</f>
        <v>0</v>
      </c>
      <c r="CY200">
        <f>AD200</f>
        <v>0</v>
      </c>
      <c r="CZ200">
        <f>AH200</f>
        <v>0</v>
      </c>
      <c r="DA200">
        <f>AL200</f>
        <v>1</v>
      </c>
      <c r="DB200">
        <f t="shared" si="32"/>
        <v>0</v>
      </c>
      <c r="DC200">
        <f t="shared" si="33"/>
        <v>0</v>
      </c>
    </row>
    <row r="201" spans="1:107" x14ac:dyDescent="0.2">
      <c r="A201">
        <f>ROW(Source!A98)</f>
        <v>98</v>
      </c>
      <c r="B201">
        <v>44169784</v>
      </c>
      <c r="C201">
        <v>44170597</v>
      </c>
      <c r="D201">
        <v>35064656</v>
      </c>
      <c r="E201">
        <v>1</v>
      </c>
      <c r="F201">
        <v>1</v>
      </c>
      <c r="G201">
        <v>34959076</v>
      </c>
      <c r="H201">
        <v>2</v>
      </c>
      <c r="I201" t="s">
        <v>453</v>
      </c>
      <c r="J201" t="s">
        <v>454</v>
      </c>
      <c r="K201" t="s">
        <v>455</v>
      </c>
      <c r="L201">
        <v>1367</v>
      </c>
      <c r="N201">
        <v>1011</v>
      </c>
      <c r="O201" t="s">
        <v>347</v>
      </c>
      <c r="P201" t="s">
        <v>347</v>
      </c>
      <c r="Q201">
        <v>1</v>
      </c>
      <c r="W201">
        <v>0</v>
      </c>
      <c r="X201">
        <v>-1758701186</v>
      </c>
      <c r="Y201">
        <v>0.05</v>
      </c>
      <c r="AA201">
        <v>0</v>
      </c>
      <c r="AB201">
        <v>825.19</v>
      </c>
      <c r="AC201">
        <v>446.17</v>
      </c>
      <c r="AD201">
        <v>0</v>
      </c>
      <c r="AE201">
        <v>0</v>
      </c>
      <c r="AF201">
        <v>97.54</v>
      </c>
      <c r="AG201">
        <v>20.82</v>
      </c>
      <c r="AH201">
        <v>0</v>
      </c>
      <c r="AI201">
        <v>1</v>
      </c>
      <c r="AJ201">
        <v>8.4600000000000009</v>
      </c>
      <c r="AK201">
        <v>21.43</v>
      </c>
      <c r="AL201">
        <v>1</v>
      </c>
      <c r="AN201">
        <v>0</v>
      </c>
      <c r="AO201">
        <v>1</v>
      </c>
      <c r="AP201">
        <v>0</v>
      </c>
      <c r="AQ201">
        <v>0</v>
      </c>
      <c r="AR201">
        <v>0</v>
      </c>
      <c r="AS201" t="s">
        <v>5</v>
      </c>
      <c r="AT201">
        <v>0.05</v>
      </c>
      <c r="AU201" t="s">
        <v>5</v>
      </c>
      <c r="AV201">
        <v>0</v>
      </c>
      <c r="AW201">
        <v>2</v>
      </c>
      <c r="AX201">
        <v>44170603</v>
      </c>
      <c r="AY201">
        <v>1</v>
      </c>
      <c r="AZ201">
        <v>0</v>
      </c>
      <c r="BA201">
        <v>200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0</v>
      </c>
      <c r="BI201">
        <v>0</v>
      </c>
      <c r="BJ201">
        <v>0</v>
      </c>
      <c r="BK201">
        <v>0</v>
      </c>
      <c r="BL201">
        <v>0</v>
      </c>
      <c r="BM201">
        <v>0</v>
      </c>
      <c r="BN201">
        <v>0</v>
      </c>
      <c r="BO201">
        <v>0</v>
      </c>
      <c r="BP201">
        <v>0</v>
      </c>
      <c r="BQ201">
        <v>0</v>
      </c>
      <c r="BR201">
        <v>0</v>
      </c>
      <c r="BS201">
        <v>0</v>
      </c>
      <c r="BT201">
        <v>0</v>
      </c>
      <c r="BU201">
        <v>0</v>
      </c>
      <c r="BV201">
        <v>0</v>
      </c>
      <c r="BW201">
        <v>0</v>
      </c>
      <c r="CX201">
        <f>Y201*Source!I98</f>
        <v>0</v>
      </c>
      <c r="CY201">
        <f>AB201</f>
        <v>825.19</v>
      </c>
      <c r="CZ201">
        <f>AF201</f>
        <v>97.54</v>
      </c>
      <c r="DA201">
        <f>AJ201</f>
        <v>8.4600000000000009</v>
      </c>
      <c r="DB201">
        <f t="shared" si="32"/>
        <v>4.88</v>
      </c>
      <c r="DC201">
        <f t="shared" si="33"/>
        <v>1.04</v>
      </c>
    </row>
    <row r="202" spans="1:107" x14ac:dyDescent="0.2">
      <c r="A202">
        <f>ROW(Source!A98)</f>
        <v>98</v>
      </c>
      <c r="B202">
        <v>44169784</v>
      </c>
      <c r="C202">
        <v>44170597</v>
      </c>
      <c r="D202">
        <v>34984824</v>
      </c>
      <c r="E202">
        <v>34959076</v>
      </c>
      <c r="F202">
        <v>1</v>
      </c>
      <c r="G202">
        <v>34959076</v>
      </c>
      <c r="H202">
        <v>2</v>
      </c>
      <c r="I202" t="s">
        <v>354</v>
      </c>
      <c r="J202" t="s">
        <v>5</v>
      </c>
      <c r="K202" t="s">
        <v>355</v>
      </c>
      <c r="L202">
        <v>1344</v>
      </c>
      <c r="N202">
        <v>1008</v>
      </c>
      <c r="O202" t="s">
        <v>356</v>
      </c>
      <c r="P202" t="s">
        <v>356</v>
      </c>
      <c r="Q202">
        <v>1</v>
      </c>
      <c r="W202">
        <v>0</v>
      </c>
      <c r="X202">
        <v>-1180195794</v>
      </c>
      <c r="Y202">
        <v>0.12</v>
      </c>
      <c r="AA202">
        <v>0</v>
      </c>
      <c r="AB202">
        <v>1</v>
      </c>
      <c r="AC202">
        <v>0</v>
      </c>
      <c r="AD202">
        <v>0</v>
      </c>
      <c r="AE202">
        <v>0</v>
      </c>
      <c r="AF202">
        <v>1</v>
      </c>
      <c r="AG202">
        <v>0</v>
      </c>
      <c r="AH202">
        <v>0</v>
      </c>
      <c r="AI202">
        <v>1</v>
      </c>
      <c r="AJ202">
        <v>1</v>
      </c>
      <c r="AK202">
        <v>1</v>
      </c>
      <c r="AL202">
        <v>1</v>
      </c>
      <c r="AN202">
        <v>0</v>
      </c>
      <c r="AO202">
        <v>1</v>
      </c>
      <c r="AP202">
        <v>0</v>
      </c>
      <c r="AQ202">
        <v>0</v>
      </c>
      <c r="AR202">
        <v>0</v>
      </c>
      <c r="AS202" t="s">
        <v>5</v>
      </c>
      <c r="AT202">
        <v>0.12</v>
      </c>
      <c r="AU202" t="s">
        <v>5</v>
      </c>
      <c r="AV202">
        <v>0</v>
      </c>
      <c r="AW202">
        <v>2</v>
      </c>
      <c r="AX202">
        <v>44170604</v>
      </c>
      <c r="AY202">
        <v>1</v>
      </c>
      <c r="AZ202">
        <v>0</v>
      </c>
      <c r="BA202">
        <v>201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0</v>
      </c>
      <c r="BI202">
        <v>0</v>
      </c>
      <c r="BJ202">
        <v>0</v>
      </c>
      <c r="BK202">
        <v>0</v>
      </c>
      <c r="BL202">
        <v>0</v>
      </c>
      <c r="BM202">
        <v>0</v>
      </c>
      <c r="BN202">
        <v>0</v>
      </c>
      <c r="BO202">
        <v>0</v>
      </c>
      <c r="BP202">
        <v>0</v>
      </c>
      <c r="BQ202">
        <v>0</v>
      </c>
      <c r="BR202">
        <v>0</v>
      </c>
      <c r="BS202">
        <v>0</v>
      </c>
      <c r="BT202">
        <v>0</v>
      </c>
      <c r="BU202">
        <v>0</v>
      </c>
      <c r="BV202">
        <v>0</v>
      </c>
      <c r="BW202">
        <v>0</v>
      </c>
      <c r="CX202">
        <f>Y202*Source!I98</f>
        <v>0</v>
      </c>
      <c r="CY202">
        <f>AB202</f>
        <v>1</v>
      </c>
      <c r="CZ202">
        <f>AF202</f>
        <v>1</v>
      </c>
      <c r="DA202">
        <f>AJ202</f>
        <v>1</v>
      </c>
      <c r="DB202">
        <f t="shared" si="32"/>
        <v>0.12</v>
      </c>
      <c r="DC202">
        <f t="shared" si="33"/>
        <v>0</v>
      </c>
    </row>
    <row r="203" spans="1:107" x14ac:dyDescent="0.2">
      <c r="A203">
        <f>ROW(Source!A98)</f>
        <v>98</v>
      </c>
      <c r="B203">
        <v>44169784</v>
      </c>
      <c r="C203">
        <v>44170597</v>
      </c>
      <c r="D203">
        <v>35059289</v>
      </c>
      <c r="E203">
        <v>1</v>
      </c>
      <c r="F203">
        <v>1</v>
      </c>
      <c r="G203">
        <v>34959076</v>
      </c>
      <c r="H203">
        <v>3</v>
      </c>
      <c r="I203" t="s">
        <v>235</v>
      </c>
      <c r="J203" t="s">
        <v>237</v>
      </c>
      <c r="K203" t="s">
        <v>236</v>
      </c>
      <c r="L203">
        <v>1339</v>
      </c>
      <c r="N203">
        <v>1007</v>
      </c>
      <c r="O203" t="s">
        <v>59</v>
      </c>
      <c r="P203" t="s">
        <v>59</v>
      </c>
      <c r="Q203">
        <v>1</v>
      </c>
      <c r="W203">
        <v>0</v>
      </c>
      <c r="X203">
        <v>92320855</v>
      </c>
      <c r="Y203">
        <v>15</v>
      </c>
      <c r="AA203">
        <v>850.2</v>
      </c>
      <c r="AB203">
        <v>0</v>
      </c>
      <c r="AC203">
        <v>0</v>
      </c>
      <c r="AD203">
        <v>0</v>
      </c>
      <c r="AE203">
        <v>146.84</v>
      </c>
      <c r="AF203">
        <v>0</v>
      </c>
      <c r="AG203">
        <v>0</v>
      </c>
      <c r="AH203">
        <v>0</v>
      </c>
      <c r="AI203">
        <v>5.79</v>
      </c>
      <c r="AJ203">
        <v>1</v>
      </c>
      <c r="AK203">
        <v>1</v>
      </c>
      <c r="AL203">
        <v>1</v>
      </c>
      <c r="AN203">
        <v>0</v>
      </c>
      <c r="AO203">
        <v>0</v>
      </c>
      <c r="AP203">
        <v>0</v>
      </c>
      <c r="AQ203">
        <v>0</v>
      </c>
      <c r="AR203">
        <v>0</v>
      </c>
      <c r="AS203" t="s">
        <v>5</v>
      </c>
      <c r="AT203">
        <v>15</v>
      </c>
      <c r="AU203" t="s">
        <v>5</v>
      </c>
      <c r="AV203">
        <v>0</v>
      </c>
      <c r="AW203">
        <v>1</v>
      </c>
      <c r="AX203">
        <v>-1</v>
      </c>
      <c r="AY203">
        <v>0</v>
      </c>
      <c r="AZ203">
        <v>0</v>
      </c>
      <c r="BA203" t="s">
        <v>5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0</v>
      </c>
      <c r="BI203">
        <v>0</v>
      </c>
      <c r="BJ203">
        <v>0</v>
      </c>
      <c r="BK203">
        <v>0</v>
      </c>
      <c r="BL203">
        <v>0</v>
      </c>
      <c r="BM203">
        <v>0</v>
      </c>
      <c r="BN203">
        <v>0</v>
      </c>
      <c r="BO203">
        <v>0</v>
      </c>
      <c r="BP203">
        <v>0</v>
      </c>
      <c r="BQ203">
        <v>0</v>
      </c>
      <c r="BR203">
        <v>0</v>
      </c>
      <c r="BS203">
        <v>0</v>
      </c>
      <c r="BT203">
        <v>0</v>
      </c>
      <c r="BU203">
        <v>0</v>
      </c>
      <c r="BV203">
        <v>0</v>
      </c>
      <c r="BW203">
        <v>0</v>
      </c>
      <c r="CX203">
        <f>Y203*Source!I98</f>
        <v>0</v>
      </c>
      <c r="CY203">
        <f>AA203</f>
        <v>850.2</v>
      </c>
      <c r="CZ203">
        <f>AE203</f>
        <v>146.84</v>
      </c>
      <c r="DA203">
        <f>AI203</f>
        <v>5.79</v>
      </c>
      <c r="DB203">
        <f t="shared" si="32"/>
        <v>2202.6</v>
      </c>
      <c r="DC203">
        <f t="shared" si="33"/>
        <v>0</v>
      </c>
    </row>
    <row r="204" spans="1:107" x14ac:dyDescent="0.2">
      <c r="A204">
        <f>ROW(Source!A100)</f>
        <v>100</v>
      </c>
      <c r="B204">
        <v>44169784</v>
      </c>
      <c r="C204">
        <v>44170607</v>
      </c>
      <c r="D204">
        <v>34984826</v>
      </c>
      <c r="E204">
        <v>34959076</v>
      </c>
      <c r="F204">
        <v>1</v>
      </c>
      <c r="G204">
        <v>34959076</v>
      </c>
      <c r="H204">
        <v>1</v>
      </c>
      <c r="I204" t="s">
        <v>341</v>
      </c>
      <c r="J204" t="s">
        <v>5</v>
      </c>
      <c r="K204" t="s">
        <v>342</v>
      </c>
      <c r="L204">
        <v>1191</v>
      </c>
      <c r="N204">
        <v>1013</v>
      </c>
      <c r="O204" t="s">
        <v>343</v>
      </c>
      <c r="P204" t="s">
        <v>343</v>
      </c>
      <c r="Q204">
        <v>1</v>
      </c>
      <c r="W204">
        <v>0</v>
      </c>
      <c r="X204">
        <v>476480486</v>
      </c>
      <c r="Y204">
        <v>40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1</v>
      </c>
      <c r="AJ204">
        <v>1</v>
      </c>
      <c r="AK204">
        <v>1</v>
      </c>
      <c r="AL204">
        <v>1</v>
      </c>
      <c r="AN204">
        <v>0</v>
      </c>
      <c r="AO204">
        <v>1</v>
      </c>
      <c r="AP204">
        <v>1</v>
      </c>
      <c r="AQ204">
        <v>0</v>
      </c>
      <c r="AR204">
        <v>0</v>
      </c>
      <c r="AS204" t="s">
        <v>5</v>
      </c>
      <c r="AT204">
        <v>40</v>
      </c>
      <c r="AU204" t="s">
        <v>5</v>
      </c>
      <c r="AV204">
        <v>1</v>
      </c>
      <c r="AW204">
        <v>2</v>
      </c>
      <c r="AX204">
        <v>44170612</v>
      </c>
      <c r="AY204">
        <v>1</v>
      </c>
      <c r="AZ204">
        <v>0</v>
      </c>
      <c r="BA204">
        <v>203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0</v>
      </c>
      <c r="BI204">
        <v>0</v>
      </c>
      <c r="BJ204">
        <v>0</v>
      </c>
      <c r="BK204">
        <v>0</v>
      </c>
      <c r="BL204">
        <v>0</v>
      </c>
      <c r="BM204">
        <v>0</v>
      </c>
      <c r="BN204">
        <v>0</v>
      </c>
      <c r="BO204">
        <v>0</v>
      </c>
      <c r="BP204">
        <v>0</v>
      </c>
      <c r="BQ204">
        <v>0</v>
      </c>
      <c r="BR204">
        <v>0</v>
      </c>
      <c r="BS204">
        <v>0</v>
      </c>
      <c r="BT204">
        <v>0</v>
      </c>
      <c r="BU204">
        <v>0</v>
      </c>
      <c r="BV204">
        <v>0</v>
      </c>
      <c r="BW204">
        <v>0</v>
      </c>
      <c r="CX204">
        <f>Y204*Source!I100</f>
        <v>204.036</v>
      </c>
      <c r="CY204">
        <f>AD204</f>
        <v>0</v>
      </c>
      <c r="CZ204">
        <f>AH204</f>
        <v>0</v>
      </c>
      <c r="DA204">
        <f>AL204</f>
        <v>1</v>
      </c>
      <c r="DB204">
        <f t="shared" si="32"/>
        <v>0</v>
      </c>
      <c r="DC204">
        <f t="shared" si="33"/>
        <v>0</v>
      </c>
    </row>
    <row r="205" spans="1:107" x14ac:dyDescent="0.2">
      <c r="A205">
        <f>ROW(Source!A100)</f>
        <v>100</v>
      </c>
      <c r="B205">
        <v>44169784</v>
      </c>
      <c r="C205">
        <v>44170607</v>
      </c>
      <c r="D205">
        <v>35059289</v>
      </c>
      <c r="E205">
        <v>1</v>
      </c>
      <c r="F205">
        <v>1</v>
      </c>
      <c r="G205">
        <v>34959076</v>
      </c>
      <c r="H205">
        <v>3</v>
      </c>
      <c r="I205" t="s">
        <v>235</v>
      </c>
      <c r="J205" t="s">
        <v>237</v>
      </c>
      <c r="K205" t="s">
        <v>236</v>
      </c>
      <c r="L205">
        <v>1339</v>
      </c>
      <c r="N205">
        <v>1007</v>
      </c>
      <c r="O205" t="s">
        <v>59</v>
      </c>
      <c r="P205" t="s">
        <v>59</v>
      </c>
      <c r="Q205">
        <v>1</v>
      </c>
      <c r="W205">
        <v>0</v>
      </c>
      <c r="X205">
        <v>92320855</v>
      </c>
      <c r="Y205">
        <v>15</v>
      </c>
      <c r="AA205">
        <v>850.2</v>
      </c>
      <c r="AB205">
        <v>0</v>
      </c>
      <c r="AC205">
        <v>0</v>
      </c>
      <c r="AD205">
        <v>0</v>
      </c>
      <c r="AE205">
        <v>146.84</v>
      </c>
      <c r="AF205">
        <v>0</v>
      </c>
      <c r="AG205">
        <v>0</v>
      </c>
      <c r="AH205">
        <v>0</v>
      </c>
      <c r="AI205">
        <v>5.79</v>
      </c>
      <c r="AJ205">
        <v>1</v>
      </c>
      <c r="AK205">
        <v>1</v>
      </c>
      <c r="AL205">
        <v>1</v>
      </c>
      <c r="AN205">
        <v>0</v>
      </c>
      <c r="AO205">
        <v>0</v>
      </c>
      <c r="AP205">
        <v>0</v>
      </c>
      <c r="AQ205">
        <v>0</v>
      </c>
      <c r="AR205">
        <v>0</v>
      </c>
      <c r="AS205" t="s">
        <v>5</v>
      </c>
      <c r="AT205">
        <v>15</v>
      </c>
      <c r="AU205" t="s">
        <v>5</v>
      </c>
      <c r="AV205">
        <v>0</v>
      </c>
      <c r="AW205">
        <v>1</v>
      </c>
      <c r="AX205">
        <v>-1</v>
      </c>
      <c r="AY205">
        <v>0</v>
      </c>
      <c r="AZ205">
        <v>0</v>
      </c>
      <c r="BA205" t="s">
        <v>5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0</v>
      </c>
      <c r="BI205">
        <v>0</v>
      </c>
      <c r="BJ205">
        <v>0</v>
      </c>
      <c r="BK205">
        <v>0</v>
      </c>
      <c r="BL205">
        <v>0</v>
      </c>
      <c r="BM205">
        <v>0</v>
      </c>
      <c r="BN205">
        <v>0</v>
      </c>
      <c r="BO205">
        <v>0</v>
      </c>
      <c r="BP205">
        <v>0</v>
      </c>
      <c r="BQ205">
        <v>0</v>
      </c>
      <c r="BR205">
        <v>0</v>
      </c>
      <c r="BS205">
        <v>0</v>
      </c>
      <c r="BT205">
        <v>0</v>
      </c>
      <c r="BU205">
        <v>0</v>
      </c>
      <c r="BV205">
        <v>0</v>
      </c>
      <c r="BW205">
        <v>0</v>
      </c>
      <c r="CX205">
        <f>Y205*Source!I100</f>
        <v>76.513500000000008</v>
      </c>
      <c r="CY205">
        <f>AA205</f>
        <v>850.2</v>
      </c>
      <c r="CZ205">
        <f>AE205</f>
        <v>146.84</v>
      </c>
      <c r="DA205">
        <f>AI205</f>
        <v>5.79</v>
      </c>
      <c r="DB205">
        <f t="shared" si="32"/>
        <v>2202.6</v>
      </c>
      <c r="DC205">
        <f t="shared" si="33"/>
        <v>0</v>
      </c>
    </row>
    <row r="206" spans="1:107" x14ac:dyDescent="0.2">
      <c r="A206">
        <f>ROW(Source!A102)</f>
        <v>102</v>
      </c>
      <c r="B206">
        <v>44169784</v>
      </c>
      <c r="C206">
        <v>44170615</v>
      </c>
      <c r="D206">
        <v>34984826</v>
      </c>
      <c r="E206">
        <v>34959076</v>
      </c>
      <c r="F206">
        <v>1</v>
      </c>
      <c r="G206">
        <v>34959076</v>
      </c>
      <c r="H206">
        <v>1</v>
      </c>
      <c r="I206" t="s">
        <v>341</v>
      </c>
      <c r="J206" t="s">
        <v>5</v>
      </c>
      <c r="K206" t="s">
        <v>342</v>
      </c>
      <c r="L206">
        <v>1191</v>
      </c>
      <c r="N206">
        <v>1013</v>
      </c>
      <c r="O206" t="s">
        <v>343</v>
      </c>
      <c r="P206" t="s">
        <v>343</v>
      </c>
      <c r="Q206">
        <v>1</v>
      </c>
      <c r="W206">
        <v>0</v>
      </c>
      <c r="X206">
        <v>476480486</v>
      </c>
      <c r="Y206">
        <v>5.47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1</v>
      </c>
      <c r="AJ206">
        <v>1</v>
      </c>
      <c r="AK206">
        <v>1</v>
      </c>
      <c r="AL206">
        <v>1</v>
      </c>
      <c r="AN206">
        <v>0</v>
      </c>
      <c r="AO206">
        <v>1</v>
      </c>
      <c r="AP206">
        <v>1</v>
      </c>
      <c r="AQ206">
        <v>0</v>
      </c>
      <c r="AR206">
        <v>0</v>
      </c>
      <c r="AS206" t="s">
        <v>5</v>
      </c>
      <c r="AT206">
        <v>5.47</v>
      </c>
      <c r="AU206" t="s">
        <v>5</v>
      </c>
      <c r="AV206">
        <v>1</v>
      </c>
      <c r="AW206">
        <v>2</v>
      </c>
      <c r="AX206">
        <v>44170620</v>
      </c>
      <c r="AY206">
        <v>1</v>
      </c>
      <c r="AZ206">
        <v>0</v>
      </c>
      <c r="BA206">
        <v>205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0</v>
      </c>
      <c r="BI206">
        <v>0</v>
      </c>
      <c r="BJ206">
        <v>0</v>
      </c>
      <c r="BK206">
        <v>0</v>
      </c>
      <c r="BL206">
        <v>0</v>
      </c>
      <c r="BM206">
        <v>0</v>
      </c>
      <c r="BN206">
        <v>0</v>
      </c>
      <c r="BO206">
        <v>0</v>
      </c>
      <c r="BP206">
        <v>0</v>
      </c>
      <c r="BQ206">
        <v>0</v>
      </c>
      <c r="BR206">
        <v>0</v>
      </c>
      <c r="BS206">
        <v>0</v>
      </c>
      <c r="BT206">
        <v>0</v>
      </c>
      <c r="BU206">
        <v>0</v>
      </c>
      <c r="BV206">
        <v>0</v>
      </c>
      <c r="BW206">
        <v>0</v>
      </c>
      <c r="CX206">
        <f>Y206*Source!I102</f>
        <v>-27.901923</v>
      </c>
      <c r="CY206">
        <f>AD206</f>
        <v>0</v>
      </c>
      <c r="CZ206">
        <f>AH206</f>
        <v>0</v>
      </c>
      <c r="DA206">
        <f>AL206</f>
        <v>1</v>
      </c>
      <c r="DB206">
        <f t="shared" si="32"/>
        <v>0</v>
      </c>
      <c r="DC206">
        <f t="shared" si="33"/>
        <v>0</v>
      </c>
    </row>
    <row r="207" spans="1:107" x14ac:dyDescent="0.2">
      <c r="A207">
        <f>ROW(Source!A102)</f>
        <v>102</v>
      </c>
      <c r="B207">
        <v>44169784</v>
      </c>
      <c r="C207">
        <v>44170615</v>
      </c>
      <c r="D207">
        <v>35059289</v>
      </c>
      <c r="E207">
        <v>1</v>
      </c>
      <c r="F207">
        <v>1</v>
      </c>
      <c r="G207">
        <v>34959076</v>
      </c>
      <c r="H207">
        <v>3</v>
      </c>
      <c r="I207" t="s">
        <v>235</v>
      </c>
      <c r="J207" t="s">
        <v>237</v>
      </c>
      <c r="K207" t="s">
        <v>236</v>
      </c>
      <c r="L207">
        <v>1339</v>
      </c>
      <c r="N207">
        <v>1007</v>
      </c>
      <c r="O207" t="s">
        <v>59</v>
      </c>
      <c r="P207" t="s">
        <v>59</v>
      </c>
      <c r="Q207">
        <v>1</v>
      </c>
      <c r="W207">
        <v>0</v>
      </c>
      <c r="X207">
        <v>92320855</v>
      </c>
      <c r="Y207">
        <v>5</v>
      </c>
      <c r="AA207">
        <v>850.2</v>
      </c>
      <c r="AB207">
        <v>0</v>
      </c>
      <c r="AC207">
        <v>0</v>
      </c>
      <c r="AD207">
        <v>0</v>
      </c>
      <c r="AE207">
        <v>146.84</v>
      </c>
      <c r="AF207">
        <v>0</v>
      </c>
      <c r="AG207">
        <v>0</v>
      </c>
      <c r="AH207">
        <v>0</v>
      </c>
      <c r="AI207">
        <v>5.79</v>
      </c>
      <c r="AJ207">
        <v>1</v>
      </c>
      <c r="AK207">
        <v>1</v>
      </c>
      <c r="AL207">
        <v>1</v>
      </c>
      <c r="AN207">
        <v>0</v>
      </c>
      <c r="AO207">
        <v>0</v>
      </c>
      <c r="AP207">
        <v>0</v>
      </c>
      <c r="AQ207">
        <v>0</v>
      </c>
      <c r="AR207">
        <v>0</v>
      </c>
      <c r="AS207" t="s">
        <v>5</v>
      </c>
      <c r="AT207">
        <v>5</v>
      </c>
      <c r="AU207" t="s">
        <v>5</v>
      </c>
      <c r="AV207">
        <v>0</v>
      </c>
      <c r="AW207">
        <v>1</v>
      </c>
      <c r="AX207">
        <v>-1</v>
      </c>
      <c r="AY207">
        <v>0</v>
      </c>
      <c r="AZ207">
        <v>0</v>
      </c>
      <c r="BA207" t="s">
        <v>5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0</v>
      </c>
      <c r="BI207">
        <v>0</v>
      </c>
      <c r="BJ207">
        <v>0</v>
      </c>
      <c r="BK207">
        <v>0</v>
      </c>
      <c r="BL207">
        <v>0</v>
      </c>
      <c r="BM207">
        <v>0</v>
      </c>
      <c r="BN207">
        <v>0</v>
      </c>
      <c r="BO207">
        <v>0</v>
      </c>
      <c r="BP207">
        <v>0</v>
      </c>
      <c r="BQ207">
        <v>0</v>
      </c>
      <c r="BR207">
        <v>0</v>
      </c>
      <c r="BS207">
        <v>0</v>
      </c>
      <c r="BT207">
        <v>0</v>
      </c>
      <c r="BU207">
        <v>0</v>
      </c>
      <c r="BV207">
        <v>0</v>
      </c>
      <c r="BW207">
        <v>0</v>
      </c>
      <c r="CX207">
        <f>Y207*Source!I102</f>
        <v>-25.5045</v>
      </c>
      <c r="CY207">
        <f>AA207</f>
        <v>850.2</v>
      </c>
      <c r="CZ207">
        <f>AE207</f>
        <v>146.84</v>
      </c>
      <c r="DA207">
        <f>AI207</f>
        <v>5.79</v>
      </c>
      <c r="DB207">
        <f t="shared" si="32"/>
        <v>734.2</v>
      </c>
      <c r="DC207">
        <f t="shared" si="33"/>
        <v>0</v>
      </c>
    </row>
    <row r="208" spans="1:107" x14ac:dyDescent="0.2">
      <c r="A208">
        <f>ROW(Source!A104)</f>
        <v>104</v>
      </c>
      <c r="B208">
        <v>44169784</v>
      </c>
      <c r="C208">
        <v>44170623</v>
      </c>
      <c r="D208">
        <v>34984826</v>
      </c>
      <c r="E208">
        <v>34959076</v>
      </c>
      <c r="F208">
        <v>1</v>
      </c>
      <c r="G208">
        <v>34959076</v>
      </c>
      <c r="H208">
        <v>1</v>
      </c>
      <c r="I208" t="s">
        <v>341</v>
      </c>
      <c r="J208" t="s">
        <v>5</v>
      </c>
      <c r="K208" t="s">
        <v>342</v>
      </c>
      <c r="L208">
        <v>1191</v>
      </c>
      <c r="N208">
        <v>1013</v>
      </c>
      <c r="O208" t="s">
        <v>343</v>
      </c>
      <c r="P208" t="s">
        <v>343</v>
      </c>
      <c r="Q208">
        <v>1</v>
      </c>
      <c r="W208">
        <v>0</v>
      </c>
      <c r="X208">
        <v>476480486</v>
      </c>
      <c r="Y208">
        <v>5.25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1</v>
      </c>
      <c r="AJ208">
        <v>1</v>
      </c>
      <c r="AK208">
        <v>1</v>
      </c>
      <c r="AL208">
        <v>1</v>
      </c>
      <c r="AN208">
        <v>0</v>
      </c>
      <c r="AO208">
        <v>1</v>
      </c>
      <c r="AP208">
        <v>1</v>
      </c>
      <c r="AQ208">
        <v>0</v>
      </c>
      <c r="AR208">
        <v>0</v>
      </c>
      <c r="AS208" t="s">
        <v>5</v>
      </c>
      <c r="AT208">
        <v>5.25</v>
      </c>
      <c r="AU208" t="s">
        <v>5</v>
      </c>
      <c r="AV208">
        <v>1</v>
      </c>
      <c r="AW208">
        <v>2</v>
      </c>
      <c r="AX208">
        <v>44170630</v>
      </c>
      <c r="AY208">
        <v>1</v>
      </c>
      <c r="AZ208">
        <v>0</v>
      </c>
      <c r="BA208">
        <v>207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0</v>
      </c>
      <c r="BI208">
        <v>0</v>
      </c>
      <c r="BJ208">
        <v>0</v>
      </c>
      <c r="BK208">
        <v>0</v>
      </c>
      <c r="BL208">
        <v>0</v>
      </c>
      <c r="BM208">
        <v>0</v>
      </c>
      <c r="BN208">
        <v>0</v>
      </c>
      <c r="BO208">
        <v>0</v>
      </c>
      <c r="BP208">
        <v>0</v>
      </c>
      <c r="BQ208">
        <v>0</v>
      </c>
      <c r="BR208">
        <v>0</v>
      </c>
      <c r="BS208">
        <v>0</v>
      </c>
      <c r="BT208">
        <v>0</v>
      </c>
      <c r="BU208">
        <v>0</v>
      </c>
      <c r="BV208">
        <v>0</v>
      </c>
      <c r="BW208">
        <v>0</v>
      </c>
      <c r="CX208">
        <f>Y208*Source!I104</f>
        <v>26.779725000000003</v>
      </c>
      <c r="CY208">
        <f>AD208</f>
        <v>0</v>
      </c>
      <c r="CZ208">
        <f>AH208</f>
        <v>0</v>
      </c>
      <c r="DA208">
        <f>AL208</f>
        <v>1</v>
      </c>
      <c r="DB208">
        <f t="shared" si="32"/>
        <v>0</v>
      </c>
      <c r="DC208">
        <f t="shared" si="33"/>
        <v>0</v>
      </c>
    </row>
    <row r="209" spans="1:107" x14ac:dyDescent="0.2">
      <c r="A209">
        <f>ROW(Source!A104)</f>
        <v>104</v>
      </c>
      <c r="B209">
        <v>44169784</v>
      </c>
      <c r="C209">
        <v>44170623</v>
      </c>
      <c r="D209">
        <v>0</v>
      </c>
      <c r="E209">
        <v>1</v>
      </c>
      <c r="F209">
        <v>1</v>
      </c>
      <c r="G209">
        <v>34959076</v>
      </c>
      <c r="H209">
        <v>3</v>
      </c>
      <c r="I209" t="s">
        <v>378</v>
      </c>
      <c r="J209" t="s">
        <v>379</v>
      </c>
      <c r="K209" t="s">
        <v>380</v>
      </c>
      <c r="L209">
        <v>1339</v>
      </c>
      <c r="N209">
        <v>1007</v>
      </c>
      <c r="O209" t="s">
        <v>59</v>
      </c>
      <c r="P209" t="s">
        <v>59</v>
      </c>
      <c r="Q209">
        <v>1</v>
      </c>
      <c r="W209">
        <v>0</v>
      </c>
      <c r="X209">
        <v>55300385</v>
      </c>
      <c r="Y209">
        <v>10</v>
      </c>
      <c r="AA209">
        <v>7.07</v>
      </c>
      <c r="AB209">
        <v>0</v>
      </c>
      <c r="AC209">
        <v>0</v>
      </c>
      <c r="AD209">
        <v>0</v>
      </c>
      <c r="AE209">
        <v>7.07</v>
      </c>
      <c r="AF209">
        <v>0</v>
      </c>
      <c r="AG209">
        <v>0</v>
      </c>
      <c r="AH209">
        <v>0</v>
      </c>
      <c r="AI209">
        <v>1</v>
      </c>
      <c r="AJ209">
        <v>1</v>
      </c>
      <c r="AK209">
        <v>1</v>
      </c>
      <c r="AL209">
        <v>1</v>
      </c>
      <c r="AN209">
        <v>0</v>
      </c>
      <c r="AO209">
        <v>1</v>
      </c>
      <c r="AP209">
        <v>0</v>
      </c>
      <c r="AQ209">
        <v>0</v>
      </c>
      <c r="AR209">
        <v>0</v>
      </c>
      <c r="AS209" t="s">
        <v>5</v>
      </c>
      <c r="AT209">
        <v>10</v>
      </c>
      <c r="AU209" t="s">
        <v>5</v>
      </c>
      <c r="AV209">
        <v>0</v>
      </c>
      <c r="AW209">
        <v>2</v>
      </c>
      <c r="AX209">
        <v>44170631</v>
      </c>
      <c r="AY209">
        <v>1</v>
      </c>
      <c r="AZ209">
        <v>0</v>
      </c>
      <c r="BA209">
        <v>208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0</v>
      </c>
      <c r="BI209">
        <v>0</v>
      </c>
      <c r="BJ209">
        <v>0</v>
      </c>
      <c r="BK209">
        <v>0</v>
      </c>
      <c r="BL209">
        <v>0</v>
      </c>
      <c r="BM209">
        <v>0</v>
      </c>
      <c r="BN209">
        <v>0</v>
      </c>
      <c r="BO209">
        <v>0</v>
      </c>
      <c r="BP209">
        <v>0</v>
      </c>
      <c r="BQ209">
        <v>0</v>
      </c>
      <c r="BR209">
        <v>0</v>
      </c>
      <c r="BS209">
        <v>0</v>
      </c>
      <c r="BT209">
        <v>0</v>
      </c>
      <c r="BU209">
        <v>0</v>
      </c>
      <c r="BV209">
        <v>0</v>
      </c>
      <c r="BW209">
        <v>0</v>
      </c>
      <c r="CX209">
        <f>Y209*Source!I104</f>
        <v>51.009</v>
      </c>
      <c r="CY209">
        <f>AA209</f>
        <v>7.07</v>
      </c>
      <c r="CZ209">
        <f>AE209</f>
        <v>7.07</v>
      </c>
      <c r="DA209">
        <f>AI209</f>
        <v>1</v>
      </c>
      <c r="DB209">
        <f t="shared" si="32"/>
        <v>70.7</v>
      </c>
      <c r="DC209">
        <f t="shared" si="33"/>
        <v>0</v>
      </c>
    </row>
    <row r="210" spans="1:107" x14ac:dyDescent="0.2">
      <c r="A210">
        <f>ROW(Source!A104)</f>
        <v>104</v>
      </c>
      <c r="B210">
        <v>44169784</v>
      </c>
      <c r="C210">
        <v>44170623</v>
      </c>
      <c r="D210">
        <v>35059285</v>
      </c>
      <c r="E210">
        <v>1</v>
      </c>
      <c r="F210">
        <v>1</v>
      </c>
      <c r="G210">
        <v>34959076</v>
      </c>
      <c r="H210">
        <v>3</v>
      </c>
      <c r="I210" t="s">
        <v>253</v>
      </c>
      <c r="J210" t="s">
        <v>256</v>
      </c>
      <c r="K210" t="s">
        <v>254</v>
      </c>
      <c r="L210">
        <v>1346</v>
      </c>
      <c r="N210">
        <v>1009</v>
      </c>
      <c r="O210" t="s">
        <v>255</v>
      </c>
      <c r="P210" t="s">
        <v>255</v>
      </c>
      <c r="Q210">
        <v>1</v>
      </c>
      <c r="W210">
        <v>0</v>
      </c>
      <c r="X210">
        <v>735025367</v>
      </c>
      <c r="Y210">
        <v>4</v>
      </c>
      <c r="AA210">
        <v>99.64</v>
      </c>
      <c r="AB210">
        <v>0</v>
      </c>
      <c r="AC210">
        <v>0</v>
      </c>
      <c r="AD210">
        <v>0</v>
      </c>
      <c r="AE210">
        <v>57.93</v>
      </c>
      <c r="AF210">
        <v>0</v>
      </c>
      <c r="AG210">
        <v>0</v>
      </c>
      <c r="AH210">
        <v>0</v>
      </c>
      <c r="AI210">
        <v>1.72</v>
      </c>
      <c r="AJ210">
        <v>1</v>
      </c>
      <c r="AK210">
        <v>1</v>
      </c>
      <c r="AL210">
        <v>1</v>
      </c>
      <c r="AN210">
        <v>0</v>
      </c>
      <c r="AO210">
        <v>0</v>
      </c>
      <c r="AP210">
        <v>0</v>
      </c>
      <c r="AQ210">
        <v>0</v>
      </c>
      <c r="AR210">
        <v>0</v>
      </c>
      <c r="AS210" t="s">
        <v>5</v>
      </c>
      <c r="AT210">
        <v>4</v>
      </c>
      <c r="AU210" t="s">
        <v>5</v>
      </c>
      <c r="AV210">
        <v>0</v>
      </c>
      <c r="AW210">
        <v>1</v>
      </c>
      <c r="AX210">
        <v>-1</v>
      </c>
      <c r="AY210">
        <v>0</v>
      </c>
      <c r="AZ210">
        <v>0</v>
      </c>
      <c r="BA210" t="s">
        <v>5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0</v>
      </c>
      <c r="BI210">
        <v>0</v>
      </c>
      <c r="BJ210">
        <v>0</v>
      </c>
      <c r="BK210">
        <v>0</v>
      </c>
      <c r="BL210">
        <v>0</v>
      </c>
      <c r="BM210">
        <v>0</v>
      </c>
      <c r="BN210">
        <v>0</v>
      </c>
      <c r="BO210">
        <v>0</v>
      </c>
      <c r="BP210">
        <v>0</v>
      </c>
      <c r="BQ210">
        <v>0</v>
      </c>
      <c r="BR210">
        <v>0</v>
      </c>
      <c r="BS210">
        <v>0</v>
      </c>
      <c r="BT210">
        <v>0</v>
      </c>
      <c r="BU210">
        <v>0</v>
      </c>
      <c r="BV210">
        <v>0</v>
      </c>
      <c r="BW210">
        <v>0</v>
      </c>
      <c r="CX210">
        <f>Y210*Source!I104</f>
        <v>20.403600000000001</v>
      </c>
      <c r="CY210">
        <f>AA210</f>
        <v>99.64</v>
      </c>
      <c r="CZ210">
        <f>AE210</f>
        <v>57.93</v>
      </c>
      <c r="DA210">
        <f>AI210</f>
        <v>1.72</v>
      </c>
      <c r="DB210">
        <f t="shared" si="32"/>
        <v>231.72</v>
      </c>
      <c r="DC210">
        <f t="shared" si="33"/>
        <v>0</v>
      </c>
    </row>
    <row r="211" spans="1:107" x14ac:dyDescent="0.2">
      <c r="A211">
        <f>ROW(Source!A144)</f>
        <v>144</v>
      </c>
      <c r="B211">
        <v>44169784</v>
      </c>
      <c r="C211">
        <v>44170634</v>
      </c>
      <c r="D211">
        <v>34984824</v>
      </c>
      <c r="E211">
        <v>34959076</v>
      </c>
      <c r="F211">
        <v>1</v>
      </c>
      <c r="G211">
        <v>34959076</v>
      </c>
      <c r="H211">
        <v>2</v>
      </c>
      <c r="I211" t="s">
        <v>354</v>
      </c>
      <c r="J211" t="s">
        <v>5</v>
      </c>
      <c r="K211" t="s">
        <v>355</v>
      </c>
      <c r="L211">
        <v>1344</v>
      </c>
      <c r="N211">
        <v>1008</v>
      </c>
      <c r="O211" t="s">
        <v>356</v>
      </c>
      <c r="P211" t="s">
        <v>356</v>
      </c>
      <c r="Q211">
        <v>1</v>
      </c>
      <c r="W211">
        <v>0</v>
      </c>
      <c r="X211">
        <v>-1180195794</v>
      </c>
      <c r="Y211">
        <v>34.29</v>
      </c>
      <c r="AA211">
        <v>0</v>
      </c>
      <c r="AB211">
        <v>1</v>
      </c>
      <c r="AC211">
        <v>0</v>
      </c>
      <c r="AD211">
        <v>0</v>
      </c>
      <c r="AE211">
        <v>0</v>
      </c>
      <c r="AF211">
        <v>1</v>
      </c>
      <c r="AG211">
        <v>0</v>
      </c>
      <c r="AH211">
        <v>0</v>
      </c>
      <c r="AI211">
        <v>1</v>
      </c>
      <c r="AJ211">
        <v>1</v>
      </c>
      <c r="AK211">
        <v>1</v>
      </c>
      <c r="AL211">
        <v>1</v>
      </c>
      <c r="AN211">
        <v>0</v>
      </c>
      <c r="AO211">
        <v>1</v>
      </c>
      <c r="AP211">
        <v>0</v>
      </c>
      <c r="AQ211">
        <v>0</v>
      </c>
      <c r="AR211">
        <v>0</v>
      </c>
      <c r="AS211" t="s">
        <v>5</v>
      </c>
      <c r="AT211">
        <v>34.29</v>
      </c>
      <c r="AU211" t="s">
        <v>5</v>
      </c>
      <c r="AV211">
        <v>0</v>
      </c>
      <c r="AW211">
        <v>2</v>
      </c>
      <c r="AX211">
        <v>44170636</v>
      </c>
      <c r="AY211">
        <v>1</v>
      </c>
      <c r="AZ211">
        <v>0</v>
      </c>
      <c r="BA211">
        <v>210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0</v>
      </c>
      <c r="BI211">
        <v>0</v>
      </c>
      <c r="BJ211">
        <v>0</v>
      </c>
      <c r="BK211">
        <v>0</v>
      </c>
      <c r="BL211">
        <v>0</v>
      </c>
      <c r="BM211">
        <v>0</v>
      </c>
      <c r="BN211">
        <v>0</v>
      </c>
      <c r="BO211">
        <v>0</v>
      </c>
      <c r="BP211">
        <v>0</v>
      </c>
      <c r="BQ211">
        <v>0</v>
      </c>
      <c r="BR211">
        <v>0</v>
      </c>
      <c r="BS211">
        <v>0</v>
      </c>
      <c r="BT211">
        <v>0</v>
      </c>
      <c r="BU211">
        <v>0</v>
      </c>
      <c r="BV211">
        <v>0</v>
      </c>
      <c r="BW211">
        <v>0</v>
      </c>
      <c r="CX211">
        <f>Y211*Source!I144</f>
        <v>4948.0655166000006</v>
      </c>
      <c r="CY211">
        <f>AB211</f>
        <v>1</v>
      </c>
      <c r="CZ211">
        <f>AF211</f>
        <v>1</v>
      </c>
      <c r="DA211">
        <f>AJ211</f>
        <v>1</v>
      </c>
      <c r="DB211">
        <f t="shared" si="32"/>
        <v>34.29</v>
      </c>
      <c r="DC211">
        <f t="shared" si="33"/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211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44" x14ac:dyDescent="0.2">
      <c r="A1">
        <f>ROW(Source!A29)</f>
        <v>29</v>
      </c>
      <c r="B1">
        <v>44169974</v>
      </c>
      <c r="C1">
        <v>44169963</v>
      </c>
      <c r="D1">
        <v>34984826</v>
      </c>
      <c r="E1">
        <v>34959076</v>
      </c>
      <c r="F1">
        <v>1</v>
      </c>
      <c r="G1">
        <v>34959076</v>
      </c>
      <c r="H1">
        <v>1</v>
      </c>
      <c r="I1" t="s">
        <v>341</v>
      </c>
      <c r="J1" t="s">
        <v>5</v>
      </c>
      <c r="K1" t="s">
        <v>342</v>
      </c>
      <c r="L1">
        <v>1191</v>
      </c>
      <c r="N1">
        <v>1013</v>
      </c>
      <c r="O1" t="s">
        <v>343</v>
      </c>
      <c r="P1" t="s">
        <v>343</v>
      </c>
      <c r="Q1">
        <v>1</v>
      </c>
      <c r="X1">
        <v>155</v>
      </c>
      <c r="Y1">
        <v>0</v>
      </c>
      <c r="Z1">
        <v>0</v>
      </c>
      <c r="AA1">
        <v>0</v>
      </c>
      <c r="AB1">
        <v>0</v>
      </c>
      <c r="AC1">
        <v>0</v>
      </c>
      <c r="AD1">
        <v>1</v>
      </c>
      <c r="AE1">
        <v>1</v>
      </c>
      <c r="AF1" t="s">
        <v>5</v>
      </c>
      <c r="AG1">
        <v>155</v>
      </c>
      <c r="AH1">
        <v>2</v>
      </c>
      <c r="AI1">
        <v>44169964</v>
      </c>
      <c r="AJ1">
        <v>1</v>
      </c>
      <c r="AK1">
        <v>0</v>
      </c>
      <c r="AL1">
        <v>0</v>
      </c>
      <c r="AM1">
        <v>0</v>
      </c>
      <c r="AN1">
        <v>0</v>
      </c>
      <c r="AO1">
        <v>0</v>
      </c>
      <c r="AP1">
        <v>0</v>
      </c>
      <c r="AQ1">
        <v>0</v>
      </c>
      <c r="AR1">
        <v>0</v>
      </c>
    </row>
    <row r="2" spans="1:44" x14ac:dyDescent="0.2">
      <c r="A2">
        <f>ROW(Source!A29)</f>
        <v>29</v>
      </c>
      <c r="B2">
        <v>44169975</v>
      </c>
      <c r="C2">
        <v>44169963</v>
      </c>
      <c r="D2">
        <v>35065073</v>
      </c>
      <c r="E2">
        <v>1</v>
      </c>
      <c r="F2">
        <v>1</v>
      </c>
      <c r="G2">
        <v>34959076</v>
      </c>
      <c r="H2">
        <v>2</v>
      </c>
      <c r="I2" t="s">
        <v>344</v>
      </c>
      <c r="J2" t="s">
        <v>345</v>
      </c>
      <c r="K2" t="s">
        <v>346</v>
      </c>
      <c r="L2">
        <v>1367</v>
      </c>
      <c r="N2">
        <v>1011</v>
      </c>
      <c r="O2" t="s">
        <v>347</v>
      </c>
      <c r="P2" t="s">
        <v>347</v>
      </c>
      <c r="Q2">
        <v>1</v>
      </c>
      <c r="X2">
        <v>37.5</v>
      </c>
      <c r="Y2">
        <v>0</v>
      </c>
      <c r="Z2">
        <v>60.77</v>
      </c>
      <c r="AA2">
        <v>18.48</v>
      </c>
      <c r="AB2">
        <v>0</v>
      </c>
      <c r="AC2">
        <v>0</v>
      </c>
      <c r="AD2">
        <v>1</v>
      </c>
      <c r="AE2">
        <v>0</v>
      </c>
      <c r="AF2" t="s">
        <v>5</v>
      </c>
      <c r="AG2">
        <v>37.5</v>
      </c>
      <c r="AH2">
        <v>2</v>
      </c>
      <c r="AI2">
        <v>44169965</v>
      </c>
      <c r="AJ2">
        <v>2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</row>
    <row r="3" spans="1:44" x14ac:dyDescent="0.2">
      <c r="A3">
        <f>ROW(Source!A29)</f>
        <v>29</v>
      </c>
      <c r="B3">
        <v>44169976</v>
      </c>
      <c r="C3">
        <v>44169963</v>
      </c>
      <c r="D3">
        <v>35065539</v>
      </c>
      <c r="E3">
        <v>1</v>
      </c>
      <c r="F3">
        <v>1</v>
      </c>
      <c r="G3">
        <v>34959076</v>
      </c>
      <c r="H3">
        <v>2</v>
      </c>
      <c r="I3" t="s">
        <v>348</v>
      </c>
      <c r="J3" t="s">
        <v>349</v>
      </c>
      <c r="K3" t="s">
        <v>350</v>
      </c>
      <c r="L3">
        <v>1367</v>
      </c>
      <c r="N3">
        <v>1011</v>
      </c>
      <c r="O3" t="s">
        <v>347</v>
      </c>
      <c r="P3" t="s">
        <v>347</v>
      </c>
      <c r="Q3">
        <v>1</v>
      </c>
      <c r="X3">
        <v>75</v>
      </c>
      <c r="Y3">
        <v>0</v>
      </c>
      <c r="Z3">
        <v>3.16</v>
      </c>
      <c r="AA3">
        <v>0.04</v>
      </c>
      <c r="AB3">
        <v>0</v>
      </c>
      <c r="AC3">
        <v>0</v>
      </c>
      <c r="AD3">
        <v>1</v>
      </c>
      <c r="AE3">
        <v>0</v>
      </c>
      <c r="AF3" t="s">
        <v>5</v>
      </c>
      <c r="AG3">
        <v>75</v>
      </c>
      <c r="AH3">
        <v>2</v>
      </c>
      <c r="AI3">
        <v>44169966</v>
      </c>
      <c r="AJ3">
        <v>3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</row>
    <row r="4" spans="1:44" x14ac:dyDescent="0.2">
      <c r="A4">
        <f>ROW(Source!A29)</f>
        <v>29</v>
      </c>
      <c r="B4">
        <v>44169977</v>
      </c>
      <c r="C4">
        <v>44169963</v>
      </c>
      <c r="D4">
        <v>35064906</v>
      </c>
      <c r="E4">
        <v>1</v>
      </c>
      <c r="F4">
        <v>1</v>
      </c>
      <c r="G4">
        <v>34959076</v>
      </c>
      <c r="H4">
        <v>2</v>
      </c>
      <c r="I4" t="s">
        <v>351</v>
      </c>
      <c r="J4" t="s">
        <v>352</v>
      </c>
      <c r="K4" t="s">
        <v>353</v>
      </c>
      <c r="L4">
        <v>1367</v>
      </c>
      <c r="N4">
        <v>1011</v>
      </c>
      <c r="O4" t="s">
        <v>347</v>
      </c>
      <c r="P4" t="s">
        <v>347</v>
      </c>
      <c r="Q4">
        <v>1</v>
      </c>
      <c r="X4">
        <v>1.55</v>
      </c>
      <c r="Y4">
        <v>0</v>
      </c>
      <c r="Z4">
        <v>125.13</v>
      </c>
      <c r="AA4">
        <v>24.74</v>
      </c>
      <c r="AB4">
        <v>0</v>
      </c>
      <c r="AC4">
        <v>0</v>
      </c>
      <c r="AD4">
        <v>1</v>
      </c>
      <c r="AE4">
        <v>0</v>
      </c>
      <c r="AF4" t="s">
        <v>5</v>
      </c>
      <c r="AG4">
        <v>1.55</v>
      </c>
      <c r="AH4">
        <v>2</v>
      </c>
      <c r="AI4">
        <v>44169967</v>
      </c>
      <c r="AJ4">
        <v>4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</row>
    <row r="5" spans="1:44" x14ac:dyDescent="0.2">
      <c r="A5">
        <f>ROW(Source!A29)</f>
        <v>29</v>
      </c>
      <c r="B5">
        <v>44169978</v>
      </c>
      <c r="C5">
        <v>44169963</v>
      </c>
      <c r="D5">
        <v>34984824</v>
      </c>
      <c r="E5">
        <v>34959076</v>
      </c>
      <c r="F5">
        <v>1</v>
      </c>
      <c r="G5">
        <v>34959076</v>
      </c>
      <c r="H5">
        <v>2</v>
      </c>
      <c r="I5" t="s">
        <v>354</v>
      </c>
      <c r="J5" t="s">
        <v>5</v>
      </c>
      <c r="K5" t="s">
        <v>355</v>
      </c>
      <c r="L5">
        <v>1344</v>
      </c>
      <c r="N5">
        <v>1008</v>
      </c>
      <c r="O5" t="s">
        <v>356</v>
      </c>
      <c r="P5" t="s">
        <v>356</v>
      </c>
      <c r="Q5">
        <v>1</v>
      </c>
      <c r="X5">
        <v>3.72</v>
      </c>
      <c r="Y5">
        <v>0</v>
      </c>
      <c r="Z5">
        <v>1</v>
      </c>
      <c r="AA5">
        <v>0</v>
      </c>
      <c r="AB5">
        <v>0</v>
      </c>
      <c r="AC5">
        <v>0</v>
      </c>
      <c r="AD5">
        <v>1</v>
      </c>
      <c r="AE5">
        <v>0</v>
      </c>
      <c r="AF5" t="s">
        <v>5</v>
      </c>
      <c r="AG5">
        <v>3.72</v>
      </c>
      <c r="AH5">
        <v>2</v>
      </c>
      <c r="AI5">
        <v>44169968</v>
      </c>
      <c r="AJ5">
        <v>5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</row>
    <row r="6" spans="1:44" x14ac:dyDescent="0.2">
      <c r="A6">
        <f>ROW(Source!A30)</f>
        <v>30</v>
      </c>
      <c r="B6">
        <v>44169990</v>
      </c>
      <c r="C6">
        <v>44169979</v>
      </c>
      <c r="D6">
        <v>34984826</v>
      </c>
      <c r="E6">
        <v>34959076</v>
      </c>
      <c r="F6">
        <v>1</v>
      </c>
      <c r="G6">
        <v>34959076</v>
      </c>
      <c r="H6">
        <v>1</v>
      </c>
      <c r="I6" t="s">
        <v>341</v>
      </c>
      <c r="J6" t="s">
        <v>5</v>
      </c>
      <c r="K6" t="s">
        <v>342</v>
      </c>
      <c r="L6">
        <v>1191</v>
      </c>
      <c r="N6">
        <v>1013</v>
      </c>
      <c r="O6" t="s">
        <v>343</v>
      </c>
      <c r="P6" t="s">
        <v>343</v>
      </c>
      <c r="Q6">
        <v>1</v>
      </c>
      <c r="X6">
        <v>155</v>
      </c>
      <c r="Y6">
        <v>0</v>
      </c>
      <c r="Z6">
        <v>0</v>
      </c>
      <c r="AA6">
        <v>0</v>
      </c>
      <c r="AB6">
        <v>0</v>
      </c>
      <c r="AC6">
        <v>0</v>
      </c>
      <c r="AD6">
        <v>1</v>
      </c>
      <c r="AE6">
        <v>1</v>
      </c>
      <c r="AF6" t="s">
        <v>5</v>
      </c>
      <c r="AG6">
        <v>155</v>
      </c>
      <c r="AH6">
        <v>2</v>
      </c>
      <c r="AI6">
        <v>44169980</v>
      </c>
      <c r="AJ6">
        <v>6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</row>
    <row r="7" spans="1:44" x14ac:dyDescent="0.2">
      <c r="A7">
        <f>ROW(Source!A30)</f>
        <v>30</v>
      </c>
      <c r="B7">
        <v>44169991</v>
      </c>
      <c r="C7">
        <v>44169979</v>
      </c>
      <c r="D7">
        <v>35065073</v>
      </c>
      <c r="E7">
        <v>1</v>
      </c>
      <c r="F7">
        <v>1</v>
      </c>
      <c r="G7">
        <v>34959076</v>
      </c>
      <c r="H7">
        <v>2</v>
      </c>
      <c r="I7" t="s">
        <v>344</v>
      </c>
      <c r="J7" t="s">
        <v>345</v>
      </c>
      <c r="K7" t="s">
        <v>346</v>
      </c>
      <c r="L7">
        <v>1367</v>
      </c>
      <c r="N7">
        <v>1011</v>
      </c>
      <c r="O7" t="s">
        <v>347</v>
      </c>
      <c r="P7" t="s">
        <v>347</v>
      </c>
      <c r="Q7">
        <v>1</v>
      </c>
      <c r="X7">
        <v>37.5</v>
      </c>
      <c r="Y7">
        <v>0</v>
      </c>
      <c r="Z7">
        <v>60.77</v>
      </c>
      <c r="AA7">
        <v>18.48</v>
      </c>
      <c r="AB7">
        <v>0</v>
      </c>
      <c r="AC7">
        <v>0</v>
      </c>
      <c r="AD7">
        <v>1</v>
      </c>
      <c r="AE7">
        <v>0</v>
      </c>
      <c r="AF7" t="s">
        <v>5</v>
      </c>
      <c r="AG7">
        <v>37.5</v>
      </c>
      <c r="AH7">
        <v>2</v>
      </c>
      <c r="AI7">
        <v>44169981</v>
      </c>
      <c r="AJ7">
        <v>7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</row>
    <row r="8" spans="1:44" x14ac:dyDescent="0.2">
      <c r="A8">
        <f>ROW(Source!A30)</f>
        <v>30</v>
      </c>
      <c r="B8">
        <v>44169992</v>
      </c>
      <c r="C8">
        <v>44169979</v>
      </c>
      <c r="D8">
        <v>35065539</v>
      </c>
      <c r="E8">
        <v>1</v>
      </c>
      <c r="F8">
        <v>1</v>
      </c>
      <c r="G8">
        <v>34959076</v>
      </c>
      <c r="H8">
        <v>2</v>
      </c>
      <c r="I8" t="s">
        <v>348</v>
      </c>
      <c r="J8" t="s">
        <v>349</v>
      </c>
      <c r="K8" t="s">
        <v>350</v>
      </c>
      <c r="L8">
        <v>1367</v>
      </c>
      <c r="N8">
        <v>1011</v>
      </c>
      <c r="O8" t="s">
        <v>347</v>
      </c>
      <c r="P8" t="s">
        <v>347</v>
      </c>
      <c r="Q8">
        <v>1</v>
      </c>
      <c r="X8">
        <v>75</v>
      </c>
      <c r="Y8">
        <v>0</v>
      </c>
      <c r="Z8">
        <v>3.16</v>
      </c>
      <c r="AA8">
        <v>0.04</v>
      </c>
      <c r="AB8">
        <v>0</v>
      </c>
      <c r="AC8">
        <v>0</v>
      </c>
      <c r="AD8">
        <v>1</v>
      </c>
      <c r="AE8">
        <v>0</v>
      </c>
      <c r="AF8" t="s">
        <v>5</v>
      </c>
      <c r="AG8">
        <v>75</v>
      </c>
      <c r="AH8">
        <v>2</v>
      </c>
      <c r="AI8">
        <v>44169982</v>
      </c>
      <c r="AJ8">
        <v>8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</row>
    <row r="9" spans="1:44" x14ac:dyDescent="0.2">
      <c r="A9">
        <f>ROW(Source!A30)</f>
        <v>30</v>
      </c>
      <c r="B9">
        <v>44169993</v>
      </c>
      <c r="C9">
        <v>44169979</v>
      </c>
      <c r="D9">
        <v>35064906</v>
      </c>
      <c r="E9">
        <v>1</v>
      </c>
      <c r="F9">
        <v>1</v>
      </c>
      <c r="G9">
        <v>34959076</v>
      </c>
      <c r="H9">
        <v>2</v>
      </c>
      <c r="I9" t="s">
        <v>351</v>
      </c>
      <c r="J9" t="s">
        <v>352</v>
      </c>
      <c r="K9" t="s">
        <v>353</v>
      </c>
      <c r="L9">
        <v>1367</v>
      </c>
      <c r="N9">
        <v>1011</v>
      </c>
      <c r="O9" t="s">
        <v>347</v>
      </c>
      <c r="P9" t="s">
        <v>347</v>
      </c>
      <c r="Q9">
        <v>1</v>
      </c>
      <c r="X9">
        <v>1.55</v>
      </c>
      <c r="Y9">
        <v>0</v>
      </c>
      <c r="Z9">
        <v>125.13</v>
      </c>
      <c r="AA9">
        <v>24.74</v>
      </c>
      <c r="AB9">
        <v>0</v>
      </c>
      <c r="AC9">
        <v>0</v>
      </c>
      <c r="AD9">
        <v>1</v>
      </c>
      <c r="AE9">
        <v>0</v>
      </c>
      <c r="AF9" t="s">
        <v>5</v>
      </c>
      <c r="AG9">
        <v>1.55</v>
      </c>
      <c r="AH9">
        <v>2</v>
      </c>
      <c r="AI9">
        <v>44169983</v>
      </c>
      <c r="AJ9">
        <v>9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</row>
    <row r="10" spans="1:44" x14ac:dyDescent="0.2">
      <c r="A10">
        <f>ROW(Source!A30)</f>
        <v>30</v>
      </c>
      <c r="B10">
        <v>44169994</v>
      </c>
      <c r="C10">
        <v>44169979</v>
      </c>
      <c r="D10">
        <v>34984824</v>
      </c>
      <c r="E10">
        <v>34959076</v>
      </c>
      <c r="F10">
        <v>1</v>
      </c>
      <c r="G10">
        <v>34959076</v>
      </c>
      <c r="H10">
        <v>2</v>
      </c>
      <c r="I10" t="s">
        <v>354</v>
      </c>
      <c r="J10" t="s">
        <v>5</v>
      </c>
      <c r="K10" t="s">
        <v>355</v>
      </c>
      <c r="L10">
        <v>1344</v>
      </c>
      <c r="N10">
        <v>1008</v>
      </c>
      <c r="O10" t="s">
        <v>356</v>
      </c>
      <c r="P10" t="s">
        <v>356</v>
      </c>
      <c r="Q10">
        <v>1</v>
      </c>
      <c r="X10">
        <v>3.72</v>
      </c>
      <c r="Y10">
        <v>0</v>
      </c>
      <c r="Z10">
        <v>1</v>
      </c>
      <c r="AA10">
        <v>0</v>
      </c>
      <c r="AB10">
        <v>0</v>
      </c>
      <c r="AC10">
        <v>0</v>
      </c>
      <c r="AD10">
        <v>1</v>
      </c>
      <c r="AE10">
        <v>0</v>
      </c>
      <c r="AF10" t="s">
        <v>5</v>
      </c>
      <c r="AG10">
        <v>3.72</v>
      </c>
      <c r="AH10">
        <v>2</v>
      </c>
      <c r="AI10">
        <v>44169984</v>
      </c>
      <c r="AJ10">
        <v>10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</row>
    <row r="11" spans="1:44" x14ac:dyDescent="0.2">
      <c r="A11">
        <f>ROW(Source!A31)</f>
        <v>31</v>
      </c>
      <c r="B11">
        <v>44170004</v>
      </c>
      <c r="C11">
        <v>44169995</v>
      </c>
      <c r="D11">
        <v>34984826</v>
      </c>
      <c r="E11">
        <v>34959076</v>
      </c>
      <c r="F11">
        <v>1</v>
      </c>
      <c r="G11">
        <v>34959076</v>
      </c>
      <c r="H11">
        <v>1</v>
      </c>
      <c r="I11" t="s">
        <v>341</v>
      </c>
      <c r="J11" t="s">
        <v>5</v>
      </c>
      <c r="K11" t="s">
        <v>342</v>
      </c>
      <c r="L11">
        <v>1191</v>
      </c>
      <c r="N11">
        <v>1013</v>
      </c>
      <c r="O11" t="s">
        <v>343</v>
      </c>
      <c r="P11" t="s">
        <v>343</v>
      </c>
      <c r="Q11">
        <v>1</v>
      </c>
      <c r="X11">
        <v>49.5</v>
      </c>
      <c r="Y11">
        <v>0</v>
      </c>
      <c r="Z11">
        <v>0</v>
      </c>
      <c r="AA11">
        <v>0</v>
      </c>
      <c r="AB11">
        <v>0</v>
      </c>
      <c r="AC11">
        <v>0</v>
      </c>
      <c r="AD11">
        <v>1</v>
      </c>
      <c r="AE11">
        <v>1</v>
      </c>
      <c r="AF11" t="s">
        <v>5</v>
      </c>
      <c r="AG11">
        <v>49.5</v>
      </c>
      <c r="AH11">
        <v>2</v>
      </c>
      <c r="AI11">
        <v>44169996</v>
      </c>
      <c r="AJ11">
        <v>11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</row>
    <row r="12" spans="1:44" x14ac:dyDescent="0.2">
      <c r="A12">
        <f>ROW(Source!A31)</f>
        <v>31</v>
      </c>
      <c r="B12">
        <v>44170005</v>
      </c>
      <c r="C12">
        <v>44169995</v>
      </c>
      <c r="D12">
        <v>35064629</v>
      </c>
      <c r="E12">
        <v>1</v>
      </c>
      <c r="F12">
        <v>1</v>
      </c>
      <c r="G12">
        <v>34959076</v>
      </c>
      <c r="H12">
        <v>2</v>
      </c>
      <c r="I12" t="s">
        <v>357</v>
      </c>
      <c r="J12" t="s">
        <v>358</v>
      </c>
      <c r="K12" t="s">
        <v>359</v>
      </c>
      <c r="L12">
        <v>1367</v>
      </c>
      <c r="N12">
        <v>1011</v>
      </c>
      <c r="O12" t="s">
        <v>347</v>
      </c>
      <c r="P12" t="s">
        <v>347</v>
      </c>
      <c r="Q12">
        <v>1</v>
      </c>
      <c r="X12">
        <v>2.87</v>
      </c>
      <c r="Y12">
        <v>0</v>
      </c>
      <c r="Z12">
        <v>95.06</v>
      </c>
      <c r="AA12">
        <v>22.22</v>
      </c>
      <c r="AB12">
        <v>0</v>
      </c>
      <c r="AC12">
        <v>0</v>
      </c>
      <c r="AD12">
        <v>1</v>
      </c>
      <c r="AE12">
        <v>0</v>
      </c>
      <c r="AF12" t="s">
        <v>5</v>
      </c>
      <c r="AG12">
        <v>2.87</v>
      </c>
      <c r="AH12">
        <v>2</v>
      </c>
      <c r="AI12">
        <v>44169997</v>
      </c>
      <c r="AJ12">
        <v>12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</row>
    <row r="13" spans="1:44" x14ac:dyDescent="0.2">
      <c r="A13">
        <f>ROW(Source!A31)</f>
        <v>31</v>
      </c>
      <c r="B13">
        <v>44170006</v>
      </c>
      <c r="C13">
        <v>44169995</v>
      </c>
      <c r="D13">
        <v>35064606</v>
      </c>
      <c r="E13">
        <v>1</v>
      </c>
      <c r="F13">
        <v>1</v>
      </c>
      <c r="G13">
        <v>34959076</v>
      </c>
      <c r="H13">
        <v>2</v>
      </c>
      <c r="I13" t="s">
        <v>360</v>
      </c>
      <c r="J13" t="s">
        <v>361</v>
      </c>
      <c r="K13" t="s">
        <v>362</v>
      </c>
      <c r="L13">
        <v>1367</v>
      </c>
      <c r="N13">
        <v>1011</v>
      </c>
      <c r="O13" t="s">
        <v>347</v>
      </c>
      <c r="P13" t="s">
        <v>347</v>
      </c>
      <c r="Q13">
        <v>1</v>
      </c>
      <c r="X13">
        <v>7.86</v>
      </c>
      <c r="Y13">
        <v>0</v>
      </c>
      <c r="Z13">
        <v>164.9</v>
      </c>
      <c r="AA13">
        <v>27.47</v>
      </c>
      <c r="AB13">
        <v>0</v>
      </c>
      <c r="AC13">
        <v>0</v>
      </c>
      <c r="AD13">
        <v>1</v>
      </c>
      <c r="AE13">
        <v>0</v>
      </c>
      <c r="AF13" t="s">
        <v>5</v>
      </c>
      <c r="AG13">
        <v>7.86</v>
      </c>
      <c r="AH13">
        <v>2</v>
      </c>
      <c r="AI13">
        <v>44169998</v>
      </c>
      <c r="AJ13">
        <v>13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</row>
    <row r="14" spans="1:44" x14ac:dyDescent="0.2">
      <c r="A14">
        <f>ROW(Source!A31)</f>
        <v>31</v>
      </c>
      <c r="B14">
        <v>44170007</v>
      </c>
      <c r="C14">
        <v>44169995</v>
      </c>
      <c r="D14">
        <v>34984824</v>
      </c>
      <c r="E14">
        <v>34959076</v>
      </c>
      <c r="F14">
        <v>1</v>
      </c>
      <c r="G14">
        <v>34959076</v>
      </c>
      <c r="H14">
        <v>2</v>
      </c>
      <c r="I14" t="s">
        <v>354</v>
      </c>
      <c r="J14" t="s">
        <v>5</v>
      </c>
      <c r="K14" t="s">
        <v>355</v>
      </c>
      <c r="L14">
        <v>1344</v>
      </c>
      <c r="N14">
        <v>1008</v>
      </c>
      <c r="O14" t="s">
        <v>356</v>
      </c>
      <c r="P14" t="s">
        <v>356</v>
      </c>
      <c r="Q14">
        <v>1</v>
      </c>
      <c r="X14">
        <v>5.21</v>
      </c>
      <c r="Y14">
        <v>0</v>
      </c>
      <c r="Z14">
        <v>1</v>
      </c>
      <c r="AA14">
        <v>0</v>
      </c>
      <c r="AB14">
        <v>0</v>
      </c>
      <c r="AC14">
        <v>0</v>
      </c>
      <c r="AD14">
        <v>1</v>
      </c>
      <c r="AE14">
        <v>0</v>
      </c>
      <c r="AF14" t="s">
        <v>5</v>
      </c>
      <c r="AG14">
        <v>5.21</v>
      </c>
      <c r="AH14">
        <v>2</v>
      </c>
      <c r="AI14">
        <v>44169999</v>
      </c>
      <c r="AJ14">
        <v>14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</row>
    <row r="15" spans="1:44" x14ac:dyDescent="0.2">
      <c r="A15">
        <f>ROW(Source!A32)</f>
        <v>32</v>
      </c>
      <c r="B15">
        <v>44170013</v>
      </c>
      <c r="C15">
        <v>44170008</v>
      </c>
      <c r="D15">
        <v>34984826</v>
      </c>
      <c r="E15">
        <v>34959076</v>
      </c>
      <c r="F15">
        <v>1</v>
      </c>
      <c r="G15">
        <v>34959076</v>
      </c>
      <c r="H15">
        <v>1</v>
      </c>
      <c r="I15" t="s">
        <v>341</v>
      </c>
      <c r="J15" t="s">
        <v>5</v>
      </c>
      <c r="K15" t="s">
        <v>342</v>
      </c>
      <c r="L15">
        <v>1191</v>
      </c>
      <c r="N15">
        <v>1013</v>
      </c>
      <c r="O15" t="s">
        <v>343</v>
      </c>
      <c r="P15" t="s">
        <v>343</v>
      </c>
      <c r="Q15">
        <v>1</v>
      </c>
      <c r="X15">
        <v>1.1200000000000001</v>
      </c>
      <c r="Y15">
        <v>0</v>
      </c>
      <c r="Z15">
        <v>0</v>
      </c>
      <c r="AA15">
        <v>0</v>
      </c>
      <c r="AB15">
        <v>0</v>
      </c>
      <c r="AC15">
        <v>0</v>
      </c>
      <c r="AD15">
        <v>1</v>
      </c>
      <c r="AE15">
        <v>1</v>
      </c>
      <c r="AF15" t="s">
        <v>5</v>
      </c>
      <c r="AG15">
        <v>1.1200000000000001</v>
      </c>
      <c r="AH15">
        <v>2</v>
      </c>
      <c r="AI15">
        <v>44170009</v>
      </c>
      <c r="AJ15">
        <v>15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</row>
    <row r="16" spans="1:44" x14ac:dyDescent="0.2">
      <c r="A16">
        <f>ROW(Source!A32)</f>
        <v>32</v>
      </c>
      <c r="B16">
        <v>44170014</v>
      </c>
      <c r="C16">
        <v>44170008</v>
      </c>
      <c r="D16">
        <v>35065343</v>
      </c>
      <c r="E16">
        <v>1</v>
      </c>
      <c r="F16">
        <v>1</v>
      </c>
      <c r="G16">
        <v>34959076</v>
      </c>
      <c r="H16">
        <v>2</v>
      </c>
      <c r="I16" t="s">
        <v>363</v>
      </c>
      <c r="J16" t="s">
        <v>364</v>
      </c>
      <c r="K16" t="s">
        <v>365</v>
      </c>
      <c r="L16">
        <v>1367</v>
      </c>
      <c r="N16">
        <v>1011</v>
      </c>
      <c r="O16" t="s">
        <v>347</v>
      </c>
      <c r="P16" t="s">
        <v>347</v>
      </c>
      <c r="Q16">
        <v>1</v>
      </c>
      <c r="X16">
        <v>0.38</v>
      </c>
      <c r="Y16">
        <v>0</v>
      </c>
      <c r="Z16">
        <v>148.4</v>
      </c>
      <c r="AA16">
        <v>38.619999999999997</v>
      </c>
      <c r="AB16">
        <v>0</v>
      </c>
      <c r="AC16">
        <v>0</v>
      </c>
      <c r="AD16">
        <v>1</v>
      </c>
      <c r="AE16">
        <v>0</v>
      </c>
      <c r="AF16" t="s">
        <v>5</v>
      </c>
      <c r="AG16">
        <v>0.38</v>
      </c>
      <c r="AH16">
        <v>2</v>
      </c>
      <c r="AI16">
        <v>44170010</v>
      </c>
      <c r="AJ16">
        <v>16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</row>
    <row r="17" spans="1:44" x14ac:dyDescent="0.2">
      <c r="A17">
        <f>ROW(Source!A33)</f>
        <v>33</v>
      </c>
      <c r="B17">
        <v>44170018</v>
      </c>
      <c r="C17">
        <v>44170015</v>
      </c>
      <c r="D17">
        <v>34984824</v>
      </c>
      <c r="E17">
        <v>34959076</v>
      </c>
      <c r="F17">
        <v>1</v>
      </c>
      <c r="G17">
        <v>34959076</v>
      </c>
      <c r="H17">
        <v>2</v>
      </c>
      <c r="I17" t="s">
        <v>354</v>
      </c>
      <c r="J17" t="s">
        <v>5</v>
      </c>
      <c r="K17" t="s">
        <v>355</v>
      </c>
      <c r="L17">
        <v>1344</v>
      </c>
      <c r="N17">
        <v>1008</v>
      </c>
      <c r="O17" t="s">
        <v>356</v>
      </c>
      <c r="P17" t="s">
        <v>356</v>
      </c>
      <c r="Q17">
        <v>1</v>
      </c>
      <c r="X17">
        <v>8.86</v>
      </c>
      <c r="Y17">
        <v>0</v>
      </c>
      <c r="Z17">
        <v>1</v>
      </c>
      <c r="AA17">
        <v>0</v>
      </c>
      <c r="AB17">
        <v>0</v>
      </c>
      <c r="AC17">
        <v>0</v>
      </c>
      <c r="AD17">
        <v>1</v>
      </c>
      <c r="AE17">
        <v>0</v>
      </c>
      <c r="AF17" t="s">
        <v>5</v>
      </c>
      <c r="AG17">
        <v>8.86</v>
      </c>
      <c r="AH17">
        <v>2</v>
      </c>
      <c r="AI17">
        <v>44170016</v>
      </c>
      <c r="AJ17">
        <v>17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</row>
    <row r="18" spans="1:44" x14ac:dyDescent="0.2">
      <c r="A18">
        <f>ROW(Source!A34)</f>
        <v>34</v>
      </c>
      <c r="B18">
        <v>44170036</v>
      </c>
      <c r="C18">
        <v>44170019</v>
      </c>
      <c r="D18">
        <v>34984826</v>
      </c>
      <c r="E18">
        <v>34959076</v>
      </c>
      <c r="F18">
        <v>1</v>
      </c>
      <c r="G18">
        <v>34959076</v>
      </c>
      <c r="H18">
        <v>1</v>
      </c>
      <c r="I18" t="s">
        <v>341</v>
      </c>
      <c r="J18" t="s">
        <v>5</v>
      </c>
      <c r="K18" t="s">
        <v>342</v>
      </c>
      <c r="L18">
        <v>1191</v>
      </c>
      <c r="N18">
        <v>1013</v>
      </c>
      <c r="O18" t="s">
        <v>343</v>
      </c>
      <c r="P18" t="s">
        <v>343</v>
      </c>
      <c r="Q18">
        <v>1</v>
      </c>
      <c r="X18">
        <v>14.4</v>
      </c>
      <c r="Y18">
        <v>0</v>
      </c>
      <c r="Z18">
        <v>0</v>
      </c>
      <c r="AA18">
        <v>0</v>
      </c>
      <c r="AB18">
        <v>0</v>
      </c>
      <c r="AC18">
        <v>0</v>
      </c>
      <c r="AD18">
        <v>1</v>
      </c>
      <c r="AE18">
        <v>1</v>
      </c>
      <c r="AF18" t="s">
        <v>5</v>
      </c>
      <c r="AG18">
        <v>14.4</v>
      </c>
      <c r="AH18">
        <v>2</v>
      </c>
      <c r="AI18">
        <v>44170020</v>
      </c>
      <c r="AJ18">
        <v>18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</row>
    <row r="19" spans="1:44" x14ac:dyDescent="0.2">
      <c r="A19">
        <f>ROW(Source!A34)</f>
        <v>34</v>
      </c>
      <c r="B19">
        <v>44170037</v>
      </c>
      <c r="C19">
        <v>44170019</v>
      </c>
      <c r="D19">
        <v>35064650</v>
      </c>
      <c r="E19">
        <v>1</v>
      </c>
      <c r="F19">
        <v>1</v>
      </c>
      <c r="G19">
        <v>34959076</v>
      </c>
      <c r="H19">
        <v>2</v>
      </c>
      <c r="I19" t="s">
        <v>366</v>
      </c>
      <c r="J19" t="s">
        <v>367</v>
      </c>
      <c r="K19" t="s">
        <v>368</v>
      </c>
      <c r="L19">
        <v>1367</v>
      </c>
      <c r="N19">
        <v>1011</v>
      </c>
      <c r="O19" t="s">
        <v>347</v>
      </c>
      <c r="P19" t="s">
        <v>347</v>
      </c>
      <c r="Q19">
        <v>1</v>
      </c>
      <c r="X19">
        <v>1.66</v>
      </c>
      <c r="Y19">
        <v>0</v>
      </c>
      <c r="Z19">
        <v>116.89</v>
      </c>
      <c r="AA19">
        <v>23.41</v>
      </c>
      <c r="AB19">
        <v>0</v>
      </c>
      <c r="AC19">
        <v>0</v>
      </c>
      <c r="AD19">
        <v>1</v>
      </c>
      <c r="AE19">
        <v>0</v>
      </c>
      <c r="AF19" t="s">
        <v>5</v>
      </c>
      <c r="AG19">
        <v>1.66</v>
      </c>
      <c r="AH19">
        <v>2</v>
      </c>
      <c r="AI19">
        <v>44170021</v>
      </c>
      <c r="AJ19">
        <v>19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</row>
    <row r="20" spans="1:44" x14ac:dyDescent="0.2">
      <c r="A20">
        <f>ROW(Source!A34)</f>
        <v>34</v>
      </c>
      <c r="B20">
        <v>44170038</v>
      </c>
      <c r="C20">
        <v>44170019</v>
      </c>
      <c r="D20">
        <v>35064875</v>
      </c>
      <c r="E20">
        <v>1</v>
      </c>
      <c r="F20">
        <v>1</v>
      </c>
      <c r="G20">
        <v>34959076</v>
      </c>
      <c r="H20">
        <v>2</v>
      </c>
      <c r="I20" t="s">
        <v>369</v>
      </c>
      <c r="J20" t="s">
        <v>370</v>
      </c>
      <c r="K20" t="s">
        <v>371</v>
      </c>
      <c r="L20">
        <v>1367</v>
      </c>
      <c r="N20">
        <v>1011</v>
      </c>
      <c r="O20" t="s">
        <v>347</v>
      </c>
      <c r="P20" t="s">
        <v>347</v>
      </c>
      <c r="Q20">
        <v>1</v>
      </c>
      <c r="X20">
        <v>1.66</v>
      </c>
      <c r="Y20">
        <v>0</v>
      </c>
      <c r="Z20">
        <v>62.97</v>
      </c>
      <c r="AA20">
        <v>6.64</v>
      </c>
      <c r="AB20">
        <v>0</v>
      </c>
      <c r="AC20">
        <v>0</v>
      </c>
      <c r="AD20">
        <v>1</v>
      </c>
      <c r="AE20">
        <v>0</v>
      </c>
      <c r="AF20" t="s">
        <v>5</v>
      </c>
      <c r="AG20">
        <v>1.66</v>
      </c>
      <c r="AH20">
        <v>2</v>
      </c>
      <c r="AI20">
        <v>44170022</v>
      </c>
      <c r="AJ20">
        <v>20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</row>
    <row r="21" spans="1:44" x14ac:dyDescent="0.2">
      <c r="A21">
        <f>ROW(Source!A34)</f>
        <v>34</v>
      </c>
      <c r="B21">
        <v>44170039</v>
      </c>
      <c r="C21">
        <v>44170019</v>
      </c>
      <c r="D21">
        <v>35064878</v>
      </c>
      <c r="E21">
        <v>1</v>
      </c>
      <c r="F21">
        <v>1</v>
      </c>
      <c r="G21">
        <v>34959076</v>
      </c>
      <c r="H21">
        <v>2</v>
      </c>
      <c r="I21" t="s">
        <v>372</v>
      </c>
      <c r="J21" t="s">
        <v>373</v>
      </c>
      <c r="K21" t="s">
        <v>374</v>
      </c>
      <c r="L21">
        <v>1367</v>
      </c>
      <c r="N21">
        <v>1011</v>
      </c>
      <c r="O21" t="s">
        <v>347</v>
      </c>
      <c r="P21" t="s">
        <v>347</v>
      </c>
      <c r="Q21">
        <v>1</v>
      </c>
      <c r="X21">
        <v>0.65</v>
      </c>
      <c r="Y21">
        <v>0</v>
      </c>
      <c r="Z21">
        <v>140.58000000000001</v>
      </c>
      <c r="AA21">
        <v>28.61</v>
      </c>
      <c r="AB21">
        <v>0</v>
      </c>
      <c r="AC21">
        <v>0</v>
      </c>
      <c r="AD21">
        <v>1</v>
      </c>
      <c r="AE21">
        <v>0</v>
      </c>
      <c r="AF21" t="s">
        <v>5</v>
      </c>
      <c r="AG21">
        <v>0.65</v>
      </c>
      <c r="AH21">
        <v>2</v>
      </c>
      <c r="AI21">
        <v>44170023</v>
      </c>
      <c r="AJ21">
        <v>21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</row>
    <row r="22" spans="1:44" x14ac:dyDescent="0.2">
      <c r="A22">
        <f>ROW(Source!A34)</f>
        <v>34</v>
      </c>
      <c r="B22">
        <v>44170040</v>
      </c>
      <c r="C22">
        <v>44170019</v>
      </c>
      <c r="D22">
        <v>35064906</v>
      </c>
      <c r="E22">
        <v>1</v>
      </c>
      <c r="F22">
        <v>1</v>
      </c>
      <c r="G22">
        <v>34959076</v>
      </c>
      <c r="H22">
        <v>2</v>
      </c>
      <c r="I22" t="s">
        <v>351</v>
      </c>
      <c r="J22" t="s">
        <v>352</v>
      </c>
      <c r="K22" t="s">
        <v>353</v>
      </c>
      <c r="L22">
        <v>1367</v>
      </c>
      <c r="N22">
        <v>1011</v>
      </c>
      <c r="O22" t="s">
        <v>347</v>
      </c>
      <c r="P22" t="s">
        <v>347</v>
      </c>
      <c r="Q22">
        <v>1</v>
      </c>
      <c r="X22">
        <v>1.55</v>
      </c>
      <c r="Y22">
        <v>0</v>
      </c>
      <c r="Z22">
        <v>125.13</v>
      </c>
      <c r="AA22">
        <v>24.74</v>
      </c>
      <c r="AB22">
        <v>0</v>
      </c>
      <c r="AC22">
        <v>0</v>
      </c>
      <c r="AD22">
        <v>1</v>
      </c>
      <c r="AE22">
        <v>0</v>
      </c>
      <c r="AF22" t="s">
        <v>5</v>
      </c>
      <c r="AG22">
        <v>1.55</v>
      </c>
      <c r="AH22">
        <v>2</v>
      </c>
      <c r="AI22">
        <v>44170024</v>
      </c>
      <c r="AJ22">
        <v>22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</row>
    <row r="23" spans="1:44" x14ac:dyDescent="0.2">
      <c r="A23">
        <f>ROW(Source!A34)</f>
        <v>34</v>
      </c>
      <c r="B23">
        <v>44170041</v>
      </c>
      <c r="C23">
        <v>44170019</v>
      </c>
      <c r="D23">
        <v>35064868</v>
      </c>
      <c r="E23">
        <v>1</v>
      </c>
      <c r="F23">
        <v>1</v>
      </c>
      <c r="G23">
        <v>34959076</v>
      </c>
      <c r="H23">
        <v>2</v>
      </c>
      <c r="I23" t="s">
        <v>375</v>
      </c>
      <c r="J23" t="s">
        <v>376</v>
      </c>
      <c r="K23" t="s">
        <v>377</v>
      </c>
      <c r="L23">
        <v>1367</v>
      </c>
      <c r="N23">
        <v>1011</v>
      </c>
      <c r="O23" t="s">
        <v>347</v>
      </c>
      <c r="P23" t="s">
        <v>347</v>
      </c>
      <c r="Q23">
        <v>1</v>
      </c>
      <c r="X23">
        <v>0.52</v>
      </c>
      <c r="Y23">
        <v>0</v>
      </c>
      <c r="Z23">
        <v>178.02</v>
      </c>
      <c r="AA23">
        <v>23.5</v>
      </c>
      <c r="AB23">
        <v>0</v>
      </c>
      <c r="AC23">
        <v>0</v>
      </c>
      <c r="AD23">
        <v>1</v>
      </c>
      <c r="AE23">
        <v>0</v>
      </c>
      <c r="AF23" t="s">
        <v>5</v>
      </c>
      <c r="AG23">
        <v>0.52</v>
      </c>
      <c r="AH23">
        <v>2</v>
      </c>
      <c r="AI23">
        <v>44170025</v>
      </c>
      <c r="AJ23">
        <v>23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</row>
    <row r="24" spans="1:44" x14ac:dyDescent="0.2">
      <c r="A24">
        <f>ROW(Source!A34)</f>
        <v>34</v>
      </c>
      <c r="B24">
        <v>44170042</v>
      </c>
      <c r="C24">
        <v>44170019</v>
      </c>
      <c r="D24">
        <v>35043897</v>
      </c>
      <c r="E24">
        <v>1</v>
      </c>
      <c r="F24">
        <v>1</v>
      </c>
      <c r="G24">
        <v>34959076</v>
      </c>
      <c r="H24">
        <v>3</v>
      </c>
      <c r="I24" t="s">
        <v>378</v>
      </c>
      <c r="J24" t="s">
        <v>451</v>
      </c>
      <c r="K24" t="s">
        <v>452</v>
      </c>
      <c r="L24">
        <v>1339</v>
      </c>
      <c r="N24">
        <v>1007</v>
      </c>
      <c r="O24" t="s">
        <v>59</v>
      </c>
      <c r="P24" t="s">
        <v>59</v>
      </c>
      <c r="Q24">
        <v>1</v>
      </c>
      <c r="X24">
        <v>5</v>
      </c>
      <c r="Y24">
        <v>7.07</v>
      </c>
      <c r="Z24">
        <v>0</v>
      </c>
      <c r="AA24">
        <v>0</v>
      </c>
      <c r="AB24">
        <v>0</v>
      </c>
      <c r="AC24">
        <v>0</v>
      </c>
      <c r="AD24">
        <v>1</v>
      </c>
      <c r="AE24">
        <v>0</v>
      </c>
      <c r="AF24" t="s">
        <v>5</v>
      </c>
      <c r="AG24">
        <v>5</v>
      </c>
      <c r="AH24">
        <v>2</v>
      </c>
      <c r="AI24">
        <v>44170026</v>
      </c>
      <c r="AJ24">
        <v>24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</row>
    <row r="25" spans="1:44" x14ac:dyDescent="0.2">
      <c r="A25">
        <f>ROW(Source!A34)</f>
        <v>34</v>
      </c>
      <c r="B25">
        <v>44170043</v>
      </c>
      <c r="C25">
        <v>44170019</v>
      </c>
      <c r="D25">
        <v>34985963</v>
      </c>
      <c r="E25">
        <v>34959076</v>
      </c>
      <c r="F25">
        <v>1</v>
      </c>
      <c r="G25">
        <v>34959076</v>
      </c>
      <c r="H25">
        <v>3</v>
      </c>
      <c r="I25" t="s">
        <v>456</v>
      </c>
      <c r="J25" t="s">
        <v>5</v>
      </c>
      <c r="K25" t="s">
        <v>457</v>
      </c>
      <c r="L25">
        <v>1339</v>
      </c>
      <c r="N25">
        <v>1007</v>
      </c>
      <c r="O25" t="s">
        <v>59</v>
      </c>
      <c r="P25" t="s">
        <v>59</v>
      </c>
      <c r="Q25">
        <v>1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 t="s">
        <v>5</v>
      </c>
      <c r="AG25">
        <v>0</v>
      </c>
      <c r="AH25">
        <v>3</v>
      </c>
      <c r="AI25">
        <v>-1</v>
      </c>
      <c r="AJ25" t="s">
        <v>5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</row>
    <row r="26" spans="1:44" x14ac:dyDescent="0.2">
      <c r="A26">
        <f>ROW(Source!A36)</f>
        <v>36</v>
      </c>
      <c r="B26">
        <v>44170066</v>
      </c>
      <c r="C26">
        <v>44170045</v>
      </c>
      <c r="D26">
        <v>34984826</v>
      </c>
      <c r="E26">
        <v>34959076</v>
      </c>
      <c r="F26">
        <v>1</v>
      </c>
      <c r="G26">
        <v>34959076</v>
      </c>
      <c r="H26">
        <v>1</v>
      </c>
      <c r="I26" t="s">
        <v>341</v>
      </c>
      <c r="J26" t="s">
        <v>5</v>
      </c>
      <c r="K26" t="s">
        <v>342</v>
      </c>
      <c r="L26">
        <v>1191</v>
      </c>
      <c r="N26">
        <v>1013</v>
      </c>
      <c r="O26" t="s">
        <v>343</v>
      </c>
      <c r="P26" t="s">
        <v>343</v>
      </c>
      <c r="Q26">
        <v>1</v>
      </c>
      <c r="X26">
        <v>267</v>
      </c>
      <c r="Y26">
        <v>0</v>
      </c>
      <c r="Z26">
        <v>0</v>
      </c>
      <c r="AA26">
        <v>0</v>
      </c>
      <c r="AB26">
        <v>0</v>
      </c>
      <c r="AC26">
        <v>0</v>
      </c>
      <c r="AD26">
        <v>1</v>
      </c>
      <c r="AE26">
        <v>1</v>
      </c>
      <c r="AF26" t="s">
        <v>5</v>
      </c>
      <c r="AG26">
        <v>267</v>
      </c>
      <c r="AH26">
        <v>2</v>
      </c>
      <c r="AI26">
        <v>44170046</v>
      </c>
      <c r="AJ26">
        <v>26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</row>
    <row r="27" spans="1:44" x14ac:dyDescent="0.2">
      <c r="A27">
        <f>ROW(Source!A36)</f>
        <v>36</v>
      </c>
      <c r="B27">
        <v>44170067</v>
      </c>
      <c r="C27">
        <v>44170045</v>
      </c>
      <c r="D27">
        <v>35064878</v>
      </c>
      <c r="E27">
        <v>1</v>
      </c>
      <c r="F27">
        <v>1</v>
      </c>
      <c r="G27">
        <v>34959076</v>
      </c>
      <c r="H27">
        <v>2</v>
      </c>
      <c r="I27" t="s">
        <v>372</v>
      </c>
      <c r="J27" t="s">
        <v>373</v>
      </c>
      <c r="K27" t="s">
        <v>374</v>
      </c>
      <c r="L27">
        <v>1367</v>
      </c>
      <c r="N27">
        <v>1011</v>
      </c>
      <c r="O27" t="s">
        <v>347</v>
      </c>
      <c r="P27" t="s">
        <v>347</v>
      </c>
      <c r="Q27">
        <v>1</v>
      </c>
      <c r="X27">
        <v>11.76</v>
      </c>
      <c r="Y27">
        <v>0</v>
      </c>
      <c r="Z27">
        <v>140.58000000000001</v>
      </c>
      <c r="AA27">
        <v>28.61</v>
      </c>
      <c r="AB27">
        <v>0</v>
      </c>
      <c r="AC27">
        <v>0</v>
      </c>
      <c r="AD27">
        <v>1</v>
      </c>
      <c r="AE27">
        <v>0</v>
      </c>
      <c r="AF27" t="s">
        <v>5</v>
      </c>
      <c r="AG27">
        <v>11.76</v>
      </c>
      <c r="AH27">
        <v>2</v>
      </c>
      <c r="AI27">
        <v>44170047</v>
      </c>
      <c r="AJ27">
        <v>27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</row>
    <row r="28" spans="1:44" x14ac:dyDescent="0.2">
      <c r="A28">
        <f>ROW(Source!A36)</f>
        <v>36</v>
      </c>
      <c r="B28">
        <v>44170068</v>
      </c>
      <c r="C28">
        <v>44170045</v>
      </c>
      <c r="D28">
        <v>35064916</v>
      </c>
      <c r="E28">
        <v>1</v>
      </c>
      <c r="F28">
        <v>1</v>
      </c>
      <c r="G28">
        <v>34959076</v>
      </c>
      <c r="H28">
        <v>2</v>
      </c>
      <c r="I28" t="s">
        <v>381</v>
      </c>
      <c r="J28" t="s">
        <v>382</v>
      </c>
      <c r="K28" t="s">
        <v>383</v>
      </c>
      <c r="L28">
        <v>1367</v>
      </c>
      <c r="N28">
        <v>1011</v>
      </c>
      <c r="O28" t="s">
        <v>347</v>
      </c>
      <c r="P28" t="s">
        <v>347</v>
      </c>
      <c r="Q28">
        <v>1</v>
      </c>
      <c r="X28">
        <v>10.8</v>
      </c>
      <c r="Y28">
        <v>0</v>
      </c>
      <c r="Z28">
        <v>25.58</v>
      </c>
      <c r="AA28">
        <v>1.85</v>
      </c>
      <c r="AB28">
        <v>0</v>
      </c>
      <c r="AC28">
        <v>0</v>
      </c>
      <c r="AD28">
        <v>1</v>
      </c>
      <c r="AE28">
        <v>0</v>
      </c>
      <c r="AF28" t="s">
        <v>5</v>
      </c>
      <c r="AG28">
        <v>10.8</v>
      </c>
      <c r="AH28">
        <v>2</v>
      </c>
      <c r="AI28">
        <v>44170048</v>
      </c>
      <c r="AJ28">
        <v>28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</row>
    <row r="29" spans="1:44" x14ac:dyDescent="0.2">
      <c r="A29">
        <f>ROW(Source!A36)</f>
        <v>36</v>
      </c>
      <c r="B29">
        <v>44170069</v>
      </c>
      <c r="C29">
        <v>44170045</v>
      </c>
      <c r="D29">
        <v>34984824</v>
      </c>
      <c r="E29">
        <v>34959076</v>
      </c>
      <c r="F29">
        <v>1</v>
      </c>
      <c r="G29">
        <v>34959076</v>
      </c>
      <c r="H29">
        <v>2</v>
      </c>
      <c r="I29" t="s">
        <v>354</v>
      </c>
      <c r="J29" t="s">
        <v>5</v>
      </c>
      <c r="K29" t="s">
        <v>355</v>
      </c>
      <c r="L29">
        <v>1344</v>
      </c>
      <c r="N29">
        <v>1008</v>
      </c>
      <c r="O29" t="s">
        <v>356</v>
      </c>
      <c r="P29" t="s">
        <v>356</v>
      </c>
      <c r="Q29">
        <v>1</v>
      </c>
      <c r="X29">
        <v>4.7699999999999996</v>
      </c>
      <c r="Y29">
        <v>0</v>
      </c>
      <c r="Z29">
        <v>1</v>
      </c>
      <c r="AA29">
        <v>0</v>
      </c>
      <c r="AB29">
        <v>0</v>
      </c>
      <c r="AC29">
        <v>0</v>
      </c>
      <c r="AD29">
        <v>1</v>
      </c>
      <c r="AE29">
        <v>0</v>
      </c>
      <c r="AF29" t="s">
        <v>5</v>
      </c>
      <c r="AG29">
        <v>4.7699999999999996</v>
      </c>
      <c r="AH29">
        <v>2</v>
      </c>
      <c r="AI29">
        <v>44170049</v>
      </c>
      <c r="AJ29">
        <v>29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</row>
    <row r="30" spans="1:44" x14ac:dyDescent="0.2">
      <c r="A30">
        <f>ROW(Source!A36)</f>
        <v>36</v>
      </c>
      <c r="B30">
        <v>44170070</v>
      </c>
      <c r="C30">
        <v>44170045</v>
      </c>
      <c r="D30">
        <v>35043897</v>
      </c>
      <c r="E30">
        <v>1</v>
      </c>
      <c r="F30">
        <v>1</v>
      </c>
      <c r="G30">
        <v>34959076</v>
      </c>
      <c r="H30">
        <v>3</v>
      </c>
      <c r="I30" t="s">
        <v>378</v>
      </c>
      <c r="J30" t="s">
        <v>451</v>
      </c>
      <c r="K30" t="s">
        <v>452</v>
      </c>
      <c r="L30">
        <v>1339</v>
      </c>
      <c r="N30">
        <v>1007</v>
      </c>
      <c r="O30" t="s">
        <v>59</v>
      </c>
      <c r="P30" t="s">
        <v>59</v>
      </c>
      <c r="Q30">
        <v>1</v>
      </c>
      <c r="X30">
        <v>178</v>
      </c>
      <c r="Y30">
        <v>7.07</v>
      </c>
      <c r="Z30">
        <v>0</v>
      </c>
      <c r="AA30">
        <v>0</v>
      </c>
      <c r="AB30">
        <v>0</v>
      </c>
      <c r="AC30">
        <v>0</v>
      </c>
      <c r="AD30">
        <v>1</v>
      </c>
      <c r="AE30">
        <v>0</v>
      </c>
      <c r="AF30" t="s">
        <v>5</v>
      </c>
      <c r="AG30">
        <v>178</v>
      </c>
      <c r="AH30">
        <v>2</v>
      </c>
      <c r="AI30">
        <v>44170050</v>
      </c>
      <c r="AJ30">
        <v>31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</row>
    <row r="31" spans="1:44" x14ac:dyDescent="0.2">
      <c r="A31">
        <f>ROW(Source!A36)</f>
        <v>36</v>
      </c>
      <c r="B31">
        <v>44170071</v>
      </c>
      <c r="C31">
        <v>44170045</v>
      </c>
      <c r="D31">
        <v>35043963</v>
      </c>
      <c r="E31">
        <v>1</v>
      </c>
      <c r="F31">
        <v>1</v>
      </c>
      <c r="G31">
        <v>34959076</v>
      </c>
      <c r="H31">
        <v>3</v>
      </c>
      <c r="I31" t="s">
        <v>386</v>
      </c>
      <c r="J31" t="s">
        <v>458</v>
      </c>
      <c r="K31" t="s">
        <v>459</v>
      </c>
      <c r="L31">
        <v>1348</v>
      </c>
      <c r="N31">
        <v>1009</v>
      </c>
      <c r="O31" t="s">
        <v>87</v>
      </c>
      <c r="P31" t="s">
        <v>87</v>
      </c>
      <c r="Q31">
        <v>1000</v>
      </c>
      <c r="X31">
        <v>0.09</v>
      </c>
      <c r="Y31">
        <v>3386.07</v>
      </c>
      <c r="Z31">
        <v>0</v>
      </c>
      <c r="AA31">
        <v>0</v>
      </c>
      <c r="AB31">
        <v>0</v>
      </c>
      <c r="AC31">
        <v>0</v>
      </c>
      <c r="AD31">
        <v>1</v>
      </c>
      <c r="AE31">
        <v>0</v>
      </c>
      <c r="AF31" t="s">
        <v>5</v>
      </c>
      <c r="AG31">
        <v>0.09</v>
      </c>
      <c r="AH31">
        <v>2</v>
      </c>
      <c r="AI31">
        <v>44170051</v>
      </c>
      <c r="AJ31">
        <v>32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</row>
    <row r="32" spans="1:44" x14ac:dyDescent="0.2">
      <c r="A32">
        <f>ROW(Source!A36)</f>
        <v>36</v>
      </c>
      <c r="B32">
        <v>44170072</v>
      </c>
      <c r="C32">
        <v>44170045</v>
      </c>
      <c r="D32">
        <v>35043338</v>
      </c>
      <c r="E32">
        <v>1</v>
      </c>
      <c r="F32">
        <v>1</v>
      </c>
      <c r="G32">
        <v>34959076</v>
      </c>
      <c r="H32">
        <v>3</v>
      </c>
      <c r="I32" t="s">
        <v>57</v>
      </c>
      <c r="J32" t="s">
        <v>60</v>
      </c>
      <c r="K32" t="s">
        <v>58</v>
      </c>
      <c r="L32">
        <v>1339</v>
      </c>
      <c r="N32">
        <v>1007</v>
      </c>
      <c r="O32" t="s">
        <v>59</v>
      </c>
      <c r="P32" t="s">
        <v>59</v>
      </c>
      <c r="Q32">
        <v>1</v>
      </c>
      <c r="X32">
        <v>40</v>
      </c>
      <c r="Y32">
        <v>104.99</v>
      </c>
      <c r="Z32">
        <v>0</v>
      </c>
      <c r="AA32">
        <v>0</v>
      </c>
      <c r="AB32">
        <v>0</v>
      </c>
      <c r="AC32">
        <v>0</v>
      </c>
      <c r="AD32">
        <v>1</v>
      </c>
      <c r="AE32">
        <v>0</v>
      </c>
      <c r="AF32" t="s">
        <v>5</v>
      </c>
      <c r="AG32">
        <v>40</v>
      </c>
      <c r="AH32">
        <v>2</v>
      </c>
      <c r="AI32">
        <v>44170052</v>
      </c>
      <c r="AJ32">
        <v>33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</row>
    <row r="33" spans="1:44" x14ac:dyDescent="0.2">
      <c r="A33">
        <f>ROW(Source!A36)</f>
        <v>36</v>
      </c>
      <c r="B33">
        <v>44170073</v>
      </c>
      <c r="C33">
        <v>44170045</v>
      </c>
      <c r="D33">
        <v>35064029</v>
      </c>
      <c r="E33">
        <v>1</v>
      </c>
      <c r="F33">
        <v>1</v>
      </c>
      <c r="G33">
        <v>34959076</v>
      </c>
      <c r="H33">
        <v>3</v>
      </c>
      <c r="I33" t="s">
        <v>391</v>
      </c>
      <c r="J33" t="s">
        <v>460</v>
      </c>
      <c r="K33" t="s">
        <v>461</v>
      </c>
      <c r="L33">
        <v>1327</v>
      </c>
      <c r="N33">
        <v>1005</v>
      </c>
      <c r="O33" t="s">
        <v>199</v>
      </c>
      <c r="P33" t="s">
        <v>199</v>
      </c>
      <c r="Q33">
        <v>1</v>
      </c>
      <c r="X33">
        <v>10.199999999999999</v>
      </c>
      <c r="Y33">
        <v>90.15</v>
      </c>
      <c r="Z33">
        <v>0</v>
      </c>
      <c r="AA33">
        <v>0</v>
      </c>
      <c r="AB33">
        <v>0</v>
      </c>
      <c r="AC33">
        <v>0</v>
      </c>
      <c r="AD33">
        <v>1</v>
      </c>
      <c r="AE33">
        <v>0</v>
      </c>
      <c r="AF33" t="s">
        <v>5</v>
      </c>
      <c r="AG33">
        <v>10.199999999999999</v>
      </c>
      <c r="AH33">
        <v>2</v>
      </c>
      <c r="AI33">
        <v>44170053</v>
      </c>
      <c r="AJ33">
        <v>35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</row>
    <row r="34" spans="1:44" x14ac:dyDescent="0.2">
      <c r="A34">
        <f>ROW(Source!A36)</f>
        <v>36</v>
      </c>
      <c r="B34">
        <v>44170074</v>
      </c>
      <c r="C34">
        <v>44170045</v>
      </c>
      <c r="D34">
        <v>34985233</v>
      </c>
      <c r="E34">
        <v>34959076</v>
      </c>
      <c r="F34">
        <v>1</v>
      </c>
      <c r="G34">
        <v>34959076</v>
      </c>
      <c r="H34">
        <v>3</v>
      </c>
      <c r="I34" t="s">
        <v>462</v>
      </c>
      <c r="J34" t="s">
        <v>5</v>
      </c>
      <c r="K34" t="s">
        <v>463</v>
      </c>
      <c r="L34">
        <v>1339</v>
      </c>
      <c r="N34">
        <v>1007</v>
      </c>
      <c r="O34" t="s">
        <v>59</v>
      </c>
      <c r="P34" t="s">
        <v>59</v>
      </c>
      <c r="Q34">
        <v>1</v>
      </c>
      <c r="X34">
        <v>162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 t="s">
        <v>5</v>
      </c>
      <c r="AG34">
        <v>162</v>
      </c>
      <c r="AH34">
        <v>3</v>
      </c>
      <c r="AI34">
        <v>-1</v>
      </c>
      <c r="AJ34" t="s">
        <v>5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</row>
    <row r="35" spans="1:44" x14ac:dyDescent="0.2">
      <c r="A35">
        <f>ROW(Source!A36)</f>
        <v>36</v>
      </c>
      <c r="B35">
        <v>44170075</v>
      </c>
      <c r="C35">
        <v>44170045</v>
      </c>
      <c r="D35">
        <v>34984822</v>
      </c>
      <c r="E35">
        <v>34959076</v>
      </c>
      <c r="F35">
        <v>1</v>
      </c>
      <c r="G35">
        <v>34959076</v>
      </c>
      <c r="H35">
        <v>3</v>
      </c>
      <c r="I35" t="s">
        <v>428</v>
      </c>
      <c r="J35" t="s">
        <v>5</v>
      </c>
      <c r="K35" t="s">
        <v>429</v>
      </c>
      <c r="L35">
        <v>1344</v>
      </c>
      <c r="N35">
        <v>1008</v>
      </c>
      <c r="O35" t="s">
        <v>356</v>
      </c>
      <c r="P35" t="s">
        <v>356</v>
      </c>
      <c r="Q35">
        <v>1</v>
      </c>
      <c r="X35">
        <v>49.28</v>
      </c>
      <c r="Y35">
        <v>1</v>
      </c>
      <c r="Z35">
        <v>0</v>
      </c>
      <c r="AA35">
        <v>0</v>
      </c>
      <c r="AB35">
        <v>0</v>
      </c>
      <c r="AC35">
        <v>0</v>
      </c>
      <c r="AD35">
        <v>1</v>
      </c>
      <c r="AE35">
        <v>0</v>
      </c>
      <c r="AF35" t="s">
        <v>5</v>
      </c>
      <c r="AG35">
        <v>49.28</v>
      </c>
      <c r="AH35">
        <v>3</v>
      </c>
      <c r="AI35">
        <v>-1</v>
      </c>
      <c r="AJ35" t="s">
        <v>5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</row>
    <row r="36" spans="1:44" x14ac:dyDescent="0.2">
      <c r="A36">
        <f>ROW(Source!A38)</f>
        <v>38</v>
      </c>
      <c r="B36">
        <v>44170084</v>
      </c>
      <c r="C36">
        <v>44170077</v>
      </c>
      <c r="D36">
        <v>34984826</v>
      </c>
      <c r="E36">
        <v>34959076</v>
      </c>
      <c r="F36">
        <v>1</v>
      </c>
      <c r="G36">
        <v>34959076</v>
      </c>
      <c r="H36">
        <v>1</v>
      </c>
      <c r="I36" t="s">
        <v>341</v>
      </c>
      <c r="J36" t="s">
        <v>5</v>
      </c>
      <c r="K36" t="s">
        <v>342</v>
      </c>
      <c r="L36">
        <v>1191</v>
      </c>
      <c r="N36">
        <v>1013</v>
      </c>
      <c r="O36" t="s">
        <v>343</v>
      </c>
      <c r="P36" t="s">
        <v>343</v>
      </c>
      <c r="Q36">
        <v>1</v>
      </c>
      <c r="X36">
        <v>5.17</v>
      </c>
      <c r="Y36">
        <v>0</v>
      </c>
      <c r="Z36">
        <v>0</v>
      </c>
      <c r="AA36">
        <v>0</v>
      </c>
      <c r="AB36">
        <v>0</v>
      </c>
      <c r="AC36">
        <v>0</v>
      </c>
      <c r="AD36">
        <v>1</v>
      </c>
      <c r="AE36">
        <v>1</v>
      </c>
      <c r="AF36" t="s">
        <v>5</v>
      </c>
      <c r="AG36">
        <v>5.17</v>
      </c>
      <c r="AH36">
        <v>2</v>
      </c>
      <c r="AI36">
        <v>44170078</v>
      </c>
      <c r="AJ36">
        <v>36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</row>
    <row r="37" spans="1:44" x14ac:dyDescent="0.2">
      <c r="A37">
        <f>ROW(Source!A38)</f>
        <v>38</v>
      </c>
      <c r="B37">
        <v>44170085</v>
      </c>
      <c r="C37">
        <v>44170077</v>
      </c>
      <c r="D37">
        <v>35064029</v>
      </c>
      <c r="E37">
        <v>1</v>
      </c>
      <c r="F37">
        <v>1</v>
      </c>
      <c r="G37">
        <v>34959076</v>
      </c>
      <c r="H37">
        <v>3</v>
      </c>
      <c r="I37" t="s">
        <v>391</v>
      </c>
      <c r="J37" t="s">
        <v>460</v>
      </c>
      <c r="K37" t="s">
        <v>461</v>
      </c>
      <c r="L37">
        <v>1327</v>
      </c>
      <c r="N37">
        <v>1005</v>
      </c>
      <c r="O37" t="s">
        <v>199</v>
      </c>
      <c r="P37" t="s">
        <v>199</v>
      </c>
      <c r="Q37">
        <v>1</v>
      </c>
      <c r="X37">
        <v>0.65</v>
      </c>
      <c r="Y37">
        <v>90.15</v>
      </c>
      <c r="Z37">
        <v>0</v>
      </c>
      <c r="AA37">
        <v>0</v>
      </c>
      <c r="AB37">
        <v>0</v>
      </c>
      <c r="AC37">
        <v>0</v>
      </c>
      <c r="AD37">
        <v>1</v>
      </c>
      <c r="AE37">
        <v>0</v>
      </c>
      <c r="AF37" t="s">
        <v>5</v>
      </c>
      <c r="AG37">
        <v>0.65</v>
      </c>
      <c r="AH37">
        <v>2</v>
      </c>
      <c r="AI37">
        <v>44170079</v>
      </c>
      <c r="AJ37">
        <v>38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</row>
    <row r="38" spans="1:44" x14ac:dyDescent="0.2">
      <c r="A38">
        <f>ROW(Source!A38)</f>
        <v>38</v>
      </c>
      <c r="B38">
        <v>44170086</v>
      </c>
      <c r="C38">
        <v>44170077</v>
      </c>
      <c r="D38">
        <v>34985233</v>
      </c>
      <c r="E38">
        <v>34959076</v>
      </c>
      <c r="F38">
        <v>1</v>
      </c>
      <c r="G38">
        <v>34959076</v>
      </c>
      <c r="H38">
        <v>3</v>
      </c>
      <c r="I38" t="s">
        <v>462</v>
      </c>
      <c r="J38" t="s">
        <v>5</v>
      </c>
      <c r="K38" t="s">
        <v>463</v>
      </c>
      <c r="L38">
        <v>1339</v>
      </c>
      <c r="N38">
        <v>1007</v>
      </c>
      <c r="O38" t="s">
        <v>59</v>
      </c>
      <c r="P38" t="s">
        <v>59</v>
      </c>
      <c r="Q38">
        <v>1</v>
      </c>
      <c r="X38">
        <v>10.199999999999999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 t="s">
        <v>5</v>
      </c>
      <c r="AG38">
        <v>10.199999999999999</v>
      </c>
      <c r="AH38">
        <v>3</v>
      </c>
      <c r="AI38">
        <v>-1</v>
      </c>
      <c r="AJ38" t="s">
        <v>5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</row>
    <row r="39" spans="1:44" x14ac:dyDescent="0.2">
      <c r="A39">
        <f>ROW(Source!A40)</f>
        <v>40</v>
      </c>
      <c r="B39">
        <v>44170111</v>
      </c>
      <c r="C39">
        <v>44170088</v>
      </c>
      <c r="D39">
        <v>34984826</v>
      </c>
      <c r="E39">
        <v>34959076</v>
      </c>
      <c r="F39">
        <v>1</v>
      </c>
      <c r="G39">
        <v>34959076</v>
      </c>
      <c r="H39">
        <v>1</v>
      </c>
      <c r="I39" t="s">
        <v>341</v>
      </c>
      <c r="J39" t="s">
        <v>5</v>
      </c>
      <c r="K39" t="s">
        <v>342</v>
      </c>
      <c r="L39">
        <v>1191</v>
      </c>
      <c r="N39">
        <v>1013</v>
      </c>
      <c r="O39" t="s">
        <v>343</v>
      </c>
      <c r="P39" t="s">
        <v>343</v>
      </c>
      <c r="Q39">
        <v>1</v>
      </c>
      <c r="X39">
        <v>4.29</v>
      </c>
      <c r="Y39">
        <v>0</v>
      </c>
      <c r="Z39">
        <v>0</v>
      </c>
      <c r="AA39">
        <v>0</v>
      </c>
      <c r="AB39">
        <v>0</v>
      </c>
      <c r="AC39">
        <v>0</v>
      </c>
      <c r="AD39">
        <v>1</v>
      </c>
      <c r="AE39">
        <v>1</v>
      </c>
      <c r="AF39" t="s">
        <v>5</v>
      </c>
      <c r="AG39">
        <v>4.29</v>
      </c>
      <c r="AH39">
        <v>2</v>
      </c>
      <c r="AI39">
        <v>44170089</v>
      </c>
      <c r="AJ39">
        <v>39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</row>
    <row r="40" spans="1:44" x14ac:dyDescent="0.2">
      <c r="A40">
        <f>ROW(Source!A40)</f>
        <v>40</v>
      </c>
      <c r="B40">
        <v>44170112</v>
      </c>
      <c r="C40">
        <v>44170088</v>
      </c>
      <c r="D40">
        <v>35065073</v>
      </c>
      <c r="E40">
        <v>1</v>
      </c>
      <c r="F40">
        <v>1</v>
      </c>
      <c r="G40">
        <v>34959076</v>
      </c>
      <c r="H40">
        <v>2</v>
      </c>
      <c r="I40" t="s">
        <v>344</v>
      </c>
      <c r="J40" t="s">
        <v>345</v>
      </c>
      <c r="K40" t="s">
        <v>346</v>
      </c>
      <c r="L40">
        <v>1367</v>
      </c>
      <c r="N40">
        <v>1011</v>
      </c>
      <c r="O40" t="s">
        <v>347</v>
      </c>
      <c r="P40" t="s">
        <v>347</v>
      </c>
      <c r="Q40">
        <v>1</v>
      </c>
      <c r="X40">
        <v>0.3</v>
      </c>
      <c r="Y40">
        <v>0</v>
      </c>
      <c r="Z40">
        <v>60.77</v>
      </c>
      <c r="AA40">
        <v>18.48</v>
      </c>
      <c r="AB40">
        <v>0</v>
      </c>
      <c r="AC40">
        <v>0</v>
      </c>
      <c r="AD40">
        <v>1</v>
      </c>
      <c r="AE40">
        <v>0</v>
      </c>
      <c r="AF40" t="s">
        <v>5</v>
      </c>
      <c r="AG40">
        <v>0.3</v>
      </c>
      <c r="AH40">
        <v>2</v>
      </c>
      <c r="AI40">
        <v>44170090</v>
      </c>
      <c r="AJ40">
        <v>40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</row>
    <row r="41" spans="1:44" x14ac:dyDescent="0.2">
      <c r="A41">
        <f>ROW(Source!A40)</f>
        <v>40</v>
      </c>
      <c r="B41">
        <v>44170113</v>
      </c>
      <c r="C41">
        <v>44170088</v>
      </c>
      <c r="D41">
        <v>35064788</v>
      </c>
      <c r="E41">
        <v>1</v>
      </c>
      <c r="F41">
        <v>1</v>
      </c>
      <c r="G41">
        <v>34959076</v>
      </c>
      <c r="H41">
        <v>2</v>
      </c>
      <c r="I41" t="s">
        <v>394</v>
      </c>
      <c r="J41" t="s">
        <v>395</v>
      </c>
      <c r="K41" t="s">
        <v>396</v>
      </c>
      <c r="L41">
        <v>1367</v>
      </c>
      <c r="N41">
        <v>1011</v>
      </c>
      <c r="O41" t="s">
        <v>347</v>
      </c>
      <c r="P41" t="s">
        <v>347</v>
      </c>
      <c r="Q41">
        <v>1</v>
      </c>
      <c r="X41">
        <v>0.3</v>
      </c>
      <c r="Y41">
        <v>0</v>
      </c>
      <c r="Z41">
        <v>106.74</v>
      </c>
      <c r="AA41">
        <v>19.2</v>
      </c>
      <c r="AB41">
        <v>0</v>
      </c>
      <c r="AC41">
        <v>0</v>
      </c>
      <c r="AD41">
        <v>1</v>
      </c>
      <c r="AE41">
        <v>0</v>
      </c>
      <c r="AF41" t="s">
        <v>5</v>
      </c>
      <c r="AG41">
        <v>0.3</v>
      </c>
      <c r="AH41">
        <v>2</v>
      </c>
      <c r="AI41">
        <v>44170091</v>
      </c>
      <c r="AJ41">
        <v>41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</row>
    <row r="42" spans="1:44" x14ac:dyDescent="0.2">
      <c r="A42">
        <f>ROW(Source!A40)</f>
        <v>40</v>
      </c>
      <c r="B42">
        <v>44170114</v>
      </c>
      <c r="C42">
        <v>44170088</v>
      </c>
      <c r="D42">
        <v>35064877</v>
      </c>
      <c r="E42">
        <v>1</v>
      </c>
      <c r="F42">
        <v>1</v>
      </c>
      <c r="G42">
        <v>34959076</v>
      </c>
      <c r="H42">
        <v>2</v>
      </c>
      <c r="I42" t="s">
        <v>397</v>
      </c>
      <c r="J42" t="s">
        <v>398</v>
      </c>
      <c r="K42" t="s">
        <v>399</v>
      </c>
      <c r="L42">
        <v>1367</v>
      </c>
      <c r="N42">
        <v>1011</v>
      </c>
      <c r="O42" t="s">
        <v>347</v>
      </c>
      <c r="P42" t="s">
        <v>347</v>
      </c>
      <c r="Q42">
        <v>1</v>
      </c>
      <c r="X42">
        <v>0.3</v>
      </c>
      <c r="Y42">
        <v>0</v>
      </c>
      <c r="Z42">
        <v>148.88999999999999</v>
      </c>
      <c r="AA42">
        <v>28.61</v>
      </c>
      <c r="AB42">
        <v>0</v>
      </c>
      <c r="AC42">
        <v>0</v>
      </c>
      <c r="AD42">
        <v>1</v>
      </c>
      <c r="AE42">
        <v>0</v>
      </c>
      <c r="AF42" t="s">
        <v>5</v>
      </c>
      <c r="AG42">
        <v>0.3</v>
      </c>
      <c r="AH42">
        <v>2</v>
      </c>
      <c r="AI42">
        <v>44170092</v>
      </c>
      <c r="AJ42">
        <v>42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</row>
    <row r="43" spans="1:44" x14ac:dyDescent="0.2">
      <c r="A43">
        <f>ROW(Source!A40)</f>
        <v>40</v>
      </c>
      <c r="B43">
        <v>44170115</v>
      </c>
      <c r="C43">
        <v>44170088</v>
      </c>
      <c r="D43">
        <v>35064879</v>
      </c>
      <c r="E43">
        <v>1</v>
      </c>
      <c r="F43">
        <v>1</v>
      </c>
      <c r="G43">
        <v>34959076</v>
      </c>
      <c r="H43">
        <v>2</v>
      </c>
      <c r="I43" t="s">
        <v>400</v>
      </c>
      <c r="J43" t="s">
        <v>401</v>
      </c>
      <c r="K43" t="s">
        <v>402</v>
      </c>
      <c r="L43">
        <v>1367</v>
      </c>
      <c r="N43">
        <v>1011</v>
      </c>
      <c r="O43" t="s">
        <v>347</v>
      </c>
      <c r="P43" t="s">
        <v>347</v>
      </c>
      <c r="Q43">
        <v>1</v>
      </c>
      <c r="X43">
        <v>0.3</v>
      </c>
      <c r="Y43">
        <v>0</v>
      </c>
      <c r="Z43">
        <v>249.15</v>
      </c>
      <c r="AA43">
        <v>42.85</v>
      </c>
      <c r="AB43">
        <v>0</v>
      </c>
      <c r="AC43">
        <v>0</v>
      </c>
      <c r="AD43">
        <v>1</v>
      </c>
      <c r="AE43">
        <v>0</v>
      </c>
      <c r="AF43" t="s">
        <v>5</v>
      </c>
      <c r="AG43">
        <v>0.3</v>
      </c>
      <c r="AH43">
        <v>2</v>
      </c>
      <c r="AI43">
        <v>44170093</v>
      </c>
      <c r="AJ43">
        <v>43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</row>
    <row r="44" spans="1:44" x14ac:dyDescent="0.2">
      <c r="A44">
        <f>ROW(Source!A40)</f>
        <v>40</v>
      </c>
      <c r="B44">
        <v>44170116</v>
      </c>
      <c r="C44">
        <v>44170088</v>
      </c>
      <c r="D44">
        <v>35064863</v>
      </c>
      <c r="E44">
        <v>1</v>
      </c>
      <c r="F44">
        <v>1</v>
      </c>
      <c r="G44">
        <v>34959076</v>
      </c>
      <c r="H44">
        <v>2</v>
      </c>
      <c r="I44" t="s">
        <v>403</v>
      </c>
      <c r="J44" t="s">
        <v>404</v>
      </c>
      <c r="K44" t="s">
        <v>405</v>
      </c>
      <c r="L44">
        <v>1367</v>
      </c>
      <c r="N44">
        <v>1011</v>
      </c>
      <c r="O44" t="s">
        <v>347</v>
      </c>
      <c r="P44" t="s">
        <v>347</v>
      </c>
      <c r="Q44">
        <v>1</v>
      </c>
      <c r="X44">
        <v>0.3</v>
      </c>
      <c r="Y44">
        <v>0</v>
      </c>
      <c r="Z44">
        <v>84.82</v>
      </c>
      <c r="AA44">
        <v>22.85</v>
      </c>
      <c r="AB44">
        <v>0</v>
      </c>
      <c r="AC44">
        <v>0</v>
      </c>
      <c r="AD44">
        <v>1</v>
      </c>
      <c r="AE44">
        <v>0</v>
      </c>
      <c r="AF44" t="s">
        <v>5</v>
      </c>
      <c r="AG44">
        <v>0.3</v>
      </c>
      <c r="AH44">
        <v>2</v>
      </c>
      <c r="AI44">
        <v>44170094</v>
      </c>
      <c r="AJ44">
        <v>44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</row>
    <row r="45" spans="1:44" x14ac:dyDescent="0.2">
      <c r="A45">
        <f>ROW(Source!A40)</f>
        <v>40</v>
      </c>
      <c r="B45">
        <v>44170117</v>
      </c>
      <c r="C45">
        <v>44170088</v>
      </c>
      <c r="D45">
        <v>35064894</v>
      </c>
      <c r="E45">
        <v>1</v>
      </c>
      <c r="F45">
        <v>1</v>
      </c>
      <c r="G45">
        <v>34959076</v>
      </c>
      <c r="H45">
        <v>2</v>
      </c>
      <c r="I45" t="s">
        <v>406</v>
      </c>
      <c r="J45" t="s">
        <v>407</v>
      </c>
      <c r="K45" t="s">
        <v>408</v>
      </c>
      <c r="L45">
        <v>1367</v>
      </c>
      <c r="N45">
        <v>1011</v>
      </c>
      <c r="O45" t="s">
        <v>347</v>
      </c>
      <c r="P45" t="s">
        <v>347</v>
      </c>
      <c r="Q45">
        <v>1</v>
      </c>
      <c r="X45">
        <v>0.3</v>
      </c>
      <c r="Y45">
        <v>0</v>
      </c>
      <c r="Z45">
        <v>124.6</v>
      </c>
      <c r="AA45">
        <v>28.4</v>
      </c>
      <c r="AB45">
        <v>0</v>
      </c>
      <c r="AC45">
        <v>0</v>
      </c>
      <c r="AD45">
        <v>1</v>
      </c>
      <c r="AE45">
        <v>0</v>
      </c>
      <c r="AF45" t="s">
        <v>5</v>
      </c>
      <c r="AG45">
        <v>0.3</v>
      </c>
      <c r="AH45">
        <v>2</v>
      </c>
      <c r="AI45">
        <v>44170095</v>
      </c>
      <c r="AJ45">
        <v>45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</row>
    <row r="46" spans="1:44" x14ac:dyDescent="0.2">
      <c r="A46">
        <f>ROW(Source!A40)</f>
        <v>40</v>
      </c>
      <c r="B46">
        <v>44170118</v>
      </c>
      <c r="C46">
        <v>44170088</v>
      </c>
      <c r="D46">
        <v>35064867</v>
      </c>
      <c r="E46">
        <v>1</v>
      </c>
      <c r="F46">
        <v>1</v>
      </c>
      <c r="G46">
        <v>34959076</v>
      </c>
      <c r="H46">
        <v>2</v>
      </c>
      <c r="I46" t="s">
        <v>409</v>
      </c>
      <c r="J46" t="s">
        <v>410</v>
      </c>
      <c r="K46" t="s">
        <v>411</v>
      </c>
      <c r="L46">
        <v>1367</v>
      </c>
      <c r="N46">
        <v>1011</v>
      </c>
      <c r="O46" t="s">
        <v>347</v>
      </c>
      <c r="P46" t="s">
        <v>347</v>
      </c>
      <c r="Q46">
        <v>1</v>
      </c>
      <c r="X46">
        <v>0.3</v>
      </c>
      <c r="Y46">
        <v>0</v>
      </c>
      <c r="Z46">
        <v>88.4</v>
      </c>
      <c r="AA46">
        <v>23.18</v>
      </c>
      <c r="AB46">
        <v>0</v>
      </c>
      <c r="AC46">
        <v>0</v>
      </c>
      <c r="AD46">
        <v>1</v>
      </c>
      <c r="AE46">
        <v>0</v>
      </c>
      <c r="AF46" t="s">
        <v>5</v>
      </c>
      <c r="AG46">
        <v>0.3</v>
      </c>
      <c r="AH46">
        <v>2</v>
      </c>
      <c r="AI46">
        <v>44170096</v>
      </c>
      <c r="AJ46">
        <v>46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</row>
    <row r="47" spans="1:44" x14ac:dyDescent="0.2">
      <c r="A47">
        <f>ROW(Source!A40)</f>
        <v>40</v>
      </c>
      <c r="B47">
        <v>44170119</v>
      </c>
      <c r="C47">
        <v>44170088</v>
      </c>
      <c r="D47">
        <v>35064868</v>
      </c>
      <c r="E47">
        <v>1</v>
      </c>
      <c r="F47">
        <v>1</v>
      </c>
      <c r="G47">
        <v>34959076</v>
      </c>
      <c r="H47">
        <v>2</v>
      </c>
      <c r="I47" t="s">
        <v>375</v>
      </c>
      <c r="J47" t="s">
        <v>376</v>
      </c>
      <c r="K47" t="s">
        <v>377</v>
      </c>
      <c r="L47">
        <v>1367</v>
      </c>
      <c r="N47">
        <v>1011</v>
      </c>
      <c r="O47" t="s">
        <v>347</v>
      </c>
      <c r="P47" t="s">
        <v>347</v>
      </c>
      <c r="Q47">
        <v>1</v>
      </c>
      <c r="X47">
        <v>0.9</v>
      </c>
      <c r="Y47">
        <v>0</v>
      </c>
      <c r="Z47">
        <v>178.02</v>
      </c>
      <c r="AA47">
        <v>23.5</v>
      </c>
      <c r="AB47">
        <v>0</v>
      </c>
      <c r="AC47">
        <v>0</v>
      </c>
      <c r="AD47">
        <v>1</v>
      </c>
      <c r="AE47">
        <v>0</v>
      </c>
      <c r="AF47" t="s">
        <v>5</v>
      </c>
      <c r="AG47">
        <v>0.9</v>
      </c>
      <c r="AH47">
        <v>2</v>
      </c>
      <c r="AI47">
        <v>44170097</v>
      </c>
      <c r="AJ47">
        <v>47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</row>
    <row r="48" spans="1:44" x14ac:dyDescent="0.2">
      <c r="A48">
        <f>ROW(Source!A40)</f>
        <v>40</v>
      </c>
      <c r="B48">
        <v>44170120</v>
      </c>
      <c r="C48">
        <v>44170088</v>
      </c>
      <c r="D48">
        <v>35059093</v>
      </c>
      <c r="E48">
        <v>1</v>
      </c>
      <c r="F48">
        <v>1</v>
      </c>
      <c r="G48">
        <v>34959076</v>
      </c>
      <c r="H48">
        <v>3</v>
      </c>
      <c r="I48" t="s">
        <v>412</v>
      </c>
      <c r="J48" t="s">
        <v>464</v>
      </c>
      <c r="K48" t="s">
        <v>465</v>
      </c>
      <c r="L48">
        <v>1348</v>
      </c>
      <c r="N48">
        <v>1009</v>
      </c>
      <c r="O48" t="s">
        <v>87</v>
      </c>
      <c r="P48" t="s">
        <v>87</v>
      </c>
      <c r="Q48">
        <v>1000</v>
      </c>
      <c r="X48">
        <v>0.04</v>
      </c>
      <c r="Y48">
        <v>1445.87</v>
      </c>
      <c r="Z48">
        <v>0</v>
      </c>
      <c r="AA48">
        <v>0</v>
      </c>
      <c r="AB48">
        <v>0</v>
      </c>
      <c r="AC48">
        <v>0</v>
      </c>
      <c r="AD48">
        <v>1</v>
      </c>
      <c r="AE48">
        <v>0</v>
      </c>
      <c r="AF48" t="s">
        <v>5</v>
      </c>
      <c r="AG48">
        <v>0.04</v>
      </c>
      <c r="AH48">
        <v>2</v>
      </c>
      <c r="AI48">
        <v>44170098</v>
      </c>
      <c r="AJ48">
        <v>48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</row>
    <row r="49" spans="1:44" x14ac:dyDescent="0.2">
      <c r="A49">
        <f>ROW(Source!A40)</f>
        <v>40</v>
      </c>
      <c r="B49">
        <v>44170121</v>
      </c>
      <c r="C49">
        <v>44170088</v>
      </c>
      <c r="D49">
        <v>34984952</v>
      </c>
      <c r="E49">
        <v>34959076</v>
      </c>
      <c r="F49">
        <v>1</v>
      </c>
      <c r="G49">
        <v>34959076</v>
      </c>
      <c r="H49">
        <v>3</v>
      </c>
      <c r="I49" t="s">
        <v>466</v>
      </c>
      <c r="J49" t="s">
        <v>5</v>
      </c>
      <c r="K49" t="s">
        <v>467</v>
      </c>
      <c r="L49">
        <v>1348</v>
      </c>
      <c r="N49">
        <v>1009</v>
      </c>
      <c r="O49" t="s">
        <v>87</v>
      </c>
      <c r="P49" t="s">
        <v>87</v>
      </c>
      <c r="Q49">
        <v>1000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 t="s">
        <v>5</v>
      </c>
      <c r="AG49">
        <v>0</v>
      </c>
      <c r="AH49">
        <v>3</v>
      </c>
      <c r="AI49">
        <v>-1</v>
      </c>
      <c r="AJ49" t="s">
        <v>5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</row>
    <row r="50" spans="1:44" x14ac:dyDescent="0.2">
      <c r="A50">
        <f>ROW(Source!A42)</f>
        <v>42</v>
      </c>
      <c r="B50">
        <v>44170132</v>
      </c>
      <c r="C50">
        <v>44170123</v>
      </c>
      <c r="D50">
        <v>34984826</v>
      </c>
      <c r="E50">
        <v>34959076</v>
      </c>
      <c r="F50">
        <v>1</v>
      </c>
      <c r="G50">
        <v>34959076</v>
      </c>
      <c r="H50">
        <v>1</v>
      </c>
      <c r="I50" t="s">
        <v>341</v>
      </c>
      <c r="J50" t="s">
        <v>5</v>
      </c>
      <c r="K50" t="s">
        <v>342</v>
      </c>
      <c r="L50">
        <v>1191</v>
      </c>
      <c r="N50">
        <v>1013</v>
      </c>
      <c r="O50" t="s">
        <v>343</v>
      </c>
      <c r="P50" t="s">
        <v>343</v>
      </c>
      <c r="Q50">
        <v>1</v>
      </c>
      <c r="X50">
        <v>0.53</v>
      </c>
      <c r="Y50">
        <v>0</v>
      </c>
      <c r="Z50">
        <v>0</v>
      </c>
      <c r="AA50">
        <v>0</v>
      </c>
      <c r="AB50">
        <v>0</v>
      </c>
      <c r="AC50">
        <v>0</v>
      </c>
      <c r="AD50">
        <v>1</v>
      </c>
      <c r="AE50">
        <v>1</v>
      </c>
      <c r="AF50" t="s">
        <v>93</v>
      </c>
      <c r="AG50">
        <v>1.59</v>
      </c>
      <c r="AH50">
        <v>2</v>
      </c>
      <c r="AI50">
        <v>44170124</v>
      </c>
      <c r="AJ50">
        <v>50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</row>
    <row r="51" spans="1:44" x14ac:dyDescent="0.2">
      <c r="A51">
        <f>ROW(Source!A42)</f>
        <v>42</v>
      </c>
      <c r="B51">
        <v>44170133</v>
      </c>
      <c r="C51">
        <v>44170123</v>
      </c>
      <c r="D51">
        <v>35064788</v>
      </c>
      <c r="E51">
        <v>1</v>
      </c>
      <c r="F51">
        <v>1</v>
      </c>
      <c r="G51">
        <v>34959076</v>
      </c>
      <c r="H51">
        <v>2</v>
      </c>
      <c r="I51" t="s">
        <v>394</v>
      </c>
      <c r="J51" t="s">
        <v>395</v>
      </c>
      <c r="K51" t="s">
        <v>396</v>
      </c>
      <c r="L51">
        <v>1367</v>
      </c>
      <c r="N51">
        <v>1011</v>
      </c>
      <c r="O51" t="s">
        <v>347</v>
      </c>
      <c r="P51" t="s">
        <v>347</v>
      </c>
      <c r="Q51">
        <v>1</v>
      </c>
      <c r="X51">
        <v>7.4999999999999997E-2</v>
      </c>
      <c r="Y51">
        <v>0</v>
      </c>
      <c r="Z51">
        <v>106.74</v>
      </c>
      <c r="AA51">
        <v>19.2</v>
      </c>
      <c r="AB51">
        <v>0</v>
      </c>
      <c r="AC51">
        <v>0</v>
      </c>
      <c r="AD51">
        <v>1</v>
      </c>
      <c r="AE51">
        <v>0</v>
      </c>
      <c r="AF51" t="s">
        <v>93</v>
      </c>
      <c r="AG51">
        <v>0.22499999999999998</v>
      </c>
      <c r="AH51">
        <v>2</v>
      </c>
      <c r="AI51">
        <v>44170125</v>
      </c>
      <c r="AJ51">
        <v>51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</row>
    <row r="52" spans="1:44" x14ac:dyDescent="0.2">
      <c r="A52">
        <f>ROW(Source!A42)</f>
        <v>42</v>
      </c>
      <c r="B52">
        <v>44170134</v>
      </c>
      <c r="C52">
        <v>44170123</v>
      </c>
      <c r="D52">
        <v>35064894</v>
      </c>
      <c r="E52">
        <v>1</v>
      </c>
      <c r="F52">
        <v>1</v>
      </c>
      <c r="G52">
        <v>34959076</v>
      </c>
      <c r="H52">
        <v>2</v>
      </c>
      <c r="I52" t="s">
        <v>406</v>
      </c>
      <c r="J52" t="s">
        <v>407</v>
      </c>
      <c r="K52" t="s">
        <v>408</v>
      </c>
      <c r="L52">
        <v>1367</v>
      </c>
      <c r="N52">
        <v>1011</v>
      </c>
      <c r="O52" t="s">
        <v>347</v>
      </c>
      <c r="P52" t="s">
        <v>347</v>
      </c>
      <c r="Q52">
        <v>1</v>
      </c>
      <c r="X52">
        <v>7.4999999999999997E-2</v>
      </c>
      <c r="Y52">
        <v>0</v>
      </c>
      <c r="Z52">
        <v>124.6</v>
      </c>
      <c r="AA52">
        <v>28.4</v>
      </c>
      <c r="AB52">
        <v>0</v>
      </c>
      <c r="AC52">
        <v>0</v>
      </c>
      <c r="AD52">
        <v>1</v>
      </c>
      <c r="AE52">
        <v>0</v>
      </c>
      <c r="AF52" t="s">
        <v>93</v>
      </c>
      <c r="AG52">
        <v>0.22499999999999998</v>
      </c>
      <c r="AH52">
        <v>2</v>
      </c>
      <c r="AI52">
        <v>44170126</v>
      </c>
      <c r="AJ52">
        <v>52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</row>
    <row r="53" spans="1:44" x14ac:dyDescent="0.2">
      <c r="A53">
        <f>ROW(Source!A42)</f>
        <v>42</v>
      </c>
      <c r="B53">
        <v>44170135</v>
      </c>
      <c r="C53">
        <v>44170123</v>
      </c>
      <c r="D53">
        <v>34984952</v>
      </c>
      <c r="E53">
        <v>34959076</v>
      </c>
      <c r="F53">
        <v>1</v>
      </c>
      <c r="G53">
        <v>34959076</v>
      </c>
      <c r="H53">
        <v>3</v>
      </c>
      <c r="I53" t="s">
        <v>466</v>
      </c>
      <c r="J53" t="s">
        <v>5</v>
      </c>
      <c r="K53" t="s">
        <v>467</v>
      </c>
      <c r="L53">
        <v>1348</v>
      </c>
      <c r="N53">
        <v>1009</v>
      </c>
      <c r="O53" t="s">
        <v>87</v>
      </c>
      <c r="P53" t="s">
        <v>87</v>
      </c>
      <c r="Q53">
        <v>1000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 t="s">
        <v>5</v>
      </c>
      <c r="AG53">
        <v>0</v>
      </c>
      <c r="AH53">
        <v>3</v>
      </c>
      <c r="AI53">
        <v>-1</v>
      </c>
      <c r="AJ53" t="s">
        <v>5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</row>
    <row r="54" spans="1:44" x14ac:dyDescent="0.2">
      <c r="A54">
        <f>ROW(Source!A44)</f>
        <v>44</v>
      </c>
      <c r="B54">
        <v>44170160</v>
      </c>
      <c r="C54">
        <v>44170137</v>
      </c>
      <c r="D54">
        <v>34984826</v>
      </c>
      <c r="E54">
        <v>34959076</v>
      </c>
      <c r="F54">
        <v>1</v>
      </c>
      <c r="G54">
        <v>34959076</v>
      </c>
      <c r="H54">
        <v>1</v>
      </c>
      <c r="I54" t="s">
        <v>341</v>
      </c>
      <c r="J54" t="s">
        <v>5</v>
      </c>
      <c r="K54" t="s">
        <v>342</v>
      </c>
      <c r="L54">
        <v>1191</v>
      </c>
      <c r="N54">
        <v>1013</v>
      </c>
      <c r="O54" t="s">
        <v>343</v>
      </c>
      <c r="P54" t="s">
        <v>343</v>
      </c>
      <c r="Q54">
        <v>1</v>
      </c>
      <c r="X54">
        <v>4.29</v>
      </c>
      <c r="Y54">
        <v>0</v>
      </c>
      <c r="Z54">
        <v>0</v>
      </c>
      <c r="AA54">
        <v>0</v>
      </c>
      <c r="AB54">
        <v>0</v>
      </c>
      <c r="AC54">
        <v>0</v>
      </c>
      <c r="AD54">
        <v>1</v>
      </c>
      <c r="AE54">
        <v>1</v>
      </c>
      <c r="AF54" t="s">
        <v>5</v>
      </c>
      <c r="AG54">
        <v>4.29</v>
      </c>
      <c r="AH54">
        <v>2</v>
      </c>
      <c r="AI54">
        <v>44170138</v>
      </c>
      <c r="AJ54">
        <v>54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</row>
    <row r="55" spans="1:44" x14ac:dyDescent="0.2">
      <c r="A55">
        <f>ROW(Source!A44)</f>
        <v>44</v>
      </c>
      <c r="B55">
        <v>44170161</v>
      </c>
      <c r="C55">
        <v>44170137</v>
      </c>
      <c r="D55">
        <v>35065073</v>
      </c>
      <c r="E55">
        <v>1</v>
      </c>
      <c r="F55">
        <v>1</v>
      </c>
      <c r="G55">
        <v>34959076</v>
      </c>
      <c r="H55">
        <v>2</v>
      </c>
      <c r="I55" t="s">
        <v>344</v>
      </c>
      <c r="J55" t="s">
        <v>345</v>
      </c>
      <c r="K55" t="s">
        <v>346</v>
      </c>
      <c r="L55">
        <v>1367</v>
      </c>
      <c r="N55">
        <v>1011</v>
      </c>
      <c r="O55" t="s">
        <v>347</v>
      </c>
      <c r="P55" t="s">
        <v>347</v>
      </c>
      <c r="Q55">
        <v>1</v>
      </c>
      <c r="X55">
        <v>0.3</v>
      </c>
      <c r="Y55">
        <v>0</v>
      </c>
      <c r="Z55">
        <v>60.77</v>
      </c>
      <c r="AA55">
        <v>18.48</v>
      </c>
      <c r="AB55">
        <v>0</v>
      </c>
      <c r="AC55">
        <v>0</v>
      </c>
      <c r="AD55">
        <v>1</v>
      </c>
      <c r="AE55">
        <v>0</v>
      </c>
      <c r="AF55" t="s">
        <v>5</v>
      </c>
      <c r="AG55">
        <v>0.3</v>
      </c>
      <c r="AH55">
        <v>2</v>
      </c>
      <c r="AI55">
        <v>44170139</v>
      </c>
      <c r="AJ55">
        <v>55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</row>
    <row r="56" spans="1:44" x14ac:dyDescent="0.2">
      <c r="A56">
        <f>ROW(Source!A44)</f>
        <v>44</v>
      </c>
      <c r="B56">
        <v>44170162</v>
      </c>
      <c r="C56">
        <v>44170137</v>
      </c>
      <c r="D56">
        <v>35064788</v>
      </c>
      <c r="E56">
        <v>1</v>
      </c>
      <c r="F56">
        <v>1</v>
      </c>
      <c r="G56">
        <v>34959076</v>
      </c>
      <c r="H56">
        <v>2</v>
      </c>
      <c r="I56" t="s">
        <v>394</v>
      </c>
      <c r="J56" t="s">
        <v>395</v>
      </c>
      <c r="K56" t="s">
        <v>396</v>
      </c>
      <c r="L56">
        <v>1367</v>
      </c>
      <c r="N56">
        <v>1011</v>
      </c>
      <c r="O56" t="s">
        <v>347</v>
      </c>
      <c r="P56" t="s">
        <v>347</v>
      </c>
      <c r="Q56">
        <v>1</v>
      </c>
      <c r="X56">
        <v>0.3</v>
      </c>
      <c r="Y56">
        <v>0</v>
      </c>
      <c r="Z56">
        <v>106.74</v>
      </c>
      <c r="AA56">
        <v>19.2</v>
      </c>
      <c r="AB56">
        <v>0</v>
      </c>
      <c r="AC56">
        <v>0</v>
      </c>
      <c r="AD56">
        <v>1</v>
      </c>
      <c r="AE56">
        <v>0</v>
      </c>
      <c r="AF56" t="s">
        <v>5</v>
      </c>
      <c r="AG56">
        <v>0.3</v>
      </c>
      <c r="AH56">
        <v>2</v>
      </c>
      <c r="AI56">
        <v>44170140</v>
      </c>
      <c r="AJ56">
        <v>56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</row>
    <row r="57" spans="1:44" x14ac:dyDescent="0.2">
      <c r="A57">
        <f>ROW(Source!A44)</f>
        <v>44</v>
      </c>
      <c r="B57">
        <v>44170163</v>
      </c>
      <c r="C57">
        <v>44170137</v>
      </c>
      <c r="D57">
        <v>35064877</v>
      </c>
      <c r="E57">
        <v>1</v>
      </c>
      <c r="F57">
        <v>1</v>
      </c>
      <c r="G57">
        <v>34959076</v>
      </c>
      <c r="H57">
        <v>2</v>
      </c>
      <c r="I57" t="s">
        <v>397</v>
      </c>
      <c r="J57" t="s">
        <v>398</v>
      </c>
      <c r="K57" t="s">
        <v>399</v>
      </c>
      <c r="L57">
        <v>1367</v>
      </c>
      <c r="N57">
        <v>1011</v>
      </c>
      <c r="O57" t="s">
        <v>347</v>
      </c>
      <c r="P57" t="s">
        <v>347</v>
      </c>
      <c r="Q57">
        <v>1</v>
      </c>
      <c r="X57">
        <v>0.3</v>
      </c>
      <c r="Y57">
        <v>0</v>
      </c>
      <c r="Z57">
        <v>148.88999999999999</v>
      </c>
      <c r="AA57">
        <v>28.61</v>
      </c>
      <c r="AB57">
        <v>0</v>
      </c>
      <c r="AC57">
        <v>0</v>
      </c>
      <c r="AD57">
        <v>1</v>
      </c>
      <c r="AE57">
        <v>0</v>
      </c>
      <c r="AF57" t="s">
        <v>5</v>
      </c>
      <c r="AG57">
        <v>0.3</v>
      </c>
      <c r="AH57">
        <v>2</v>
      </c>
      <c r="AI57">
        <v>44170141</v>
      </c>
      <c r="AJ57">
        <v>57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</row>
    <row r="58" spans="1:44" x14ac:dyDescent="0.2">
      <c r="A58">
        <f>ROW(Source!A44)</f>
        <v>44</v>
      </c>
      <c r="B58">
        <v>44170164</v>
      </c>
      <c r="C58">
        <v>44170137</v>
      </c>
      <c r="D58">
        <v>35064879</v>
      </c>
      <c r="E58">
        <v>1</v>
      </c>
      <c r="F58">
        <v>1</v>
      </c>
      <c r="G58">
        <v>34959076</v>
      </c>
      <c r="H58">
        <v>2</v>
      </c>
      <c r="I58" t="s">
        <v>400</v>
      </c>
      <c r="J58" t="s">
        <v>401</v>
      </c>
      <c r="K58" t="s">
        <v>402</v>
      </c>
      <c r="L58">
        <v>1367</v>
      </c>
      <c r="N58">
        <v>1011</v>
      </c>
      <c r="O58" t="s">
        <v>347</v>
      </c>
      <c r="P58" t="s">
        <v>347</v>
      </c>
      <c r="Q58">
        <v>1</v>
      </c>
      <c r="X58">
        <v>0.3</v>
      </c>
      <c r="Y58">
        <v>0</v>
      </c>
      <c r="Z58">
        <v>249.15</v>
      </c>
      <c r="AA58">
        <v>42.85</v>
      </c>
      <c r="AB58">
        <v>0</v>
      </c>
      <c r="AC58">
        <v>0</v>
      </c>
      <c r="AD58">
        <v>1</v>
      </c>
      <c r="AE58">
        <v>0</v>
      </c>
      <c r="AF58" t="s">
        <v>5</v>
      </c>
      <c r="AG58">
        <v>0.3</v>
      </c>
      <c r="AH58">
        <v>2</v>
      </c>
      <c r="AI58">
        <v>44170142</v>
      </c>
      <c r="AJ58">
        <v>58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</row>
    <row r="59" spans="1:44" x14ac:dyDescent="0.2">
      <c r="A59">
        <f>ROW(Source!A44)</f>
        <v>44</v>
      </c>
      <c r="B59">
        <v>44170165</v>
      </c>
      <c r="C59">
        <v>44170137</v>
      </c>
      <c r="D59">
        <v>35064863</v>
      </c>
      <c r="E59">
        <v>1</v>
      </c>
      <c r="F59">
        <v>1</v>
      </c>
      <c r="G59">
        <v>34959076</v>
      </c>
      <c r="H59">
        <v>2</v>
      </c>
      <c r="I59" t="s">
        <v>403</v>
      </c>
      <c r="J59" t="s">
        <v>404</v>
      </c>
      <c r="K59" t="s">
        <v>405</v>
      </c>
      <c r="L59">
        <v>1367</v>
      </c>
      <c r="N59">
        <v>1011</v>
      </c>
      <c r="O59" t="s">
        <v>347</v>
      </c>
      <c r="P59" t="s">
        <v>347</v>
      </c>
      <c r="Q59">
        <v>1</v>
      </c>
      <c r="X59">
        <v>0.3</v>
      </c>
      <c r="Y59">
        <v>0</v>
      </c>
      <c r="Z59">
        <v>84.82</v>
      </c>
      <c r="AA59">
        <v>22.85</v>
      </c>
      <c r="AB59">
        <v>0</v>
      </c>
      <c r="AC59">
        <v>0</v>
      </c>
      <c r="AD59">
        <v>1</v>
      </c>
      <c r="AE59">
        <v>0</v>
      </c>
      <c r="AF59" t="s">
        <v>5</v>
      </c>
      <c r="AG59">
        <v>0.3</v>
      </c>
      <c r="AH59">
        <v>2</v>
      </c>
      <c r="AI59">
        <v>44170143</v>
      </c>
      <c r="AJ59">
        <v>59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</row>
    <row r="60" spans="1:44" x14ac:dyDescent="0.2">
      <c r="A60">
        <f>ROW(Source!A44)</f>
        <v>44</v>
      </c>
      <c r="B60">
        <v>44170166</v>
      </c>
      <c r="C60">
        <v>44170137</v>
      </c>
      <c r="D60">
        <v>35064894</v>
      </c>
      <c r="E60">
        <v>1</v>
      </c>
      <c r="F60">
        <v>1</v>
      </c>
      <c r="G60">
        <v>34959076</v>
      </c>
      <c r="H60">
        <v>2</v>
      </c>
      <c r="I60" t="s">
        <v>406</v>
      </c>
      <c r="J60" t="s">
        <v>407</v>
      </c>
      <c r="K60" t="s">
        <v>408</v>
      </c>
      <c r="L60">
        <v>1367</v>
      </c>
      <c r="N60">
        <v>1011</v>
      </c>
      <c r="O60" t="s">
        <v>347</v>
      </c>
      <c r="P60" t="s">
        <v>347</v>
      </c>
      <c r="Q60">
        <v>1</v>
      </c>
      <c r="X60">
        <v>0.3</v>
      </c>
      <c r="Y60">
        <v>0</v>
      </c>
      <c r="Z60">
        <v>124.6</v>
      </c>
      <c r="AA60">
        <v>28.4</v>
      </c>
      <c r="AB60">
        <v>0</v>
      </c>
      <c r="AC60">
        <v>0</v>
      </c>
      <c r="AD60">
        <v>1</v>
      </c>
      <c r="AE60">
        <v>0</v>
      </c>
      <c r="AF60" t="s">
        <v>5</v>
      </c>
      <c r="AG60">
        <v>0.3</v>
      </c>
      <c r="AH60">
        <v>2</v>
      </c>
      <c r="AI60">
        <v>44170144</v>
      </c>
      <c r="AJ60">
        <v>60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</row>
    <row r="61" spans="1:44" x14ac:dyDescent="0.2">
      <c r="A61">
        <f>ROW(Source!A44)</f>
        <v>44</v>
      </c>
      <c r="B61">
        <v>44170167</v>
      </c>
      <c r="C61">
        <v>44170137</v>
      </c>
      <c r="D61">
        <v>35064867</v>
      </c>
      <c r="E61">
        <v>1</v>
      </c>
      <c r="F61">
        <v>1</v>
      </c>
      <c r="G61">
        <v>34959076</v>
      </c>
      <c r="H61">
        <v>2</v>
      </c>
      <c r="I61" t="s">
        <v>409</v>
      </c>
      <c r="J61" t="s">
        <v>410</v>
      </c>
      <c r="K61" t="s">
        <v>411</v>
      </c>
      <c r="L61">
        <v>1367</v>
      </c>
      <c r="N61">
        <v>1011</v>
      </c>
      <c r="O61" t="s">
        <v>347</v>
      </c>
      <c r="P61" t="s">
        <v>347</v>
      </c>
      <c r="Q61">
        <v>1</v>
      </c>
      <c r="X61">
        <v>0.3</v>
      </c>
      <c r="Y61">
        <v>0</v>
      </c>
      <c r="Z61">
        <v>88.4</v>
      </c>
      <c r="AA61">
        <v>23.18</v>
      </c>
      <c r="AB61">
        <v>0</v>
      </c>
      <c r="AC61">
        <v>0</v>
      </c>
      <c r="AD61">
        <v>1</v>
      </c>
      <c r="AE61">
        <v>0</v>
      </c>
      <c r="AF61" t="s">
        <v>5</v>
      </c>
      <c r="AG61">
        <v>0.3</v>
      </c>
      <c r="AH61">
        <v>2</v>
      </c>
      <c r="AI61">
        <v>44170145</v>
      </c>
      <c r="AJ61">
        <v>61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</row>
    <row r="62" spans="1:44" x14ac:dyDescent="0.2">
      <c r="A62">
        <f>ROW(Source!A44)</f>
        <v>44</v>
      </c>
      <c r="B62">
        <v>44170168</v>
      </c>
      <c r="C62">
        <v>44170137</v>
      </c>
      <c r="D62">
        <v>35064868</v>
      </c>
      <c r="E62">
        <v>1</v>
      </c>
      <c r="F62">
        <v>1</v>
      </c>
      <c r="G62">
        <v>34959076</v>
      </c>
      <c r="H62">
        <v>2</v>
      </c>
      <c r="I62" t="s">
        <v>375</v>
      </c>
      <c r="J62" t="s">
        <v>376</v>
      </c>
      <c r="K62" t="s">
        <v>377</v>
      </c>
      <c r="L62">
        <v>1367</v>
      </c>
      <c r="N62">
        <v>1011</v>
      </c>
      <c r="O62" t="s">
        <v>347</v>
      </c>
      <c r="P62" t="s">
        <v>347</v>
      </c>
      <c r="Q62">
        <v>1</v>
      </c>
      <c r="X62">
        <v>0.9</v>
      </c>
      <c r="Y62">
        <v>0</v>
      </c>
      <c r="Z62">
        <v>178.02</v>
      </c>
      <c r="AA62">
        <v>23.5</v>
      </c>
      <c r="AB62">
        <v>0</v>
      </c>
      <c r="AC62">
        <v>0</v>
      </c>
      <c r="AD62">
        <v>1</v>
      </c>
      <c r="AE62">
        <v>0</v>
      </c>
      <c r="AF62" t="s">
        <v>5</v>
      </c>
      <c r="AG62">
        <v>0.9</v>
      </c>
      <c r="AH62">
        <v>2</v>
      </c>
      <c r="AI62">
        <v>44170146</v>
      </c>
      <c r="AJ62">
        <v>62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</row>
    <row r="63" spans="1:44" x14ac:dyDescent="0.2">
      <c r="A63">
        <f>ROW(Source!A44)</f>
        <v>44</v>
      </c>
      <c r="B63">
        <v>44170169</v>
      </c>
      <c r="C63">
        <v>44170137</v>
      </c>
      <c r="D63">
        <v>35059093</v>
      </c>
      <c r="E63">
        <v>1</v>
      </c>
      <c r="F63">
        <v>1</v>
      </c>
      <c r="G63">
        <v>34959076</v>
      </c>
      <c r="H63">
        <v>3</v>
      </c>
      <c r="I63" t="s">
        <v>412</v>
      </c>
      <c r="J63" t="s">
        <v>464</v>
      </c>
      <c r="K63" t="s">
        <v>465</v>
      </c>
      <c r="L63">
        <v>1348</v>
      </c>
      <c r="N63">
        <v>1009</v>
      </c>
      <c r="O63" t="s">
        <v>87</v>
      </c>
      <c r="P63" t="s">
        <v>87</v>
      </c>
      <c r="Q63">
        <v>1000</v>
      </c>
      <c r="X63">
        <v>0.04</v>
      </c>
      <c r="Y63">
        <v>1445.87</v>
      </c>
      <c r="Z63">
        <v>0</v>
      </c>
      <c r="AA63">
        <v>0</v>
      </c>
      <c r="AB63">
        <v>0</v>
      </c>
      <c r="AC63">
        <v>0</v>
      </c>
      <c r="AD63">
        <v>1</v>
      </c>
      <c r="AE63">
        <v>0</v>
      </c>
      <c r="AF63" t="s">
        <v>5</v>
      </c>
      <c r="AG63">
        <v>0.04</v>
      </c>
      <c r="AH63">
        <v>2</v>
      </c>
      <c r="AI63">
        <v>44170147</v>
      </c>
      <c r="AJ63">
        <v>63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</row>
    <row r="64" spans="1:44" x14ac:dyDescent="0.2">
      <c r="A64">
        <f>ROW(Source!A44)</f>
        <v>44</v>
      </c>
      <c r="B64">
        <v>44170170</v>
      </c>
      <c r="C64">
        <v>44170137</v>
      </c>
      <c r="D64">
        <v>34984952</v>
      </c>
      <c r="E64">
        <v>34959076</v>
      </c>
      <c r="F64">
        <v>1</v>
      </c>
      <c r="G64">
        <v>34959076</v>
      </c>
      <c r="H64">
        <v>3</v>
      </c>
      <c r="I64" t="s">
        <v>466</v>
      </c>
      <c r="J64" t="s">
        <v>5</v>
      </c>
      <c r="K64" t="s">
        <v>467</v>
      </c>
      <c r="L64">
        <v>1348</v>
      </c>
      <c r="N64">
        <v>1009</v>
      </c>
      <c r="O64" t="s">
        <v>87</v>
      </c>
      <c r="P64" t="s">
        <v>87</v>
      </c>
      <c r="Q64">
        <v>1000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 t="s">
        <v>5</v>
      </c>
      <c r="AG64">
        <v>0</v>
      </c>
      <c r="AH64">
        <v>3</v>
      </c>
      <c r="AI64">
        <v>-1</v>
      </c>
      <c r="AJ64" t="s">
        <v>5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</row>
    <row r="65" spans="1:44" x14ac:dyDescent="0.2">
      <c r="A65">
        <f>ROW(Source!A46)</f>
        <v>46</v>
      </c>
      <c r="B65">
        <v>44170181</v>
      </c>
      <c r="C65">
        <v>44170172</v>
      </c>
      <c r="D65">
        <v>34984826</v>
      </c>
      <c r="E65">
        <v>34959076</v>
      </c>
      <c r="F65">
        <v>1</v>
      </c>
      <c r="G65">
        <v>34959076</v>
      </c>
      <c r="H65">
        <v>1</v>
      </c>
      <c r="I65" t="s">
        <v>341</v>
      </c>
      <c r="J65" t="s">
        <v>5</v>
      </c>
      <c r="K65" t="s">
        <v>342</v>
      </c>
      <c r="L65">
        <v>1191</v>
      </c>
      <c r="N65">
        <v>1013</v>
      </c>
      <c r="O65" t="s">
        <v>343</v>
      </c>
      <c r="P65" t="s">
        <v>343</v>
      </c>
      <c r="Q65">
        <v>1</v>
      </c>
      <c r="X65">
        <v>0.53</v>
      </c>
      <c r="Y65">
        <v>0</v>
      </c>
      <c r="Z65">
        <v>0</v>
      </c>
      <c r="AA65">
        <v>0</v>
      </c>
      <c r="AB65">
        <v>0</v>
      </c>
      <c r="AC65">
        <v>0</v>
      </c>
      <c r="AD65">
        <v>1</v>
      </c>
      <c r="AE65">
        <v>1</v>
      </c>
      <c r="AF65" t="s">
        <v>99</v>
      </c>
      <c r="AG65">
        <v>1.06</v>
      </c>
      <c r="AH65">
        <v>2</v>
      </c>
      <c r="AI65">
        <v>44170173</v>
      </c>
      <c r="AJ65">
        <v>65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</row>
    <row r="66" spans="1:44" x14ac:dyDescent="0.2">
      <c r="A66">
        <f>ROW(Source!A46)</f>
        <v>46</v>
      </c>
      <c r="B66">
        <v>44170182</v>
      </c>
      <c r="C66">
        <v>44170172</v>
      </c>
      <c r="D66">
        <v>35064788</v>
      </c>
      <c r="E66">
        <v>1</v>
      </c>
      <c r="F66">
        <v>1</v>
      </c>
      <c r="G66">
        <v>34959076</v>
      </c>
      <c r="H66">
        <v>2</v>
      </c>
      <c r="I66" t="s">
        <v>394</v>
      </c>
      <c r="J66" t="s">
        <v>395</v>
      </c>
      <c r="K66" t="s">
        <v>396</v>
      </c>
      <c r="L66">
        <v>1367</v>
      </c>
      <c r="N66">
        <v>1011</v>
      </c>
      <c r="O66" t="s">
        <v>347</v>
      </c>
      <c r="P66" t="s">
        <v>347</v>
      </c>
      <c r="Q66">
        <v>1</v>
      </c>
      <c r="X66">
        <v>7.4999999999999997E-2</v>
      </c>
      <c r="Y66">
        <v>0</v>
      </c>
      <c r="Z66">
        <v>106.74</v>
      </c>
      <c r="AA66">
        <v>19.2</v>
      </c>
      <c r="AB66">
        <v>0</v>
      </c>
      <c r="AC66">
        <v>0</v>
      </c>
      <c r="AD66">
        <v>1</v>
      </c>
      <c r="AE66">
        <v>0</v>
      </c>
      <c r="AF66" t="s">
        <v>99</v>
      </c>
      <c r="AG66">
        <v>0.15</v>
      </c>
      <c r="AH66">
        <v>2</v>
      </c>
      <c r="AI66">
        <v>44170174</v>
      </c>
      <c r="AJ66">
        <v>66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</row>
    <row r="67" spans="1:44" x14ac:dyDescent="0.2">
      <c r="A67">
        <f>ROW(Source!A46)</f>
        <v>46</v>
      </c>
      <c r="B67">
        <v>44170183</v>
      </c>
      <c r="C67">
        <v>44170172</v>
      </c>
      <c r="D67">
        <v>35064894</v>
      </c>
      <c r="E67">
        <v>1</v>
      </c>
      <c r="F67">
        <v>1</v>
      </c>
      <c r="G67">
        <v>34959076</v>
      </c>
      <c r="H67">
        <v>2</v>
      </c>
      <c r="I67" t="s">
        <v>406</v>
      </c>
      <c r="J67" t="s">
        <v>407</v>
      </c>
      <c r="K67" t="s">
        <v>408</v>
      </c>
      <c r="L67">
        <v>1367</v>
      </c>
      <c r="N67">
        <v>1011</v>
      </c>
      <c r="O67" t="s">
        <v>347</v>
      </c>
      <c r="P67" t="s">
        <v>347</v>
      </c>
      <c r="Q67">
        <v>1</v>
      </c>
      <c r="X67">
        <v>7.4999999999999997E-2</v>
      </c>
      <c r="Y67">
        <v>0</v>
      </c>
      <c r="Z67">
        <v>124.6</v>
      </c>
      <c r="AA67">
        <v>28.4</v>
      </c>
      <c r="AB67">
        <v>0</v>
      </c>
      <c r="AC67">
        <v>0</v>
      </c>
      <c r="AD67">
        <v>1</v>
      </c>
      <c r="AE67">
        <v>0</v>
      </c>
      <c r="AF67" t="s">
        <v>99</v>
      </c>
      <c r="AG67">
        <v>0.15</v>
      </c>
      <c r="AH67">
        <v>2</v>
      </c>
      <c r="AI67">
        <v>44170175</v>
      </c>
      <c r="AJ67">
        <v>67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</row>
    <row r="68" spans="1:44" x14ac:dyDescent="0.2">
      <c r="A68">
        <f>ROW(Source!A46)</f>
        <v>46</v>
      </c>
      <c r="B68">
        <v>44170184</v>
      </c>
      <c r="C68">
        <v>44170172</v>
      </c>
      <c r="D68">
        <v>34984952</v>
      </c>
      <c r="E68">
        <v>34959076</v>
      </c>
      <c r="F68">
        <v>1</v>
      </c>
      <c r="G68">
        <v>34959076</v>
      </c>
      <c r="H68">
        <v>3</v>
      </c>
      <c r="I68" t="s">
        <v>466</v>
      </c>
      <c r="J68" t="s">
        <v>5</v>
      </c>
      <c r="K68" t="s">
        <v>467</v>
      </c>
      <c r="L68">
        <v>1348</v>
      </c>
      <c r="N68">
        <v>1009</v>
      </c>
      <c r="O68" t="s">
        <v>87</v>
      </c>
      <c r="P68" t="s">
        <v>87</v>
      </c>
      <c r="Q68">
        <v>1000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 t="s">
        <v>5</v>
      </c>
      <c r="AG68">
        <v>0</v>
      </c>
      <c r="AH68">
        <v>3</v>
      </c>
      <c r="AI68">
        <v>-1</v>
      </c>
      <c r="AJ68" t="s">
        <v>5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</row>
    <row r="69" spans="1:44" x14ac:dyDescent="0.2">
      <c r="A69">
        <f>ROW(Source!A48)</f>
        <v>48</v>
      </c>
      <c r="B69">
        <v>44170209</v>
      </c>
      <c r="C69">
        <v>44170186</v>
      </c>
      <c r="D69">
        <v>34984826</v>
      </c>
      <c r="E69">
        <v>34959076</v>
      </c>
      <c r="F69">
        <v>1</v>
      </c>
      <c r="G69">
        <v>34959076</v>
      </c>
      <c r="H69">
        <v>1</v>
      </c>
      <c r="I69" t="s">
        <v>341</v>
      </c>
      <c r="J69" t="s">
        <v>5</v>
      </c>
      <c r="K69" t="s">
        <v>342</v>
      </c>
      <c r="L69">
        <v>1191</v>
      </c>
      <c r="N69">
        <v>1013</v>
      </c>
      <c r="O69" t="s">
        <v>343</v>
      </c>
      <c r="P69" t="s">
        <v>343</v>
      </c>
      <c r="Q69">
        <v>1</v>
      </c>
      <c r="X69">
        <v>4.29</v>
      </c>
      <c r="Y69">
        <v>0</v>
      </c>
      <c r="Z69">
        <v>0</v>
      </c>
      <c r="AA69">
        <v>0</v>
      </c>
      <c r="AB69">
        <v>0</v>
      </c>
      <c r="AC69">
        <v>0</v>
      </c>
      <c r="AD69">
        <v>1</v>
      </c>
      <c r="AE69">
        <v>1</v>
      </c>
      <c r="AF69" t="s">
        <v>5</v>
      </c>
      <c r="AG69">
        <v>4.29</v>
      </c>
      <c r="AH69">
        <v>2</v>
      </c>
      <c r="AI69">
        <v>44170187</v>
      </c>
      <c r="AJ69">
        <v>69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</row>
    <row r="70" spans="1:44" x14ac:dyDescent="0.2">
      <c r="A70">
        <f>ROW(Source!A48)</f>
        <v>48</v>
      </c>
      <c r="B70">
        <v>44170210</v>
      </c>
      <c r="C70">
        <v>44170186</v>
      </c>
      <c r="D70">
        <v>35065073</v>
      </c>
      <c r="E70">
        <v>1</v>
      </c>
      <c r="F70">
        <v>1</v>
      </c>
      <c r="G70">
        <v>34959076</v>
      </c>
      <c r="H70">
        <v>2</v>
      </c>
      <c r="I70" t="s">
        <v>344</v>
      </c>
      <c r="J70" t="s">
        <v>345</v>
      </c>
      <c r="K70" t="s">
        <v>346</v>
      </c>
      <c r="L70">
        <v>1367</v>
      </c>
      <c r="N70">
        <v>1011</v>
      </c>
      <c r="O70" t="s">
        <v>347</v>
      </c>
      <c r="P70" t="s">
        <v>347</v>
      </c>
      <c r="Q70">
        <v>1</v>
      </c>
      <c r="X70">
        <v>0.3</v>
      </c>
      <c r="Y70">
        <v>0</v>
      </c>
      <c r="Z70">
        <v>60.77</v>
      </c>
      <c r="AA70">
        <v>18.48</v>
      </c>
      <c r="AB70">
        <v>0</v>
      </c>
      <c r="AC70">
        <v>0</v>
      </c>
      <c r="AD70">
        <v>1</v>
      </c>
      <c r="AE70">
        <v>0</v>
      </c>
      <c r="AF70" t="s">
        <v>5</v>
      </c>
      <c r="AG70">
        <v>0.3</v>
      </c>
      <c r="AH70">
        <v>2</v>
      </c>
      <c r="AI70">
        <v>44170188</v>
      </c>
      <c r="AJ70">
        <v>70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</row>
    <row r="71" spans="1:44" x14ac:dyDescent="0.2">
      <c r="A71">
        <f>ROW(Source!A48)</f>
        <v>48</v>
      </c>
      <c r="B71">
        <v>44170211</v>
      </c>
      <c r="C71">
        <v>44170186</v>
      </c>
      <c r="D71">
        <v>35064788</v>
      </c>
      <c r="E71">
        <v>1</v>
      </c>
      <c r="F71">
        <v>1</v>
      </c>
      <c r="G71">
        <v>34959076</v>
      </c>
      <c r="H71">
        <v>2</v>
      </c>
      <c r="I71" t="s">
        <v>394</v>
      </c>
      <c r="J71" t="s">
        <v>395</v>
      </c>
      <c r="K71" t="s">
        <v>396</v>
      </c>
      <c r="L71">
        <v>1367</v>
      </c>
      <c r="N71">
        <v>1011</v>
      </c>
      <c r="O71" t="s">
        <v>347</v>
      </c>
      <c r="P71" t="s">
        <v>347</v>
      </c>
      <c r="Q71">
        <v>1</v>
      </c>
      <c r="X71">
        <v>0.3</v>
      </c>
      <c r="Y71">
        <v>0</v>
      </c>
      <c r="Z71">
        <v>106.74</v>
      </c>
      <c r="AA71">
        <v>19.2</v>
      </c>
      <c r="AB71">
        <v>0</v>
      </c>
      <c r="AC71">
        <v>0</v>
      </c>
      <c r="AD71">
        <v>1</v>
      </c>
      <c r="AE71">
        <v>0</v>
      </c>
      <c r="AF71" t="s">
        <v>5</v>
      </c>
      <c r="AG71">
        <v>0.3</v>
      </c>
      <c r="AH71">
        <v>2</v>
      </c>
      <c r="AI71">
        <v>44170189</v>
      </c>
      <c r="AJ71">
        <v>71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</row>
    <row r="72" spans="1:44" x14ac:dyDescent="0.2">
      <c r="A72">
        <f>ROW(Source!A48)</f>
        <v>48</v>
      </c>
      <c r="B72">
        <v>44170212</v>
      </c>
      <c r="C72">
        <v>44170186</v>
      </c>
      <c r="D72">
        <v>35064877</v>
      </c>
      <c r="E72">
        <v>1</v>
      </c>
      <c r="F72">
        <v>1</v>
      </c>
      <c r="G72">
        <v>34959076</v>
      </c>
      <c r="H72">
        <v>2</v>
      </c>
      <c r="I72" t="s">
        <v>397</v>
      </c>
      <c r="J72" t="s">
        <v>398</v>
      </c>
      <c r="K72" t="s">
        <v>399</v>
      </c>
      <c r="L72">
        <v>1367</v>
      </c>
      <c r="N72">
        <v>1011</v>
      </c>
      <c r="O72" t="s">
        <v>347</v>
      </c>
      <c r="P72" t="s">
        <v>347</v>
      </c>
      <c r="Q72">
        <v>1</v>
      </c>
      <c r="X72">
        <v>0.3</v>
      </c>
      <c r="Y72">
        <v>0</v>
      </c>
      <c r="Z72">
        <v>148.88999999999999</v>
      </c>
      <c r="AA72">
        <v>28.61</v>
      </c>
      <c r="AB72">
        <v>0</v>
      </c>
      <c r="AC72">
        <v>0</v>
      </c>
      <c r="AD72">
        <v>1</v>
      </c>
      <c r="AE72">
        <v>0</v>
      </c>
      <c r="AF72" t="s">
        <v>5</v>
      </c>
      <c r="AG72">
        <v>0.3</v>
      </c>
      <c r="AH72">
        <v>2</v>
      </c>
      <c r="AI72">
        <v>44170190</v>
      </c>
      <c r="AJ72">
        <v>72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</row>
    <row r="73" spans="1:44" x14ac:dyDescent="0.2">
      <c r="A73">
        <f>ROW(Source!A48)</f>
        <v>48</v>
      </c>
      <c r="B73">
        <v>44170213</v>
      </c>
      <c r="C73">
        <v>44170186</v>
      </c>
      <c r="D73">
        <v>35064879</v>
      </c>
      <c r="E73">
        <v>1</v>
      </c>
      <c r="F73">
        <v>1</v>
      </c>
      <c r="G73">
        <v>34959076</v>
      </c>
      <c r="H73">
        <v>2</v>
      </c>
      <c r="I73" t="s">
        <v>400</v>
      </c>
      <c r="J73" t="s">
        <v>401</v>
      </c>
      <c r="K73" t="s">
        <v>402</v>
      </c>
      <c r="L73">
        <v>1367</v>
      </c>
      <c r="N73">
        <v>1011</v>
      </c>
      <c r="O73" t="s">
        <v>347</v>
      </c>
      <c r="P73" t="s">
        <v>347</v>
      </c>
      <c r="Q73">
        <v>1</v>
      </c>
      <c r="X73">
        <v>0.3</v>
      </c>
      <c r="Y73">
        <v>0</v>
      </c>
      <c r="Z73">
        <v>249.15</v>
      </c>
      <c r="AA73">
        <v>42.85</v>
      </c>
      <c r="AB73">
        <v>0</v>
      </c>
      <c r="AC73">
        <v>0</v>
      </c>
      <c r="AD73">
        <v>1</v>
      </c>
      <c r="AE73">
        <v>0</v>
      </c>
      <c r="AF73" t="s">
        <v>5</v>
      </c>
      <c r="AG73">
        <v>0.3</v>
      </c>
      <c r="AH73">
        <v>2</v>
      </c>
      <c r="AI73">
        <v>44170191</v>
      </c>
      <c r="AJ73">
        <v>73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</row>
    <row r="74" spans="1:44" x14ac:dyDescent="0.2">
      <c r="A74">
        <f>ROW(Source!A48)</f>
        <v>48</v>
      </c>
      <c r="B74">
        <v>44170214</v>
      </c>
      <c r="C74">
        <v>44170186</v>
      </c>
      <c r="D74">
        <v>35064863</v>
      </c>
      <c r="E74">
        <v>1</v>
      </c>
      <c r="F74">
        <v>1</v>
      </c>
      <c r="G74">
        <v>34959076</v>
      </c>
      <c r="H74">
        <v>2</v>
      </c>
      <c r="I74" t="s">
        <v>403</v>
      </c>
      <c r="J74" t="s">
        <v>404</v>
      </c>
      <c r="K74" t="s">
        <v>405</v>
      </c>
      <c r="L74">
        <v>1367</v>
      </c>
      <c r="N74">
        <v>1011</v>
      </c>
      <c r="O74" t="s">
        <v>347</v>
      </c>
      <c r="P74" t="s">
        <v>347</v>
      </c>
      <c r="Q74">
        <v>1</v>
      </c>
      <c r="X74">
        <v>0.3</v>
      </c>
      <c r="Y74">
        <v>0</v>
      </c>
      <c r="Z74">
        <v>84.82</v>
      </c>
      <c r="AA74">
        <v>22.85</v>
      </c>
      <c r="AB74">
        <v>0</v>
      </c>
      <c r="AC74">
        <v>0</v>
      </c>
      <c r="AD74">
        <v>1</v>
      </c>
      <c r="AE74">
        <v>0</v>
      </c>
      <c r="AF74" t="s">
        <v>5</v>
      </c>
      <c r="AG74">
        <v>0.3</v>
      </c>
      <c r="AH74">
        <v>2</v>
      </c>
      <c r="AI74">
        <v>44170192</v>
      </c>
      <c r="AJ74">
        <v>74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</row>
    <row r="75" spans="1:44" x14ac:dyDescent="0.2">
      <c r="A75">
        <f>ROW(Source!A48)</f>
        <v>48</v>
      </c>
      <c r="B75">
        <v>44170215</v>
      </c>
      <c r="C75">
        <v>44170186</v>
      </c>
      <c r="D75">
        <v>35064894</v>
      </c>
      <c r="E75">
        <v>1</v>
      </c>
      <c r="F75">
        <v>1</v>
      </c>
      <c r="G75">
        <v>34959076</v>
      </c>
      <c r="H75">
        <v>2</v>
      </c>
      <c r="I75" t="s">
        <v>406</v>
      </c>
      <c r="J75" t="s">
        <v>407</v>
      </c>
      <c r="K75" t="s">
        <v>408</v>
      </c>
      <c r="L75">
        <v>1367</v>
      </c>
      <c r="N75">
        <v>1011</v>
      </c>
      <c r="O75" t="s">
        <v>347</v>
      </c>
      <c r="P75" t="s">
        <v>347</v>
      </c>
      <c r="Q75">
        <v>1</v>
      </c>
      <c r="X75">
        <v>0.3</v>
      </c>
      <c r="Y75">
        <v>0</v>
      </c>
      <c r="Z75">
        <v>124.6</v>
      </c>
      <c r="AA75">
        <v>28.4</v>
      </c>
      <c r="AB75">
        <v>0</v>
      </c>
      <c r="AC75">
        <v>0</v>
      </c>
      <c r="AD75">
        <v>1</v>
      </c>
      <c r="AE75">
        <v>0</v>
      </c>
      <c r="AF75" t="s">
        <v>5</v>
      </c>
      <c r="AG75">
        <v>0.3</v>
      </c>
      <c r="AH75">
        <v>2</v>
      </c>
      <c r="AI75">
        <v>44170193</v>
      </c>
      <c r="AJ75">
        <v>75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</row>
    <row r="76" spans="1:44" x14ac:dyDescent="0.2">
      <c r="A76">
        <f>ROW(Source!A48)</f>
        <v>48</v>
      </c>
      <c r="B76">
        <v>44170216</v>
      </c>
      <c r="C76">
        <v>44170186</v>
      </c>
      <c r="D76">
        <v>35064867</v>
      </c>
      <c r="E76">
        <v>1</v>
      </c>
      <c r="F76">
        <v>1</v>
      </c>
      <c r="G76">
        <v>34959076</v>
      </c>
      <c r="H76">
        <v>2</v>
      </c>
      <c r="I76" t="s">
        <v>409</v>
      </c>
      <c r="J76" t="s">
        <v>410</v>
      </c>
      <c r="K76" t="s">
        <v>411</v>
      </c>
      <c r="L76">
        <v>1367</v>
      </c>
      <c r="N76">
        <v>1011</v>
      </c>
      <c r="O76" t="s">
        <v>347</v>
      </c>
      <c r="P76" t="s">
        <v>347</v>
      </c>
      <c r="Q76">
        <v>1</v>
      </c>
      <c r="X76">
        <v>0.3</v>
      </c>
      <c r="Y76">
        <v>0</v>
      </c>
      <c r="Z76">
        <v>88.4</v>
      </c>
      <c r="AA76">
        <v>23.18</v>
      </c>
      <c r="AB76">
        <v>0</v>
      </c>
      <c r="AC76">
        <v>0</v>
      </c>
      <c r="AD76">
        <v>1</v>
      </c>
      <c r="AE76">
        <v>0</v>
      </c>
      <c r="AF76" t="s">
        <v>5</v>
      </c>
      <c r="AG76">
        <v>0.3</v>
      </c>
      <c r="AH76">
        <v>2</v>
      </c>
      <c r="AI76">
        <v>44170194</v>
      </c>
      <c r="AJ76">
        <v>76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</row>
    <row r="77" spans="1:44" x14ac:dyDescent="0.2">
      <c r="A77">
        <f>ROW(Source!A48)</f>
        <v>48</v>
      </c>
      <c r="B77">
        <v>44170217</v>
      </c>
      <c r="C77">
        <v>44170186</v>
      </c>
      <c r="D77">
        <v>35064868</v>
      </c>
      <c r="E77">
        <v>1</v>
      </c>
      <c r="F77">
        <v>1</v>
      </c>
      <c r="G77">
        <v>34959076</v>
      </c>
      <c r="H77">
        <v>2</v>
      </c>
      <c r="I77" t="s">
        <v>375</v>
      </c>
      <c r="J77" t="s">
        <v>376</v>
      </c>
      <c r="K77" t="s">
        <v>377</v>
      </c>
      <c r="L77">
        <v>1367</v>
      </c>
      <c r="N77">
        <v>1011</v>
      </c>
      <c r="O77" t="s">
        <v>347</v>
      </c>
      <c r="P77" t="s">
        <v>347</v>
      </c>
      <c r="Q77">
        <v>1</v>
      </c>
      <c r="X77">
        <v>0.9</v>
      </c>
      <c r="Y77">
        <v>0</v>
      </c>
      <c r="Z77">
        <v>178.02</v>
      </c>
      <c r="AA77">
        <v>23.5</v>
      </c>
      <c r="AB77">
        <v>0</v>
      </c>
      <c r="AC77">
        <v>0</v>
      </c>
      <c r="AD77">
        <v>1</v>
      </c>
      <c r="AE77">
        <v>0</v>
      </c>
      <c r="AF77" t="s">
        <v>5</v>
      </c>
      <c r="AG77">
        <v>0.9</v>
      </c>
      <c r="AH77">
        <v>2</v>
      </c>
      <c r="AI77">
        <v>44170195</v>
      </c>
      <c r="AJ77">
        <v>77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</row>
    <row r="78" spans="1:44" x14ac:dyDescent="0.2">
      <c r="A78">
        <f>ROW(Source!A48)</f>
        <v>48</v>
      </c>
      <c r="B78">
        <v>44170218</v>
      </c>
      <c r="C78">
        <v>44170186</v>
      </c>
      <c r="D78">
        <v>35059093</v>
      </c>
      <c r="E78">
        <v>1</v>
      </c>
      <c r="F78">
        <v>1</v>
      </c>
      <c r="G78">
        <v>34959076</v>
      </c>
      <c r="H78">
        <v>3</v>
      </c>
      <c r="I78" t="s">
        <v>412</v>
      </c>
      <c r="J78" t="s">
        <v>464</v>
      </c>
      <c r="K78" t="s">
        <v>465</v>
      </c>
      <c r="L78">
        <v>1348</v>
      </c>
      <c r="N78">
        <v>1009</v>
      </c>
      <c r="O78" t="s">
        <v>87</v>
      </c>
      <c r="P78" t="s">
        <v>87</v>
      </c>
      <c r="Q78">
        <v>1000</v>
      </c>
      <c r="X78">
        <v>0.04</v>
      </c>
      <c r="Y78">
        <v>1445.87</v>
      </c>
      <c r="Z78">
        <v>0</v>
      </c>
      <c r="AA78">
        <v>0</v>
      </c>
      <c r="AB78">
        <v>0</v>
      </c>
      <c r="AC78">
        <v>0</v>
      </c>
      <c r="AD78">
        <v>1</v>
      </c>
      <c r="AE78">
        <v>0</v>
      </c>
      <c r="AF78" t="s">
        <v>5</v>
      </c>
      <c r="AG78">
        <v>0.04</v>
      </c>
      <c r="AH78">
        <v>2</v>
      </c>
      <c r="AI78">
        <v>44170196</v>
      </c>
      <c r="AJ78">
        <v>78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</row>
    <row r="79" spans="1:44" x14ac:dyDescent="0.2">
      <c r="A79">
        <f>ROW(Source!A48)</f>
        <v>48</v>
      </c>
      <c r="B79">
        <v>44170219</v>
      </c>
      <c r="C79">
        <v>44170186</v>
      </c>
      <c r="D79">
        <v>34984952</v>
      </c>
      <c r="E79">
        <v>34959076</v>
      </c>
      <c r="F79">
        <v>1</v>
      </c>
      <c r="G79">
        <v>34959076</v>
      </c>
      <c r="H79">
        <v>3</v>
      </c>
      <c r="I79" t="s">
        <v>466</v>
      </c>
      <c r="J79" t="s">
        <v>5</v>
      </c>
      <c r="K79" t="s">
        <v>467</v>
      </c>
      <c r="L79">
        <v>1348</v>
      </c>
      <c r="N79">
        <v>1009</v>
      </c>
      <c r="O79" t="s">
        <v>87</v>
      </c>
      <c r="P79" t="s">
        <v>87</v>
      </c>
      <c r="Q79">
        <v>1000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 t="s">
        <v>5</v>
      </c>
      <c r="AG79">
        <v>0</v>
      </c>
      <c r="AH79">
        <v>3</v>
      </c>
      <c r="AI79">
        <v>-1</v>
      </c>
      <c r="AJ79" t="s">
        <v>5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</row>
    <row r="80" spans="1:44" x14ac:dyDescent="0.2">
      <c r="A80">
        <f>ROW(Source!A51)</f>
        <v>51</v>
      </c>
      <c r="B80">
        <v>44170233</v>
      </c>
      <c r="C80">
        <v>44170222</v>
      </c>
      <c r="D80">
        <v>34984826</v>
      </c>
      <c r="E80">
        <v>34959076</v>
      </c>
      <c r="F80">
        <v>1</v>
      </c>
      <c r="G80">
        <v>34959076</v>
      </c>
      <c r="H80">
        <v>1</v>
      </c>
      <c r="I80" t="s">
        <v>341</v>
      </c>
      <c r="J80" t="s">
        <v>5</v>
      </c>
      <c r="K80" t="s">
        <v>342</v>
      </c>
      <c r="L80">
        <v>1191</v>
      </c>
      <c r="N80">
        <v>1013</v>
      </c>
      <c r="O80" t="s">
        <v>343</v>
      </c>
      <c r="P80" t="s">
        <v>343</v>
      </c>
      <c r="Q80">
        <v>1</v>
      </c>
      <c r="X80">
        <v>155</v>
      </c>
      <c r="Y80">
        <v>0</v>
      </c>
      <c r="Z80">
        <v>0</v>
      </c>
      <c r="AA80">
        <v>0</v>
      </c>
      <c r="AB80">
        <v>0</v>
      </c>
      <c r="AC80">
        <v>0</v>
      </c>
      <c r="AD80">
        <v>1</v>
      </c>
      <c r="AE80">
        <v>1</v>
      </c>
      <c r="AF80" t="s">
        <v>5</v>
      </c>
      <c r="AG80">
        <v>155</v>
      </c>
      <c r="AH80">
        <v>2</v>
      </c>
      <c r="AI80">
        <v>44170223</v>
      </c>
      <c r="AJ80">
        <v>80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</row>
    <row r="81" spans="1:44" x14ac:dyDescent="0.2">
      <c r="A81">
        <f>ROW(Source!A51)</f>
        <v>51</v>
      </c>
      <c r="B81">
        <v>44170234</v>
      </c>
      <c r="C81">
        <v>44170222</v>
      </c>
      <c r="D81">
        <v>35065073</v>
      </c>
      <c r="E81">
        <v>1</v>
      </c>
      <c r="F81">
        <v>1</v>
      </c>
      <c r="G81">
        <v>34959076</v>
      </c>
      <c r="H81">
        <v>2</v>
      </c>
      <c r="I81" t="s">
        <v>344</v>
      </c>
      <c r="J81" t="s">
        <v>345</v>
      </c>
      <c r="K81" t="s">
        <v>346</v>
      </c>
      <c r="L81">
        <v>1367</v>
      </c>
      <c r="N81">
        <v>1011</v>
      </c>
      <c r="O81" t="s">
        <v>347</v>
      </c>
      <c r="P81" t="s">
        <v>347</v>
      </c>
      <c r="Q81">
        <v>1</v>
      </c>
      <c r="X81">
        <v>37.5</v>
      </c>
      <c r="Y81">
        <v>0</v>
      </c>
      <c r="Z81">
        <v>60.77</v>
      </c>
      <c r="AA81">
        <v>18.48</v>
      </c>
      <c r="AB81">
        <v>0</v>
      </c>
      <c r="AC81">
        <v>0</v>
      </c>
      <c r="AD81">
        <v>1</v>
      </c>
      <c r="AE81">
        <v>0</v>
      </c>
      <c r="AF81" t="s">
        <v>5</v>
      </c>
      <c r="AG81">
        <v>37.5</v>
      </c>
      <c r="AH81">
        <v>2</v>
      </c>
      <c r="AI81">
        <v>44170224</v>
      </c>
      <c r="AJ81">
        <v>81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</row>
    <row r="82" spans="1:44" x14ac:dyDescent="0.2">
      <c r="A82">
        <f>ROW(Source!A51)</f>
        <v>51</v>
      </c>
      <c r="B82">
        <v>44170235</v>
      </c>
      <c r="C82">
        <v>44170222</v>
      </c>
      <c r="D82">
        <v>35065539</v>
      </c>
      <c r="E82">
        <v>1</v>
      </c>
      <c r="F82">
        <v>1</v>
      </c>
      <c r="G82">
        <v>34959076</v>
      </c>
      <c r="H82">
        <v>2</v>
      </c>
      <c r="I82" t="s">
        <v>348</v>
      </c>
      <c r="J82" t="s">
        <v>349</v>
      </c>
      <c r="K82" t="s">
        <v>350</v>
      </c>
      <c r="L82">
        <v>1367</v>
      </c>
      <c r="N82">
        <v>1011</v>
      </c>
      <c r="O82" t="s">
        <v>347</v>
      </c>
      <c r="P82" t="s">
        <v>347</v>
      </c>
      <c r="Q82">
        <v>1</v>
      </c>
      <c r="X82">
        <v>75</v>
      </c>
      <c r="Y82">
        <v>0</v>
      </c>
      <c r="Z82">
        <v>3.16</v>
      </c>
      <c r="AA82">
        <v>0.04</v>
      </c>
      <c r="AB82">
        <v>0</v>
      </c>
      <c r="AC82">
        <v>0</v>
      </c>
      <c r="AD82">
        <v>1</v>
      </c>
      <c r="AE82">
        <v>0</v>
      </c>
      <c r="AF82" t="s">
        <v>5</v>
      </c>
      <c r="AG82">
        <v>75</v>
      </c>
      <c r="AH82">
        <v>2</v>
      </c>
      <c r="AI82">
        <v>44170225</v>
      </c>
      <c r="AJ82">
        <v>82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</row>
    <row r="83" spans="1:44" x14ac:dyDescent="0.2">
      <c r="A83">
        <f>ROW(Source!A51)</f>
        <v>51</v>
      </c>
      <c r="B83">
        <v>44170236</v>
      </c>
      <c r="C83">
        <v>44170222</v>
      </c>
      <c r="D83">
        <v>35064906</v>
      </c>
      <c r="E83">
        <v>1</v>
      </c>
      <c r="F83">
        <v>1</v>
      </c>
      <c r="G83">
        <v>34959076</v>
      </c>
      <c r="H83">
        <v>2</v>
      </c>
      <c r="I83" t="s">
        <v>351</v>
      </c>
      <c r="J83" t="s">
        <v>352</v>
      </c>
      <c r="K83" t="s">
        <v>353</v>
      </c>
      <c r="L83">
        <v>1367</v>
      </c>
      <c r="N83">
        <v>1011</v>
      </c>
      <c r="O83" t="s">
        <v>347</v>
      </c>
      <c r="P83" t="s">
        <v>347</v>
      </c>
      <c r="Q83">
        <v>1</v>
      </c>
      <c r="X83">
        <v>1.55</v>
      </c>
      <c r="Y83">
        <v>0</v>
      </c>
      <c r="Z83">
        <v>125.13</v>
      </c>
      <c r="AA83">
        <v>24.74</v>
      </c>
      <c r="AB83">
        <v>0</v>
      </c>
      <c r="AC83">
        <v>0</v>
      </c>
      <c r="AD83">
        <v>1</v>
      </c>
      <c r="AE83">
        <v>0</v>
      </c>
      <c r="AF83" t="s">
        <v>5</v>
      </c>
      <c r="AG83">
        <v>1.55</v>
      </c>
      <c r="AH83">
        <v>2</v>
      </c>
      <c r="AI83">
        <v>44170226</v>
      </c>
      <c r="AJ83">
        <v>83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</row>
    <row r="84" spans="1:44" x14ac:dyDescent="0.2">
      <c r="A84">
        <f>ROW(Source!A51)</f>
        <v>51</v>
      </c>
      <c r="B84">
        <v>44170237</v>
      </c>
      <c r="C84">
        <v>44170222</v>
      </c>
      <c r="D84">
        <v>34984824</v>
      </c>
      <c r="E84">
        <v>34959076</v>
      </c>
      <c r="F84">
        <v>1</v>
      </c>
      <c r="G84">
        <v>34959076</v>
      </c>
      <c r="H84">
        <v>2</v>
      </c>
      <c r="I84" t="s">
        <v>354</v>
      </c>
      <c r="J84" t="s">
        <v>5</v>
      </c>
      <c r="K84" t="s">
        <v>355</v>
      </c>
      <c r="L84">
        <v>1344</v>
      </c>
      <c r="N84">
        <v>1008</v>
      </c>
      <c r="O84" t="s">
        <v>356</v>
      </c>
      <c r="P84" t="s">
        <v>356</v>
      </c>
      <c r="Q84">
        <v>1</v>
      </c>
      <c r="X84">
        <v>3.72</v>
      </c>
      <c r="Y84">
        <v>0</v>
      </c>
      <c r="Z84">
        <v>1</v>
      </c>
      <c r="AA84">
        <v>0</v>
      </c>
      <c r="AB84">
        <v>0</v>
      </c>
      <c r="AC84">
        <v>0</v>
      </c>
      <c r="AD84">
        <v>1</v>
      </c>
      <c r="AE84">
        <v>0</v>
      </c>
      <c r="AF84" t="s">
        <v>5</v>
      </c>
      <c r="AG84">
        <v>3.72</v>
      </c>
      <c r="AH84">
        <v>2</v>
      </c>
      <c r="AI84">
        <v>44170227</v>
      </c>
      <c r="AJ84">
        <v>84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</row>
    <row r="85" spans="1:44" x14ac:dyDescent="0.2">
      <c r="A85">
        <f>ROW(Source!A52)</f>
        <v>52</v>
      </c>
      <c r="B85">
        <v>44170249</v>
      </c>
      <c r="C85">
        <v>44170238</v>
      </c>
      <c r="D85">
        <v>34984826</v>
      </c>
      <c r="E85">
        <v>34959076</v>
      </c>
      <c r="F85">
        <v>1</v>
      </c>
      <c r="G85">
        <v>34959076</v>
      </c>
      <c r="H85">
        <v>1</v>
      </c>
      <c r="I85" t="s">
        <v>341</v>
      </c>
      <c r="J85" t="s">
        <v>5</v>
      </c>
      <c r="K85" t="s">
        <v>342</v>
      </c>
      <c r="L85">
        <v>1191</v>
      </c>
      <c r="N85">
        <v>1013</v>
      </c>
      <c r="O85" t="s">
        <v>343</v>
      </c>
      <c r="P85" t="s">
        <v>343</v>
      </c>
      <c r="Q85">
        <v>1</v>
      </c>
      <c r="X85">
        <v>155</v>
      </c>
      <c r="Y85">
        <v>0</v>
      </c>
      <c r="Z85">
        <v>0</v>
      </c>
      <c r="AA85">
        <v>0</v>
      </c>
      <c r="AB85">
        <v>0</v>
      </c>
      <c r="AC85">
        <v>0</v>
      </c>
      <c r="AD85">
        <v>1</v>
      </c>
      <c r="AE85">
        <v>1</v>
      </c>
      <c r="AF85" t="s">
        <v>5</v>
      </c>
      <c r="AG85">
        <v>155</v>
      </c>
      <c r="AH85">
        <v>2</v>
      </c>
      <c r="AI85">
        <v>44170239</v>
      </c>
      <c r="AJ85">
        <v>85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</row>
    <row r="86" spans="1:44" x14ac:dyDescent="0.2">
      <c r="A86">
        <f>ROW(Source!A52)</f>
        <v>52</v>
      </c>
      <c r="B86">
        <v>44170250</v>
      </c>
      <c r="C86">
        <v>44170238</v>
      </c>
      <c r="D86">
        <v>35065073</v>
      </c>
      <c r="E86">
        <v>1</v>
      </c>
      <c r="F86">
        <v>1</v>
      </c>
      <c r="G86">
        <v>34959076</v>
      </c>
      <c r="H86">
        <v>2</v>
      </c>
      <c r="I86" t="s">
        <v>344</v>
      </c>
      <c r="J86" t="s">
        <v>345</v>
      </c>
      <c r="K86" t="s">
        <v>346</v>
      </c>
      <c r="L86">
        <v>1367</v>
      </c>
      <c r="N86">
        <v>1011</v>
      </c>
      <c r="O86" t="s">
        <v>347</v>
      </c>
      <c r="P86" t="s">
        <v>347</v>
      </c>
      <c r="Q86">
        <v>1</v>
      </c>
      <c r="X86">
        <v>37.5</v>
      </c>
      <c r="Y86">
        <v>0</v>
      </c>
      <c r="Z86">
        <v>60.77</v>
      </c>
      <c r="AA86">
        <v>18.48</v>
      </c>
      <c r="AB86">
        <v>0</v>
      </c>
      <c r="AC86">
        <v>0</v>
      </c>
      <c r="AD86">
        <v>1</v>
      </c>
      <c r="AE86">
        <v>0</v>
      </c>
      <c r="AF86" t="s">
        <v>5</v>
      </c>
      <c r="AG86">
        <v>37.5</v>
      </c>
      <c r="AH86">
        <v>2</v>
      </c>
      <c r="AI86">
        <v>44170240</v>
      </c>
      <c r="AJ86">
        <v>86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</row>
    <row r="87" spans="1:44" x14ac:dyDescent="0.2">
      <c r="A87">
        <f>ROW(Source!A52)</f>
        <v>52</v>
      </c>
      <c r="B87">
        <v>44170251</v>
      </c>
      <c r="C87">
        <v>44170238</v>
      </c>
      <c r="D87">
        <v>35065539</v>
      </c>
      <c r="E87">
        <v>1</v>
      </c>
      <c r="F87">
        <v>1</v>
      </c>
      <c r="G87">
        <v>34959076</v>
      </c>
      <c r="H87">
        <v>2</v>
      </c>
      <c r="I87" t="s">
        <v>348</v>
      </c>
      <c r="J87" t="s">
        <v>349</v>
      </c>
      <c r="K87" t="s">
        <v>350</v>
      </c>
      <c r="L87">
        <v>1367</v>
      </c>
      <c r="N87">
        <v>1011</v>
      </c>
      <c r="O87" t="s">
        <v>347</v>
      </c>
      <c r="P87" t="s">
        <v>347</v>
      </c>
      <c r="Q87">
        <v>1</v>
      </c>
      <c r="X87">
        <v>75</v>
      </c>
      <c r="Y87">
        <v>0</v>
      </c>
      <c r="Z87">
        <v>3.16</v>
      </c>
      <c r="AA87">
        <v>0.04</v>
      </c>
      <c r="AB87">
        <v>0</v>
      </c>
      <c r="AC87">
        <v>0</v>
      </c>
      <c r="AD87">
        <v>1</v>
      </c>
      <c r="AE87">
        <v>0</v>
      </c>
      <c r="AF87" t="s">
        <v>5</v>
      </c>
      <c r="AG87">
        <v>75</v>
      </c>
      <c r="AH87">
        <v>2</v>
      </c>
      <c r="AI87">
        <v>44170241</v>
      </c>
      <c r="AJ87">
        <v>87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</row>
    <row r="88" spans="1:44" x14ac:dyDescent="0.2">
      <c r="A88">
        <f>ROW(Source!A52)</f>
        <v>52</v>
      </c>
      <c r="B88">
        <v>44170252</v>
      </c>
      <c r="C88">
        <v>44170238</v>
      </c>
      <c r="D88">
        <v>35064906</v>
      </c>
      <c r="E88">
        <v>1</v>
      </c>
      <c r="F88">
        <v>1</v>
      </c>
      <c r="G88">
        <v>34959076</v>
      </c>
      <c r="H88">
        <v>2</v>
      </c>
      <c r="I88" t="s">
        <v>351</v>
      </c>
      <c r="J88" t="s">
        <v>352</v>
      </c>
      <c r="K88" t="s">
        <v>353</v>
      </c>
      <c r="L88">
        <v>1367</v>
      </c>
      <c r="N88">
        <v>1011</v>
      </c>
      <c r="O88" t="s">
        <v>347</v>
      </c>
      <c r="P88" t="s">
        <v>347</v>
      </c>
      <c r="Q88">
        <v>1</v>
      </c>
      <c r="X88">
        <v>1.55</v>
      </c>
      <c r="Y88">
        <v>0</v>
      </c>
      <c r="Z88">
        <v>125.13</v>
      </c>
      <c r="AA88">
        <v>24.74</v>
      </c>
      <c r="AB88">
        <v>0</v>
      </c>
      <c r="AC88">
        <v>0</v>
      </c>
      <c r="AD88">
        <v>1</v>
      </c>
      <c r="AE88">
        <v>0</v>
      </c>
      <c r="AF88" t="s">
        <v>5</v>
      </c>
      <c r="AG88">
        <v>1.55</v>
      </c>
      <c r="AH88">
        <v>2</v>
      </c>
      <c r="AI88">
        <v>44170242</v>
      </c>
      <c r="AJ88">
        <v>88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</row>
    <row r="89" spans="1:44" x14ac:dyDescent="0.2">
      <c r="A89">
        <f>ROW(Source!A52)</f>
        <v>52</v>
      </c>
      <c r="B89">
        <v>44170253</v>
      </c>
      <c r="C89">
        <v>44170238</v>
      </c>
      <c r="D89">
        <v>34984824</v>
      </c>
      <c r="E89">
        <v>34959076</v>
      </c>
      <c r="F89">
        <v>1</v>
      </c>
      <c r="G89">
        <v>34959076</v>
      </c>
      <c r="H89">
        <v>2</v>
      </c>
      <c r="I89" t="s">
        <v>354</v>
      </c>
      <c r="J89" t="s">
        <v>5</v>
      </c>
      <c r="K89" t="s">
        <v>355</v>
      </c>
      <c r="L89">
        <v>1344</v>
      </c>
      <c r="N89">
        <v>1008</v>
      </c>
      <c r="O89" t="s">
        <v>356</v>
      </c>
      <c r="P89" t="s">
        <v>356</v>
      </c>
      <c r="Q89">
        <v>1</v>
      </c>
      <c r="X89">
        <v>3.72</v>
      </c>
      <c r="Y89">
        <v>0</v>
      </c>
      <c r="Z89">
        <v>1</v>
      </c>
      <c r="AA89">
        <v>0</v>
      </c>
      <c r="AB89">
        <v>0</v>
      </c>
      <c r="AC89">
        <v>0</v>
      </c>
      <c r="AD89">
        <v>1</v>
      </c>
      <c r="AE89">
        <v>0</v>
      </c>
      <c r="AF89" t="s">
        <v>5</v>
      </c>
      <c r="AG89">
        <v>3.72</v>
      </c>
      <c r="AH89">
        <v>2</v>
      </c>
      <c r="AI89">
        <v>44170243</v>
      </c>
      <c r="AJ89">
        <v>89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</row>
    <row r="90" spans="1:44" x14ac:dyDescent="0.2">
      <c r="A90">
        <f>ROW(Source!A53)</f>
        <v>53</v>
      </c>
      <c r="B90">
        <v>44170263</v>
      </c>
      <c r="C90">
        <v>44170254</v>
      </c>
      <c r="D90">
        <v>34984826</v>
      </c>
      <c r="E90">
        <v>34959076</v>
      </c>
      <c r="F90">
        <v>1</v>
      </c>
      <c r="G90">
        <v>34959076</v>
      </c>
      <c r="H90">
        <v>1</v>
      </c>
      <c r="I90" t="s">
        <v>341</v>
      </c>
      <c r="J90" t="s">
        <v>5</v>
      </c>
      <c r="K90" t="s">
        <v>342</v>
      </c>
      <c r="L90">
        <v>1191</v>
      </c>
      <c r="N90">
        <v>1013</v>
      </c>
      <c r="O90" t="s">
        <v>343</v>
      </c>
      <c r="P90" t="s">
        <v>343</v>
      </c>
      <c r="Q90">
        <v>1</v>
      </c>
      <c r="X90">
        <v>11.7</v>
      </c>
      <c r="Y90">
        <v>0</v>
      </c>
      <c r="Z90">
        <v>0</v>
      </c>
      <c r="AA90">
        <v>0</v>
      </c>
      <c r="AB90">
        <v>0</v>
      </c>
      <c r="AC90">
        <v>0</v>
      </c>
      <c r="AD90">
        <v>1</v>
      </c>
      <c r="AE90">
        <v>1</v>
      </c>
      <c r="AF90" t="s">
        <v>5</v>
      </c>
      <c r="AG90">
        <v>11.7</v>
      </c>
      <c r="AH90">
        <v>2</v>
      </c>
      <c r="AI90">
        <v>44170255</v>
      </c>
      <c r="AJ90">
        <v>90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</row>
    <row r="91" spans="1:44" x14ac:dyDescent="0.2">
      <c r="A91">
        <f>ROW(Source!A53)</f>
        <v>53</v>
      </c>
      <c r="B91">
        <v>44170264</v>
      </c>
      <c r="C91">
        <v>44170254</v>
      </c>
      <c r="D91">
        <v>35064650</v>
      </c>
      <c r="E91">
        <v>1</v>
      </c>
      <c r="F91">
        <v>1</v>
      </c>
      <c r="G91">
        <v>34959076</v>
      </c>
      <c r="H91">
        <v>2</v>
      </c>
      <c r="I91" t="s">
        <v>366</v>
      </c>
      <c r="J91" t="s">
        <v>367</v>
      </c>
      <c r="K91" t="s">
        <v>368</v>
      </c>
      <c r="L91">
        <v>1367</v>
      </c>
      <c r="N91">
        <v>1011</v>
      </c>
      <c r="O91" t="s">
        <v>347</v>
      </c>
      <c r="P91" t="s">
        <v>347</v>
      </c>
      <c r="Q91">
        <v>1</v>
      </c>
      <c r="X91">
        <v>1.26</v>
      </c>
      <c r="Y91">
        <v>0</v>
      </c>
      <c r="Z91">
        <v>116.89</v>
      </c>
      <c r="AA91">
        <v>23.41</v>
      </c>
      <c r="AB91">
        <v>0</v>
      </c>
      <c r="AC91">
        <v>0</v>
      </c>
      <c r="AD91">
        <v>1</v>
      </c>
      <c r="AE91">
        <v>0</v>
      </c>
      <c r="AF91" t="s">
        <v>5</v>
      </c>
      <c r="AG91">
        <v>1.26</v>
      </c>
      <c r="AH91">
        <v>2</v>
      </c>
      <c r="AI91">
        <v>44170256</v>
      </c>
      <c r="AJ91">
        <v>91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</row>
    <row r="92" spans="1:44" x14ac:dyDescent="0.2">
      <c r="A92">
        <f>ROW(Source!A53)</f>
        <v>53</v>
      </c>
      <c r="B92">
        <v>44170265</v>
      </c>
      <c r="C92">
        <v>44170254</v>
      </c>
      <c r="D92">
        <v>35064906</v>
      </c>
      <c r="E92">
        <v>1</v>
      </c>
      <c r="F92">
        <v>1</v>
      </c>
      <c r="G92">
        <v>34959076</v>
      </c>
      <c r="H92">
        <v>2</v>
      </c>
      <c r="I92" t="s">
        <v>351</v>
      </c>
      <c r="J92" t="s">
        <v>352</v>
      </c>
      <c r="K92" t="s">
        <v>353</v>
      </c>
      <c r="L92">
        <v>1367</v>
      </c>
      <c r="N92">
        <v>1011</v>
      </c>
      <c r="O92" t="s">
        <v>347</v>
      </c>
      <c r="P92" t="s">
        <v>347</v>
      </c>
      <c r="Q92">
        <v>1</v>
      </c>
      <c r="X92">
        <v>1.7</v>
      </c>
      <c r="Y92">
        <v>0</v>
      </c>
      <c r="Z92">
        <v>125.13</v>
      </c>
      <c r="AA92">
        <v>24.74</v>
      </c>
      <c r="AB92">
        <v>0</v>
      </c>
      <c r="AC92">
        <v>0</v>
      </c>
      <c r="AD92">
        <v>1</v>
      </c>
      <c r="AE92">
        <v>0</v>
      </c>
      <c r="AF92" t="s">
        <v>5</v>
      </c>
      <c r="AG92">
        <v>1.7</v>
      </c>
      <c r="AH92">
        <v>2</v>
      </c>
      <c r="AI92">
        <v>44170257</v>
      </c>
      <c r="AJ92">
        <v>92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</row>
    <row r="93" spans="1:44" x14ac:dyDescent="0.2">
      <c r="A93">
        <f>ROW(Source!A53)</f>
        <v>53</v>
      </c>
      <c r="B93">
        <v>44170266</v>
      </c>
      <c r="C93">
        <v>44170254</v>
      </c>
      <c r="D93">
        <v>34984824</v>
      </c>
      <c r="E93">
        <v>34959076</v>
      </c>
      <c r="F93">
        <v>1</v>
      </c>
      <c r="G93">
        <v>34959076</v>
      </c>
      <c r="H93">
        <v>2</v>
      </c>
      <c r="I93" t="s">
        <v>354</v>
      </c>
      <c r="J93" t="s">
        <v>5</v>
      </c>
      <c r="K93" t="s">
        <v>355</v>
      </c>
      <c r="L93">
        <v>1344</v>
      </c>
      <c r="N93">
        <v>1008</v>
      </c>
      <c r="O93" t="s">
        <v>356</v>
      </c>
      <c r="P93" t="s">
        <v>356</v>
      </c>
      <c r="Q93">
        <v>1</v>
      </c>
      <c r="X93">
        <v>42.43</v>
      </c>
      <c r="Y93">
        <v>0</v>
      </c>
      <c r="Z93">
        <v>1</v>
      </c>
      <c r="AA93">
        <v>0</v>
      </c>
      <c r="AB93">
        <v>0</v>
      </c>
      <c r="AC93">
        <v>0</v>
      </c>
      <c r="AD93">
        <v>1</v>
      </c>
      <c r="AE93">
        <v>0</v>
      </c>
      <c r="AF93" t="s">
        <v>5</v>
      </c>
      <c r="AG93">
        <v>42.43</v>
      </c>
      <c r="AH93">
        <v>2</v>
      </c>
      <c r="AI93">
        <v>44170258</v>
      </c>
      <c r="AJ93">
        <v>93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</row>
    <row r="94" spans="1:44" x14ac:dyDescent="0.2">
      <c r="A94">
        <f>ROW(Source!A54)</f>
        <v>54</v>
      </c>
      <c r="B94">
        <v>44170270</v>
      </c>
      <c r="C94">
        <v>44170267</v>
      </c>
      <c r="D94">
        <v>34984826</v>
      </c>
      <c r="E94">
        <v>34959076</v>
      </c>
      <c r="F94">
        <v>1</v>
      </c>
      <c r="G94">
        <v>34959076</v>
      </c>
      <c r="H94">
        <v>1</v>
      </c>
      <c r="I94" t="s">
        <v>341</v>
      </c>
      <c r="J94" t="s">
        <v>5</v>
      </c>
      <c r="K94" t="s">
        <v>342</v>
      </c>
      <c r="L94">
        <v>1191</v>
      </c>
      <c r="N94">
        <v>1013</v>
      </c>
      <c r="O94" t="s">
        <v>343</v>
      </c>
      <c r="P94" t="s">
        <v>343</v>
      </c>
      <c r="Q94">
        <v>1</v>
      </c>
      <c r="X94">
        <v>76.7</v>
      </c>
      <c r="Y94">
        <v>0</v>
      </c>
      <c r="Z94">
        <v>0</v>
      </c>
      <c r="AA94">
        <v>0</v>
      </c>
      <c r="AB94">
        <v>0</v>
      </c>
      <c r="AC94">
        <v>0</v>
      </c>
      <c r="AD94">
        <v>1</v>
      </c>
      <c r="AE94">
        <v>1</v>
      </c>
      <c r="AF94" t="s">
        <v>5</v>
      </c>
      <c r="AG94">
        <v>76.7</v>
      </c>
      <c r="AH94">
        <v>2</v>
      </c>
      <c r="AI94">
        <v>44170268</v>
      </c>
      <c r="AJ94">
        <v>94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</row>
    <row r="95" spans="1:44" x14ac:dyDescent="0.2">
      <c r="A95">
        <f>ROW(Source!A55)</f>
        <v>55</v>
      </c>
      <c r="B95">
        <v>44170276</v>
      </c>
      <c r="C95">
        <v>44170271</v>
      </c>
      <c r="D95">
        <v>34984826</v>
      </c>
      <c r="E95">
        <v>34959076</v>
      </c>
      <c r="F95">
        <v>1</v>
      </c>
      <c r="G95">
        <v>34959076</v>
      </c>
      <c r="H95">
        <v>1</v>
      </c>
      <c r="I95" t="s">
        <v>341</v>
      </c>
      <c r="J95" t="s">
        <v>5</v>
      </c>
      <c r="K95" t="s">
        <v>342</v>
      </c>
      <c r="L95">
        <v>1191</v>
      </c>
      <c r="N95">
        <v>1013</v>
      </c>
      <c r="O95" t="s">
        <v>343</v>
      </c>
      <c r="P95" t="s">
        <v>343</v>
      </c>
      <c r="Q95">
        <v>1</v>
      </c>
      <c r="X95">
        <v>1.1200000000000001</v>
      </c>
      <c r="Y95">
        <v>0</v>
      </c>
      <c r="Z95">
        <v>0</v>
      </c>
      <c r="AA95">
        <v>0</v>
      </c>
      <c r="AB95">
        <v>0</v>
      </c>
      <c r="AC95">
        <v>0</v>
      </c>
      <c r="AD95">
        <v>1</v>
      </c>
      <c r="AE95">
        <v>1</v>
      </c>
      <c r="AF95" t="s">
        <v>5</v>
      </c>
      <c r="AG95">
        <v>1.1200000000000001</v>
      </c>
      <c r="AH95">
        <v>2</v>
      </c>
      <c r="AI95">
        <v>44170272</v>
      </c>
      <c r="AJ95">
        <v>95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</row>
    <row r="96" spans="1:44" x14ac:dyDescent="0.2">
      <c r="A96">
        <f>ROW(Source!A55)</f>
        <v>55</v>
      </c>
      <c r="B96">
        <v>44170277</v>
      </c>
      <c r="C96">
        <v>44170271</v>
      </c>
      <c r="D96">
        <v>35065343</v>
      </c>
      <c r="E96">
        <v>1</v>
      </c>
      <c r="F96">
        <v>1</v>
      </c>
      <c r="G96">
        <v>34959076</v>
      </c>
      <c r="H96">
        <v>2</v>
      </c>
      <c r="I96" t="s">
        <v>363</v>
      </c>
      <c r="J96" t="s">
        <v>364</v>
      </c>
      <c r="K96" t="s">
        <v>365</v>
      </c>
      <c r="L96">
        <v>1367</v>
      </c>
      <c r="N96">
        <v>1011</v>
      </c>
      <c r="O96" t="s">
        <v>347</v>
      </c>
      <c r="P96" t="s">
        <v>347</v>
      </c>
      <c r="Q96">
        <v>1</v>
      </c>
      <c r="X96">
        <v>0.38</v>
      </c>
      <c r="Y96">
        <v>0</v>
      </c>
      <c r="Z96">
        <v>148.4</v>
      </c>
      <c r="AA96">
        <v>38.619999999999997</v>
      </c>
      <c r="AB96">
        <v>0</v>
      </c>
      <c r="AC96">
        <v>0</v>
      </c>
      <c r="AD96">
        <v>1</v>
      </c>
      <c r="AE96">
        <v>0</v>
      </c>
      <c r="AF96" t="s">
        <v>5</v>
      </c>
      <c r="AG96">
        <v>0.38</v>
      </c>
      <c r="AH96">
        <v>2</v>
      </c>
      <c r="AI96">
        <v>44170273</v>
      </c>
      <c r="AJ96">
        <v>96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</row>
    <row r="97" spans="1:44" x14ac:dyDescent="0.2">
      <c r="A97">
        <f>ROW(Source!A56)</f>
        <v>56</v>
      </c>
      <c r="B97">
        <v>44170281</v>
      </c>
      <c r="C97">
        <v>44170278</v>
      </c>
      <c r="D97">
        <v>34984824</v>
      </c>
      <c r="E97">
        <v>34959076</v>
      </c>
      <c r="F97">
        <v>1</v>
      </c>
      <c r="G97">
        <v>34959076</v>
      </c>
      <c r="H97">
        <v>2</v>
      </c>
      <c r="I97" t="s">
        <v>354</v>
      </c>
      <c r="J97" t="s">
        <v>5</v>
      </c>
      <c r="K97" t="s">
        <v>355</v>
      </c>
      <c r="L97">
        <v>1344</v>
      </c>
      <c r="N97">
        <v>1008</v>
      </c>
      <c r="O97" t="s">
        <v>356</v>
      </c>
      <c r="P97" t="s">
        <v>356</v>
      </c>
      <c r="Q97">
        <v>1</v>
      </c>
      <c r="X97">
        <v>8.86</v>
      </c>
      <c r="Y97">
        <v>0</v>
      </c>
      <c r="Z97">
        <v>1</v>
      </c>
      <c r="AA97">
        <v>0</v>
      </c>
      <c r="AB97">
        <v>0</v>
      </c>
      <c r="AC97">
        <v>0</v>
      </c>
      <c r="AD97">
        <v>1</v>
      </c>
      <c r="AE97">
        <v>0</v>
      </c>
      <c r="AF97" t="s">
        <v>5</v>
      </c>
      <c r="AG97">
        <v>8.86</v>
      </c>
      <c r="AH97">
        <v>2</v>
      </c>
      <c r="AI97">
        <v>44170279</v>
      </c>
      <c r="AJ97">
        <v>97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</row>
    <row r="98" spans="1:44" x14ac:dyDescent="0.2">
      <c r="A98">
        <f>ROW(Source!A57)</f>
        <v>57</v>
      </c>
      <c r="B98">
        <v>44170299</v>
      </c>
      <c r="C98">
        <v>44170282</v>
      </c>
      <c r="D98">
        <v>34984826</v>
      </c>
      <c r="E98">
        <v>34959076</v>
      </c>
      <c r="F98">
        <v>1</v>
      </c>
      <c r="G98">
        <v>34959076</v>
      </c>
      <c r="H98">
        <v>1</v>
      </c>
      <c r="I98" t="s">
        <v>341</v>
      </c>
      <c r="J98" t="s">
        <v>5</v>
      </c>
      <c r="K98" t="s">
        <v>342</v>
      </c>
      <c r="L98">
        <v>1191</v>
      </c>
      <c r="N98">
        <v>1013</v>
      </c>
      <c r="O98" t="s">
        <v>343</v>
      </c>
      <c r="P98" t="s">
        <v>343</v>
      </c>
      <c r="Q98">
        <v>1</v>
      </c>
      <c r="X98">
        <v>14.4</v>
      </c>
      <c r="Y98">
        <v>0</v>
      </c>
      <c r="Z98">
        <v>0</v>
      </c>
      <c r="AA98">
        <v>0</v>
      </c>
      <c r="AB98">
        <v>0</v>
      </c>
      <c r="AC98">
        <v>0</v>
      </c>
      <c r="AD98">
        <v>1</v>
      </c>
      <c r="AE98">
        <v>1</v>
      </c>
      <c r="AF98" t="s">
        <v>5</v>
      </c>
      <c r="AG98">
        <v>14.4</v>
      </c>
      <c r="AH98">
        <v>2</v>
      </c>
      <c r="AI98">
        <v>44170283</v>
      </c>
      <c r="AJ98">
        <v>98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</row>
    <row r="99" spans="1:44" x14ac:dyDescent="0.2">
      <c r="A99">
        <f>ROW(Source!A57)</f>
        <v>57</v>
      </c>
      <c r="B99">
        <v>44170300</v>
      </c>
      <c r="C99">
        <v>44170282</v>
      </c>
      <c r="D99">
        <v>35064650</v>
      </c>
      <c r="E99">
        <v>1</v>
      </c>
      <c r="F99">
        <v>1</v>
      </c>
      <c r="G99">
        <v>34959076</v>
      </c>
      <c r="H99">
        <v>2</v>
      </c>
      <c r="I99" t="s">
        <v>366</v>
      </c>
      <c r="J99" t="s">
        <v>367</v>
      </c>
      <c r="K99" t="s">
        <v>368</v>
      </c>
      <c r="L99">
        <v>1367</v>
      </c>
      <c r="N99">
        <v>1011</v>
      </c>
      <c r="O99" t="s">
        <v>347</v>
      </c>
      <c r="P99" t="s">
        <v>347</v>
      </c>
      <c r="Q99">
        <v>1</v>
      </c>
      <c r="X99">
        <v>1.66</v>
      </c>
      <c r="Y99">
        <v>0</v>
      </c>
      <c r="Z99">
        <v>116.89</v>
      </c>
      <c r="AA99">
        <v>23.41</v>
      </c>
      <c r="AB99">
        <v>0</v>
      </c>
      <c r="AC99">
        <v>0</v>
      </c>
      <c r="AD99">
        <v>1</v>
      </c>
      <c r="AE99">
        <v>0</v>
      </c>
      <c r="AF99" t="s">
        <v>5</v>
      </c>
      <c r="AG99">
        <v>1.66</v>
      </c>
      <c r="AH99">
        <v>2</v>
      </c>
      <c r="AI99">
        <v>44170284</v>
      </c>
      <c r="AJ99">
        <v>99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</row>
    <row r="100" spans="1:44" x14ac:dyDescent="0.2">
      <c r="A100">
        <f>ROW(Source!A57)</f>
        <v>57</v>
      </c>
      <c r="B100">
        <v>44170301</v>
      </c>
      <c r="C100">
        <v>44170282</v>
      </c>
      <c r="D100">
        <v>35064875</v>
      </c>
      <c r="E100">
        <v>1</v>
      </c>
      <c r="F100">
        <v>1</v>
      </c>
      <c r="G100">
        <v>34959076</v>
      </c>
      <c r="H100">
        <v>2</v>
      </c>
      <c r="I100" t="s">
        <v>369</v>
      </c>
      <c r="J100" t="s">
        <v>370</v>
      </c>
      <c r="K100" t="s">
        <v>371</v>
      </c>
      <c r="L100">
        <v>1367</v>
      </c>
      <c r="N100">
        <v>1011</v>
      </c>
      <c r="O100" t="s">
        <v>347</v>
      </c>
      <c r="P100" t="s">
        <v>347</v>
      </c>
      <c r="Q100">
        <v>1</v>
      </c>
      <c r="X100">
        <v>1.66</v>
      </c>
      <c r="Y100">
        <v>0</v>
      </c>
      <c r="Z100">
        <v>62.97</v>
      </c>
      <c r="AA100">
        <v>6.64</v>
      </c>
      <c r="AB100">
        <v>0</v>
      </c>
      <c r="AC100">
        <v>0</v>
      </c>
      <c r="AD100">
        <v>1</v>
      </c>
      <c r="AE100">
        <v>0</v>
      </c>
      <c r="AF100" t="s">
        <v>5</v>
      </c>
      <c r="AG100">
        <v>1.66</v>
      </c>
      <c r="AH100">
        <v>2</v>
      </c>
      <c r="AI100">
        <v>44170285</v>
      </c>
      <c r="AJ100">
        <v>100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</row>
    <row r="101" spans="1:44" x14ac:dyDescent="0.2">
      <c r="A101">
        <f>ROW(Source!A57)</f>
        <v>57</v>
      </c>
      <c r="B101">
        <v>44170302</v>
      </c>
      <c r="C101">
        <v>44170282</v>
      </c>
      <c r="D101">
        <v>35064878</v>
      </c>
      <c r="E101">
        <v>1</v>
      </c>
      <c r="F101">
        <v>1</v>
      </c>
      <c r="G101">
        <v>34959076</v>
      </c>
      <c r="H101">
        <v>2</v>
      </c>
      <c r="I101" t="s">
        <v>372</v>
      </c>
      <c r="J101" t="s">
        <v>373</v>
      </c>
      <c r="K101" t="s">
        <v>374</v>
      </c>
      <c r="L101">
        <v>1367</v>
      </c>
      <c r="N101">
        <v>1011</v>
      </c>
      <c r="O101" t="s">
        <v>347</v>
      </c>
      <c r="P101" t="s">
        <v>347</v>
      </c>
      <c r="Q101">
        <v>1</v>
      </c>
      <c r="X101">
        <v>0.65</v>
      </c>
      <c r="Y101">
        <v>0</v>
      </c>
      <c r="Z101">
        <v>140.58000000000001</v>
      </c>
      <c r="AA101">
        <v>28.61</v>
      </c>
      <c r="AB101">
        <v>0</v>
      </c>
      <c r="AC101">
        <v>0</v>
      </c>
      <c r="AD101">
        <v>1</v>
      </c>
      <c r="AE101">
        <v>0</v>
      </c>
      <c r="AF101" t="s">
        <v>5</v>
      </c>
      <c r="AG101">
        <v>0.65</v>
      </c>
      <c r="AH101">
        <v>2</v>
      </c>
      <c r="AI101">
        <v>44170286</v>
      </c>
      <c r="AJ101">
        <v>101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</row>
    <row r="102" spans="1:44" x14ac:dyDescent="0.2">
      <c r="A102">
        <f>ROW(Source!A57)</f>
        <v>57</v>
      </c>
      <c r="B102">
        <v>44170303</v>
      </c>
      <c r="C102">
        <v>44170282</v>
      </c>
      <c r="D102">
        <v>35064906</v>
      </c>
      <c r="E102">
        <v>1</v>
      </c>
      <c r="F102">
        <v>1</v>
      </c>
      <c r="G102">
        <v>34959076</v>
      </c>
      <c r="H102">
        <v>2</v>
      </c>
      <c r="I102" t="s">
        <v>351</v>
      </c>
      <c r="J102" t="s">
        <v>352</v>
      </c>
      <c r="K102" t="s">
        <v>353</v>
      </c>
      <c r="L102">
        <v>1367</v>
      </c>
      <c r="N102">
        <v>1011</v>
      </c>
      <c r="O102" t="s">
        <v>347</v>
      </c>
      <c r="P102" t="s">
        <v>347</v>
      </c>
      <c r="Q102">
        <v>1</v>
      </c>
      <c r="X102">
        <v>1.55</v>
      </c>
      <c r="Y102">
        <v>0</v>
      </c>
      <c r="Z102">
        <v>125.13</v>
      </c>
      <c r="AA102">
        <v>24.74</v>
      </c>
      <c r="AB102">
        <v>0</v>
      </c>
      <c r="AC102">
        <v>0</v>
      </c>
      <c r="AD102">
        <v>1</v>
      </c>
      <c r="AE102">
        <v>0</v>
      </c>
      <c r="AF102" t="s">
        <v>5</v>
      </c>
      <c r="AG102">
        <v>1.55</v>
      </c>
      <c r="AH102">
        <v>2</v>
      </c>
      <c r="AI102">
        <v>44170287</v>
      </c>
      <c r="AJ102">
        <v>102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</row>
    <row r="103" spans="1:44" x14ac:dyDescent="0.2">
      <c r="A103">
        <f>ROW(Source!A57)</f>
        <v>57</v>
      </c>
      <c r="B103">
        <v>44170304</v>
      </c>
      <c r="C103">
        <v>44170282</v>
      </c>
      <c r="D103">
        <v>35064868</v>
      </c>
      <c r="E103">
        <v>1</v>
      </c>
      <c r="F103">
        <v>1</v>
      </c>
      <c r="G103">
        <v>34959076</v>
      </c>
      <c r="H103">
        <v>2</v>
      </c>
      <c r="I103" t="s">
        <v>375</v>
      </c>
      <c r="J103" t="s">
        <v>376</v>
      </c>
      <c r="K103" t="s">
        <v>377</v>
      </c>
      <c r="L103">
        <v>1367</v>
      </c>
      <c r="N103">
        <v>1011</v>
      </c>
      <c r="O103" t="s">
        <v>347</v>
      </c>
      <c r="P103" t="s">
        <v>347</v>
      </c>
      <c r="Q103">
        <v>1</v>
      </c>
      <c r="X103">
        <v>0.52</v>
      </c>
      <c r="Y103">
        <v>0</v>
      </c>
      <c r="Z103">
        <v>178.02</v>
      </c>
      <c r="AA103">
        <v>23.5</v>
      </c>
      <c r="AB103">
        <v>0</v>
      </c>
      <c r="AC103">
        <v>0</v>
      </c>
      <c r="AD103">
        <v>1</v>
      </c>
      <c r="AE103">
        <v>0</v>
      </c>
      <c r="AF103" t="s">
        <v>5</v>
      </c>
      <c r="AG103">
        <v>0.52</v>
      </c>
      <c r="AH103">
        <v>2</v>
      </c>
      <c r="AI103">
        <v>44170288</v>
      </c>
      <c r="AJ103">
        <v>103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</row>
    <row r="104" spans="1:44" x14ac:dyDescent="0.2">
      <c r="A104">
        <f>ROW(Source!A57)</f>
        <v>57</v>
      </c>
      <c r="B104">
        <v>44170305</v>
      </c>
      <c r="C104">
        <v>44170282</v>
      </c>
      <c r="D104">
        <v>35043897</v>
      </c>
      <c r="E104">
        <v>1</v>
      </c>
      <c r="F104">
        <v>1</v>
      </c>
      <c r="G104">
        <v>34959076</v>
      </c>
      <c r="H104">
        <v>3</v>
      </c>
      <c r="I104" t="s">
        <v>378</v>
      </c>
      <c r="J104" t="s">
        <v>451</v>
      </c>
      <c r="K104" t="s">
        <v>452</v>
      </c>
      <c r="L104">
        <v>1339</v>
      </c>
      <c r="N104">
        <v>1007</v>
      </c>
      <c r="O104" t="s">
        <v>59</v>
      </c>
      <c r="P104" t="s">
        <v>59</v>
      </c>
      <c r="Q104">
        <v>1</v>
      </c>
      <c r="X104">
        <v>5</v>
      </c>
      <c r="Y104">
        <v>7.07</v>
      </c>
      <c r="Z104">
        <v>0</v>
      </c>
      <c r="AA104">
        <v>0</v>
      </c>
      <c r="AB104">
        <v>0</v>
      </c>
      <c r="AC104">
        <v>0</v>
      </c>
      <c r="AD104">
        <v>1</v>
      </c>
      <c r="AE104">
        <v>0</v>
      </c>
      <c r="AF104" t="s">
        <v>5</v>
      </c>
      <c r="AG104">
        <v>5</v>
      </c>
      <c r="AH104">
        <v>2</v>
      </c>
      <c r="AI104">
        <v>44170289</v>
      </c>
      <c r="AJ104">
        <v>104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</row>
    <row r="105" spans="1:44" x14ac:dyDescent="0.2">
      <c r="A105">
        <f>ROW(Source!A57)</f>
        <v>57</v>
      </c>
      <c r="B105">
        <v>44170306</v>
      </c>
      <c r="C105">
        <v>44170282</v>
      </c>
      <c r="D105">
        <v>34985963</v>
      </c>
      <c r="E105">
        <v>34959076</v>
      </c>
      <c r="F105">
        <v>1</v>
      </c>
      <c r="G105">
        <v>34959076</v>
      </c>
      <c r="H105">
        <v>3</v>
      </c>
      <c r="I105" t="s">
        <v>456</v>
      </c>
      <c r="J105" t="s">
        <v>5</v>
      </c>
      <c r="K105" t="s">
        <v>457</v>
      </c>
      <c r="L105">
        <v>1339</v>
      </c>
      <c r="N105">
        <v>1007</v>
      </c>
      <c r="O105" t="s">
        <v>59</v>
      </c>
      <c r="P105" t="s">
        <v>59</v>
      </c>
      <c r="Q105">
        <v>1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 t="s">
        <v>5</v>
      </c>
      <c r="AG105">
        <v>0</v>
      </c>
      <c r="AH105">
        <v>3</v>
      </c>
      <c r="AI105">
        <v>-1</v>
      </c>
      <c r="AJ105" t="s">
        <v>5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</row>
    <row r="106" spans="1:44" x14ac:dyDescent="0.2">
      <c r="A106">
        <f>ROW(Source!A59)</f>
        <v>59</v>
      </c>
      <c r="B106">
        <v>44170329</v>
      </c>
      <c r="C106">
        <v>44170308</v>
      </c>
      <c r="D106">
        <v>34984826</v>
      </c>
      <c r="E106">
        <v>34959076</v>
      </c>
      <c r="F106">
        <v>1</v>
      </c>
      <c r="G106">
        <v>34959076</v>
      </c>
      <c r="H106">
        <v>1</v>
      </c>
      <c r="I106" t="s">
        <v>341</v>
      </c>
      <c r="J106" t="s">
        <v>5</v>
      </c>
      <c r="K106" t="s">
        <v>342</v>
      </c>
      <c r="L106">
        <v>1191</v>
      </c>
      <c r="N106">
        <v>1013</v>
      </c>
      <c r="O106" t="s">
        <v>343</v>
      </c>
      <c r="P106" t="s">
        <v>343</v>
      </c>
      <c r="Q106">
        <v>1</v>
      </c>
      <c r="X106">
        <v>267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1</v>
      </c>
      <c r="AE106">
        <v>1</v>
      </c>
      <c r="AF106" t="s">
        <v>5</v>
      </c>
      <c r="AG106">
        <v>267</v>
      </c>
      <c r="AH106">
        <v>2</v>
      </c>
      <c r="AI106">
        <v>44170309</v>
      </c>
      <c r="AJ106">
        <v>106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</row>
    <row r="107" spans="1:44" x14ac:dyDescent="0.2">
      <c r="A107">
        <f>ROW(Source!A59)</f>
        <v>59</v>
      </c>
      <c r="B107">
        <v>44170330</v>
      </c>
      <c r="C107">
        <v>44170308</v>
      </c>
      <c r="D107">
        <v>35064878</v>
      </c>
      <c r="E107">
        <v>1</v>
      </c>
      <c r="F107">
        <v>1</v>
      </c>
      <c r="G107">
        <v>34959076</v>
      </c>
      <c r="H107">
        <v>2</v>
      </c>
      <c r="I107" t="s">
        <v>372</v>
      </c>
      <c r="J107" t="s">
        <v>373</v>
      </c>
      <c r="K107" t="s">
        <v>374</v>
      </c>
      <c r="L107">
        <v>1367</v>
      </c>
      <c r="N107">
        <v>1011</v>
      </c>
      <c r="O107" t="s">
        <v>347</v>
      </c>
      <c r="P107" t="s">
        <v>347</v>
      </c>
      <c r="Q107">
        <v>1</v>
      </c>
      <c r="X107">
        <v>11.76</v>
      </c>
      <c r="Y107">
        <v>0</v>
      </c>
      <c r="Z107">
        <v>140.58000000000001</v>
      </c>
      <c r="AA107">
        <v>28.61</v>
      </c>
      <c r="AB107">
        <v>0</v>
      </c>
      <c r="AC107">
        <v>0</v>
      </c>
      <c r="AD107">
        <v>1</v>
      </c>
      <c r="AE107">
        <v>0</v>
      </c>
      <c r="AF107" t="s">
        <v>5</v>
      </c>
      <c r="AG107">
        <v>11.76</v>
      </c>
      <c r="AH107">
        <v>2</v>
      </c>
      <c r="AI107">
        <v>44170311</v>
      </c>
      <c r="AJ107">
        <v>107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</row>
    <row r="108" spans="1:44" x14ac:dyDescent="0.2">
      <c r="A108">
        <f>ROW(Source!A59)</f>
        <v>59</v>
      </c>
      <c r="B108">
        <v>44170331</v>
      </c>
      <c r="C108">
        <v>44170308</v>
      </c>
      <c r="D108">
        <v>35064916</v>
      </c>
      <c r="E108">
        <v>1</v>
      </c>
      <c r="F108">
        <v>1</v>
      </c>
      <c r="G108">
        <v>34959076</v>
      </c>
      <c r="H108">
        <v>2</v>
      </c>
      <c r="I108" t="s">
        <v>381</v>
      </c>
      <c r="J108" t="s">
        <v>382</v>
      </c>
      <c r="K108" t="s">
        <v>383</v>
      </c>
      <c r="L108">
        <v>1367</v>
      </c>
      <c r="N108">
        <v>1011</v>
      </c>
      <c r="O108" t="s">
        <v>347</v>
      </c>
      <c r="P108" t="s">
        <v>347</v>
      </c>
      <c r="Q108">
        <v>1</v>
      </c>
      <c r="X108">
        <v>10.8</v>
      </c>
      <c r="Y108">
        <v>0</v>
      </c>
      <c r="Z108">
        <v>25.58</v>
      </c>
      <c r="AA108">
        <v>1.85</v>
      </c>
      <c r="AB108">
        <v>0</v>
      </c>
      <c r="AC108">
        <v>0</v>
      </c>
      <c r="AD108">
        <v>1</v>
      </c>
      <c r="AE108">
        <v>0</v>
      </c>
      <c r="AF108" t="s">
        <v>5</v>
      </c>
      <c r="AG108">
        <v>10.8</v>
      </c>
      <c r="AH108">
        <v>2</v>
      </c>
      <c r="AI108">
        <v>44170312</v>
      </c>
      <c r="AJ108">
        <v>108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</row>
    <row r="109" spans="1:44" x14ac:dyDescent="0.2">
      <c r="A109">
        <f>ROW(Source!A59)</f>
        <v>59</v>
      </c>
      <c r="B109">
        <v>44170332</v>
      </c>
      <c r="C109">
        <v>44170308</v>
      </c>
      <c r="D109">
        <v>34984824</v>
      </c>
      <c r="E109">
        <v>34959076</v>
      </c>
      <c r="F109">
        <v>1</v>
      </c>
      <c r="G109">
        <v>34959076</v>
      </c>
      <c r="H109">
        <v>2</v>
      </c>
      <c r="I109" t="s">
        <v>354</v>
      </c>
      <c r="J109" t="s">
        <v>5</v>
      </c>
      <c r="K109" t="s">
        <v>355</v>
      </c>
      <c r="L109">
        <v>1344</v>
      </c>
      <c r="N109">
        <v>1008</v>
      </c>
      <c r="O109" t="s">
        <v>356</v>
      </c>
      <c r="P109" t="s">
        <v>356</v>
      </c>
      <c r="Q109">
        <v>1</v>
      </c>
      <c r="X109">
        <v>4.7699999999999996</v>
      </c>
      <c r="Y109">
        <v>0</v>
      </c>
      <c r="Z109">
        <v>1</v>
      </c>
      <c r="AA109">
        <v>0</v>
      </c>
      <c r="AB109">
        <v>0</v>
      </c>
      <c r="AC109">
        <v>0</v>
      </c>
      <c r="AD109">
        <v>1</v>
      </c>
      <c r="AE109">
        <v>0</v>
      </c>
      <c r="AF109" t="s">
        <v>5</v>
      </c>
      <c r="AG109">
        <v>4.7699999999999996</v>
      </c>
      <c r="AH109">
        <v>2</v>
      </c>
      <c r="AI109">
        <v>44170310</v>
      </c>
      <c r="AJ109">
        <v>109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</row>
    <row r="110" spans="1:44" x14ac:dyDescent="0.2">
      <c r="A110">
        <f>ROW(Source!A59)</f>
        <v>59</v>
      </c>
      <c r="B110">
        <v>44170333</v>
      </c>
      <c r="C110">
        <v>44170308</v>
      </c>
      <c r="D110">
        <v>35043897</v>
      </c>
      <c r="E110">
        <v>1</v>
      </c>
      <c r="F110">
        <v>1</v>
      </c>
      <c r="G110">
        <v>34959076</v>
      </c>
      <c r="H110">
        <v>3</v>
      </c>
      <c r="I110" t="s">
        <v>378</v>
      </c>
      <c r="J110" t="s">
        <v>451</v>
      </c>
      <c r="K110" t="s">
        <v>452</v>
      </c>
      <c r="L110">
        <v>1339</v>
      </c>
      <c r="N110">
        <v>1007</v>
      </c>
      <c r="O110" t="s">
        <v>59</v>
      </c>
      <c r="P110" t="s">
        <v>59</v>
      </c>
      <c r="Q110">
        <v>1</v>
      </c>
      <c r="X110">
        <v>178</v>
      </c>
      <c r="Y110">
        <v>7.07</v>
      </c>
      <c r="Z110">
        <v>0</v>
      </c>
      <c r="AA110">
        <v>0</v>
      </c>
      <c r="AB110">
        <v>0</v>
      </c>
      <c r="AC110">
        <v>0</v>
      </c>
      <c r="AD110">
        <v>1</v>
      </c>
      <c r="AE110">
        <v>0</v>
      </c>
      <c r="AF110" t="s">
        <v>5</v>
      </c>
      <c r="AG110">
        <v>178</v>
      </c>
      <c r="AH110">
        <v>2</v>
      </c>
      <c r="AI110">
        <v>44170314</v>
      </c>
      <c r="AJ110">
        <v>111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</row>
    <row r="111" spans="1:44" x14ac:dyDescent="0.2">
      <c r="A111">
        <f>ROW(Source!A59)</f>
        <v>59</v>
      </c>
      <c r="B111">
        <v>44170334</v>
      </c>
      <c r="C111">
        <v>44170308</v>
      </c>
      <c r="D111">
        <v>35043963</v>
      </c>
      <c r="E111">
        <v>1</v>
      </c>
      <c r="F111">
        <v>1</v>
      </c>
      <c r="G111">
        <v>34959076</v>
      </c>
      <c r="H111">
        <v>3</v>
      </c>
      <c r="I111" t="s">
        <v>386</v>
      </c>
      <c r="J111" t="s">
        <v>458</v>
      </c>
      <c r="K111" t="s">
        <v>459</v>
      </c>
      <c r="L111">
        <v>1348</v>
      </c>
      <c r="N111">
        <v>1009</v>
      </c>
      <c r="O111" t="s">
        <v>87</v>
      </c>
      <c r="P111" t="s">
        <v>87</v>
      </c>
      <c r="Q111">
        <v>1000</v>
      </c>
      <c r="X111">
        <v>0.09</v>
      </c>
      <c r="Y111">
        <v>3386.07</v>
      </c>
      <c r="Z111">
        <v>0</v>
      </c>
      <c r="AA111">
        <v>0</v>
      </c>
      <c r="AB111">
        <v>0</v>
      </c>
      <c r="AC111">
        <v>0</v>
      </c>
      <c r="AD111">
        <v>1</v>
      </c>
      <c r="AE111">
        <v>0</v>
      </c>
      <c r="AF111" t="s">
        <v>5</v>
      </c>
      <c r="AG111">
        <v>0.09</v>
      </c>
      <c r="AH111">
        <v>2</v>
      </c>
      <c r="AI111">
        <v>44170315</v>
      </c>
      <c r="AJ111">
        <v>112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</row>
    <row r="112" spans="1:44" x14ac:dyDescent="0.2">
      <c r="A112">
        <f>ROW(Source!A59)</f>
        <v>59</v>
      </c>
      <c r="B112">
        <v>44170335</v>
      </c>
      <c r="C112">
        <v>44170308</v>
      </c>
      <c r="D112">
        <v>35043338</v>
      </c>
      <c r="E112">
        <v>1</v>
      </c>
      <c r="F112">
        <v>1</v>
      </c>
      <c r="G112">
        <v>34959076</v>
      </c>
      <c r="H112">
        <v>3</v>
      </c>
      <c r="I112" t="s">
        <v>57</v>
      </c>
      <c r="J112" t="s">
        <v>60</v>
      </c>
      <c r="K112" t="s">
        <v>58</v>
      </c>
      <c r="L112">
        <v>1339</v>
      </c>
      <c r="N112">
        <v>1007</v>
      </c>
      <c r="O112" t="s">
        <v>59</v>
      </c>
      <c r="P112" t="s">
        <v>59</v>
      </c>
      <c r="Q112">
        <v>1</v>
      </c>
      <c r="X112">
        <v>40</v>
      </c>
      <c r="Y112">
        <v>104.99</v>
      </c>
      <c r="Z112">
        <v>0</v>
      </c>
      <c r="AA112">
        <v>0</v>
      </c>
      <c r="AB112">
        <v>0</v>
      </c>
      <c r="AC112">
        <v>0</v>
      </c>
      <c r="AD112">
        <v>1</v>
      </c>
      <c r="AE112">
        <v>0</v>
      </c>
      <c r="AF112" t="s">
        <v>5</v>
      </c>
      <c r="AG112">
        <v>40</v>
      </c>
      <c r="AH112">
        <v>2</v>
      </c>
      <c r="AI112">
        <v>44170316</v>
      </c>
      <c r="AJ112">
        <v>113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</row>
    <row r="113" spans="1:44" x14ac:dyDescent="0.2">
      <c r="A113">
        <f>ROW(Source!A59)</f>
        <v>59</v>
      </c>
      <c r="B113">
        <v>44170336</v>
      </c>
      <c r="C113">
        <v>44170308</v>
      </c>
      <c r="D113">
        <v>35064029</v>
      </c>
      <c r="E113">
        <v>1</v>
      </c>
      <c r="F113">
        <v>1</v>
      </c>
      <c r="G113">
        <v>34959076</v>
      </c>
      <c r="H113">
        <v>3</v>
      </c>
      <c r="I113" t="s">
        <v>391</v>
      </c>
      <c r="J113" t="s">
        <v>460</v>
      </c>
      <c r="K113" t="s">
        <v>461</v>
      </c>
      <c r="L113">
        <v>1327</v>
      </c>
      <c r="N113">
        <v>1005</v>
      </c>
      <c r="O113" t="s">
        <v>199</v>
      </c>
      <c r="P113" t="s">
        <v>199</v>
      </c>
      <c r="Q113">
        <v>1</v>
      </c>
      <c r="X113">
        <v>10.199999999999999</v>
      </c>
      <c r="Y113">
        <v>90.15</v>
      </c>
      <c r="Z113">
        <v>0</v>
      </c>
      <c r="AA113">
        <v>0</v>
      </c>
      <c r="AB113">
        <v>0</v>
      </c>
      <c r="AC113">
        <v>0</v>
      </c>
      <c r="AD113">
        <v>1</v>
      </c>
      <c r="AE113">
        <v>0</v>
      </c>
      <c r="AF113" t="s">
        <v>5</v>
      </c>
      <c r="AG113">
        <v>10.199999999999999</v>
      </c>
      <c r="AH113">
        <v>2</v>
      </c>
      <c r="AI113">
        <v>44170317</v>
      </c>
      <c r="AJ113">
        <v>115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</row>
    <row r="114" spans="1:44" x14ac:dyDescent="0.2">
      <c r="A114">
        <f>ROW(Source!A59)</f>
        <v>59</v>
      </c>
      <c r="B114">
        <v>44170337</v>
      </c>
      <c r="C114">
        <v>44170308</v>
      </c>
      <c r="D114">
        <v>34985233</v>
      </c>
      <c r="E114">
        <v>34959076</v>
      </c>
      <c r="F114">
        <v>1</v>
      </c>
      <c r="G114">
        <v>34959076</v>
      </c>
      <c r="H114">
        <v>3</v>
      </c>
      <c r="I114" t="s">
        <v>462</v>
      </c>
      <c r="J114" t="s">
        <v>5</v>
      </c>
      <c r="K114" t="s">
        <v>463</v>
      </c>
      <c r="L114">
        <v>1339</v>
      </c>
      <c r="N114">
        <v>1007</v>
      </c>
      <c r="O114" t="s">
        <v>59</v>
      </c>
      <c r="P114" t="s">
        <v>59</v>
      </c>
      <c r="Q114">
        <v>1</v>
      </c>
      <c r="X114">
        <v>162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 t="s">
        <v>5</v>
      </c>
      <c r="AG114">
        <v>162</v>
      </c>
      <c r="AH114">
        <v>3</v>
      </c>
      <c r="AI114">
        <v>-1</v>
      </c>
      <c r="AJ114" t="s">
        <v>5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</row>
    <row r="115" spans="1:44" x14ac:dyDescent="0.2">
      <c r="A115">
        <f>ROW(Source!A59)</f>
        <v>59</v>
      </c>
      <c r="B115">
        <v>44170338</v>
      </c>
      <c r="C115">
        <v>44170308</v>
      </c>
      <c r="D115">
        <v>34984822</v>
      </c>
      <c r="E115">
        <v>34959076</v>
      </c>
      <c r="F115">
        <v>1</v>
      </c>
      <c r="G115">
        <v>34959076</v>
      </c>
      <c r="H115">
        <v>3</v>
      </c>
      <c r="I115" t="s">
        <v>428</v>
      </c>
      <c r="J115" t="s">
        <v>5</v>
      </c>
      <c r="K115" t="s">
        <v>429</v>
      </c>
      <c r="L115">
        <v>1344</v>
      </c>
      <c r="N115">
        <v>1008</v>
      </c>
      <c r="O115" t="s">
        <v>356</v>
      </c>
      <c r="P115" t="s">
        <v>356</v>
      </c>
      <c r="Q115">
        <v>1</v>
      </c>
      <c r="X115">
        <v>49.28</v>
      </c>
      <c r="Y115">
        <v>1</v>
      </c>
      <c r="Z115">
        <v>0</v>
      </c>
      <c r="AA115">
        <v>0</v>
      </c>
      <c r="AB115">
        <v>0</v>
      </c>
      <c r="AC115">
        <v>0</v>
      </c>
      <c r="AD115">
        <v>1</v>
      </c>
      <c r="AE115">
        <v>0</v>
      </c>
      <c r="AF115" t="s">
        <v>5</v>
      </c>
      <c r="AG115">
        <v>49.28</v>
      </c>
      <c r="AH115">
        <v>3</v>
      </c>
      <c r="AI115">
        <v>-1</v>
      </c>
      <c r="AJ115" t="s">
        <v>5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</row>
    <row r="116" spans="1:44" x14ac:dyDescent="0.2">
      <c r="A116">
        <f>ROW(Source!A61)</f>
        <v>61</v>
      </c>
      <c r="B116">
        <v>44170347</v>
      </c>
      <c r="C116">
        <v>44170340</v>
      </c>
      <c r="D116">
        <v>34984826</v>
      </c>
      <c r="E116">
        <v>34959076</v>
      </c>
      <c r="F116">
        <v>1</v>
      </c>
      <c r="G116">
        <v>34959076</v>
      </c>
      <c r="H116">
        <v>1</v>
      </c>
      <c r="I116" t="s">
        <v>341</v>
      </c>
      <c r="J116" t="s">
        <v>5</v>
      </c>
      <c r="K116" t="s">
        <v>342</v>
      </c>
      <c r="L116">
        <v>1191</v>
      </c>
      <c r="N116">
        <v>1013</v>
      </c>
      <c r="O116" t="s">
        <v>343</v>
      </c>
      <c r="P116" t="s">
        <v>343</v>
      </c>
      <c r="Q116">
        <v>1</v>
      </c>
      <c r="X116">
        <v>5.17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1</v>
      </c>
      <c r="AE116">
        <v>1</v>
      </c>
      <c r="AF116" t="s">
        <v>126</v>
      </c>
      <c r="AG116">
        <v>20.68</v>
      </c>
      <c r="AH116">
        <v>2</v>
      </c>
      <c r="AI116">
        <v>44170341</v>
      </c>
      <c r="AJ116">
        <v>116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</row>
    <row r="117" spans="1:44" x14ac:dyDescent="0.2">
      <c r="A117">
        <f>ROW(Source!A61)</f>
        <v>61</v>
      </c>
      <c r="B117">
        <v>44170348</v>
      </c>
      <c r="C117">
        <v>44170340</v>
      </c>
      <c r="D117">
        <v>35064029</v>
      </c>
      <c r="E117">
        <v>1</v>
      </c>
      <c r="F117">
        <v>1</v>
      </c>
      <c r="G117">
        <v>34959076</v>
      </c>
      <c r="H117">
        <v>3</v>
      </c>
      <c r="I117" t="s">
        <v>391</v>
      </c>
      <c r="J117" t="s">
        <v>460</v>
      </c>
      <c r="K117" t="s">
        <v>461</v>
      </c>
      <c r="L117">
        <v>1327</v>
      </c>
      <c r="N117">
        <v>1005</v>
      </c>
      <c r="O117" t="s">
        <v>199</v>
      </c>
      <c r="P117" t="s">
        <v>199</v>
      </c>
      <c r="Q117">
        <v>1</v>
      </c>
      <c r="X117">
        <v>0.65</v>
      </c>
      <c r="Y117">
        <v>90.15</v>
      </c>
      <c r="Z117">
        <v>0</v>
      </c>
      <c r="AA117">
        <v>0</v>
      </c>
      <c r="AB117">
        <v>0</v>
      </c>
      <c r="AC117">
        <v>0</v>
      </c>
      <c r="AD117">
        <v>1</v>
      </c>
      <c r="AE117">
        <v>0</v>
      </c>
      <c r="AF117" t="s">
        <v>126</v>
      </c>
      <c r="AG117">
        <v>2.6</v>
      </c>
      <c r="AH117">
        <v>2</v>
      </c>
      <c r="AI117">
        <v>44170342</v>
      </c>
      <c r="AJ117">
        <v>118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</row>
    <row r="118" spans="1:44" x14ac:dyDescent="0.2">
      <c r="A118">
        <f>ROW(Source!A61)</f>
        <v>61</v>
      </c>
      <c r="B118">
        <v>44170349</v>
      </c>
      <c r="C118">
        <v>44170340</v>
      </c>
      <c r="D118">
        <v>34985233</v>
      </c>
      <c r="E118">
        <v>34959076</v>
      </c>
      <c r="F118">
        <v>1</v>
      </c>
      <c r="G118">
        <v>34959076</v>
      </c>
      <c r="H118">
        <v>3</v>
      </c>
      <c r="I118" t="s">
        <v>462</v>
      </c>
      <c r="J118" t="s">
        <v>5</v>
      </c>
      <c r="K118" t="s">
        <v>463</v>
      </c>
      <c r="L118">
        <v>1339</v>
      </c>
      <c r="N118">
        <v>1007</v>
      </c>
      <c r="O118" t="s">
        <v>59</v>
      </c>
      <c r="P118" t="s">
        <v>59</v>
      </c>
      <c r="Q118">
        <v>1</v>
      </c>
      <c r="X118">
        <v>10.199999999999999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 t="s">
        <v>126</v>
      </c>
      <c r="AG118">
        <v>40.799999999999997</v>
      </c>
      <c r="AH118">
        <v>3</v>
      </c>
      <c r="AI118">
        <v>-1</v>
      </c>
      <c r="AJ118" t="s">
        <v>5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</row>
    <row r="119" spans="1:44" x14ac:dyDescent="0.2">
      <c r="A119">
        <f>ROW(Source!A63)</f>
        <v>63</v>
      </c>
      <c r="B119">
        <v>44170362</v>
      </c>
      <c r="C119">
        <v>44170351</v>
      </c>
      <c r="D119">
        <v>34984826</v>
      </c>
      <c r="E119">
        <v>34959076</v>
      </c>
      <c r="F119">
        <v>1</v>
      </c>
      <c r="G119">
        <v>34959076</v>
      </c>
      <c r="H119">
        <v>1</v>
      </c>
      <c r="I119" t="s">
        <v>341</v>
      </c>
      <c r="J119" t="s">
        <v>5</v>
      </c>
      <c r="K119" t="s">
        <v>342</v>
      </c>
      <c r="L119">
        <v>1191</v>
      </c>
      <c r="N119">
        <v>1013</v>
      </c>
      <c r="O119" t="s">
        <v>343</v>
      </c>
      <c r="P119" t="s">
        <v>343</v>
      </c>
      <c r="Q119">
        <v>1</v>
      </c>
      <c r="X119">
        <v>24.3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1</v>
      </c>
      <c r="AE119">
        <v>1</v>
      </c>
      <c r="AF119" t="s">
        <v>5</v>
      </c>
      <c r="AG119">
        <v>24.3</v>
      </c>
      <c r="AH119">
        <v>2</v>
      </c>
      <c r="AI119">
        <v>44170352</v>
      </c>
      <c r="AJ119">
        <v>119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</row>
    <row r="120" spans="1:44" x14ac:dyDescent="0.2">
      <c r="A120">
        <f>ROW(Source!A63)</f>
        <v>63</v>
      </c>
      <c r="B120">
        <v>44170363</v>
      </c>
      <c r="C120">
        <v>44170351</v>
      </c>
      <c r="D120">
        <v>35064878</v>
      </c>
      <c r="E120">
        <v>1</v>
      </c>
      <c r="F120">
        <v>1</v>
      </c>
      <c r="G120">
        <v>34959076</v>
      </c>
      <c r="H120">
        <v>2</v>
      </c>
      <c r="I120" t="s">
        <v>372</v>
      </c>
      <c r="J120" t="s">
        <v>373</v>
      </c>
      <c r="K120" t="s">
        <v>374</v>
      </c>
      <c r="L120">
        <v>1367</v>
      </c>
      <c r="N120">
        <v>1011</v>
      </c>
      <c r="O120" t="s">
        <v>347</v>
      </c>
      <c r="P120" t="s">
        <v>347</v>
      </c>
      <c r="Q120">
        <v>1</v>
      </c>
      <c r="X120">
        <v>0.47</v>
      </c>
      <c r="Y120">
        <v>0</v>
      </c>
      <c r="Z120">
        <v>140.58000000000001</v>
      </c>
      <c r="AA120">
        <v>28.61</v>
      </c>
      <c r="AB120">
        <v>0</v>
      </c>
      <c r="AC120">
        <v>0</v>
      </c>
      <c r="AD120">
        <v>1</v>
      </c>
      <c r="AE120">
        <v>0</v>
      </c>
      <c r="AF120" t="s">
        <v>5</v>
      </c>
      <c r="AG120">
        <v>0.47</v>
      </c>
      <c r="AH120">
        <v>2</v>
      </c>
      <c r="AI120">
        <v>44170353</v>
      </c>
      <c r="AJ120">
        <v>120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</row>
    <row r="121" spans="1:44" x14ac:dyDescent="0.2">
      <c r="A121">
        <f>ROW(Source!A63)</f>
        <v>63</v>
      </c>
      <c r="B121">
        <v>44170364</v>
      </c>
      <c r="C121">
        <v>44170351</v>
      </c>
      <c r="D121">
        <v>35064863</v>
      </c>
      <c r="E121">
        <v>1</v>
      </c>
      <c r="F121">
        <v>1</v>
      </c>
      <c r="G121">
        <v>34959076</v>
      </c>
      <c r="H121">
        <v>2</v>
      </c>
      <c r="I121" t="s">
        <v>403</v>
      </c>
      <c r="J121" t="s">
        <v>404</v>
      </c>
      <c r="K121" t="s">
        <v>405</v>
      </c>
      <c r="L121">
        <v>1367</v>
      </c>
      <c r="N121">
        <v>1011</v>
      </c>
      <c r="O121" t="s">
        <v>347</v>
      </c>
      <c r="P121" t="s">
        <v>347</v>
      </c>
      <c r="Q121">
        <v>1</v>
      </c>
      <c r="X121">
        <v>1.3</v>
      </c>
      <c r="Y121">
        <v>0</v>
      </c>
      <c r="Z121">
        <v>84.82</v>
      </c>
      <c r="AA121">
        <v>22.85</v>
      </c>
      <c r="AB121">
        <v>0</v>
      </c>
      <c r="AC121">
        <v>0</v>
      </c>
      <c r="AD121">
        <v>1</v>
      </c>
      <c r="AE121">
        <v>0</v>
      </c>
      <c r="AF121" t="s">
        <v>5</v>
      </c>
      <c r="AG121">
        <v>1.3</v>
      </c>
      <c r="AH121">
        <v>2</v>
      </c>
      <c r="AI121">
        <v>44170354</v>
      </c>
      <c r="AJ121">
        <v>121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</row>
    <row r="122" spans="1:44" x14ac:dyDescent="0.2">
      <c r="A122">
        <f>ROW(Source!A63)</f>
        <v>63</v>
      </c>
      <c r="B122">
        <v>44170365</v>
      </c>
      <c r="C122">
        <v>44170351</v>
      </c>
      <c r="D122">
        <v>35043897</v>
      </c>
      <c r="E122">
        <v>1</v>
      </c>
      <c r="F122">
        <v>1</v>
      </c>
      <c r="G122">
        <v>34959076</v>
      </c>
      <c r="H122">
        <v>3</v>
      </c>
      <c r="I122" t="s">
        <v>378</v>
      </c>
      <c r="J122" t="s">
        <v>451</v>
      </c>
      <c r="K122" t="s">
        <v>452</v>
      </c>
      <c r="L122">
        <v>1339</v>
      </c>
      <c r="N122">
        <v>1007</v>
      </c>
      <c r="O122" t="s">
        <v>59</v>
      </c>
      <c r="P122" t="s">
        <v>59</v>
      </c>
      <c r="Q122">
        <v>1</v>
      </c>
      <c r="X122">
        <v>2</v>
      </c>
      <c r="Y122">
        <v>7.07</v>
      </c>
      <c r="Z122">
        <v>0</v>
      </c>
      <c r="AA122">
        <v>0</v>
      </c>
      <c r="AB122">
        <v>0</v>
      </c>
      <c r="AC122">
        <v>0</v>
      </c>
      <c r="AD122">
        <v>1</v>
      </c>
      <c r="AE122">
        <v>0</v>
      </c>
      <c r="AF122" t="s">
        <v>5</v>
      </c>
      <c r="AG122">
        <v>2</v>
      </c>
      <c r="AH122">
        <v>2</v>
      </c>
      <c r="AI122">
        <v>44170355</v>
      </c>
      <c r="AJ122">
        <v>122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</row>
    <row r="123" spans="1:44" x14ac:dyDescent="0.2">
      <c r="A123">
        <f>ROW(Source!A63)</f>
        <v>63</v>
      </c>
      <c r="B123">
        <v>44170366</v>
      </c>
      <c r="C123">
        <v>44170351</v>
      </c>
      <c r="D123">
        <v>34990107</v>
      </c>
      <c r="E123">
        <v>34959076</v>
      </c>
      <c r="F123">
        <v>1</v>
      </c>
      <c r="G123">
        <v>34959076</v>
      </c>
      <c r="H123">
        <v>3</v>
      </c>
      <c r="I123" t="s">
        <v>468</v>
      </c>
      <c r="J123" t="s">
        <v>5</v>
      </c>
      <c r="K123" t="s">
        <v>469</v>
      </c>
      <c r="L123">
        <v>1339</v>
      </c>
      <c r="N123">
        <v>1007</v>
      </c>
      <c r="O123" t="s">
        <v>59</v>
      </c>
      <c r="P123" t="s">
        <v>59</v>
      </c>
      <c r="Q123">
        <v>1</v>
      </c>
      <c r="X123">
        <v>17.399999999999999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 t="s">
        <v>5</v>
      </c>
      <c r="AG123">
        <v>17.399999999999999</v>
      </c>
      <c r="AH123">
        <v>3</v>
      </c>
      <c r="AI123">
        <v>-1</v>
      </c>
      <c r="AJ123" t="s">
        <v>5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</row>
    <row r="124" spans="1:44" x14ac:dyDescent="0.2">
      <c r="A124">
        <f>ROW(Source!A65)</f>
        <v>65</v>
      </c>
      <c r="B124">
        <v>44170377</v>
      </c>
      <c r="C124">
        <v>44170368</v>
      </c>
      <c r="D124">
        <v>34984826</v>
      </c>
      <c r="E124">
        <v>34959076</v>
      </c>
      <c r="F124">
        <v>1</v>
      </c>
      <c r="G124">
        <v>34959076</v>
      </c>
      <c r="H124">
        <v>1</v>
      </c>
      <c r="I124" t="s">
        <v>341</v>
      </c>
      <c r="J124" t="s">
        <v>5</v>
      </c>
      <c r="K124" t="s">
        <v>342</v>
      </c>
      <c r="L124">
        <v>1191</v>
      </c>
      <c r="N124">
        <v>1013</v>
      </c>
      <c r="O124" t="s">
        <v>343</v>
      </c>
      <c r="P124" t="s">
        <v>343</v>
      </c>
      <c r="Q124">
        <v>1</v>
      </c>
      <c r="X124">
        <v>8.9600000000000009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1</v>
      </c>
      <c r="AE124">
        <v>1</v>
      </c>
      <c r="AF124" t="s">
        <v>5</v>
      </c>
      <c r="AG124">
        <v>8.9600000000000009</v>
      </c>
      <c r="AH124">
        <v>2</v>
      </c>
      <c r="AI124">
        <v>44170369</v>
      </c>
      <c r="AJ124">
        <v>124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</row>
    <row r="125" spans="1:44" x14ac:dyDescent="0.2">
      <c r="A125">
        <f>ROW(Source!A65)</f>
        <v>65</v>
      </c>
      <c r="B125">
        <v>44170378</v>
      </c>
      <c r="C125">
        <v>44170368</v>
      </c>
      <c r="D125">
        <v>35064863</v>
      </c>
      <c r="E125">
        <v>1</v>
      </c>
      <c r="F125">
        <v>1</v>
      </c>
      <c r="G125">
        <v>34959076</v>
      </c>
      <c r="H125">
        <v>2</v>
      </c>
      <c r="I125" t="s">
        <v>403</v>
      </c>
      <c r="J125" t="s">
        <v>404</v>
      </c>
      <c r="K125" t="s">
        <v>405</v>
      </c>
      <c r="L125">
        <v>1367</v>
      </c>
      <c r="N125">
        <v>1011</v>
      </c>
      <c r="O125" t="s">
        <v>347</v>
      </c>
      <c r="P125" t="s">
        <v>347</v>
      </c>
      <c r="Q125">
        <v>1</v>
      </c>
      <c r="X125">
        <v>0.71</v>
      </c>
      <c r="Y125">
        <v>0</v>
      </c>
      <c r="Z125">
        <v>84.82</v>
      </c>
      <c r="AA125">
        <v>22.85</v>
      </c>
      <c r="AB125">
        <v>0</v>
      </c>
      <c r="AC125">
        <v>0</v>
      </c>
      <c r="AD125">
        <v>1</v>
      </c>
      <c r="AE125">
        <v>0</v>
      </c>
      <c r="AF125" t="s">
        <v>5</v>
      </c>
      <c r="AG125">
        <v>0.71</v>
      </c>
      <c r="AH125">
        <v>2</v>
      </c>
      <c r="AI125">
        <v>44170370</v>
      </c>
      <c r="AJ125">
        <v>125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</row>
    <row r="126" spans="1:44" x14ac:dyDescent="0.2">
      <c r="A126">
        <f>ROW(Source!A65)</f>
        <v>65</v>
      </c>
      <c r="B126">
        <v>44170379</v>
      </c>
      <c r="C126">
        <v>44170368</v>
      </c>
      <c r="D126">
        <v>35043962</v>
      </c>
      <c r="E126">
        <v>1</v>
      </c>
      <c r="F126">
        <v>1</v>
      </c>
      <c r="G126">
        <v>34959076</v>
      </c>
      <c r="H126">
        <v>3</v>
      </c>
      <c r="I126" t="s">
        <v>415</v>
      </c>
      <c r="J126" t="s">
        <v>470</v>
      </c>
      <c r="K126" t="s">
        <v>471</v>
      </c>
      <c r="L126">
        <v>1348</v>
      </c>
      <c r="N126">
        <v>1009</v>
      </c>
      <c r="O126" t="s">
        <v>87</v>
      </c>
      <c r="P126" t="s">
        <v>87</v>
      </c>
      <c r="Q126">
        <v>1000</v>
      </c>
      <c r="X126">
        <v>0.06</v>
      </c>
      <c r="Y126">
        <v>3501.78</v>
      </c>
      <c r="Z126">
        <v>0</v>
      </c>
      <c r="AA126">
        <v>0</v>
      </c>
      <c r="AB126">
        <v>0</v>
      </c>
      <c r="AC126">
        <v>0</v>
      </c>
      <c r="AD126">
        <v>1</v>
      </c>
      <c r="AE126">
        <v>0</v>
      </c>
      <c r="AF126" t="s">
        <v>5</v>
      </c>
      <c r="AG126">
        <v>0.06</v>
      </c>
      <c r="AH126">
        <v>2</v>
      </c>
      <c r="AI126">
        <v>44170371</v>
      </c>
      <c r="AJ126">
        <v>126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</row>
    <row r="127" spans="1:44" x14ac:dyDescent="0.2">
      <c r="A127">
        <f>ROW(Source!A65)</f>
        <v>65</v>
      </c>
      <c r="B127">
        <v>44170380</v>
      </c>
      <c r="C127">
        <v>44170368</v>
      </c>
      <c r="D127">
        <v>34984952</v>
      </c>
      <c r="E127">
        <v>34959076</v>
      </c>
      <c r="F127">
        <v>1</v>
      </c>
      <c r="G127">
        <v>34959076</v>
      </c>
      <c r="H127">
        <v>3</v>
      </c>
      <c r="I127" t="s">
        <v>466</v>
      </c>
      <c r="J127" t="s">
        <v>5</v>
      </c>
      <c r="K127" t="s">
        <v>467</v>
      </c>
      <c r="L127">
        <v>1348</v>
      </c>
      <c r="N127">
        <v>1009</v>
      </c>
      <c r="O127" t="s">
        <v>87</v>
      </c>
      <c r="P127" t="s">
        <v>87</v>
      </c>
      <c r="Q127">
        <v>1000</v>
      </c>
      <c r="X127">
        <v>10.7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 t="s">
        <v>5</v>
      </c>
      <c r="AG127">
        <v>10.7</v>
      </c>
      <c r="AH127">
        <v>3</v>
      </c>
      <c r="AI127">
        <v>-1</v>
      </c>
      <c r="AJ127" t="s">
        <v>5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</row>
    <row r="128" spans="1:44" x14ac:dyDescent="0.2">
      <c r="A128">
        <f>ROW(Source!A67)</f>
        <v>67</v>
      </c>
      <c r="B128">
        <v>44170391</v>
      </c>
      <c r="C128">
        <v>44170382</v>
      </c>
      <c r="D128">
        <v>34984826</v>
      </c>
      <c r="E128">
        <v>34959076</v>
      </c>
      <c r="F128">
        <v>1</v>
      </c>
      <c r="G128">
        <v>34959076</v>
      </c>
      <c r="H128">
        <v>1</v>
      </c>
      <c r="I128" t="s">
        <v>341</v>
      </c>
      <c r="J128" t="s">
        <v>5</v>
      </c>
      <c r="K128" t="s">
        <v>342</v>
      </c>
      <c r="L128">
        <v>1191</v>
      </c>
      <c r="N128">
        <v>1013</v>
      </c>
      <c r="O128" t="s">
        <v>343</v>
      </c>
      <c r="P128" t="s">
        <v>343</v>
      </c>
      <c r="Q128">
        <v>1</v>
      </c>
      <c r="X128">
        <v>8.9600000000000009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1</v>
      </c>
      <c r="AE128">
        <v>1</v>
      </c>
      <c r="AF128" t="s">
        <v>5</v>
      </c>
      <c r="AG128">
        <v>8.9600000000000009</v>
      </c>
      <c r="AH128">
        <v>2</v>
      </c>
      <c r="AI128">
        <v>44170383</v>
      </c>
      <c r="AJ128">
        <v>128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</row>
    <row r="129" spans="1:44" x14ac:dyDescent="0.2">
      <c r="A129">
        <f>ROW(Source!A67)</f>
        <v>67</v>
      </c>
      <c r="B129">
        <v>44170392</v>
      </c>
      <c r="C129">
        <v>44170382</v>
      </c>
      <c r="D129">
        <v>35064863</v>
      </c>
      <c r="E129">
        <v>1</v>
      </c>
      <c r="F129">
        <v>1</v>
      </c>
      <c r="G129">
        <v>34959076</v>
      </c>
      <c r="H129">
        <v>2</v>
      </c>
      <c r="I129" t="s">
        <v>403</v>
      </c>
      <c r="J129" t="s">
        <v>404</v>
      </c>
      <c r="K129" t="s">
        <v>405</v>
      </c>
      <c r="L129">
        <v>1367</v>
      </c>
      <c r="N129">
        <v>1011</v>
      </c>
      <c r="O129" t="s">
        <v>347</v>
      </c>
      <c r="P129" t="s">
        <v>347</v>
      </c>
      <c r="Q129">
        <v>1</v>
      </c>
      <c r="X129">
        <v>0.71</v>
      </c>
      <c r="Y129">
        <v>0</v>
      </c>
      <c r="Z129">
        <v>84.82</v>
      </c>
      <c r="AA129">
        <v>22.85</v>
      </c>
      <c r="AB129">
        <v>0</v>
      </c>
      <c r="AC129">
        <v>0</v>
      </c>
      <c r="AD129">
        <v>1</v>
      </c>
      <c r="AE129">
        <v>0</v>
      </c>
      <c r="AF129" t="s">
        <v>5</v>
      </c>
      <c r="AG129">
        <v>0.71</v>
      </c>
      <c r="AH129">
        <v>2</v>
      </c>
      <c r="AI129">
        <v>44170384</v>
      </c>
      <c r="AJ129">
        <v>129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</row>
    <row r="130" spans="1:44" x14ac:dyDescent="0.2">
      <c r="A130">
        <f>ROW(Source!A67)</f>
        <v>67</v>
      </c>
      <c r="B130">
        <v>44170393</v>
      </c>
      <c r="C130">
        <v>44170382</v>
      </c>
      <c r="D130">
        <v>35043962</v>
      </c>
      <c r="E130">
        <v>1</v>
      </c>
      <c r="F130">
        <v>1</v>
      </c>
      <c r="G130">
        <v>34959076</v>
      </c>
      <c r="H130">
        <v>3</v>
      </c>
      <c r="I130" t="s">
        <v>415</v>
      </c>
      <c r="J130" t="s">
        <v>470</v>
      </c>
      <c r="K130" t="s">
        <v>471</v>
      </c>
      <c r="L130">
        <v>1348</v>
      </c>
      <c r="N130">
        <v>1009</v>
      </c>
      <c r="O130" t="s">
        <v>87</v>
      </c>
      <c r="P130" t="s">
        <v>87</v>
      </c>
      <c r="Q130">
        <v>1000</v>
      </c>
      <c r="X130">
        <v>0.06</v>
      </c>
      <c r="Y130">
        <v>3501.78</v>
      </c>
      <c r="Z130">
        <v>0</v>
      </c>
      <c r="AA130">
        <v>0</v>
      </c>
      <c r="AB130">
        <v>0</v>
      </c>
      <c r="AC130">
        <v>0</v>
      </c>
      <c r="AD130">
        <v>1</v>
      </c>
      <c r="AE130">
        <v>0</v>
      </c>
      <c r="AF130" t="s">
        <v>5</v>
      </c>
      <c r="AG130">
        <v>0.06</v>
      </c>
      <c r="AH130">
        <v>2</v>
      </c>
      <c r="AI130">
        <v>44170385</v>
      </c>
      <c r="AJ130">
        <v>130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</row>
    <row r="131" spans="1:44" x14ac:dyDescent="0.2">
      <c r="A131">
        <f>ROW(Source!A67)</f>
        <v>67</v>
      </c>
      <c r="B131">
        <v>44170394</v>
      </c>
      <c r="C131">
        <v>44170382</v>
      </c>
      <c r="D131">
        <v>34984952</v>
      </c>
      <c r="E131">
        <v>34959076</v>
      </c>
      <c r="F131">
        <v>1</v>
      </c>
      <c r="G131">
        <v>34959076</v>
      </c>
      <c r="H131">
        <v>3</v>
      </c>
      <c r="I131" t="s">
        <v>466</v>
      </c>
      <c r="J131" t="s">
        <v>5</v>
      </c>
      <c r="K131" t="s">
        <v>467</v>
      </c>
      <c r="L131">
        <v>1348</v>
      </c>
      <c r="N131">
        <v>1009</v>
      </c>
      <c r="O131" t="s">
        <v>87</v>
      </c>
      <c r="P131" t="s">
        <v>87</v>
      </c>
      <c r="Q131">
        <v>1000</v>
      </c>
      <c r="X131">
        <v>7.14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 t="s">
        <v>5</v>
      </c>
      <c r="AG131">
        <v>7.14</v>
      </c>
      <c r="AH131">
        <v>3</v>
      </c>
      <c r="AI131">
        <v>-1</v>
      </c>
      <c r="AJ131" t="s">
        <v>5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</row>
    <row r="132" spans="1:44" x14ac:dyDescent="0.2">
      <c r="A132">
        <f>ROW(Source!A69)</f>
        <v>69</v>
      </c>
      <c r="B132">
        <v>44170409</v>
      </c>
      <c r="C132">
        <v>44170396</v>
      </c>
      <c r="D132">
        <v>34984826</v>
      </c>
      <c r="E132">
        <v>34959076</v>
      </c>
      <c r="F132">
        <v>1</v>
      </c>
      <c r="G132">
        <v>34959076</v>
      </c>
      <c r="H132">
        <v>1</v>
      </c>
      <c r="I132" t="s">
        <v>341</v>
      </c>
      <c r="J132" t="s">
        <v>5</v>
      </c>
      <c r="K132" t="s">
        <v>342</v>
      </c>
      <c r="L132">
        <v>1191</v>
      </c>
      <c r="N132">
        <v>1013</v>
      </c>
      <c r="O132" t="s">
        <v>343</v>
      </c>
      <c r="P132" t="s">
        <v>343</v>
      </c>
      <c r="Q132">
        <v>1</v>
      </c>
      <c r="X132">
        <v>69.8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1</v>
      </c>
      <c r="AE132">
        <v>1</v>
      </c>
      <c r="AF132" t="s">
        <v>5</v>
      </c>
      <c r="AG132">
        <v>69.8</v>
      </c>
      <c r="AH132">
        <v>2</v>
      </c>
      <c r="AI132">
        <v>44170397</v>
      </c>
      <c r="AJ132">
        <v>132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</row>
    <row r="133" spans="1:44" x14ac:dyDescent="0.2">
      <c r="A133">
        <f>ROW(Source!A69)</f>
        <v>69</v>
      </c>
      <c r="B133">
        <v>44170410</v>
      </c>
      <c r="C133">
        <v>44170396</v>
      </c>
      <c r="D133">
        <v>31745890</v>
      </c>
      <c r="E133">
        <v>1</v>
      </c>
      <c r="F133">
        <v>1</v>
      </c>
      <c r="G133">
        <v>34959076</v>
      </c>
      <c r="H133">
        <v>2</v>
      </c>
      <c r="I133" t="s">
        <v>419</v>
      </c>
      <c r="J133" t="s">
        <v>420</v>
      </c>
      <c r="K133" t="s">
        <v>421</v>
      </c>
      <c r="L133">
        <v>1367</v>
      </c>
      <c r="N133">
        <v>1011</v>
      </c>
      <c r="O133" t="s">
        <v>347</v>
      </c>
      <c r="P133" t="s">
        <v>347</v>
      </c>
      <c r="Q133">
        <v>1</v>
      </c>
      <c r="X133">
        <v>0.61</v>
      </c>
      <c r="Y133">
        <v>0</v>
      </c>
      <c r="Z133">
        <v>102.11</v>
      </c>
      <c r="AA133">
        <v>30.03</v>
      </c>
      <c r="AB133">
        <v>0</v>
      </c>
      <c r="AC133">
        <v>0</v>
      </c>
      <c r="AD133">
        <v>1</v>
      </c>
      <c r="AE133">
        <v>0</v>
      </c>
      <c r="AF133" t="s">
        <v>5</v>
      </c>
      <c r="AG133">
        <v>0.61</v>
      </c>
      <c r="AH133">
        <v>2</v>
      </c>
      <c r="AI133">
        <v>44170398</v>
      </c>
      <c r="AJ133">
        <v>133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</row>
    <row r="134" spans="1:44" x14ac:dyDescent="0.2">
      <c r="A134">
        <f>ROW(Source!A69)</f>
        <v>69</v>
      </c>
      <c r="B134">
        <v>44170411</v>
      </c>
      <c r="C134">
        <v>44170396</v>
      </c>
      <c r="D134">
        <v>35058770</v>
      </c>
      <c r="E134">
        <v>1</v>
      </c>
      <c r="F134">
        <v>1</v>
      </c>
      <c r="G134">
        <v>34959076</v>
      </c>
      <c r="H134">
        <v>3</v>
      </c>
      <c r="I134" t="s">
        <v>422</v>
      </c>
      <c r="J134" t="s">
        <v>472</v>
      </c>
      <c r="K134" t="s">
        <v>473</v>
      </c>
      <c r="L134">
        <v>1339</v>
      </c>
      <c r="N134">
        <v>1007</v>
      </c>
      <c r="O134" t="s">
        <v>59</v>
      </c>
      <c r="P134" t="s">
        <v>59</v>
      </c>
      <c r="Q134">
        <v>1</v>
      </c>
      <c r="X134">
        <v>3.9</v>
      </c>
      <c r="Y134">
        <v>704.89</v>
      </c>
      <c r="Z134">
        <v>0</v>
      </c>
      <c r="AA134">
        <v>0</v>
      </c>
      <c r="AB134">
        <v>0</v>
      </c>
      <c r="AC134">
        <v>0</v>
      </c>
      <c r="AD134">
        <v>1</v>
      </c>
      <c r="AE134">
        <v>0</v>
      </c>
      <c r="AF134" t="s">
        <v>5</v>
      </c>
      <c r="AG134">
        <v>3.9</v>
      </c>
      <c r="AH134">
        <v>2</v>
      </c>
      <c r="AI134">
        <v>44170399</v>
      </c>
      <c r="AJ134">
        <v>134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</row>
    <row r="135" spans="1:44" x14ac:dyDescent="0.2">
      <c r="A135">
        <f>ROW(Source!A69)</f>
        <v>69</v>
      </c>
      <c r="B135">
        <v>44170412</v>
      </c>
      <c r="C135">
        <v>44170396</v>
      </c>
      <c r="D135">
        <v>35058904</v>
      </c>
      <c r="E135">
        <v>1</v>
      </c>
      <c r="F135">
        <v>1</v>
      </c>
      <c r="G135">
        <v>34959076</v>
      </c>
      <c r="H135">
        <v>3</v>
      </c>
      <c r="I135" t="s">
        <v>425</v>
      </c>
      <c r="J135" t="s">
        <v>474</v>
      </c>
      <c r="K135" t="s">
        <v>475</v>
      </c>
      <c r="L135">
        <v>1339</v>
      </c>
      <c r="N135">
        <v>1007</v>
      </c>
      <c r="O135" t="s">
        <v>59</v>
      </c>
      <c r="P135" t="s">
        <v>59</v>
      </c>
      <c r="Q135">
        <v>1</v>
      </c>
      <c r="X135">
        <v>0.06</v>
      </c>
      <c r="Y135">
        <v>451.14</v>
      </c>
      <c r="Z135">
        <v>0</v>
      </c>
      <c r="AA135">
        <v>0</v>
      </c>
      <c r="AB135">
        <v>0</v>
      </c>
      <c r="AC135">
        <v>0</v>
      </c>
      <c r="AD135">
        <v>1</v>
      </c>
      <c r="AE135">
        <v>0</v>
      </c>
      <c r="AF135" t="s">
        <v>5</v>
      </c>
      <c r="AG135">
        <v>0.06</v>
      </c>
      <c r="AH135">
        <v>2</v>
      </c>
      <c r="AI135">
        <v>44170400</v>
      </c>
      <c r="AJ135">
        <v>135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</row>
    <row r="136" spans="1:44" x14ac:dyDescent="0.2">
      <c r="A136">
        <f>ROW(Source!A69)</f>
        <v>69</v>
      </c>
      <c r="B136">
        <v>44170413</v>
      </c>
      <c r="C136">
        <v>44170396</v>
      </c>
      <c r="D136">
        <v>34988618</v>
      </c>
      <c r="E136">
        <v>34959076</v>
      </c>
      <c r="F136">
        <v>1</v>
      </c>
      <c r="G136">
        <v>34959076</v>
      </c>
      <c r="H136">
        <v>3</v>
      </c>
      <c r="I136" t="s">
        <v>476</v>
      </c>
      <c r="J136" t="s">
        <v>5</v>
      </c>
      <c r="K136" t="s">
        <v>477</v>
      </c>
      <c r="L136">
        <v>1339</v>
      </c>
      <c r="N136">
        <v>1007</v>
      </c>
      <c r="O136" t="s">
        <v>59</v>
      </c>
      <c r="P136" t="s">
        <v>59</v>
      </c>
      <c r="Q136">
        <v>1</v>
      </c>
      <c r="X136">
        <v>4.3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 t="s">
        <v>5</v>
      </c>
      <c r="AG136">
        <v>4.3</v>
      </c>
      <c r="AH136">
        <v>3</v>
      </c>
      <c r="AI136">
        <v>-1</v>
      </c>
      <c r="AJ136" t="s">
        <v>5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</row>
    <row r="137" spans="1:44" x14ac:dyDescent="0.2">
      <c r="A137">
        <f>ROW(Source!A69)</f>
        <v>69</v>
      </c>
      <c r="B137">
        <v>44170414</v>
      </c>
      <c r="C137">
        <v>44170396</v>
      </c>
      <c r="D137">
        <v>34984822</v>
      </c>
      <c r="E137">
        <v>34959076</v>
      </c>
      <c r="F137">
        <v>1</v>
      </c>
      <c r="G137">
        <v>34959076</v>
      </c>
      <c r="H137">
        <v>3</v>
      </c>
      <c r="I137" t="s">
        <v>428</v>
      </c>
      <c r="J137" t="s">
        <v>5</v>
      </c>
      <c r="K137" t="s">
        <v>429</v>
      </c>
      <c r="L137">
        <v>1344</v>
      </c>
      <c r="N137">
        <v>1008</v>
      </c>
      <c r="O137" t="s">
        <v>356</v>
      </c>
      <c r="P137" t="s">
        <v>356</v>
      </c>
      <c r="Q137">
        <v>1</v>
      </c>
      <c r="X137">
        <v>116.34</v>
      </c>
      <c r="Y137">
        <v>1</v>
      </c>
      <c r="Z137">
        <v>0</v>
      </c>
      <c r="AA137">
        <v>0</v>
      </c>
      <c r="AB137">
        <v>0</v>
      </c>
      <c r="AC137">
        <v>0</v>
      </c>
      <c r="AD137">
        <v>1</v>
      </c>
      <c r="AE137">
        <v>0</v>
      </c>
      <c r="AF137" t="s">
        <v>5</v>
      </c>
      <c r="AG137">
        <v>116.34</v>
      </c>
      <c r="AH137">
        <v>2</v>
      </c>
      <c r="AI137">
        <v>44170401</v>
      </c>
      <c r="AJ137">
        <v>137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</row>
    <row r="138" spans="1:44" x14ac:dyDescent="0.2">
      <c r="A138">
        <f>ROW(Source!A72)</f>
        <v>72</v>
      </c>
      <c r="B138">
        <v>44170420</v>
      </c>
      <c r="C138">
        <v>44170417</v>
      </c>
      <c r="D138">
        <v>34984826</v>
      </c>
      <c r="E138">
        <v>34959076</v>
      </c>
      <c r="F138">
        <v>1</v>
      </c>
      <c r="G138">
        <v>34959076</v>
      </c>
      <c r="H138">
        <v>1</v>
      </c>
      <c r="I138" t="s">
        <v>341</v>
      </c>
      <c r="J138" t="s">
        <v>5</v>
      </c>
      <c r="K138" t="s">
        <v>342</v>
      </c>
      <c r="L138">
        <v>1191</v>
      </c>
      <c r="N138">
        <v>1013</v>
      </c>
      <c r="O138" t="s">
        <v>343</v>
      </c>
      <c r="P138" t="s">
        <v>343</v>
      </c>
      <c r="Q138">
        <v>1</v>
      </c>
      <c r="X138">
        <v>76.7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1</v>
      </c>
      <c r="AE138">
        <v>1</v>
      </c>
      <c r="AF138" t="s">
        <v>5</v>
      </c>
      <c r="AG138">
        <v>76.7</v>
      </c>
      <c r="AH138">
        <v>2</v>
      </c>
      <c r="AI138">
        <v>44170418</v>
      </c>
      <c r="AJ138">
        <v>138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</row>
    <row r="139" spans="1:44" x14ac:dyDescent="0.2">
      <c r="A139">
        <f>ROW(Source!A73)</f>
        <v>73</v>
      </c>
      <c r="B139">
        <v>44170424</v>
      </c>
      <c r="C139">
        <v>44170421</v>
      </c>
      <c r="D139">
        <v>34984824</v>
      </c>
      <c r="E139">
        <v>34959076</v>
      </c>
      <c r="F139">
        <v>1</v>
      </c>
      <c r="G139">
        <v>34959076</v>
      </c>
      <c r="H139">
        <v>2</v>
      </c>
      <c r="I139" t="s">
        <v>354</v>
      </c>
      <c r="J139" t="s">
        <v>5</v>
      </c>
      <c r="K139" t="s">
        <v>355</v>
      </c>
      <c r="L139">
        <v>1344</v>
      </c>
      <c r="N139">
        <v>1008</v>
      </c>
      <c r="O139" t="s">
        <v>356</v>
      </c>
      <c r="P139" t="s">
        <v>356</v>
      </c>
      <c r="Q139">
        <v>1</v>
      </c>
      <c r="X139">
        <v>8.86</v>
      </c>
      <c r="Y139">
        <v>0</v>
      </c>
      <c r="Z139">
        <v>1</v>
      </c>
      <c r="AA139">
        <v>0</v>
      </c>
      <c r="AB139">
        <v>0</v>
      </c>
      <c r="AC139">
        <v>0</v>
      </c>
      <c r="AD139">
        <v>1</v>
      </c>
      <c r="AE139">
        <v>0</v>
      </c>
      <c r="AF139" t="s">
        <v>5</v>
      </c>
      <c r="AG139">
        <v>8.86</v>
      </c>
      <c r="AH139">
        <v>2</v>
      </c>
      <c r="AI139">
        <v>44170422</v>
      </c>
      <c r="AJ139">
        <v>139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</row>
    <row r="140" spans="1:44" x14ac:dyDescent="0.2">
      <c r="A140">
        <f>ROW(Source!A74)</f>
        <v>74</v>
      </c>
      <c r="B140">
        <v>44170444</v>
      </c>
      <c r="C140">
        <v>44170425</v>
      </c>
      <c r="D140">
        <v>34984826</v>
      </c>
      <c r="E140">
        <v>34959076</v>
      </c>
      <c r="F140">
        <v>1</v>
      </c>
      <c r="G140">
        <v>34959076</v>
      </c>
      <c r="H140">
        <v>1</v>
      </c>
      <c r="I140" t="s">
        <v>341</v>
      </c>
      <c r="J140" t="s">
        <v>5</v>
      </c>
      <c r="K140" t="s">
        <v>342</v>
      </c>
      <c r="L140">
        <v>1191</v>
      </c>
      <c r="N140">
        <v>1013</v>
      </c>
      <c r="O140" t="s">
        <v>343</v>
      </c>
      <c r="P140" t="s">
        <v>343</v>
      </c>
      <c r="Q140">
        <v>1</v>
      </c>
      <c r="X140">
        <v>63.43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1</v>
      </c>
      <c r="AE140">
        <v>1</v>
      </c>
      <c r="AF140" t="s">
        <v>5</v>
      </c>
      <c r="AG140">
        <v>63.43</v>
      </c>
      <c r="AH140">
        <v>2</v>
      </c>
      <c r="AI140">
        <v>44170426</v>
      </c>
      <c r="AJ140">
        <v>140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</row>
    <row r="141" spans="1:44" x14ac:dyDescent="0.2">
      <c r="A141">
        <f>ROW(Source!A74)</f>
        <v>74</v>
      </c>
      <c r="B141">
        <v>44170445</v>
      </c>
      <c r="C141">
        <v>44170425</v>
      </c>
      <c r="D141">
        <v>35065455</v>
      </c>
      <c r="E141">
        <v>1</v>
      </c>
      <c r="F141">
        <v>1</v>
      </c>
      <c r="G141">
        <v>34959076</v>
      </c>
      <c r="H141">
        <v>2</v>
      </c>
      <c r="I141" t="s">
        <v>430</v>
      </c>
      <c r="J141" t="s">
        <v>431</v>
      </c>
      <c r="K141" t="s">
        <v>432</v>
      </c>
      <c r="L141">
        <v>1367</v>
      </c>
      <c r="N141">
        <v>1011</v>
      </c>
      <c r="O141" t="s">
        <v>347</v>
      </c>
      <c r="P141" t="s">
        <v>347</v>
      </c>
      <c r="Q141">
        <v>1</v>
      </c>
      <c r="X141">
        <v>0.14000000000000001</v>
      </c>
      <c r="Y141">
        <v>0</v>
      </c>
      <c r="Z141">
        <v>76.81</v>
      </c>
      <c r="AA141">
        <v>14.36</v>
      </c>
      <c r="AB141">
        <v>0</v>
      </c>
      <c r="AC141">
        <v>0</v>
      </c>
      <c r="AD141">
        <v>1</v>
      </c>
      <c r="AE141">
        <v>0</v>
      </c>
      <c r="AF141" t="s">
        <v>5</v>
      </c>
      <c r="AG141">
        <v>0.14000000000000001</v>
      </c>
      <c r="AH141">
        <v>2</v>
      </c>
      <c r="AI141">
        <v>44170427</v>
      </c>
      <c r="AJ141">
        <v>141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</row>
    <row r="142" spans="1:44" x14ac:dyDescent="0.2">
      <c r="A142">
        <f>ROW(Source!A74)</f>
        <v>74</v>
      </c>
      <c r="B142">
        <v>44170446</v>
      </c>
      <c r="C142">
        <v>44170425</v>
      </c>
      <c r="D142">
        <v>31745890</v>
      </c>
      <c r="E142">
        <v>1</v>
      </c>
      <c r="F142">
        <v>1</v>
      </c>
      <c r="G142">
        <v>34959076</v>
      </c>
      <c r="H142">
        <v>2</v>
      </c>
      <c r="I142" t="s">
        <v>419</v>
      </c>
      <c r="J142" t="s">
        <v>420</v>
      </c>
      <c r="K142" t="s">
        <v>421</v>
      </c>
      <c r="L142">
        <v>1367</v>
      </c>
      <c r="N142">
        <v>1011</v>
      </c>
      <c r="O142" t="s">
        <v>347</v>
      </c>
      <c r="P142" t="s">
        <v>347</v>
      </c>
      <c r="Q142">
        <v>1</v>
      </c>
      <c r="X142">
        <v>0.14000000000000001</v>
      </c>
      <c r="Y142">
        <v>0</v>
      </c>
      <c r="Z142">
        <v>102.11</v>
      </c>
      <c r="AA142">
        <v>30.03</v>
      </c>
      <c r="AB142">
        <v>0</v>
      </c>
      <c r="AC142">
        <v>0</v>
      </c>
      <c r="AD142">
        <v>1</v>
      </c>
      <c r="AE142">
        <v>0</v>
      </c>
      <c r="AF142" t="s">
        <v>5</v>
      </c>
      <c r="AG142">
        <v>0.14000000000000001</v>
      </c>
      <c r="AH142">
        <v>2</v>
      </c>
      <c r="AI142">
        <v>44170428</v>
      </c>
      <c r="AJ142">
        <v>142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</row>
    <row r="143" spans="1:44" x14ac:dyDescent="0.2">
      <c r="A143">
        <f>ROW(Source!A74)</f>
        <v>74</v>
      </c>
      <c r="B143">
        <v>44170447</v>
      </c>
      <c r="C143">
        <v>44170425</v>
      </c>
      <c r="D143">
        <v>35064792</v>
      </c>
      <c r="E143">
        <v>1</v>
      </c>
      <c r="F143">
        <v>1</v>
      </c>
      <c r="G143">
        <v>34959076</v>
      </c>
      <c r="H143">
        <v>2</v>
      </c>
      <c r="I143" t="s">
        <v>433</v>
      </c>
      <c r="J143" t="s">
        <v>434</v>
      </c>
      <c r="K143" t="s">
        <v>435</v>
      </c>
      <c r="L143">
        <v>1367</v>
      </c>
      <c r="N143">
        <v>1011</v>
      </c>
      <c r="O143" t="s">
        <v>347</v>
      </c>
      <c r="P143" t="s">
        <v>347</v>
      </c>
      <c r="Q143">
        <v>1</v>
      </c>
      <c r="X143">
        <v>0.21</v>
      </c>
      <c r="Y143">
        <v>0</v>
      </c>
      <c r="Z143">
        <v>73</v>
      </c>
      <c r="AA143">
        <v>16.899999999999999</v>
      </c>
      <c r="AB143">
        <v>0</v>
      </c>
      <c r="AC143">
        <v>0</v>
      </c>
      <c r="AD143">
        <v>1</v>
      </c>
      <c r="AE143">
        <v>0</v>
      </c>
      <c r="AF143" t="s">
        <v>5</v>
      </c>
      <c r="AG143">
        <v>0.21</v>
      </c>
      <c r="AH143">
        <v>2</v>
      </c>
      <c r="AI143">
        <v>44170429</v>
      </c>
      <c r="AJ143">
        <v>143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</row>
    <row r="144" spans="1:44" x14ac:dyDescent="0.2">
      <c r="A144">
        <f>ROW(Source!A74)</f>
        <v>74</v>
      </c>
      <c r="B144">
        <v>44170448</v>
      </c>
      <c r="C144">
        <v>44170425</v>
      </c>
      <c r="D144">
        <v>35043884</v>
      </c>
      <c r="E144">
        <v>1</v>
      </c>
      <c r="F144">
        <v>1</v>
      </c>
      <c r="G144">
        <v>34959076</v>
      </c>
      <c r="H144">
        <v>3</v>
      </c>
      <c r="I144" t="s">
        <v>436</v>
      </c>
      <c r="J144" t="s">
        <v>478</v>
      </c>
      <c r="K144" t="s">
        <v>479</v>
      </c>
      <c r="L144">
        <v>1348</v>
      </c>
      <c r="N144">
        <v>1009</v>
      </c>
      <c r="O144" t="s">
        <v>87</v>
      </c>
      <c r="P144" t="s">
        <v>87</v>
      </c>
      <c r="Q144">
        <v>1000</v>
      </c>
      <c r="X144">
        <v>1E-3</v>
      </c>
      <c r="Y144">
        <v>6521.42</v>
      </c>
      <c r="Z144">
        <v>0</v>
      </c>
      <c r="AA144">
        <v>0</v>
      </c>
      <c r="AB144">
        <v>0</v>
      </c>
      <c r="AC144">
        <v>0</v>
      </c>
      <c r="AD144">
        <v>1</v>
      </c>
      <c r="AE144">
        <v>0</v>
      </c>
      <c r="AF144" t="s">
        <v>5</v>
      </c>
      <c r="AG144">
        <v>1E-3</v>
      </c>
      <c r="AH144">
        <v>2</v>
      </c>
      <c r="AI144">
        <v>44170430</v>
      </c>
      <c r="AJ144">
        <v>144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</row>
    <row r="145" spans="1:44" x14ac:dyDescent="0.2">
      <c r="A145">
        <f>ROW(Source!A74)</f>
        <v>74</v>
      </c>
      <c r="B145">
        <v>44170449</v>
      </c>
      <c r="C145">
        <v>44170425</v>
      </c>
      <c r="D145">
        <v>35043790</v>
      </c>
      <c r="E145">
        <v>1</v>
      </c>
      <c r="F145">
        <v>1</v>
      </c>
      <c r="G145">
        <v>34959076</v>
      </c>
      <c r="H145">
        <v>3</v>
      </c>
      <c r="I145" t="s">
        <v>439</v>
      </c>
      <c r="J145" t="s">
        <v>480</v>
      </c>
      <c r="K145" t="s">
        <v>481</v>
      </c>
      <c r="L145">
        <v>1339</v>
      </c>
      <c r="N145">
        <v>1007</v>
      </c>
      <c r="O145" t="s">
        <v>59</v>
      </c>
      <c r="P145" t="s">
        <v>59</v>
      </c>
      <c r="Q145">
        <v>1</v>
      </c>
      <c r="X145">
        <v>0.15</v>
      </c>
      <c r="Y145">
        <v>1828.56</v>
      </c>
      <c r="Z145">
        <v>0</v>
      </c>
      <c r="AA145">
        <v>0</v>
      </c>
      <c r="AB145">
        <v>0</v>
      </c>
      <c r="AC145">
        <v>0</v>
      </c>
      <c r="AD145">
        <v>1</v>
      </c>
      <c r="AE145">
        <v>0</v>
      </c>
      <c r="AF145" t="s">
        <v>5</v>
      </c>
      <c r="AG145">
        <v>0.15</v>
      </c>
      <c r="AH145">
        <v>2</v>
      </c>
      <c r="AI145">
        <v>44170431</v>
      </c>
      <c r="AJ145">
        <v>145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</row>
    <row r="146" spans="1:44" x14ac:dyDescent="0.2">
      <c r="A146">
        <f>ROW(Source!A74)</f>
        <v>74</v>
      </c>
      <c r="B146">
        <v>44170450</v>
      </c>
      <c r="C146">
        <v>44170425</v>
      </c>
      <c r="D146">
        <v>35058770</v>
      </c>
      <c r="E146">
        <v>1</v>
      </c>
      <c r="F146">
        <v>1</v>
      </c>
      <c r="G146">
        <v>34959076</v>
      </c>
      <c r="H146">
        <v>3</v>
      </c>
      <c r="I146" t="s">
        <v>422</v>
      </c>
      <c r="J146" t="s">
        <v>472</v>
      </c>
      <c r="K146" t="s">
        <v>473</v>
      </c>
      <c r="L146">
        <v>1339</v>
      </c>
      <c r="N146">
        <v>1007</v>
      </c>
      <c r="O146" t="s">
        <v>59</v>
      </c>
      <c r="P146" t="s">
        <v>59</v>
      </c>
      <c r="Q146">
        <v>1</v>
      </c>
      <c r="X146">
        <v>4.3</v>
      </c>
      <c r="Y146">
        <v>704.89</v>
      </c>
      <c r="Z146">
        <v>0</v>
      </c>
      <c r="AA146">
        <v>0</v>
      </c>
      <c r="AB146">
        <v>0</v>
      </c>
      <c r="AC146">
        <v>0</v>
      </c>
      <c r="AD146">
        <v>1</v>
      </c>
      <c r="AE146">
        <v>0</v>
      </c>
      <c r="AF146" t="s">
        <v>5</v>
      </c>
      <c r="AG146">
        <v>4.3</v>
      </c>
      <c r="AH146">
        <v>2</v>
      </c>
      <c r="AI146">
        <v>44170432</v>
      </c>
      <c r="AJ146">
        <v>146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</row>
    <row r="147" spans="1:44" x14ac:dyDescent="0.2">
      <c r="A147">
        <f>ROW(Source!A74)</f>
        <v>74</v>
      </c>
      <c r="B147">
        <v>44170451</v>
      </c>
      <c r="C147">
        <v>44170425</v>
      </c>
      <c r="D147">
        <v>35058904</v>
      </c>
      <c r="E147">
        <v>1</v>
      </c>
      <c r="F147">
        <v>1</v>
      </c>
      <c r="G147">
        <v>34959076</v>
      </c>
      <c r="H147">
        <v>3</v>
      </c>
      <c r="I147" t="s">
        <v>425</v>
      </c>
      <c r="J147" t="s">
        <v>474</v>
      </c>
      <c r="K147" t="s">
        <v>475</v>
      </c>
      <c r="L147">
        <v>1339</v>
      </c>
      <c r="N147">
        <v>1007</v>
      </c>
      <c r="O147" t="s">
        <v>59</v>
      </c>
      <c r="P147" t="s">
        <v>59</v>
      </c>
      <c r="Q147">
        <v>1</v>
      </c>
      <c r="X147">
        <v>0.02</v>
      </c>
      <c r="Y147">
        <v>451.14</v>
      </c>
      <c r="Z147">
        <v>0</v>
      </c>
      <c r="AA147">
        <v>0</v>
      </c>
      <c r="AB147">
        <v>0</v>
      </c>
      <c r="AC147">
        <v>0</v>
      </c>
      <c r="AD147">
        <v>1</v>
      </c>
      <c r="AE147">
        <v>0</v>
      </c>
      <c r="AF147" t="s">
        <v>5</v>
      </c>
      <c r="AG147">
        <v>0.02</v>
      </c>
      <c r="AH147">
        <v>2</v>
      </c>
      <c r="AI147">
        <v>44170433</v>
      </c>
      <c r="AJ147">
        <v>147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</row>
    <row r="148" spans="1:44" x14ac:dyDescent="0.2">
      <c r="A148">
        <f>ROW(Source!A74)</f>
        <v>74</v>
      </c>
      <c r="B148">
        <v>44170452</v>
      </c>
      <c r="C148">
        <v>44170425</v>
      </c>
      <c r="D148">
        <v>34988618</v>
      </c>
      <c r="E148">
        <v>34959076</v>
      </c>
      <c r="F148">
        <v>1</v>
      </c>
      <c r="G148">
        <v>34959076</v>
      </c>
      <c r="H148">
        <v>3</v>
      </c>
      <c r="I148" t="s">
        <v>476</v>
      </c>
      <c r="J148" t="s">
        <v>5</v>
      </c>
      <c r="K148" t="s">
        <v>482</v>
      </c>
      <c r="L148">
        <v>1339</v>
      </c>
      <c r="N148">
        <v>1007</v>
      </c>
      <c r="O148" t="s">
        <v>59</v>
      </c>
      <c r="P148" t="s">
        <v>59</v>
      </c>
      <c r="Q148">
        <v>1</v>
      </c>
      <c r="X148">
        <v>1.6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 t="s">
        <v>5</v>
      </c>
      <c r="AG148">
        <v>1.6</v>
      </c>
      <c r="AH148">
        <v>3</v>
      </c>
      <c r="AI148">
        <v>-1</v>
      </c>
      <c r="AJ148" t="s">
        <v>5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</row>
    <row r="149" spans="1:44" x14ac:dyDescent="0.2">
      <c r="A149">
        <f>ROW(Source!A77)</f>
        <v>77</v>
      </c>
      <c r="B149">
        <v>44170460</v>
      </c>
      <c r="C149">
        <v>44170455</v>
      </c>
      <c r="D149">
        <v>34984826</v>
      </c>
      <c r="E149">
        <v>34959076</v>
      </c>
      <c r="F149">
        <v>1</v>
      </c>
      <c r="G149">
        <v>34959076</v>
      </c>
      <c r="H149">
        <v>1</v>
      </c>
      <c r="I149" t="s">
        <v>341</v>
      </c>
      <c r="J149" t="s">
        <v>5</v>
      </c>
      <c r="K149" t="s">
        <v>342</v>
      </c>
      <c r="L149">
        <v>1191</v>
      </c>
      <c r="N149">
        <v>1013</v>
      </c>
      <c r="O149" t="s">
        <v>343</v>
      </c>
      <c r="P149" t="s">
        <v>343</v>
      </c>
      <c r="Q149">
        <v>1</v>
      </c>
      <c r="X149">
        <v>11.7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1</v>
      </c>
      <c r="AE149">
        <v>1</v>
      </c>
      <c r="AF149" t="s">
        <v>5</v>
      </c>
      <c r="AG149">
        <v>11.7</v>
      </c>
      <c r="AH149">
        <v>2</v>
      </c>
      <c r="AI149">
        <v>44170456</v>
      </c>
      <c r="AJ149">
        <v>149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</row>
    <row r="150" spans="1:44" x14ac:dyDescent="0.2">
      <c r="A150">
        <f>ROW(Source!A77)</f>
        <v>77</v>
      </c>
      <c r="B150">
        <v>44170461</v>
      </c>
      <c r="C150">
        <v>44170455</v>
      </c>
      <c r="D150">
        <v>35064650</v>
      </c>
      <c r="E150">
        <v>1</v>
      </c>
      <c r="F150">
        <v>1</v>
      </c>
      <c r="G150">
        <v>34959076</v>
      </c>
      <c r="H150">
        <v>2</v>
      </c>
      <c r="I150" t="s">
        <v>366</v>
      </c>
      <c r="J150" t="s">
        <v>367</v>
      </c>
      <c r="K150" t="s">
        <v>368</v>
      </c>
      <c r="L150">
        <v>1367</v>
      </c>
      <c r="N150">
        <v>1011</v>
      </c>
      <c r="O150" t="s">
        <v>347</v>
      </c>
      <c r="P150" t="s">
        <v>347</v>
      </c>
      <c r="Q150">
        <v>1</v>
      </c>
      <c r="X150">
        <v>1.26</v>
      </c>
      <c r="Y150">
        <v>0</v>
      </c>
      <c r="Z150">
        <v>116.89</v>
      </c>
      <c r="AA150">
        <v>23.41</v>
      </c>
      <c r="AB150">
        <v>0</v>
      </c>
      <c r="AC150">
        <v>0</v>
      </c>
      <c r="AD150">
        <v>1</v>
      </c>
      <c r="AE150">
        <v>0</v>
      </c>
      <c r="AF150" t="s">
        <v>5</v>
      </c>
      <c r="AG150">
        <v>1.26</v>
      </c>
      <c r="AH150">
        <v>2</v>
      </c>
      <c r="AI150">
        <v>44170457</v>
      </c>
      <c r="AJ150">
        <v>150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</row>
    <row r="151" spans="1:44" x14ac:dyDescent="0.2">
      <c r="A151">
        <f>ROW(Source!A77)</f>
        <v>77</v>
      </c>
      <c r="B151">
        <v>44170462</v>
      </c>
      <c r="C151">
        <v>44170455</v>
      </c>
      <c r="D151">
        <v>35064906</v>
      </c>
      <c r="E151">
        <v>1</v>
      </c>
      <c r="F151">
        <v>1</v>
      </c>
      <c r="G151">
        <v>34959076</v>
      </c>
      <c r="H151">
        <v>2</v>
      </c>
      <c r="I151" t="s">
        <v>351</v>
      </c>
      <c r="J151" t="s">
        <v>352</v>
      </c>
      <c r="K151" t="s">
        <v>353</v>
      </c>
      <c r="L151">
        <v>1367</v>
      </c>
      <c r="N151">
        <v>1011</v>
      </c>
      <c r="O151" t="s">
        <v>347</v>
      </c>
      <c r="P151" t="s">
        <v>347</v>
      </c>
      <c r="Q151">
        <v>1</v>
      </c>
      <c r="X151">
        <v>1.7</v>
      </c>
      <c r="Y151">
        <v>0</v>
      </c>
      <c r="Z151">
        <v>125.13</v>
      </c>
      <c r="AA151">
        <v>24.74</v>
      </c>
      <c r="AB151">
        <v>0</v>
      </c>
      <c r="AC151">
        <v>0</v>
      </c>
      <c r="AD151">
        <v>1</v>
      </c>
      <c r="AE151">
        <v>0</v>
      </c>
      <c r="AF151" t="s">
        <v>5</v>
      </c>
      <c r="AG151">
        <v>1.7</v>
      </c>
      <c r="AH151">
        <v>2</v>
      </c>
      <c r="AI151">
        <v>44170458</v>
      </c>
      <c r="AJ151">
        <v>151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</row>
    <row r="152" spans="1:44" x14ac:dyDescent="0.2">
      <c r="A152">
        <f>ROW(Source!A77)</f>
        <v>77</v>
      </c>
      <c r="B152">
        <v>44170463</v>
      </c>
      <c r="C152">
        <v>44170455</v>
      </c>
      <c r="D152">
        <v>34984824</v>
      </c>
      <c r="E152">
        <v>34959076</v>
      </c>
      <c r="F152">
        <v>1</v>
      </c>
      <c r="G152">
        <v>34959076</v>
      </c>
      <c r="H152">
        <v>2</v>
      </c>
      <c r="I152" t="s">
        <v>354</v>
      </c>
      <c r="J152" t="s">
        <v>5</v>
      </c>
      <c r="K152" t="s">
        <v>355</v>
      </c>
      <c r="L152">
        <v>1344</v>
      </c>
      <c r="N152">
        <v>1008</v>
      </c>
      <c r="O152" t="s">
        <v>356</v>
      </c>
      <c r="P152" t="s">
        <v>356</v>
      </c>
      <c r="Q152">
        <v>1</v>
      </c>
      <c r="X152">
        <v>42.43</v>
      </c>
      <c r="Y152">
        <v>0</v>
      </c>
      <c r="Z152">
        <v>1</v>
      </c>
      <c r="AA152">
        <v>0</v>
      </c>
      <c r="AB152">
        <v>0</v>
      </c>
      <c r="AC152">
        <v>0</v>
      </c>
      <c r="AD152">
        <v>1</v>
      </c>
      <c r="AE152">
        <v>0</v>
      </c>
      <c r="AF152" t="s">
        <v>5</v>
      </c>
      <c r="AG152">
        <v>42.43</v>
      </c>
      <c r="AH152">
        <v>2</v>
      </c>
      <c r="AI152">
        <v>44170459</v>
      </c>
      <c r="AJ152">
        <v>152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</row>
    <row r="153" spans="1:44" x14ac:dyDescent="0.2">
      <c r="A153">
        <f>ROW(Source!A78)</f>
        <v>78</v>
      </c>
      <c r="B153">
        <v>44170466</v>
      </c>
      <c r="C153">
        <v>44170464</v>
      </c>
      <c r="D153">
        <v>34984824</v>
      </c>
      <c r="E153">
        <v>34959076</v>
      </c>
      <c r="F153">
        <v>1</v>
      </c>
      <c r="G153">
        <v>34959076</v>
      </c>
      <c r="H153">
        <v>2</v>
      </c>
      <c r="I153" t="s">
        <v>354</v>
      </c>
      <c r="J153" t="s">
        <v>5</v>
      </c>
      <c r="K153" t="s">
        <v>355</v>
      </c>
      <c r="L153">
        <v>1344</v>
      </c>
      <c r="N153">
        <v>1008</v>
      </c>
      <c r="O153" t="s">
        <v>356</v>
      </c>
      <c r="P153" t="s">
        <v>356</v>
      </c>
      <c r="Q153">
        <v>1</v>
      </c>
      <c r="X153">
        <v>8.86</v>
      </c>
      <c r="Y153">
        <v>0</v>
      </c>
      <c r="Z153">
        <v>1</v>
      </c>
      <c r="AA153">
        <v>0</v>
      </c>
      <c r="AB153">
        <v>0</v>
      </c>
      <c r="AC153">
        <v>0</v>
      </c>
      <c r="AD153">
        <v>1</v>
      </c>
      <c r="AE153">
        <v>0</v>
      </c>
      <c r="AF153" t="s">
        <v>5</v>
      </c>
      <c r="AG153">
        <v>8.86</v>
      </c>
      <c r="AH153">
        <v>2</v>
      </c>
      <c r="AI153">
        <v>44170465</v>
      </c>
      <c r="AJ153">
        <v>153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</row>
    <row r="154" spans="1:44" x14ac:dyDescent="0.2">
      <c r="A154">
        <f>ROW(Source!A79)</f>
        <v>79</v>
      </c>
      <c r="B154">
        <v>44170476</v>
      </c>
      <c r="C154">
        <v>44170467</v>
      </c>
      <c r="D154">
        <v>34984826</v>
      </c>
      <c r="E154">
        <v>34959076</v>
      </c>
      <c r="F154">
        <v>1</v>
      </c>
      <c r="G154">
        <v>34959076</v>
      </c>
      <c r="H154">
        <v>1</v>
      </c>
      <c r="I154" t="s">
        <v>341</v>
      </c>
      <c r="J154" t="s">
        <v>5</v>
      </c>
      <c r="K154" t="s">
        <v>342</v>
      </c>
      <c r="L154">
        <v>1191</v>
      </c>
      <c r="N154">
        <v>1013</v>
      </c>
      <c r="O154" t="s">
        <v>343</v>
      </c>
      <c r="P154" t="s">
        <v>343</v>
      </c>
      <c r="Q154">
        <v>1</v>
      </c>
      <c r="X154">
        <v>14.4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1</v>
      </c>
      <c r="AE154">
        <v>1</v>
      </c>
      <c r="AF154" t="s">
        <v>5</v>
      </c>
      <c r="AG154">
        <v>14.4</v>
      </c>
      <c r="AH154">
        <v>2</v>
      </c>
      <c r="AI154">
        <v>44170468</v>
      </c>
      <c r="AJ154">
        <v>154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</row>
    <row r="155" spans="1:44" x14ac:dyDescent="0.2">
      <c r="A155">
        <f>ROW(Source!A79)</f>
        <v>79</v>
      </c>
      <c r="B155">
        <v>44170477</v>
      </c>
      <c r="C155">
        <v>44170467</v>
      </c>
      <c r="D155">
        <v>35064650</v>
      </c>
      <c r="E155">
        <v>1</v>
      </c>
      <c r="F155">
        <v>1</v>
      </c>
      <c r="G155">
        <v>34959076</v>
      </c>
      <c r="H155">
        <v>2</v>
      </c>
      <c r="I155" t="s">
        <v>366</v>
      </c>
      <c r="J155" t="s">
        <v>367</v>
      </c>
      <c r="K155" t="s">
        <v>368</v>
      </c>
      <c r="L155">
        <v>1367</v>
      </c>
      <c r="N155">
        <v>1011</v>
      </c>
      <c r="O155" t="s">
        <v>347</v>
      </c>
      <c r="P155" t="s">
        <v>347</v>
      </c>
      <c r="Q155">
        <v>1</v>
      </c>
      <c r="X155">
        <v>1.66</v>
      </c>
      <c r="Y155">
        <v>0</v>
      </c>
      <c r="Z155">
        <v>116.89</v>
      </c>
      <c r="AA155">
        <v>23.41</v>
      </c>
      <c r="AB155">
        <v>0</v>
      </c>
      <c r="AC155">
        <v>0</v>
      </c>
      <c r="AD155">
        <v>1</v>
      </c>
      <c r="AE155">
        <v>0</v>
      </c>
      <c r="AF155" t="s">
        <v>5</v>
      </c>
      <c r="AG155">
        <v>1.66</v>
      </c>
      <c r="AH155">
        <v>2</v>
      </c>
      <c r="AI155">
        <v>44170469</v>
      </c>
      <c r="AJ155">
        <v>155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</row>
    <row r="156" spans="1:44" x14ac:dyDescent="0.2">
      <c r="A156">
        <f>ROW(Source!A79)</f>
        <v>79</v>
      </c>
      <c r="B156">
        <v>44170478</v>
      </c>
      <c r="C156">
        <v>44170467</v>
      </c>
      <c r="D156">
        <v>35064875</v>
      </c>
      <c r="E156">
        <v>1</v>
      </c>
      <c r="F156">
        <v>1</v>
      </c>
      <c r="G156">
        <v>34959076</v>
      </c>
      <c r="H156">
        <v>2</v>
      </c>
      <c r="I156" t="s">
        <v>369</v>
      </c>
      <c r="J156" t="s">
        <v>370</v>
      </c>
      <c r="K156" t="s">
        <v>371</v>
      </c>
      <c r="L156">
        <v>1367</v>
      </c>
      <c r="N156">
        <v>1011</v>
      </c>
      <c r="O156" t="s">
        <v>347</v>
      </c>
      <c r="P156" t="s">
        <v>347</v>
      </c>
      <c r="Q156">
        <v>1</v>
      </c>
      <c r="X156">
        <v>1.66</v>
      </c>
      <c r="Y156">
        <v>0</v>
      </c>
      <c r="Z156">
        <v>62.97</v>
      </c>
      <c r="AA156">
        <v>6.64</v>
      </c>
      <c r="AB156">
        <v>0</v>
      </c>
      <c r="AC156">
        <v>0</v>
      </c>
      <c r="AD156">
        <v>1</v>
      </c>
      <c r="AE156">
        <v>0</v>
      </c>
      <c r="AF156" t="s">
        <v>5</v>
      </c>
      <c r="AG156">
        <v>1.66</v>
      </c>
      <c r="AH156">
        <v>2</v>
      </c>
      <c r="AI156">
        <v>44170470</v>
      </c>
      <c r="AJ156">
        <v>156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</row>
    <row r="157" spans="1:44" x14ac:dyDescent="0.2">
      <c r="A157">
        <f>ROW(Source!A79)</f>
        <v>79</v>
      </c>
      <c r="B157">
        <v>44170479</v>
      </c>
      <c r="C157">
        <v>44170467</v>
      </c>
      <c r="D157">
        <v>35064878</v>
      </c>
      <c r="E157">
        <v>1</v>
      </c>
      <c r="F157">
        <v>1</v>
      </c>
      <c r="G157">
        <v>34959076</v>
      </c>
      <c r="H157">
        <v>2</v>
      </c>
      <c r="I157" t="s">
        <v>372</v>
      </c>
      <c r="J157" t="s">
        <v>373</v>
      </c>
      <c r="K157" t="s">
        <v>374</v>
      </c>
      <c r="L157">
        <v>1367</v>
      </c>
      <c r="N157">
        <v>1011</v>
      </c>
      <c r="O157" t="s">
        <v>347</v>
      </c>
      <c r="P157" t="s">
        <v>347</v>
      </c>
      <c r="Q157">
        <v>1</v>
      </c>
      <c r="X157">
        <v>0.65</v>
      </c>
      <c r="Y157">
        <v>0</v>
      </c>
      <c r="Z157">
        <v>140.58000000000001</v>
      </c>
      <c r="AA157">
        <v>28.61</v>
      </c>
      <c r="AB157">
        <v>0</v>
      </c>
      <c r="AC157">
        <v>0</v>
      </c>
      <c r="AD157">
        <v>1</v>
      </c>
      <c r="AE157">
        <v>0</v>
      </c>
      <c r="AF157" t="s">
        <v>5</v>
      </c>
      <c r="AG157">
        <v>0.65</v>
      </c>
      <c r="AH157">
        <v>2</v>
      </c>
      <c r="AI157">
        <v>44170471</v>
      </c>
      <c r="AJ157">
        <v>157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</row>
    <row r="158" spans="1:44" x14ac:dyDescent="0.2">
      <c r="A158">
        <f>ROW(Source!A79)</f>
        <v>79</v>
      </c>
      <c r="B158">
        <v>44170480</v>
      </c>
      <c r="C158">
        <v>44170467</v>
      </c>
      <c r="D158">
        <v>35064906</v>
      </c>
      <c r="E158">
        <v>1</v>
      </c>
      <c r="F158">
        <v>1</v>
      </c>
      <c r="G158">
        <v>34959076</v>
      </c>
      <c r="H158">
        <v>2</v>
      </c>
      <c r="I158" t="s">
        <v>351</v>
      </c>
      <c r="J158" t="s">
        <v>352</v>
      </c>
      <c r="K158" t="s">
        <v>353</v>
      </c>
      <c r="L158">
        <v>1367</v>
      </c>
      <c r="N158">
        <v>1011</v>
      </c>
      <c r="O158" t="s">
        <v>347</v>
      </c>
      <c r="P158" t="s">
        <v>347</v>
      </c>
      <c r="Q158">
        <v>1</v>
      </c>
      <c r="X158">
        <v>1.55</v>
      </c>
      <c r="Y158">
        <v>0</v>
      </c>
      <c r="Z158">
        <v>125.13</v>
      </c>
      <c r="AA158">
        <v>24.74</v>
      </c>
      <c r="AB158">
        <v>0</v>
      </c>
      <c r="AC158">
        <v>0</v>
      </c>
      <c r="AD158">
        <v>1</v>
      </c>
      <c r="AE158">
        <v>0</v>
      </c>
      <c r="AF158" t="s">
        <v>5</v>
      </c>
      <c r="AG158">
        <v>1.55</v>
      </c>
      <c r="AH158">
        <v>2</v>
      </c>
      <c r="AI158">
        <v>44170472</v>
      </c>
      <c r="AJ158">
        <v>158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</row>
    <row r="159" spans="1:44" x14ac:dyDescent="0.2">
      <c r="A159">
        <f>ROW(Source!A79)</f>
        <v>79</v>
      </c>
      <c r="B159">
        <v>44170481</v>
      </c>
      <c r="C159">
        <v>44170467</v>
      </c>
      <c r="D159">
        <v>35064868</v>
      </c>
      <c r="E159">
        <v>1</v>
      </c>
      <c r="F159">
        <v>1</v>
      </c>
      <c r="G159">
        <v>34959076</v>
      </c>
      <c r="H159">
        <v>2</v>
      </c>
      <c r="I159" t="s">
        <v>375</v>
      </c>
      <c r="J159" t="s">
        <v>376</v>
      </c>
      <c r="K159" t="s">
        <v>377</v>
      </c>
      <c r="L159">
        <v>1367</v>
      </c>
      <c r="N159">
        <v>1011</v>
      </c>
      <c r="O159" t="s">
        <v>347</v>
      </c>
      <c r="P159" t="s">
        <v>347</v>
      </c>
      <c r="Q159">
        <v>1</v>
      </c>
      <c r="X159">
        <v>0.52</v>
      </c>
      <c r="Y159">
        <v>0</v>
      </c>
      <c r="Z159">
        <v>178.02</v>
      </c>
      <c r="AA159">
        <v>23.5</v>
      </c>
      <c r="AB159">
        <v>0</v>
      </c>
      <c r="AC159">
        <v>0</v>
      </c>
      <c r="AD159">
        <v>1</v>
      </c>
      <c r="AE159">
        <v>0</v>
      </c>
      <c r="AF159" t="s">
        <v>5</v>
      </c>
      <c r="AG159">
        <v>0.52</v>
      </c>
      <c r="AH159">
        <v>2</v>
      </c>
      <c r="AI159">
        <v>44170473</v>
      </c>
      <c r="AJ159">
        <v>159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</row>
    <row r="160" spans="1:44" x14ac:dyDescent="0.2">
      <c r="A160">
        <f>ROW(Source!A79)</f>
        <v>79</v>
      </c>
      <c r="B160">
        <v>44170482</v>
      </c>
      <c r="C160">
        <v>44170467</v>
      </c>
      <c r="D160">
        <v>35043897</v>
      </c>
      <c r="E160">
        <v>1</v>
      </c>
      <c r="F160">
        <v>1</v>
      </c>
      <c r="G160">
        <v>34959076</v>
      </c>
      <c r="H160">
        <v>3</v>
      </c>
      <c r="I160" t="s">
        <v>378</v>
      </c>
      <c r="J160" t="s">
        <v>451</v>
      </c>
      <c r="K160" t="s">
        <v>452</v>
      </c>
      <c r="L160">
        <v>1339</v>
      </c>
      <c r="N160">
        <v>1007</v>
      </c>
      <c r="O160" t="s">
        <v>59</v>
      </c>
      <c r="P160" t="s">
        <v>59</v>
      </c>
      <c r="Q160">
        <v>1</v>
      </c>
      <c r="X160">
        <v>5</v>
      </c>
      <c r="Y160">
        <v>7.07</v>
      </c>
      <c r="Z160">
        <v>0</v>
      </c>
      <c r="AA160">
        <v>0</v>
      </c>
      <c r="AB160">
        <v>0</v>
      </c>
      <c r="AC160">
        <v>0</v>
      </c>
      <c r="AD160">
        <v>1</v>
      </c>
      <c r="AE160">
        <v>0</v>
      </c>
      <c r="AF160" t="s">
        <v>5</v>
      </c>
      <c r="AG160">
        <v>5</v>
      </c>
      <c r="AH160">
        <v>2</v>
      </c>
      <c r="AI160">
        <v>44170474</v>
      </c>
      <c r="AJ160">
        <v>160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</row>
    <row r="161" spans="1:44" x14ac:dyDescent="0.2">
      <c r="A161">
        <f>ROW(Source!A79)</f>
        <v>79</v>
      </c>
      <c r="B161">
        <v>44170483</v>
      </c>
      <c r="C161">
        <v>44170467</v>
      </c>
      <c r="D161">
        <v>34985963</v>
      </c>
      <c r="E161">
        <v>34959076</v>
      </c>
      <c r="F161">
        <v>1</v>
      </c>
      <c r="G161">
        <v>34959076</v>
      </c>
      <c r="H161">
        <v>3</v>
      </c>
      <c r="I161" t="s">
        <v>456</v>
      </c>
      <c r="J161" t="s">
        <v>5</v>
      </c>
      <c r="K161" t="s">
        <v>457</v>
      </c>
      <c r="L161">
        <v>1339</v>
      </c>
      <c r="N161">
        <v>1007</v>
      </c>
      <c r="O161" t="s">
        <v>59</v>
      </c>
      <c r="P161" t="s">
        <v>59</v>
      </c>
      <c r="Q161">
        <v>1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 t="s">
        <v>5</v>
      </c>
      <c r="AG161">
        <v>0</v>
      </c>
      <c r="AH161">
        <v>3</v>
      </c>
      <c r="AI161">
        <v>-1</v>
      </c>
      <c r="AJ161" t="s">
        <v>5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</row>
    <row r="162" spans="1:44" x14ac:dyDescent="0.2">
      <c r="A162">
        <f>ROW(Source!A81)</f>
        <v>81</v>
      </c>
      <c r="B162">
        <v>44170491</v>
      </c>
      <c r="C162">
        <v>44170485</v>
      </c>
      <c r="D162">
        <v>34984826</v>
      </c>
      <c r="E162">
        <v>34959076</v>
      </c>
      <c r="F162">
        <v>1</v>
      </c>
      <c r="G162">
        <v>34959076</v>
      </c>
      <c r="H162">
        <v>1</v>
      </c>
      <c r="I162" t="s">
        <v>341</v>
      </c>
      <c r="J162" t="s">
        <v>5</v>
      </c>
      <c r="K162" t="s">
        <v>342</v>
      </c>
      <c r="L162">
        <v>1191</v>
      </c>
      <c r="N162">
        <v>1013</v>
      </c>
      <c r="O162" t="s">
        <v>343</v>
      </c>
      <c r="P162" t="s">
        <v>343</v>
      </c>
      <c r="Q162">
        <v>1</v>
      </c>
      <c r="X162">
        <v>24.3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1</v>
      </c>
      <c r="AE162">
        <v>1</v>
      </c>
      <c r="AF162" t="s">
        <v>5</v>
      </c>
      <c r="AG162">
        <v>24.3</v>
      </c>
      <c r="AH162">
        <v>2</v>
      </c>
      <c r="AI162">
        <v>44170486</v>
      </c>
      <c r="AJ162">
        <v>162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</row>
    <row r="163" spans="1:44" x14ac:dyDescent="0.2">
      <c r="A163">
        <f>ROW(Source!A81)</f>
        <v>81</v>
      </c>
      <c r="B163">
        <v>44170492</v>
      </c>
      <c r="C163">
        <v>44170485</v>
      </c>
      <c r="D163">
        <v>35064878</v>
      </c>
      <c r="E163">
        <v>1</v>
      </c>
      <c r="F163">
        <v>1</v>
      </c>
      <c r="G163">
        <v>34959076</v>
      </c>
      <c r="H163">
        <v>2</v>
      </c>
      <c r="I163" t="s">
        <v>372</v>
      </c>
      <c r="J163" t="s">
        <v>373</v>
      </c>
      <c r="K163" t="s">
        <v>374</v>
      </c>
      <c r="L163">
        <v>1367</v>
      </c>
      <c r="N163">
        <v>1011</v>
      </c>
      <c r="O163" t="s">
        <v>347</v>
      </c>
      <c r="P163" t="s">
        <v>347</v>
      </c>
      <c r="Q163">
        <v>1</v>
      </c>
      <c r="X163">
        <v>0.47</v>
      </c>
      <c r="Y163">
        <v>0</v>
      </c>
      <c r="Z163">
        <v>140.58000000000001</v>
      </c>
      <c r="AA163">
        <v>28.61</v>
      </c>
      <c r="AB163">
        <v>0</v>
      </c>
      <c r="AC163">
        <v>0</v>
      </c>
      <c r="AD163">
        <v>1</v>
      </c>
      <c r="AE163">
        <v>0</v>
      </c>
      <c r="AF163" t="s">
        <v>5</v>
      </c>
      <c r="AG163">
        <v>0.47</v>
      </c>
      <c r="AH163">
        <v>2</v>
      </c>
      <c r="AI163">
        <v>44170487</v>
      </c>
      <c r="AJ163">
        <v>163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</row>
    <row r="164" spans="1:44" x14ac:dyDescent="0.2">
      <c r="A164">
        <f>ROW(Source!A81)</f>
        <v>81</v>
      </c>
      <c r="B164">
        <v>44170493</v>
      </c>
      <c r="C164">
        <v>44170485</v>
      </c>
      <c r="D164">
        <v>35064863</v>
      </c>
      <c r="E164">
        <v>1</v>
      </c>
      <c r="F164">
        <v>1</v>
      </c>
      <c r="G164">
        <v>34959076</v>
      </c>
      <c r="H164">
        <v>2</v>
      </c>
      <c r="I164" t="s">
        <v>403</v>
      </c>
      <c r="J164" t="s">
        <v>404</v>
      </c>
      <c r="K164" t="s">
        <v>405</v>
      </c>
      <c r="L164">
        <v>1367</v>
      </c>
      <c r="N164">
        <v>1011</v>
      </c>
      <c r="O164" t="s">
        <v>347</v>
      </c>
      <c r="P164" t="s">
        <v>347</v>
      </c>
      <c r="Q164">
        <v>1</v>
      </c>
      <c r="X164">
        <v>1.3</v>
      </c>
      <c r="Y164">
        <v>0</v>
      </c>
      <c r="Z164">
        <v>84.82</v>
      </c>
      <c r="AA164">
        <v>22.85</v>
      </c>
      <c r="AB164">
        <v>0</v>
      </c>
      <c r="AC164">
        <v>0</v>
      </c>
      <c r="AD164">
        <v>1</v>
      </c>
      <c r="AE164">
        <v>0</v>
      </c>
      <c r="AF164" t="s">
        <v>5</v>
      </c>
      <c r="AG164">
        <v>1.3</v>
      </c>
      <c r="AH164">
        <v>2</v>
      </c>
      <c r="AI164">
        <v>44170488</v>
      </c>
      <c r="AJ164">
        <v>164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</row>
    <row r="165" spans="1:44" x14ac:dyDescent="0.2">
      <c r="A165">
        <f>ROW(Source!A81)</f>
        <v>81</v>
      </c>
      <c r="B165">
        <v>44170494</v>
      </c>
      <c r="C165">
        <v>44170485</v>
      </c>
      <c r="D165">
        <v>35043897</v>
      </c>
      <c r="E165">
        <v>1</v>
      </c>
      <c r="F165">
        <v>1</v>
      </c>
      <c r="G165">
        <v>34959076</v>
      </c>
      <c r="H165">
        <v>3</v>
      </c>
      <c r="I165" t="s">
        <v>378</v>
      </c>
      <c r="J165" t="s">
        <v>451</v>
      </c>
      <c r="K165" t="s">
        <v>452</v>
      </c>
      <c r="L165">
        <v>1339</v>
      </c>
      <c r="N165">
        <v>1007</v>
      </c>
      <c r="O165" t="s">
        <v>59</v>
      </c>
      <c r="P165" t="s">
        <v>59</v>
      </c>
      <c r="Q165">
        <v>1</v>
      </c>
      <c r="X165">
        <v>2</v>
      </c>
      <c r="Y165">
        <v>7.07</v>
      </c>
      <c r="Z165">
        <v>0</v>
      </c>
      <c r="AA165">
        <v>0</v>
      </c>
      <c r="AB165">
        <v>0</v>
      </c>
      <c r="AC165">
        <v>0</v>
      </c>
      <c r="AD165">
        <v>1</v>
      </c>
      <c r="AE165">
        <v>0</v>
      </c>
      <c r="AF165" t="s">
        <v>5</v>
      </c>
      <c r="AG165">
        <v>2</v>
      </c>
      <c r="AH165">
        <v>2</v>
      </c>
      <c r="AI165">
        <v>44170489</v>
      </c>
      <c r="AJ165">
        <v>165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</row>
    <row r="166" spans="1:44" x14ac:dyDescent="0.2">
      <c r="A166">
        <f>ROW(Source!A81)</f>
        <v>81</v>
      </c>
      <c r="B166">
        <v>44170495</v>
      </c>
      <c r="C166">
        <v>44170485</v>
      </c>
      <c r="D166">
        <v>34990107</v>
      </c>
      <c r="E166">
        <v>34959076</v>
      </c>
      <c r="F166">
        <v>1</v>
      </c>
      <c r="G166">
        <v>34959076</v>
      </c>
      <c r="H166">
        <v>3</v>
      </c>
      <c r="I166" t="s">
        <v>468</v>
      </c>
      <c r="J166" t="s">
        <v>5</v>
      </c>
      <c r="K166" t="s">
        <v>469</v>
      </c>
      <c r="L166">
        <v>1339</v>
      </c>
      <c r="N166">
        <v>1007</v>
      </c>
      <c r="O166" t="s">
        <v>59</v>
      </c>
      <c r="P166" t="s">
        <v>59</v>
      </c>
      <c r="Q166">
        <v>1</v>
      </c>
      <c r="X166">
        <v>17.399999999999999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 t="s">
        <v>5</v>
      </c>
      <c r="AG166">
        <v>17.399999999999999</v>
      </c>
      <c r="AH166">
        <v>3</v>
      </c>
      <c r="AI166">
        <v>-1</v>
      </c>
      <c r="AJ166" t="s">
        <v>5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</row>
    <row r="167" spans="1:44" x14ac:dyDescent="0.2">
      <c r="A167">
        <f>ROW(Source!A84)</f>
        <v>84</v>
      </c>
      <c r="B167">
        <v>44170504</v>
      </c>
      <c r="C167">
        <v>44170498</v>
      </c>
      <c r="D167">
        <v>34984826</v>
      </c>
      <c r="E167">
        <v>34959076</v>
      </c>
      <c r="F167">
        <v>1</v>
      </c>
      <c r="G167">
        <v>34959076</v>
      </c>
      <c r="H167">
        <v>1</v>
      </c>
      <c r="I167" t="s">
        <v>341</v>
      </c>
      <c r="J167" t="s">
        <v>5</v>
      </c>
      <c r="K167" t="s">
        <v>342</v>
      </c>
      <c r="L167">
        <v>1191</v>
      </c>
      <c r="N167">
        <v>1013</v>
      </c>
      <c r="O167" t="s">
        <v>343</v>
      </c>
      <c r="P167" t="s">
        <v>343</v>
      </c>
      <c r="Q167">
        <v>1</v>
      </c>
      <c r="X167">
        <v>122.1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1</v>
      </c>
      <c r="AE167">
        <v>1</v>
      </c>
      <c r="AF167" t="s">
        <v>5</v>
      </c>
      <c r="AG167">
        <v>122.1</v>
      </c>
      <c r="AH167">
        <v>2</v>
      </c>
      <c r="AI167">
        <v>44170499</v>
      </c>
      <c r="AJ167">
        <v>167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</row>
    <row r="168" spans="1:44" x14ac:dyDescent="0.2">
      <c r="A168">
        <f>ROW(Source!A84)</f>
        <v>84</v>
      </c>
      <c r="B168">
        <v>44170505</v>
      </c>
      <c r="C168">
        <v>44170498</v>
      </c>
      <c r="D168">
        <v>35043338</v>
      </c>
      <c r="E168">
        <v>1</v>
      </c>
      <c r="F168">
        <v>1</v>
      </c>
      <c r="G168">
        <v>34959076</v>
      </c>
      <c r="H168">
        <v>3</v>
      </c>
      <c r="I168" t="s">
        <v>57</v>
      </c>
      <c r="J168" t="s">
        <v>60</v>
      </c>
      <c r="K168" t="s">
        <v>58</v>
      </c>
      <c r="L168">
        <v>1339</v>
      </c>
      <c r="N168">
        <v>1007</v>
      </c>
      <c r="O168" t="s">
        <v>59</v>
      </c>
      <c r="P168" t="s">
        <v>59</v>
      </c>
      <c r="Q168">
        <v>1</v>
      </c>
      <c r="X168">
        <v>4</v>
      </c>
      <c r="Y168">
        <v>104.99</v>
      </c>
      <c r="Z168">
        <v>0</v>
      </c>
      <c r="AA168">
        <v>0</v>
      </c>
      <c r="AB168">
        <v>0</v>
      </c>
      <c r="AC168">
        <v>0</v>
      </c>
      <c r="AD168">
        <v>1</v>
      </c>
      <c r="AE168">
        <v>0</v>
      </c>
      <c r="AF168" t="s">
        <v>5</v>
      </c>
      <c r="AG168">
        <v>4</v>
      </c>
      <c r="AH168">
        <v>3</v>
      </c>
      <c r="AI168">
        <v>-1</v>
      </c>
      <c r="AJ168" t="s">
        <v>5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</row>
    <row r="169" spans="1:44" x14ac:dyDescent="0.2">
      <c r="A169">
        <f>ROW(Source!A87)</f>
        <v>87</v>
      </c>
      <c r="B169">
        <v>44170517</v>
      </c>
      <c r="C169">
        <v>44170508</v>
      </c>
      <c r="D169">
        <v>34984826</v>
      </c>
      <c r="E169">
        <v>34959076</v>
      </c>
      <c r="F169">
        <v>1</v>
      </c>
      <c r="G169">
        <v>34959076</v>
      </c>
      <c r="H169">
        <v>1</v>
      </c>
      <c r="I169" t="s">
        <v>341</v>
      </c>
      <c r="J169" t="s">
        <v>5</v>
      </c>
      <c r="K169" t="s">
        <v>342</v>
      </c>
      <c r="L169">
        <v>1191</v>
      </c>
      <c r="N169">
        <v>1013</v>
      </c>
      <c r="O169" t="s">
        <v>343</v>
      </c>
      <c r="P169" t="s">
        <v>343</v>
      </c>
      <c r="Q169">
        <v>1</v>
      </c>
      <c r="X169">
        <v>11.7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1</v>
      </c>
      <c r="AE169">
        <v>1</v>
      </c>
      <c r="AF169" t="s">
        <v>5</v>
      </c>
      <c r="AG169">
        <v>11.7</v>
      </c>
      <c r="AH169">
        <v>2</v>
      </c>
      <c r="AI169">
        <v>44170509</v>
      </c>
      <c r="AJ169">
        <v>170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</row>
    <row r="170" spans="1:44" x14ac:dyDescent="0.2">
      <c r="A170">
        <f>ROW(Source!A87)</f>
        <v>87</v>
      </c>
      <c r="B170">
        <v>44170518</v>
      </c>
      <c r="C170">
        <v>44170508</v>
      </c>
      <c r="D170">
        <v>35064650</v>
      </c>
      <c r="E170">
        <v>1</v>
      </c>
      <c r="F170">
        <v>1</v>
      </c>
      <c r="G170">
        <v>34959076</v>
      </c>
      <c r="H170">
        <v>2</v>
      </c>
      <c r="I170" t="s">
        <v>366</v>
      </c>
      <c r="J170" t="s">
        <v>367</v>
      </c>
      <c r="K170" t="s">
        <v>368</v>
      </c>
      <c r="L170">
        <v>1367</v>
      </c>
      <c r="N170">
        <v>1011</v>
      </c>
      <c r="O170" t="s">
        <v>347</v>
      </c>
      <c r="P170" t="s">
        <v>347</v>
      </c>
      <c r="Q170">
        <v>1</v>
      </c>
      <c r="X170">
        <v>1.26</v>
      </c>
      <c r="Y170">
        <v>0</v>
      </c>
      <c r="Z170">
        <v>116.89</v>
      </c>
      <c r="AA170">
        <v>23.41</v>
      </c>
      <c r="AB170">
        <v>0</v>
      </c>
      <c r="AC170">
        <v>0</v>
      </c>
      <c r="AD170">
        <v>1</v>
      </c>
      <c r="AE170">
        <v>0</v>
      </c>
      <c r="AF170" t="s">
        <v>5</v>
      </c>
      <c r="AG170">
        <v>1.26</v>
      </c>
      <c r="AH170">
        <v>2</v>
      </c>
      <c r="AI170">
        <v>44170510</v>
      </c>
      <c r="AJ170">
        <v>171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</row>
    <row r="171" spans="1:44" x14ac:dyDescent="0.2">
      <c r="A171">
        <f>ROW(Source!A87)</f>
        <v>87</v>
      </c>
      <c r="B171">
        <v>44170519</v>
      </c>
      <c r="C171">
        <v>44170508</v>
      </c>
      <c r="D171">
        <v>35064906</v>
      </c>
      <c r="E171">
        <v>1</v>
      </c>
      <c r="F171">
        <v>1</v>
      </c>
      <c r="G171">
        <v>34959076</v>
      </c>
      <c r="H171">
        <v>2</v>
      </c>
      <c r="I171" t="s">
        <v>351</v>
      </c>
      <c r="J171" t="s">
        <v>352</v>
      </c>
      <c r="K171" t="s">
        <v>353</v>
      </c>
      <c r="L171">
        <v>1367</v>
      </c>
      <c r="N171">
        <v>1011</v>
      </c>
      <c r="O171" t="s">
        <v>347</v>
      </c>
      <c r="P171" t="s">
        <v>347</v>
      </c>
      <c r="Q171">
        <v>1</v>
      </c>
      <c r="X171">
        <v>1.7</v>
      </c>
      <c r="Y171">
        <v>0</v>
      </c>
      <c r="Z171">
        <v>125.13</v>
      </c>
      <c r="AA171">
        <v>24.74</v>
      </c>
      <c r="AB171">
        <v>0</v>
      </c>
      <c r="AC171">
        <v>0</v>
      </c>
      <c r="AD171">
        <v>1</v>
      </c>
      <c r="AE171">
        <v>0</v>
      </c>
      <c r="AF171" t="s">
        <v>5</v>
      </c>
      <c r="AG171">
        <v>1.7</v>
      </c>
      <c r="AH171">
        <v>2</v>
      </c>
      <c r="AI171">
        <v>44170511</v>
      </c>
      <c r="AJ171">
        <v>172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</row>
    <row r="172" spans="1:44" x14ac:dyDescent="0.2">
      <c r="A172">
        <f>ROW(Source!A87)</f>
        <v>87</v>
      </c>
      <c r="B172">
        <v>44170520</v>
      </c>
      <c r="C172">
        <v>44170508</v>
      </c>
      <c r="D172">
        <v>34984824</v>
      </c>
      <c r="E172">
        <v>34959076</v>
      </c>
      <c r="F172">
        <v>1</v>
      </c>
      <c r="G172">
        <v>34959076</v>
      </c>
      <c r="H172">
        <v>2</v>
      </c>
      <c r="I172" t="s">
        <v>354</v>
      </c>
      <c r="J172" t="s">
        <v>5</v>
      </c>
      <c r="K172" t="s">
        <v>355</v>
      </c>
      <c r="L172">
        <v>1344</v>
      </c>
      <c r="N172">
        <v>1008</v>
      </c>
      <c r="O172" t="s">
        <v>356</v>
      </c>
      <c r="P172" t="s">
        <v>356</v>
      </c>
      <c r="Q172">
        <v>1</v>
      </c>
      <c r="X172">
        <v>42.43</v>
      </c>
      <c r="Y172">
        <v>0</v>
      </c>
      <c r="Z172">
        <v>1</v>
      </c>
      <c r="AA172">
        <v>0</v>
      </c>
      <c r="AB172">
        <v>0</v>
      </c>
      <c r="AC172">
        <v>0</v>
      </c>
      <c r="AD172">
        <v>1</v>
      </c>
      <c r="AE172">
        <v>0</v>
      </c>
      <c r="AF172" t="s">
        <v>5</v>
      </c>
      <c r="AG172">
        <v>42.43</v>
      </c>
      <c r="AH172">
        <v>2</v>
      </c>
      <c r="AI172">
        <v>44170512</v>
      </c>
      <c r="AJ172">
        <v>173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</row>
    <row r="173" spans="1:44" x14ac:dyDescent="0.2">
      <c r="A173">
        <f>ROW(Source!A88)</f>
        <v>88</v>
      </c>
      <c r="B173">
        <v>44170524</v>
      </c>
      <c r="C173">
        <v>44170521</v>
      </c>
      <c r="D173">
        <v>34984824</v>
      </c>
      <c r="E173">
        <v>34959076</v>
      </c>
      <c r="F173">
        <v>1</v>
      </c>
      <c r="G173">
        <v>34959076</v>
      </c>
      <c r="H173">
        <v>2</v>
      </c>
      <c r="I173" t="s">
        <v>354</v>
      </c>
      <c r="J173" t="s">
        <v>5</v>
      </c>
      <c r="K173" t="s">
        <v>355</v>
      </c>
      <c r="L173">
        <v>1344</v>
      </c>
      <c r="N173">
        <v>1008</v>
      </c>
      <c r="O173" t="s">
        <v>356</v>
      </c>
      <c r="P173" t="s">
        <v>356</v>
      </c>
      <c r="Q173">
        <v>1</v>
      </c>
      <c r="X173">
        <v>8.86</v>
      </c>
      <c r="Y173">
        <v>0</v>
      </c>
      <c r="Z173">
        <v>1</v>
      </c>
      <c r="AA173">
        <v>0</v>
      </c>
      <c r="AB173">
        <v>0</v>
      </c>
      <c r="AC173">
        <v>0</v>
      </c>
      <c r="AD173">
        <v>1</v>
      </c>
      <c r="AE173">
        <v>0</v>
      </c>
      <c r="AF173" t="s">
        <v>5</v>
      </c>
      <c r="AG173">
        <v>8.86</v>
      </c>
      <c r="AH173">
        <v>2</v>
      </c>
      <c r="AI173">
        <v>44170522</v>
      </c>
      <c r="AJ173">
        <v>174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</row>
    <row r="174" spans="1:44" x14ac:dyDescent="0.2">
      <c r="A174">
        <f>ROW(Source!A89)</f>
        <v>89</v>
      </c>
      <c r="B174">
        <v>44170542</v>
      </c>
      <c r="C174">
        <v>44170525</v>
      </c>
      <c r="D174">
        <v>34984826</v>
      </c>
      <c r="E174">
        <v>34959076</v>
      </c>
      <c r="F174">
        <v>1</v>
      </c>
      <c r="G174">
        <v>34959076</v>
      </c>
      <c r="H174">
        <v>1</v>
      </c>
      <c r="I174" t="s">
        <v>341</v>
      </c>
      <c r="J174" t="s">
        <v>5</v>
      </c>
      <c r="K174" t="s">
        <v>342</v>
      </c>
      <c r="L174">
        <v>1191</v>
      </c>
      <c r="N174">
        <v>1013</v>
      </c>
      <c r="O174" t="s">
        <v>343</v>
      </c>
      <c r="P174" t="s">
        <v>343</v>
      </c>
      <c r="Q174">
        <v>1</v>
      </c>
      <c r="X174">
        <v>14.4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1</v>
      </c>
      <c r="AE174">
        <v>1</v>
      </c>
      <c r="AF174" t="s">
        <v>5</v>
      </c>
      <c r="AG174">
        <v>14.4</v>
      </c>
      <c r="AH174">
        <v>2</v>
      </c>
      <c r="AI174">
        <v>44170526</v>
      </c>
      <c r="AJ174">
        <v>175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</row>
    <row r="175" spans="1:44" x14ac:dyDescent="0.2">
      <c r="A175">
        <f>ROW(Source!A89)</f>
        <v>89</v>
      </c>
      <c r="B175">
        <v>44170543</v>
      </c>
      <c r="C175">
        <v>44170525</v>
      </c>
      <c r="D175">
        <v>35064650</v>
      </c>
      <c r="E175">
        <v>1</v>
      </c>
      <c r="F175">
        <v>1</v>
      </c>
      <c r="G175">
        <v>34959076</v>
      </c>
      <c r="H175">
        <v>2</v>
      </c>
      <c r="I175" t="s">
        <v>366</v>
      </c>
      <c r="J175" t="s">
        <v>367</v>
      </c>
      <c r="K175" t="s">
        <v>368</v>
      </c>
      <c r="L175">
        <v>1367</v>
      </c>
      <c r="N175">
        <v>1011</v>
      </c>
      <c r="O175" t="s">
        <v>347</v>
      </c>
      <c r="P175" t="s">
        <v>347</v>
      </c>
      <c r="Q175">
        <v>1</v>
      </c>
      <c r="X175">
        <v>1.66</v>
      </c>
      <c r="Y175">
        <v>0</v>
      </c>
      <c r="Z175">
        <v>116.89</v>
      </c>
      <c r="AA175">
        <v>23.41</v>
      </c>
      <c r="AB175">
        <v>0</v>
      </c>
      <c r="AC175">
        <v>0</v>
      </c>
      <c r="AD175">
        <v>1</v>
      </c>
      <c r="AE175">
        <v>0</v>
      </c>
      <c r="AF175" t="s">
        <v>5</v>
      </c>
      <c r="AG175">
        <v>1.66</v>
      </c>
      <c r="AH175">
        <v>2</v>
      </c>
      <c r="AI175">
        <v>44170527</v>
      </c>
      <c r="AJ175">
        <v>176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</row>
    <row r="176" spans="1:44" x14ac:dyDescent="0.2">
      <c r="A176">
        <f>ROW(Source!A89)</f>
        <v>89</v>
      </c>
      <c r="B176">
        <v>44170544</v>
      </c>
      <c r="C176">
        <v>44170525</v>
      </c>
      <c r="D176">
        <v>35064875</v>
      </c>
      <c r="E176">
        <v>1</v>
      </c>
      <c r="F176">
        <v>1</v>
      </c>
      <c r="G176">
        <v>34959076</v>
      </c>
      <c r="H176">
        <v>2</v>
      </c>
      <c r="I176" t="s">
        <v>369</v>
      </c>
      <c r="J176" t="s">
        <v>370</v>
      </c>
      <c r="K176" t="s">
        <v>371</v>
      </c>
      <c r="L176">
        <v>1367</v>
      </c>
      <c r="N176">
        <v>1011</v>
      </c>
      <c r="O176" t="s">
        <v>347</v>
      </c>
      <c r="P176" t="s">
        <v>347</v>
      </c>
      <c r="Q176">
        <v>1</v>
      </c>
      <c r="X176">
        <v>1.66</v>
      </c>
      <c r="Y176">
        <v>0</v>
      </c>
      <c r="Z176">
        <v>62.97</v>
      </c>
      <c r="AA176">
        <v>6.64</v>
      </c>
      <c r="AB176">
        <v>0</v>
      </c>
      <c r="AC176">
        <v>0</v>
      </c>
      <c r="AD176">
        <v>1</v>
      </c>
      <c r="AE176">
        <v>0</v>
      </c>
      <c r="AF176" t="s">
        <v>5</v>
      </c>
      <c r="AG176">
        <v>1.66</v>
      </c>
      <c r="AH176">
        <v>2</v>
      </c>
      <c r="AI176">
        <v>44170528</v>
      </c>
      <c r="AJ176">
        <v>177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</row>
    <row r="177" spans="1:44" x14ac:dyDescent="0.2">
      <c r="A177">
        <f>ROW(Source!A89)</f>
        <v>89</v>
      </c>
      <c r="B177">
        <v>44170545</v>
      </c>
      <c r="C177">
        <v>44170525</v>
      </c>
      <c r="D177">
        <v>35064878</v>
      </c>
      <c r="E177">
        <v>1</v>
      </c>
      <c r="F177">
        <v>1</v>
      </c>
      <c r="G177">
        <v>34959076</v>
      </c>
      <c r="H177">
        <v>2</v>
      </c>
      <c r="I177" t="s">
        <v>372</v>
      </c>
      <c r="J177" t="s">
        <v>373</v>
      </c>
      <c r="K177" t="s">
        <v>374</v>
      </c>
      <c r="L177">
        <v>1367</v>
      </c>
      <c r="N177">
        <v>1011</v>
      </c>
      <c r="O177" t="s">
        <v>347</v>
      </c>
      <c r="P177" t="s">
        <v>347</v>
      </c>
      <c r="Q177">
        <v>1</v>
      </c>
      <c r="X177">
        <v>0.65</v>
      </c>
      <c r="Y177">
        <v>0</v>
      </c>
      <c r="Z177">
        <v>140.58000000000001</v>
      </c>
      <c r="AA177">
        <v>28.61</v>
      </c>
      <c r="AB177">
        <v>0</v>
      </c>
      <c r="AC177">
        <v>0</v>
      </c>
      <c r="AD177">
        <v>1</v>
      </c>
      <c r="AE177">
        <v>0</v>
      </c>
      <c r="AF177" t="s">
        <v>5</v>
      </c>
      <c r="AG177">
        <v>0.65</v>
      </c>
      <c r="AH177">
        <v>2</v>
      </c>
      <c r="AI177">
        <v>44170529</v>
      </c>
      <c r="AJ177">
        <v>178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</row>
    <row r="178" spans="1:44" x14ac:dyDescent="0.2">
      <c r="A178">
        <f>ROW(Source!A89)</f>
        <v>89</v>
      </c>
      <c r="B178">
        <v>44170546</v>
      </c>
      <c r="C178">
        <v>44170525</v>
      </c>
      <c r="D178">
        <v>35064906</v>
      </c>
      <c r="E178">
        <v>1</v>
      </c>
      <c r="F178">
        <v>1</v>
      </c>
      <c r="G178">
        <v>34959076</v>
      </c>
      <c r="H178">
        <v>2</v>
      </c>
      <c r="I178" t="s">
        <v>351</v>
      </c>
      <c r="J178" t="s">
        <v>352</v>
      </c>
      <c r="K178" t="s">
        <v>353</v>
      </c>
      <c r="L178">
        <v>1367</v>
      </c>
      <c r="N178">
        <v>1011</v>
      </c>
      <c r="O178" t="s">
        <v>347</v>
      </c>
      <c r="P178" t="s">
        <v>347</v>
      </c>
      <c r="Q178">
        <v>1</v>
      </c>
      <c r="X178">
        <v>1.55</v>
      </c>
      <c r="Y178">
        <v>0</v>
      </c>
      <c r="Z178">
        <v>125.13</v>
      </c>
      <c r="AA178">
        <v>24.74</v>
      </c>
      <c r="AB178">
        <v>0</v>
      </c>
      <c r="AC178">
        <v>0</v>
      </c>
      <c r="AD178">
        <v>1</v>
      </c>
      <c r="AE178">
        <v>0</v>
      </c>
      <c r="AF178" t="s">
        <v>5</v>
      </c>
      <c r="AG178">
        <v>1.55</v>
      </c>
      <c r="AH178">
        <v>2</v>
      </c>
      <c r="AI178">
        <v>44170530</v>
      </c>
      <c r="AJ178">
        <v>179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</row>
    <row r="179" spans="1:44" x14ac:dyDescent="0.2">
      <c r="A179">
        <f>ROW(Source!A89)</f>
        <v>89</v>
      </c>
      <c r="B179">
        <v>44170547</v>
      </c>
      <c r="C179">
        <v>44170525</v>
      </c>
      <c r="D179">
        <v>35064868</v>
      </c>
      <c r="E179">
        <v>1</v>
      </c>
      <c r="F179">
        <v>1</v>
      </c>
      <c r="G179">
        <v>34959076</v>
      </c>
      <c r="H179">
        <v>2</v>
      </c>
      <c r="I179" t="s">
        <v>375</v>
      </c>
      <c r="J179" t="s">
        <v>376</v>
      </c>
      <c r="K179" t="s">
        <v>377</v>
      </c>
      <c r="L179">
        <v>1367</v>
      </c>
      <c r="N179">
        <v>1011</v>
      </c>
      <c r="O179" t="s">
        <v>347</v>
      </c>
      <c r="P179" t="s">
        <v>347</v>
      </c>
      <c r="Q179">
        <v>1</v>
      </c>
      <c r="X179">
        <v>0.52</v>
      </c>
      <c r="Y179">
        <v>0</v>
      </c>
      <c r="Z179">
        <v>178.02</v>
      </c>
      <c r="AA179">
        <v>23.5</v>
      </c>
      <c r="AB179">
        <v>0</v>
      </c>
      <c r="AC179">
        <v>0</v>
      </c>
      <c r="AD179">
        <v>1</v>
      </c>
      <c r="AE179">
        <v>0</v>
      </c>
      <c r="AF179" t="s">
        <v>5</v>
      </c>
      <c r="AG179">
        <v>0.52</v>
      </c>
      <c r="AH179">
        <v>2</v>
      </c>
      <c r="AI179">
        <v>44170531</v>
      </c>
      <c r="AJ179">
        <v>180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</row>
    <row r="180" spans="1:44" x14ac:dyDescent="0.2">
      <c r="A180">
        <f>ROW(Source!A89)</f>
        <v>89</v>
      </c>
      <c r="B180">
        <v>44170548</v>
      </c>
      <c r="C180">
        <v>44170525</v>
      </c>
      <c r="D180">
        <v>35043897</v>
      </c>
      <c r="E180">
        <v>1</v>
      </c>
      <c r="F180">
        <v>1</v>
      </c>
      <c r="G180">
        <v>34959076</v>
      </c>
      <c r="H180">
        <v>3</v>
      </c>
      <c r="I180" t="s">
        <v>378</v>
      </c>
      <c r="J180" t="s">
        <v>451</v>
      </c>
      <c r="K180" t="s">
        <v>452</v>
      </c>
      <c r="L180">
        <v>1339</v>
      </c>
      <c r="N180">
        <v>1007</v>
      </c>
      <c r="O180" t="s">
        <v>59</v>
      </c>
      <c r="P180" t="s">
        <v>59</v>
      </c>
      <c r="Q180">
        <v>1</v>
      </c>
      <c r="X180">
        <v>5</v>
      </c>
      <c r="Y180">
        <v>7.07</v>
      </c>
      <c r="Z180">
        <v>0</v>
      </c>
      <c r="AA180">
        <v>0</v>
      </c>
      <c r="AB180">
        <v>0</v>
      </c>
      <c r="AC180">
        <v>0</v>
      </c>
      <c r="AD180">
        <v>1</v>
      </c>
      <c r="AE180">
        <v>0</v>
      </c>
      <c r="AF180" t="s">
        <v>5</v>
      </c>
      <c r="AG180">
        <v>5</v>
      </c>
      <c r="AH180">
        <v>2</v>
      </c>
      <c r="AI180">
        <v>44170532</v>
      </c>
      <c r="AJ180">
        <v>181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</row>
    <row r="181" spans="1:44" x14ac:dyDescent="0.2">
      <c r="A181">
        <f>ROW(Source!A89)</f>
        <v>89</v>
      </c>
      <c r="B181">
        <v>44170549</v>
      </c>
      <c r="C181">
        <v>44170525</v>
      </c>
      <c r="D181">
        <v>34985963</v>
      </c>
      <c r="E181">
        <v>34959076</v>
      </c>
      <c r="F181">
        <v>1</v>
      </c>
      <c r="G181">
        <v>34959076</v>
      </c>
      <c r="H181">
        <v>3</v>
      </c>
      <c r="I181" t="s">
        <v>456</v>
      </c>
      <c r="J181" t="s">
        <v>5</v>
      </c>
      <c r="K181" t="s">
        <v>457</v>
      </c>
      <c r="L181">
        <v>1339</v>
      </c>
      <c r="N181">
        <v>1007</v>
      </c>
      <c r="O181" t="s">
        <v>59</v>
      </c>
      <c r="P181" t="s">
        <v>59</v>
      </c>
      <c r="Q181">
        <v>1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 t="s">
        <v>5</v>
      </c>
      <c r="AG181">
        <v>0</v>
      </c>
      <c r="AH181">
        <v>3</v>
      </c>
      <c r="AI181">
        <v>-1</v>
      </c>
      <c r="AJ181" t="s">
        <v>5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</row>
    <row r="182" spans="1:44" x14ac:dyDescent="0.2">
      <c r="A182">
        <f>ROW(Source!A91)</f>
        <v>91</v>
      </c>
      <c r="B182">
        <v>44170564</v>
      </c>
      <c r="C182">
        <v>44170551</v>
      </c>
      <c r="D182">
        <v>34984826</v>
      </c>
      <c r="E182">
        <v>34959076</v>
      </c>
      <c r="F182">
        <v>1</v>
      </c>
      <c r="G182">
        <v>34959076</v>
      </c>
      <c r="H182">
        <v>1</v>
      </c>
      <c r="I182" t="s">
        <v>341</v>
      </c>
      <c r="J182" t="s">
        <v>5</v>
      </c>
      <c r="K182" t="s">
        <v>342</v>
      </c>
      <c r="L182">
        <v>1191</v>
      </c>
      <c r="N182">
        <v>1013</v>
      </c>
      <c r="O182" t="s">
        <v>343</v>
      </c>
      <c r="P182" t="s">
        <v>343</v>
      </c>
      <c r="Q182">
        <v>1</v>
      </c>
      <c r="X182">
        <v>49.5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1</v>
      </c>
      <c r="AE182">
        <v>1</v>
      </c>
      <c r="AF182" t="s">
        <v>5</v>
      </c>
      <c r="AG182">
        <v>49.5</v>
      </c>
      <c r="AH182">
        <v>2</v>
      </c>
      <c r="AI182">
        <v>44170552</v>
      </c>
      <c r="AJ182">
        <v>183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</row>
    <row r="183" spans="1:44" x14ac:dyDescent="0.2">
      <c r="A183">
        <f>ROW(Source!A91)</f>
        <v>91</v>
      </c>
      <c r="B183">
        <v>44170565</v>
      </c>
      <c r="C183">
        <v>44170551</v>
      </c>
      <c r="D183">
        <v>35064629</v>
      </c>
      <c r="E183">
        <v>1</v>
      </c>
      <c r="F183">
        <v>1</v>
      </c>
      <c r="G183">
        <v>34959076</v>
      </c>
      <c r="H183">
        <v>2</v>
      </c>
      <c r="I183" t="s">
        <v>357</v>
      </c>
      <c r="J183" t="s">
        <v>358</v>
      </c>
      <c r="K183" t="s">
        <v>359</v>
      </c>
      <c r="L183">
        <v>1367</v>
      </c>
      <c r="N183">
        <v>1011</v>
      </c>
      <c r="O183" t="s">
        <v>347</v>
      </c>
      <c r="P183" t="s">
        <v>347</v>
      </c>
      <c r="Q183">
        <v>1</v>
      </c>
      <c r="X183">
        <v>2.35</v>
      </c>
      <c r="Y183">
        <v>0</v>
      </c>
      <c r="Z183">
        <v>95.06</v>
      </c>
      <c r="AA183">
        <v>22.22</v>
      </c>
      <c r="AB183">
        <v>0</v>
      </c>
      <c r="AC183">
        <v>0</v>
      </c>
      <c r="AD183">
        <v>1</v>
      </c>
      <c r="AE183">
        <v>0</v>
      </c>
      <c r="AF183" t="s">
        <v>5</v>
      </c>
      <c r="AG183">
        <v>2.35</v>
      </c>
      <c r="AH183">
        <v>2</v>
      </c>
      <c r="AI183">
        <v>44170553</v>
      </c>
      <c r="AJ183">
        <v>184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</row>
    <row r="184" spans="1:44" x14ac:dyDescent="0.2">
      <c r="A184">
        <f>ROW(Source!A91)</f>
        <v>91</v>
      </c>
      <c r="B184">
        <v>44170566</v>
      </c>
      <c r="C184">
        <v>44170551</v>
      </c>
      <c r="D184">
        <v>35064878</v>
      </c>
      <c r="E184">
        <v>1</v>
      </c>
      <c r="F184">
        <v>1</v>
      </c>
      <c r="G184">
        <v>34959076</v>
      </c>
      <c r="H184">
        <v>2</v>
      </c>
      <c r="I184" t="s">
        <v>372</v>
      </c>
      <c r="J184" t="s">
        <v>373</v>
      </c>
      <c r="K184" t="s">
        <v>374</v>
      </c>
      <c r="L184">
        <v>1367</v>
      </c>
      <c r="N184">
        <v>1011</v>
      </c>
      <c r="O184" t="s">
        <v>347</v>
      </c>
      <c r="P184" t="s">
        <v>347</v>
      </c>
      <c r="Q184">
        <v>1</v>
      </c>
      <c r="X184">
        <v>2.6</v>
      </c>
      <c r="Y184">
        <v>0</v>
      </c>
      <c r="Z184">
        <v>140.58000000000001</v>
      </c>
      <c r="AA184">
        <v>28.61</v>
      </c>
      <c r="AB184">
        <v>0</v>
      </c>
      <c r="AC184">
        <v>0</v>
      </c>
      <c r="AD184">
        <v>1</v>
      </c>
      <c r="AE184">
        <v>0</v>
      </c>
      <c r="AF184" t="s">
        <v>5</v>
      </c>
      <c r="AG184">
        <v>2.6</v>
      </c>
      <c r="AH184">
        <v>2</v>
      </c>
      <c r="AI184">
        <v>44170554</v>
      </c>
      <c r="AJ184">
        <v>185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</row>
    <row r="185" spans="1:44" x14ac:dyDescent="0.2">
      <c r="A185">
        <f>ROW(Source!A91)</f>
        <v>91</v>
      </c>
      <c r="B185">
        <v>44170567</v>
      </c>
      <c r="C185">
        <v>44170551</v>
      </c>
      <c r="D185">
        <v>35064863</v>
      </c>
      <c r="E185">
        <v>1</v>
      </c>
      <c r="F185">
        <v>1</v>
      </c>
      <c r="G185">
        <v>34959076</v>
      </c>
      <c r="H185">
        <v>2</v>
      </c>
      <c r="I185" t="s">
        <v>403</v>
      </c>
      <c r="J185" t="s">
        <v>404</v>
      </c>
      <c r="K185" t="s">
        <v>405</v>
      </c>
      <c r="L185">
        <v>1367</v>
      </c>
      <c r="N185">
        <v>1011</v>
      </c>
      <c r="O185" t="s">
        <v>347</v>
      </c>
      <c r="P185" t="s">
        <v>347</v>
      </c>
      <c r="Q185">
        <v>1</v>
      </c>
      <c r="X185">
        <v>10.6</v>
      </c>
      <c r="Y185">
        <v>0</v>
      </c>
      <c r="Z185">
        <v>84.82</v>
      </c>
      <c r="AA185">
        <v>22.85</v>
      </c>
      <c r="AB185">
        <v>0</v>
      </c>
      <c r="AC185">
        <v>0</v>
      </c>
      <c r="AD185">
        <v>1</v>
      </c>
      <c r="AE185">
        <v>0</v>
      </c>
      <c r="AF185" t="s">
        <v>5</v>
      </c>
      <c r="AG185">
        <v>10.6</v>
      </c>
      <c r="AH185">
        <v>2</v>
      </c>
      <c r="AI185">
        <v>44170555</v>
      </c>
      <c r="AJ185">
        <v>186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</row>
    <row r="186" spans="1:44" x14ac:dyDescent="0.2">
      <c r="A186">
        <f>ROW(Source!A91)</f>
        <v>91</v>
      </c>
      <c r="B186">
        <v>44170568</v>
      </c>
      <c r="C186">
        <v>44170551</v>
      </c>
      <c r="D186">
        <v>35064880</v>
      </c>
      <c r="E186">
        <v>1</v>
      </c>
      <c r="F186">
        <v>1</v>
      </c>
      <c r="G186">
        <v>34959076</v>
      </c>
      <c r="H186">
        <v>2</v>
      </c>
      <c r="I186" t="s">
        <v>445</v>
      </c>
      <c r="J186" t="s">
        <v>446</v>
      </c>
      <c r="K186" t="s">
        <v>447</v>
      </c>
      <c r="L186">
        <v>1367</v>
      </c>
      <c r="N186">
        <v>1011</v>
      </c>
      <c r="O186" t="s">
        <v>347</v>
      </c>
      <c r="P186" t="s">
        <v>347</v>
      </c>
      <c r="Q186">
        <v>1</v>
      </c>
      <c r="X186">
        <v>1.1000000000000001</v>
      </c>
      <c r="Y186">
        <v>0</v>
      </c>
      <c r="Z186">
        <v>209.51</v>
      </c>
      <c r="AA186">
        <v>37.630000000000003</v>
      </c>
      <c r="AB186">
        <v>0</v>
      </c>
      <c r="AC186">
        <v>0</v>
      </c>
      <c r="AD186">
        <v>1</v>
      </c>
      <c r="AE186">
        <v>0</v>
      </c>
      <c r="AF186" t="s">
        <v>5</v>
      </c>
      <c r="AG186">
        <v>1.1000000000000001</v>
      </c>
      <c r="AH186">
        <v>2</v>
      </c>
      <c r="AI186">
        <v>44170556</v>
      </c>
      <c r="AJ186">
        <v>187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</row>
    <row r="187" spans="1:44" x14ac:dyDescent="0.2">
      <c r="A187">
        <f>ROW(Source!A91)</f>
        <v>91</v>
      </c>
      <c r="B187">
        <v>44170569</v>
      </c>
      <c r="C187">
        <v>44170551</v>
      </c>
      <c r="D187">
        <v>35064864</v>
      </c>
      <c r="E187">
        <v>1</v>
      </c>
      <c r="F187">
        <v>1</v>
      </c>
      <c r="G187">
        <v>34959076</v>
      </c>
      <c r="H187">
        <v>2</v>
      </c>
      <c r="I187" t="s">
        <v>448</v>
      </c>
      <c r="J187" t="s">
        <v>449</v>
      </c>
      <c r="K187" t="s">
        <v>450</v>
      </c>
      <c r="L187">
        <v>1367</v>
      </c>
      <c r="N187">
        <v>1011</v>
      </c>
      <c r="O187" t="s">
        <v>347</v>
      </c>
      <c r="P187" t="s">
        <v>347</v>
      </c>
      <c r="Q187">
        <v>1</v>
      </c>
      <c r="X187">
        <v>26.1</v>
      </c>
      <c r="Y187">
        <v>0</v>
      </c>
      <c r="Z187">
        <v>119.77</v>
      </c>
      <c r="AA187">
        <v>22.85</v>
      </c>
      <c r="AB187">
        <v>0</v>
      </c>
      <c r="AC187">
        <v>0</v>
      </c>
      <c r="AD187">
        <v>1</v>
      </c>
      <c r="AE187">
        <v>0</v>
      </c>
      <c r="AF187" t="s">
        <v>5</v>
      </c>
      <c r="AG187">
        <v>26.1</v>
      </c>
      <c r="AH187">
        <v>2</v>
      </c>
      <c r="AI187">
        <v>44170557</v>
      </c>
      <c r="AJ187">
        <v>188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</row>
    <row r="188" spans="1:44" x14ac:dyDescent="0.2">
      <c r="A188">
        <f>ROW(Source!A91)</f>
        <v>91</v>
      </c>
      <c r="B188">
        <v>44170570</v>
      </c>
      <c r="C188">
        <v>44170551</v>
      </c>
      <c r="D188">
        <v>35064906</v>
      </c>
      <c r="E188">
        <v>1</v>
      </c>
      <c r="F188">
        <v>1</v>
      </c>
      <c r="G188">
        <v>34959076</v>
      </c>
      <c r="H188">
        <v>2</v>
      </c>
      <c r="I188" t="s">
        <v>351</v>
      </c>
      <c r="J188" t="s">
        <v>352</v>
      </c>
      <c r="K188" t="s">
        <v>353</v>
      </c>
      <c r="L188">
        <v>1367</v>
      </c>
      <c r="N188">
        <v>1011</v>
      </c>
      <c r="O188" t="s">
        <v>347</v>
      </c>
      <c r="P188" t="s">
        <v>347</v>
      </c>
      <c r="Q188">
        <v>1</v>
      </c>
      <c r="X188">
        <v>0.36</v>
      </c>
      <c r="Y188">
        <v>0</v>
      </c>
      <c r="Z188">
        <v>125.13</v>
      </c>
      <c r="AA188">
        <v>24.74</v>
      </c>
      <c r="AB188">
        <v>0</v>
      </c>
      <c r="AC188">
        <v>0</v>
      </c>
      <c r="AD188">
        <v>1</v>
      </c>
      <c r="AE188">
        <v>0</v>
      </c>
      <c r="AF188" t="s">
        <v>5</v>
      </c>
      <c r="AG188">
        <v>0.36</v>
      </c>
      <c r="AH188">
        <v>2</v>
      </c>
      <c r="AI188">
        <v>44170558</v>
      </c>
      <c r="AJ188">
        <v>189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</row>
    <row r="189" spans="1:44" x14ac:dyDescent="0.2">
      <c r="A189">
        <f>ROW(Source!A91)</f>
        <v>91</v>
      </c>
      <c r="B189">
        <v>44170571</v>
      </c>
      <c r="C189">
        <v>44170551</v>
      </c>
      <c r="D189">
        <v>34984824</v>
      </c>
      <c r="E189">
        <v>34959076</v>
      </c>
      <c r="F189">
        <v>1</v>
      </c>
      <c r="G189">
        <v>34959076</v>
      </c>
      <c r="H189">
        <v>2</v>
      </c>
      <c r="I189" t="s">
        <v>354</v>
      </c>
      <c r="J189" t="s">
        <v>5</v>
      </c>
      <c r="K189" t="s">
        <v>355</v>
      </c>
      <c r="L189">
        <v>1344</v>
      </c>
      <c r="N189">
        <v>1008</v>
      </c>
      <c r="O189" t="s">
        <v>356</v>
      </c>
      <c r="P189" t="s">
        <v>356</v>
      </c>
      <c r="Q189">
        <v>1</v>
      </c>
      <c r="X189">
        <v>33.5</v>
      </c>
      <c r="Y189">
        <v>0</v>
      </c>
      <c r="Z189">
        <v>1</v>
      </c>
      <c r="AA189">
        <v>0</v>
      </c>
      <c r="AB189">
        <v>0</v>
      </c>
      <c r="AC189">
        <v>0</v>
      </c>
      <c r="AD189">
        <v>1</v>
      </c>
      <c r="AE189">
        <v>0</v>
      </c>
      <c r="AF189" t="s">
        <v>5</v>
      </c>
      <c r="AG189">
        <v>33.5</v>
      </c>
      <c r="AH189">
        <v>2</v>
      </c>
      <c r="AI189">
        <v>44170559</v>
      </c>
      <c r="AJ189">
        <v>190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</row>
    <row r="190" spans="1:44" x14ac:dyDescent="0.2">
      <c r="A190">
        <f>ROW(Source!A91)</f>
        <v>91</v>
      </c>
      <c r="B190">
        <v>44170572</v>
      </c>
      <c r="C190">
        <v>44170551</v>
      </c>
      <c r="D190">
        <v>35043897</v>
      </c>
      <c r="E190">
        <v>1</v>
      </c>
      <c r="F190">
        <v>1</v>
      </c>
      <c r="G190">
        <v>34959076</v>
      </c>
      <c r="H190">
        <v>3</v>
      </c>
      <c r="I190" t="s">
        <v>378</v>
      </c>
      <c r="J190" t="s">
        <v>451</v>
      </c>
      <c r="K190" t="s">
        <v>452</v>
      </c>
      <c r="L190">
        <v>1339</v>
      </c>
      <c r="N190">
        <v>1007</v>
      </c>
      <c r="O190" t="s">
        <v>59</v>
      </c>
      <c r="P190" t="s">
        <v>59</v>
      </c>
      <c r="Q190">
        <v>1</v>
      </c>
      <c r="X190">
        <v>20</v>
      </c>
      <c r="Y190">
        <v>7.07</v>
      </c>
      <c r="Z190">
        <v>0</v>
      </c>
      <c r="AA190">
        <v>0</v>
      </c>
      <c r="AB190">
        <v>0</v>
      </c>
      <c r="AC190">
        <v>0</v>
      </c>
      <c r="AD190">
        <v>1</v>
      </c>
      <c r="AE190">
        <v>0</v>
      </c>
      <c r="AF190" t="s">
        <v>5</v>
      </c>
      <c r="AG190">
        <v>20</v>
      </c>
      <c r="AH190">
        <v>2</v>
      </c>
      <c r="AI190">
        <v>44170560</v>
      </c>
      <c r="AJ190">
        <v>191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</row>
    <row r="191" spans="1:44" x14ac:dyDescent="0.2">
      <c r="A191">
        <f>ROW(Source!A91)</f>
        <v>91</v>
      </c>
      <c r="B191">
        <v>44170573</v>
      </c>
      <c r="C191">
        <v>44170551</v>
      </c>
      <c r="D191">
        <v>34985399</v>
      </c>
      <c r="E191">
        <v>34959076</v>
      </c>
      <c r="F191">
        <v>1</v>
      </c>
      <c r="G191">
        <v>34959076</v>
      </c>
      <c r="H191">
        <v>3</v>
      </c>
      <c r="I191" t="s">
        <v>483</v>
      </c>
      <c r="J191" t="s">
        <v>5</v>
      </c>
      <c r="K191" t="s">
        <v>484</v>
      </c>
      <c r="L191">
        <v>1339</v>
      </c>
      <c r="N191">
        <v>1007</v>
      </c>
      <c r="O191" t="s">
        <v>59</v>
      </c>
      <c r="P191" t="s">
        <v>59</v>
      </c>
      <c r="Q191">
        <v>1</v>
      </c>
      <c r="X191">
        <v>189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 t="s">
        <v>5</v>
      </c>
      <c r="AG191">
        <v>189</v>
      </c>
      <c r="AH191">
        <v>3</v>
      </c>
      <c r="AI191">
        <v>-1</v>
      </c>
      <c r="AJ191" t="s">
        <v>5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0</v>
      </c>
      <c r="AR191">
        <v>0</v>
      </c>
    </row>
    <row r="192" spans="1:44" x14ac:dyDescent="0.2">
      <c r="A192">
        <f>ROW(Source!A91)</f>
        <v>91</v>
      </c>
      <c r="B192">
        <v>44170574</v>
      </c>
      <c r="C192">
        <v>44170551</v>
      </c>
      <c r="D192">
        <v>34985399</v>
      </c>
      <c r="E192">
        <v>34959076</v>
      </c>
      <c r="F192">
        <v>1</v>
      </c>
      <c r="G192">
        <v>34959076</v>
      </c>
      <c r="H192">
        <v>3</v>
      </c>
      <c r="I192" t="s">
        <v>483</v>
      </c>
      <c r="J192" t="s">
        <v>5</v>
      </c>
      <c r="K192" t="s">
        <v>485</v>
      </c>
      <c r="L192">
        <v>1339</v>
      </c>
      <c r="N192">
        <v>1007</v>
      </c>
      <c r="O192" t="s">
        <v>59</v>
      </c>
      <c r="P192" t="s">
        <v>59</v>
      </c>
      <c r="Q192">
        <v>1</v>
      </c>
      <c r="X192">
        <v>15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 t="s">
        <v>5</v>
      </c>
      <c r="AG192">
        <v>15</v>
      </c>
      <c r="AH192">
        <v>3</v>
      </c>
      <c r="AI192">
        <v>-1</v>
      </c>
      <c r="AJ192" t="s">
        <v>5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</row>
    <row r="193" spans="1:44" x14ac:dyDescent="0.2">
      <c r="A193">
        <f>ROW(Source!A91)</f>
        <v>91</v>
      </c>
      <c r="B193">
        <v>44170575</v>
      </c>
      <c r="C193">
        <v>44170551</v>
      </c>
      <c r="D193">
        <v>34985399</v>
      </c>
      <c r="E193">
        <v>34959076</v>
      </c>
      <c r="F193">
        <v>1</v>
      </c>
      <c r="G193">
        <v>34959076</v>
      </c>
      <c r="H193">
        <v>3</v>
      </c>
      <c r="I193" t="s">
        <v>483</v>
      </c>
      <c r="J193" t="s">
        <v>5</v>
      </c>
      <c r="K193" t="s">
        <v>486</v>
      </c>
      <c r="L193">
        <v>1339</v>
      </c>
      <c r="N193">
        <v>1007</v>
      </c>
      <c r="O193" t="s">
        <v>59</v>
      </c>
      <c r="P193" t="s">
        <v>59</v>
      </c>
      <c r="Q193">
        <v>1</v>
      </c>
      <c r="X193">
        <v>10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 t="s">
        <v>5</v>
      </c>
      <c r="AG193">
        <v>10</v>
      </c>
      <c r="AH193">
        <v>3</v>
      </c>
      <c r="AI193">
        <v>-1</v>
      </c>
      <c r="AJ193" t="s">
        <v>5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</v>
      </c>
    </row>
    <row r="194" spans="1:44" x14ac:dyDescent="0.2">
      <c r="A194">
        <f>ROW(Source!A95)</f>
        <v>95</v>
      </c>
      <c r="B194">
        <v>44170590</v>
      </c>
      <c r="C194">
        <v>44170579</v>
      </c>
      <c r="D194">
        <v>34984826</v>
      </c>
      <c r="E194">
        <v>34959076</v>
      </c>
      <c r="F194">
        <v>1</v>
      </c>
      <c r="G194">
        <v>34959076</v>
      </c>
      <c r="H194">
        <v>1</v>
      </c>
      <c r="I194" t="s">
        <v>341</v>
      </c>
      <c r="J194" t="s">
        <v>5</v>
      </c>
      <c r="K194" t="s">
        <v>342</v>
      </c>
      <c r="L194">
        <v>1191</v>
      </c>
      <c r="N194">
        <v>1013</v>
      </c>
      <c r="O194" t="s">
        <v>343</v>
      </c>
      <c r="P194" t="s">
        <v>343</v>
      </c>
      <c r="Q194">
        <v>1</v>
      </c>
      <c r="X194">
        <v>24.3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1</v>
      </c>
      <c r="AE194">
        <v>1</v>
      </c>
      <c r="AF194" t="s">
        <v>5</v>
      </c>
      <c r="AG194">
        <v>24.3</v>
      </c>
      <c r="AH194">
        <v>2</v>
      </c>
      <c r="AI194">
        <v>44170580</v>
      </c>
      <c r="AJ194">
        <v>195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</row>
    <row r="195" spans="1:44" x14ac:dyDescent="0.2">
      <c r="A195">
        <f>ROW(Source!A95)</f>
        <v>95</v>
      </c>
      <c r="B195">
        <v>44170591</v>
      </c>
      <c r="C195">
        <v>44170579</v>
      </c>
      <c r="D195">
        <v>35064878</v>
      </c>
      <c r="E195">
        <v>1</v>
      </c>
      <c r="F195">
        <v>1</v>
      </c>
      <c r="G195">
        <v>34959076</v>
      </c>
      <c r="H195">
        <v>2</v>
      </c>
      <c r="I195" t="s">
        <v>372</v>
      </c>
      <c r="J195" t="s">
        <v>373</v>
      </c>
      <c r="K195" t="s">
        <v>374</v>
      </c>
      <c r="L195">
        <v>1367</v>
      </c>
      <c r="N195">
        <v>1011</v>
      </c>
      <c r="O195" t="s">
        <v>347</v>
      </c>
      <c r="P195" t="s">
        <v>347</v>
      </c>
      <c r="Q195">
        <v>1</v>
      </c>
      <c r="X195">
        <v>0.47</v>
      </c>
      <c r="Y195">
        <v>0</v>
      </c>
      <c r="Z195">
        <v>140.58000000000001</v>
      </c>
      <c r="AA195">
        <v>28.61</v>
      </c>
      <c r="AB195">
        <v>0</v>
      </c>
      <c r="AC195">
        <v>0</v>
      </c>
      <c r="AD195">
        <v>1</v>
      </c>
      <c r="AE195">
        <v>0</v>
      </c>
      <c r="AF195" t="s">
        <v>5</v>
      </c>
      <c r="AG195">
        <v>0.47</v>
      </c>
      <c r="AH195">
        <v>2</v>
      </c>
      <c r="AI195">
        <v>44170581</v>
      </c>
      <c r="AJ195">
        <v>196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0</v>
      </c>
      <c r="AR195">
        <v>0</v>
      </c>
    </row>
    <row r="196" spans="1:44" x14ac:dyDescent="0.2">
      <c r="A196">
        <f>ROW(Source!A95)</f>
        <v>95</v>
      </c>
      <c r="B196">
        <v>44170592</v>
      </c>
      <c r="C196">
        <v>44170579</v>
      </c>
      <c r="D196">
        <v>35064863</v>
      </c>
      <c r="E196">
        <v>1</v>
      </c>
      <c r="F196">
        <v>1</v>
      </c>
      <c r="G196">
        <v>34959076</v>
      </c>
      <c r="H196">
        <v>2</v>
      </c>
      <c r="I196" t="s">
        <v>403</v>
      </c>
      <c r="J196" t="s">
        <v>404</v>
      </c>
      <c r="K196" t="s">
        <v>405</v>
      </c>
      <c r="L196">
        <v>1367</v>
      </c>
      <c r="N196">
        <v>1011</v>
      </c>
      <c r="O196" t="s">
        <v>347</v>
      </c>
      <c r="P196" t="s">
        <v>347</v>
      </c>
      <c r="Q196">
        <v>1</v>
      </c>
      <c r="X196">
        <v>1.3</v>
      </c>
      <c r="Y196">
        <v>0</v>
      </c>
      <c r="Z196">
        <v>84.82</v>
      </c>
      <c r="AA196">
        <v>22.85</v>
      </c>
      <c r="AB196">
        <v>0</v>
      </c>
      <c r="AC196">
        <v>0</v>
      </c>
      <c r="AD196">
        <v>1</v>
      </c>
      <c r="AE196">
        <v>0</v>
      </c>
      <c r="AF196" t="s">
        <v>5</v>
      </c>
      <c r="AG196">
        <v>1.3</v>
      </c>
      <c r="AH196">
        <v>2</v>
      </c>
      <c r="AI196">
        <v>44170582</v>
      </c>
      <c r="AJ196">
        <v>197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0</v>
      </c>
      <c r="AR196">
        <v>0</v>
      </c>
    </row>
    <row r="197" spans="1:44" x14ac:dyDescent="0.2">
      <c r="A197">
        <f>ROW(Source!A95)</f>
        <v>95</v>
      </c>
      <c r="B197">
        <v>44170593</v>
      </c>
      <c r="C197">
        <v>44170579</v>
      </c>
      <c r="D197">
        <v>35043897</v>
      </c>
      <c r="E197">
        <v>1</v>
      </c>
      <c r="F197">
        <v>1</v>
      </c>
      <c r="G197">
        <v>34959076</v>
      </c>
      <c r="H197">
        <v>3</v>
      </c>
      <c r="I197" t="s">
        <v>378</v>
      </c>
      <c r="J197" t="s">
        <v>451</v>
      </c>
      <c r="K197" t="s">
        <v>452</v>
      </c>
      <c r="L197">
        <v>1339</v>
      </c>
      <c r="N197">
        <v>1007</v>
      </c>
      <c r="O197" t="s">
        <v>59</v>
      </c>
      <c r="P197" t="s">
        <v>59</v>
      </c>
      <c r="Q197">
        <v>1</v>
      </c>
      <c r="X197">
        <v>2</v>
      </c>
      <c r="Y197">
        <v>7.07</v>
      </c>
      <c r="Z197">
        <v>0</v>
      </c>
      <c r="AA197">
        <v>0</v>
      </c>
      <c r="AB197">
        <v>0</v>
      </c>
      <c r="AC197">
        <v>0</v>
      </c>
      <c r="AD197">
        <v>1</v>
      </c>
      <c r="AE197">
        <v>0</v>
      </c>
      <c r="AF197" t="s">
        <v>5</v>
      </c>
      <c r="AG197">
        <v>2</v>
      </c>
      <c r="AH197">
        <v>2</v>
      </c>
      <c r="AI197">
        <v>44170583</v>
      </c>
      <c r="AJ197">
        <v>198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</row>
    <row r="198" spans="1:44" x14ac:dyDescent="0.2">
      <c r="A198">
        <f>ROW(Source!A95)</f>
        <v>95</v>
      </c>
      <c r="B198">
        <v>44170594</v>
      </c>
      <c r="C198">
        <v>44170579</v>
      </c>
      <c r="D198">
        <v>34990107</v>
      </c>
      <c r="E198">
        <v>34959076</v>
      </c>
      <c r="F198">
        <v>1</v>
      </c>
      <c r="G198">
        <v>34959076</v>
      </c>
      <c r="H198">
        <v>3</v>
      </c>
      <c r="I198" t="s">
        <v>468</v>
      </c>
      <c r="J198" t="s">
        <v>5</v>
      </c>
      <c r="K198" t="s">
        <v>469</v>
      </c>
      <c r="L198">
        <v>1339</v>
      </c>
      <c r="N198">
        <v>1007</v>
      </c>
      <c r="O198" t="s">
        <v>59</v>
      </c>
      <c r="P198" t="s">
        <v>59</v>
      </c>
      <c r="Q198">
        <v>1</v>
      </c>
      <c r="X198">
        <v>17.399999999999999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 t="s">
        <v>5</v>
      </c>
      <c r="AG198">
        <v>17.399999999999999</v>
      </c>
      <c r="AH198">
        <v>3</v>
      </c>
      <c r="AI198">
        <v>-1</v>
      </c>
      <c r="AJ198" t="s">
        <v>5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</row>
    <row r="199" spans="1:44" x14ac:dyDescent="0.2">
      <c r="A199">
        <f>ROW(Source!A98)</f>
        <v>98</v>
      </c>
      <c r="B199">
        <v>44170602</v>
      </c>
      <c r="C199">
        <v>44170597</v>
      </c>
      <c r="D199">
        <v>34984826</v>
      </c>
      <c r="E199">
        <v>34959076</v>
      </c>
      <c r="F199">
        <v>1</v>
      </c>
      <c r="G199">
        <v>34959076</v>
      </c>
      <c r="H199">
        <v>1</v>
      </c>
      <c r="I199" t="s">
        <v>341</v>
      </c>
      <c r="J199" t="s">
        <v>5</v>
      </c>
      <c r="K199" t="s">
        <v>342</v>
      </c>
      <c r="L199">
        <v>1191</v>
      </c>
      <c r="N199">
        <v>1013</v>
      </c>
      <c r="O199" t="s">
        <v>343</v>
      </c>
      <c r="P199" t="s">
        <v>343</v>
      </c>
      <c r="Q199">
        <v>1</v>
      </c>
      <c r="X199">
        <v>26.78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1</v>
      </c>
      <c r="AE199">
        <v>1</v>
      </c>
      <c r="AF199" t="s">
        <v>5</v>
      </c>
      <c r="AG199">
        <v>26.78</v>
      </c>
      <c r="AH199">
        <v>2</v>
      </c>
      <c r="AI199">
        <v>44170598</v>
      </c>
      <c r="AJ199">
        <v>200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0</v>
      </c>
      <c r="AR199">
        <v>0</v>
      </c>
    </row>
    <row r="200" spans="1:44" x14ac:dyDescent="0.2">
      <c r="A200">
        <f>ROW(Source!A98)</f>
        <v>98</v>
      </c>
      <c r="B200">
        <v>44170603</v>
      </c>
      <c r="C200">
        <v>44170597</v>
      </c>
      <c r="D200">
        <v>35064656</v>
      </c>
      <c r="E200">
        <v>1</v>
      </c>
      <c r="F200">
        <v>1</v>
      </c>
      <c r="G200">
        <v>34959076</v>
      </c>
      <c r="H200">
        <v>2</v>
      </c>
      <c r="I200" t="s">
        <v>453</v>
      </c>
      <c r="J200" t="s">
        <v>454</v>
      </c>
      <c r="K200" t="s">
        <v>455</v>
      </c>
      <c r="L200">
        <v>1367</v>
      </c>
      <c r="N200">
        <v>1011</v>
      </c>
      <c r="O200" t="s">
        <v>347</v>
      </c>
      <c r="P200" t="s">
        <v>347</v>
      </c>
      <c r="Q200">
        <v>1</v>
      </c>
      <c r="X200">
        <v>0.05</v>
      </c>
      <c r="Y200">
        <v>0</v>
      </c>
      <c r="Z200">
        <v>97.54</v>
      </c>
      <c r="AA200">
        <v>20.82</v>
      </c>
      <c r="AB200">
        <v>0</v>
      </c>
      <c r="AC200">
        <v>0</v>
      </c>
      <c r="AD200">
        <v>1</v>
      </c>
      <c r="AE200">
        <v>0</v>
      </c>
      <c r="AF200" t="s">
        <v>5</v>
      </c>
      <c r="AG200">
        <v>0.05</v>
      </c>
      <c r="AH200">
        <v>2</v>
      </c>
      <c r="AI200">
        <v>44170599</v>
      </c>
      <c r="AJ200">
        <v>201</v>
      </c>
      <c r="AK200">
        <v>0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0</v>
      </c>
      <c r="AR200">
        <v>0</v>
      </c>
    </row>
    <row r="201" spans="1:44" x14ac:dyDescent="0.2">
      <c r="A201">
        <f>ROW(Source!A98)</f>
        <v>98</v>
      </c>
      <c r="B201">
        <v>44170604</v>
      </c>
      <c r="C201">
        <v>44170597</v>
      </c>
      <c r="D201">
        <v>34984824</v>
      </c>
      <c r="E201">
        <v>34959076</v>
      </c>
      <c r="F201">
        <v>1</v>
      </c>
      <c r="G201">
        <v>34959076</v>
      </c>
      <c r="H201">
        <v>2</v>
      </c>
      <c r="I201" t="s">
        <v>354</v>
      </c>
      <c r="J201" t="s">
        <v>5</v>
      </c>
      <c r="K201" t="s">
        <v>355</v>
      </c>
      <c r="L201">
        <v>1344</v>
      </c>
      <c r="N201">
        <v>1008</v>
      </c>
      <c r="O201" t="s">
        <v>356</v>
      </c>
      <c r="P201" t="s">
        <v>356</v>
      </c>
      <c r="Q201">
        <v>1</v>
      </c>
      <c r="X201">
        <v>0.12</v>
      </c>
      <c r="Y201">
        <v>0</v>
      </c>
      <c r="Z201">
        <v>1</v>
      </c>
      <c r="AA201">
        <v>0</v>
      </c>
      <c r="AB201">
        <v>0</v>
      </c>
      <c r="AC201">
        <v>0</v>
      </c>
      <c r="AD201">
        <v>1</v>
      </c>
      <c r="AE201">
        <v>0</v>
      </c>
      <c r="AF201" t="s">
        <v>5</v>
      </c>
      <c r="AG201">
        <v>0.12</v>
      </c>
      <c r="AH201">
        <v>2</v>
      </c>
      <c r="AI201">
        <v>44170600</v>
      </c>
      <c r="AJ201">
        <v>202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0</v>
      </c>
      <c r="AR201">
        <v>0</v>
      </c>
    </row>
    <row r="202" spans="1:44" x14ac:dyDescent="0.2">
      <c r="A202">
        <f>ROW(Source!A98)</f>
        <v>98</v>
      </c>
      <c r="B202">
        <v>44170605</v>
      </c>
      <c r="C202">
        <v>44170597</v>
      </c>
      <c r="D202">
        <v>34991758</v>
      </c>
      <c r="E202">
        <v>34959076</v>
      </c>
      <c r="F202">
        <v>1</v>
      </c>
      <c r="G202">
        <v>34959076</v>
      </c>
      <c r="H202">
        <v>3</v>
      </c>
      <c r="I202" t="s">
        <v>487</v>
      </c>
      <c r="J202" t="s">
        <v>5</v>
      </c>
      <c r="K202" t="s">
        <v>236</v>
      </c>
      <c r="L202">
        <v>1339</v>
      </c>
      <c r="N202">
        <v>1007</v>
      </c>
      <c r="O202" t="s">
        <v>59</v>
      </c>
      <c r="P202" t="s">
        <v>59</v>
      </c>
      <c r="Q202">
        <v>1</v>
      </c>
      <c r="X202">
        <v>15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 t="s">
        <v>5</v>
      </c>
      <c r="AG202">
        <v>15</v>
      </c>
      <c r="AH202">
        <v>3</v>
      </c>
      <c r="AI202">
        <v>-1</v>
      </c>
      <c r="AJ202" t="s">
        <v>5</v>
      </c>
      <c r="AK202">
        <v>0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</row>
    <row r="203" spans="1:44" x14ac:dyDescent="0.2">
      <c r="A203">
        <f>ROW(Source!A100)</f>
        <v>100</v>
      </c>
      <c r="B203">
        <v>44170612</v>
      </c>
      <c r="C203">
        <v>44170607</v>
      </c>
      <c r="D203">
        <v>34984826</v>
      </c>
      <c r="E203">
        <v>34959076</v>
      </c>
      <c r="F203">
        <v>1</v>
      </c>
      <c r="G203">
        <v>34959076</v>
      </c>
      <c r="H203">
        <v>1</v>
      </c>
      <c r="I203" t="s">
        <v>341</v>
      </c>
      <c r="J203" t="s">
        <v>5</v>
      </c>
      <c r="K203" t="s">
        <v>342</v>
      </c>
      <c r="L203">
        <v>1191</v>
      </c>
      <c r="N203">
        <v>1013</v>
      </c>
      <c r="O203" t="s">
        <v>343</v>
      </c>
      <c r="P203" t="s">
        <v>343</v>
      </c>
      <c r="Q203">
        <v>1</v>
      </c>
      <c r="X203">
        <v>40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1</v>
      </c>
      <c r="AE203">
        <v>1</v>
      </c>
      <c r="AF203" t="s">
        <v>5</v>
      </c>
      <c r="AG203">
        <v>40</v>
      </c>
      <c r="AH203">
        <v>2</v>
      </c>
      <c r="AI203">
        <v>44170608</v>
      </c>
      <c r="AJ203">
        <v>204</v>
      </c>
      <c r="AK203">
        <v>0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0</v>
      </c>
      <c r="AR203">
        <v>0</v>
      </c>
    </row>
    <row r="204" spans="1:44" x14ac:dyDescent="0.2">
      <c r="A204">
        <f>ROW(Source!A100)</f>
        <v>100</v>
      </c>
      <c r="B204">
        <v>44170613</v>
      </c>
      <c r="C204">
        <v>44170607</v>
      </c>
      <c r="D204">
        <v>34991758</v>
      </c>
      <c r="E204">
        <v>34959076</v>
      </c>
      <c r="F204">
        <v>1</v>
      </c>
      <c r="G204">
        <v>34959076</v>
      </c>
      <c r="H204">
        <v>3</v>
      </c>
      <c r="I204" t="s">
        <v>487</v>
      </c>
      <c r="J204" t="s">
        <v>5</v>
      </c>
      <c r="K204" t="s">
        <v>236</v>
      </c>
      <c r="L204">
        <v>1339</v>
      </c>
      <c r="N204">
        <v>1007</v>
      </c>
      <c r="O204" t="s">
        <v>59</v>
      </c>
      <c r="P204" t="s">
        <v>59</v>
      </c>
      <c r="Q204">
        <v>1</v>
      </c>
      <c r="X204">
        <v>15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 t="s">
        <v>5</v>
      </c>
      <c r="AG204">
        <v>15</v>
      </c>
      <c r="AH204">
        <v>3</v>
      </c>
      <c r="AI204">
        <v>-1</v>
      </c>
      <c r="AJ204" t="s">
        <v>5</v>
      </c>
      <c r="AK204">
        <v>0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0</v>
      </c>
      <c r="AR204">
        <v>0</v>
      </c>
    </row>
    <row r="205" spans="1:44" x14ac:dyDescent="0.2">
      <c r="A205">
        <f>ROW(Source!A102)</f>
        <v>102</v>
      </c>
      <c r="B205">
        <v>44170620</v>
      </c>
      <c r="C205">
        <v>44170615</v>
      </c>
      <c r="D205">
        <v>34984826</v>
      </c>
      <c r="E205">
        <v>34959076</v>
      </c>
      <c r="F205">
        <v>1</v>
      </c>
      <c r="G205">
        <v>34959076</v>
      </c>
      <c r="H205">
        <v>1</v>
      </c>
      <c r="I205" t="s">
        <v>341</v>
      </c>
      <c r="J205" t="s">
        <v>5</v>
      </c>
      <c r="K205" t="s">
        <v>342</v>
      </c>
      <c r="L205">
        <v>1191</v>
      </c>
      <c r="N205">
        <v>1013</v>
      </c>
      <c r="O205" t="s">
        <v>343</v>
      </c>
      <c r="P205" t="s">
        <v>343</v>
      </c>
      <c r="Q205">
        <v>1</v>
      </c>
      <c r="X205">
        <v>5.47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1</v>
      </c>
      <c r="AE205">
        <v>1</v>
      </c>
      <c r="AF205" t="s">
        <v>5</v>
      </c>
      <c r="AG205">
        <v>5.47</v>
      </c>
      <c r="AH205">
        <v>2</v>
      </c>
      <c r="AI205">
        <v>44170616</v>
      </c>
      <c r="AJ205">
        <v>206</v>
      </c>
      <c r="AK205">
        <v>0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0</v>
      </c>
      <c r="AR205">
        <v>0</v>
      </c>
    </row>
    <row r="206" spans="1:44" x14ac:dyDescent="0.2">
      <c r="A206">
        <f>ROW(Source!A102)</f>
        <v>102</v>
      </c>
      <c r="B206">
        <v>44170621</v>
      </c>
      <c r="C206">
        <v>44170615</v>
      </c>
      <c r="D206">
        <v>34991758</v>
      </c>
      <c r="E206">
        <v>34959076</v>
      </c>
      <c r="F206">
        <v>1</v>
      </c>
      <c r="G206">
        <v>34959076</v>
      </c>
      <c r="H206">
        <v>3</v>
      </c>
      <c r="I206" t="s">
        <v>487</v>
      </c>
      <c r="J206" t="s">
        <v>5</v>
      </c>
      <c r="K206" t="s">
        <v>236</v>
      </c>
      <c r="L206">
        <v>1339</v>
      </c>
      <c r="N206">
        <v>1007</v>
      </c>
      <c r="O206" t="s">
        <v>59</v>
      </c>
      <c r="P206" t="s">
        <v>59</v>
      </c>
      <c r="Q206">
        <v>1</v>
      </c>
      <c r="X206">
        <v>5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 t="s">
        <v>5</v>
      </c>
      <c r="AG206">
        <v>5</v>
      </c>
      <c r="AH206">
        <v>3</v>
      </c>
      <c r="AI206">
        <v>-1</v>
      </c>
      <c r="AJ206" t="s">
        <v>5</v>
      </c>
      <c r="AK206">
        <v>0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0</v>
      </c>
      <c r="AR206">
        <v>0</v>
      </c>
    </row>
    <row r="207" spans="1:44" x14ac:dyDescent="0.2">
      <c r="A207">
        <f>ROW(Source!A104)</f>
        <v>104</v>
      </c>
      <c r="B207">
        <v>44170630</v>
      </c>
      <c r="C207">
        <v>44170623</v>
      </c>
      <c r="D207">
        <v>34984826</v>
      </c>
      <c r="E207">
        <v>34959076</v>
      </c>
      <c r="F207">
        <v>1</v>
      </c>
      <c r="G207">
        <v>34959076</v>
      </c>
      <c r="H207">
        <v>1</v>
      </c>
      <c r="I207" t="s">
        <v>341</v>
      </c>
      <c r="J207" t="s">
        <v>5</v>
      </c>
      <c r="K207" t="s">
        <v>342</v>
      </c>
      <c r="L207">
        <v>1191</v>
      </c>
      <c r="N207">
        <v>1013</v>
      </c>
      <c r="O207" t="s">
        <v>343</v>
      </c>
      <c r="P207" t="s">
        <v>343</v>
      </c>
      <c r="Q207">
        <v>1</v>
      </c>
      <c r="X207">
        <v>5.25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1</v>
      </c>
      <c r="AE207">
        <v>1</v>
      </c>
      <c r="AF207" t="s">
        <v>5</v>
      </c>
      <c r="AG207">
        <v>5.25</v>
      </c>
      <c r="AH207">
        <v>2</v>
      </c>
      <c r="AI207">
        <v>44170624</v>
      </c>
      <c r="AJ207">
        <v>208</v>
      </c>
      <c r="AK207">
        <v>0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0</v>
      </c>
      <c r="AR207">
        <v>0</v>
      </c>
    </row>
    <row r="208" spans="1:44" x14ac:dyDescent="0.2">
      <c r="A208">
        <f>ROW(Source!A104)</f>
        <v>104</v>
      </c>
      <c r="B208">
        <v>44170631</v>
      </c>
      <c r="C208">
        <v>44170623</v>
      </c>
      <c r="D208">
        <v>35043897</v>
      </c>
      <c r="E208">
        <v>1</v>
      </c>
      <c r="F208">
        <v>1</v>
      </c>
      <c r="G208">
        <v>34959076</v>
      </c>
      <c r="H208">
        <v>3</v>
      </c>
      <c r="I208" t="s">
        <v>378</v>
      </c>
      <c r="J208" t="s">
        <v>451</v>
      </c>
      <c r="K208" t="s">
        <v>452</v>
      </c>
      <c r="L208">
        <v>1339</v>
      </c>
      <c r="N208">
        <v>1007</v>
      </c>
      <c r="O208" t="s">
        <v>59</v>
      </c>
      <c r="P208" t="s">
        <v>59</v>
      </c>
      <c r="Q208">
        <v>1</v>
      </c>
      <c r="X208">
        <v>10</v>
      </c>
      <c r="Y208">
        <v>7.07</v>
      </c>
      <c r="Z208">
        <v>0</v>
      </c>
      <c r="AA208">
        <v>0</v>
      </c>
      <c r="AB208">
        <v>0</v>
      </c>
      <c r="AC208">
        <v>0</v>
      </c>
      <c r="AD208">
        <v>1</v>
      </c>
      <c r="AE208">
        <v>0</v>
      </c>
      <c r="AF208" t="s">
        <v>5</v>
      </c>
      <c r="AG208">
        <v>10</v>
      </c>
      <c r="AH208">
        <v>2</v>
      </c>
      <c r="AI208">
        <v>44170625</v>
      </c>
      <c r="AJ208">
        <v>209</v>
      </c>
      <c r="AK208">
        <v>0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0</v>
      </c>
      <c r="AR208">
        <v>0</v>
      </c>
    </row>
    <row r="209" spans="1:44" x14ac:dyDescent="0.2">
      <c r="A209">
        <f>ROW(Source!A104)</f>
        <v>104</v>
      </c>
      <c r="B209">
        <v>44170632</v>
      </c>
      <c r="C209">
        <v>44170623</v>
      </c>
      <c r="D209">
        <v>34987898</v>
      </c>
      <c r="E209">
        <v>34959076</v>
      </c>
      <c r="F209">
        <v>1</v>
      </c>
      <c r="G209">
        <v>34959076</v>
      </c>
      <c r="H209">
        <v>3</v>
      </c>
      <c r="I209" t="s">
        <v>488</v>
      </c>
      <c r="J209" t="s">
        <v>5</v>
      </c>
      <c r="K209" t="s">
        <v>489</v>
      </c>
      <c r="L209">
        <v>1346</v>
      </c>
      <c r="N209">
        <v>1009</v>
      </c>
      <c r="O209" t="s">
        <v>255</v>
      </c>
      <c r="P209" t="s">
        <v>255</v>
      </c>
      <c r="Q209">
        <v>1</v>
      </c>
      <c r="X209">
        <v>4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 t="s">
        <v>5</v>
      </c>
      <c r="AG209">
        <v>4</v>
      </c>
      <c r="AH209">
        <v>3</v>
      </c>
      <c r="AI209">
        <v>-1</v>
      </c>
      <c r="AJ209" t="s">
        <v>5</v>
      </c>
      <c r="AK209">
        <v>0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0</v>
      </c>
      <c r="AR209">
        <v>0</v>
      </c>
    </row>
    <row r="210" spans="1:44" x14ac:dyDescent="0.2">
      <c r="A210">
        <f>ROW(Source!A144)</f>
        <v>144</v>
      </c>
      <c r="B210">
        <v>44170636</v>
      </c>
      <c r="C210">
        <v>44170634</v>
      </c>
      <c r="D210">
        <v>34984824</v>
      </c>
      <c r="E210">
        <v>34959076</v>
      </c>
      <c r="F210">
        <v>1</v>
      </c>
      <c r="G210">
        <v>34959076</v>
      </c>
      <c r="H210">
        <v>2</v>
      </c>
      <c r="I210" t="s">
        <v>354</v>
      </c>
      <c r="J210" t="s">
        <v>5</v>
      </c>
      <c r="K210" t="s">
        <v>355</v>
      </c>
      <c r="L210">
        <v>1344</v>
      </c>
      <c r="N210">
        <v>1008</v>
      </c>
      <c r="O210" t="s">
        <v>356</v>
      </c>
      <c r="P210" t="s">
        <v>356</v>
      </c>
      <c r="Q210">
        <v>1</v>
      </c>
      <c r="X210">
        <v>34.29</v>
      </c>
      <c r="Y210">
        <v>0</v>
      </c>
      <c r="Z210">
        <v>1</v>
      </c>
      <c r="AA210">
        <v>0</v>
      </c>
      <c r="AB210">
        <v>0</v>
      </c>
      <c r="AC210">
        <v>0</v>
      </c>
      <c r="AD210">
        <v>1</v>
      </c>
      <c r="AE210">
        <v>0</v>
      </c>
      <c r="AF210" t="s">
        <v>5</v>
      </c>
      <c r="AG210">
        <v>34.29</v>
      </c>
      <c r="AH210">
        <v>2</v>
      </c>
      <c r="AI210">
        <v>44170635</v>
      </c>
      <c r="AJ210">
        <v>211</v>
      </c>
      <c r="AK210">
        <v>0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0</v>
      </c>
      <c r="AR210">
        <v>0</v>
      </c>
    </row>
    <row r="211" spans="1:44" x14ac:dyDescent="0.2">
      <c r="A211">
        <f>ROW(Source!A145)</f>
        <v>145</v>
      </c>
      <c r="B211">
        <v>44170638</v>
      </c>
      <c r="C211">
        <v>44170637</v>
      </c>
      <c r="D211">
        <v>34984824</v>
      </c>
      <c r="E211">
        <v>34959076</v>
      </c>
      <c r="F211">
        <v>1</v>
      </c>
      <c r="G211">
        <v>34959076</v>
      </c>
      <c r="H211">
        <v>2</v>
      </c>
      <c r="I211" t="s">
        <v>354</v>
      </c>
      <c r="J211" t="s">
        <v>5</v>
      </c>
      <c r="K211" t="s">
        <v>355</v>
      </c>
      <c r="L211">
        <v>1344</v>
      </c>
      <c r="N211">
        <v>1008</v>
      </c>
      <c r="O211" t="s">
        <v>356</v>
      </c>
      <c r="P211" t="s">
        <v>356</v>
      </c>
      <c r="Q211">
        <v>1</v>
      </c>
      <c r="X211">
        <v>101</v>
      </c>
      <c r="Y211">
        <v>0</v>
      </c>
      <c r="Z211">
        <v>1</v>
      </c>
      <c r="AA211">
        <v>0</v>
      </c>
      <c r="AB211">
        <v>0</v>
      </c>
      <c r="AC211">
        <v>0</v>
      </c>
      <c r="AD211">
        <v>1</v>
      </c>
      <c r="AE211">
        <v>0</v>
      </c>
      <c r="AF211" t="s">
        <v>5</v>
      </c>
      <c r="AG211">
        <v>101</v>
      </c>
      <c r="AH211">
        <v>3</v>
      </c>
      <c r="AI211">
        <v>-1</v>
      </c>
      <c r="AJ211" t="s">
        <v>5</v>
      </c>
      <c r="AK211">
        <v>0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0</v>
      </c>
      <c r="AR211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Смета по ТСН-2001</vt:lpstr>
      <vt:lpstr>Source</vt:lpstr>
      <vt:lpstr>SourceObSm</vt:lpstr>
      <vt:lpstr>SmtRes</vt:lpstr>
      <vt:lpstr>EtalonRes</vt:lpstr>
      <vt:lpstr>'Смета по ТСН-2001'!Заголовки_для_печати</vt:lpstr>
      <vt:lpstr>'Смета по ТСН-2001'!Область_печати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Афоничев Александр Николаевич</dc:creator>
  <cp:lastModifiedBy>Афоничев Александр Николаевич</cp:lastModifiedBy>
  <dcterms:created xsi:type="dcterms:W3CDTF">2019-09-09T12:30:47Z</dcterms:created>
  <dcterms:modified xsi:type="dcterms:W3CDTF">2019-09-10T11:58:41Z</dcterms:modified>
</cp:coreProperties>
</file>