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доп.67'!$A$1:$K$95</definedName>
  </definedNames>
  <calcPr calcId="125725" iterate="1"/>
</workbook>
</file>

<file path=xl/calcChain.xml><?xml version="1.0" encoding="utf-8"?>
<calcChain xmlns="http://schemas.openxmlformats.org/spreadsheetml/2006/main">
  <c r="A7" i="7"/>
  <c r="A2"/>
  <c r="J21"/>
  <c r="J18"/>
  <c r="J16"/>
  <c r="J15"/>
  <c r="I21"/>
  <c r="H95"/>
  <c r="J95"/>
  <c r="H94"/>
  <c r="J94"/>
  <c r="H91"/>
  <c r="J91"/>
  <c r="H90"/>
  <c r="J90"/>
  <c r="A89"/>
  <c r="H87"/>
  <c r="J87"/>
  <c r="H86"/>
  <c r="J86"/>
  <c r="A85"/>
  <c r="Z82"/>
  <c r="Y82"/>
  <c r="X82"/>
  <c r="H81"/>
  <c r="J81"/>
  <c r="I79"/>
  <c r="AB79" s="1"/>
  <c r="H79"/>
  <c r="G79"/>
  <c r="E79"/>
  <c r="J78"/>
  <c r="I78"/>
  <c r="E78"/>
  <c r="J77"/>
  <c r="I77"/>
  <c r="AA82" s="1"/>
  <c r="E77"/>
  <c r="K76"/>
  <c r="J76"/>
  <c r="W76"/>
  <c r="I76"/>
  <c r="H76"/>
  <c r="G76"/>
  <c r="F76"/>
  <c r="V75"/>
  <c r="T75"/>
  <c r="K78" s="1"/>
  <c r="R75"/>
  <c r="K77" s="1"/>
  <c r="U75"/>
  <c r="S75"/>
  <c r="Q75"/>
  <c r="E75"/>
  <c r="D75"/>
  <c r="A74"/>
  <c r="H72"/>
  <c r="J72"/>
  <c r="H71"/>
  <c r="J71"/>
  <c r="A70"/>
  <c r="AA67"/>
  <c r="Z67"/>
  <c r="Y67"/>
  <c r="J66"/>
  <c r="E66"/>
  <c r="K65"/>
  <c r="J65"/>
  <c r="I65"/>
  <c r="W65" s="1"/>
  <c r="H65"/>
  <c r="G65"/>
  <c r="F65"/>
  <c r="K64"/>
  <c r="P67" s="1"/>
  <c r="J64"/>
  <c r="I64"/>
  <c r="H64"/>
  <c r="G64"/>
  <c r="F64"/>
  <c r="C63"/>
  <c r="V62"/>
  <c r="K66" s="1"/>
  <c r="T62"/>
  <c r="R62"/>
  <c r="U62"/>
  <c r="I66" s="1"/>
  <c r="X67" s="1"/>
  <c r="S62"/>
  <c r="Q62"/>
  <c r="E62"/>
  <c r="D62"/>
  <c r="B62"/>
  <c r="Z60"/>
  <c r="Y60"/>
  <c r="X60"/>
  <c r="H59"/>
  <c r="J59"/>
  <c r="I57"/>
  <c r="AB57" s="1"/>
  <c r="H57"/>
  <c r="G57"/>
  <c r="E57"/>
  <c r="J56"/>
  <c r="E56"/>
  <c r="J55"/>
  <c r="E55"/>
  <c r="K54"/>
  <c r="J54"/>
  <c r="I54"/>
  <c r="H54"/>
  <c r="G54"/>
  <c r="F54"/>
  <c r="C53"/>
  <c r="V52"/>
  <c r="T52"/>
  <c r="K56" s="1"/>
  <c r="R52"/>
  <c r="K55" s="1"/>
  <c r="U52"/>
  <c r="S52"/>
  <c r="I56" s="1"/>
  <c r="Q52"/>
  <c r="I55" s="1"/>
  <c r="E52"/>
  <c r="D52"/>
  <c r="Z50"/>
  <c r="Y50"/>
  <c r="X50"/>
  <c r="H49"/>
  <c r="J49"/>
  <c r="I47"/>
  <c r="AB47" s="1"/>
  <c r="H47"/>
  <c r="G47"/>
  <c r="E47"/>
  <c r="J46"/>
  <c r="E46"/>
  <c r="J45"/>
  <c r="I45"/>
  <c r="E45"/>
  <c r="K44"/>
  <c r="J44"/>
  <c r="I44"/>
  <c r="W44" s="1"/>
  <c r="H44"/>
  <c r="G44"/>
  <c r="F44"/>
  <c r="C43"/>
  <c r="V42"/>
  <c r="T42"/>
  <c r="K46" s="1"/>
  <c r="R42"/>
  <c r="K45" s="1"/>
  <c r="U42"/>
  <c r="S42"/>
  <c r="I46" s="1"/>
  <c r="Q42"/>
  <c r="E42"/>
  <c r="D42"/>
  <c r="Z40"/>
  <c r="I16" s="1"/>
  <c r="Y40"/>
  <c r="I15" s="1"/>
  <c r="X40"/>
  <c r="H39"/>
  <c r="J39"/>
  <c r="I37"/>
  <c r="AB37" s="1"/>
  <c r="H37"/>
  <c r="G37"/>
  <c r="E37"/>
  <c r="J36"/>
  <c r="E36"/>
  <c r="J35"/>
  <c r="E35"/>
  <c r="K34"/>
  <c r="J34"/>
  <c r="I34"/>
  <c r="W34" s="1"/>
  <c r="H34"/>
  <c r="G34"/>
  <c r="F34"/>
  <c r="V33"/>
  <c r="T33"/>
  <c r="K36" s="1"/>
  <c r="R33"/>
  <c r="K35" s="1"/>
  <c r="J38" s="1"/>
  <c r="U33"/>
  <c r="S33"/>
  <c r="I36" s="1"/>
  <c r="Q33"/>
  <c r="I35" s="1"/>
  <c r="E33"/>
  <c r="D33"/>
  <c r="B32"/>
  <c r="A30"/>
  <c r="A28"/>
  <c r="A1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P29"/>
  <c r="AC29"/>
  <c r="AB29" s="1"/>
  <c r="AD29"/>
  <c r="AE29"/>
  <c r="Q29" s="1"/>
  <c r="AF29"/>
  <c r="S29" s="1"/>
  <c r="AG29"/>
  <c r="AH29"/>
  <c r="CV29" s="1"/>
  <c r="U29" s="1"/>
  <c r="AI29"/>
  <c r="CW29" s="1"/>
  <c r="V29" s="1"/>
  <c r="AJ29"/>
  <c r="CX29" s="1"/>
  <c r="W29" s="1"/>
  <c r="CQ29"/>
  <c r="CR29"/>
  <c r="CU29"/>
  <c r="T29" s="1"/>
  <c r="FR29"/>
  <c r="GL29"/>
  <c r="GN29"/>
  <c r="GO29"/>
  <c r="GV29"/>
  <c r="HC29" s="1"/>
  <c r="GX29" s="1"/>
  <c r="CJ38" s="1"/>
  <c r="S30"/>
  <c r="CY30" s="1"/>
  <c r="X30" s="1"/>
  <c r="AC30"/>
  <c r="P30" s="1"/>
  <c r="AD30"/>
  <c r="AE30"/>
  <c r="R30" s="1"/>
  <c r="AF30"/>
  <c r="AG30"/>
  <c r="CU30" s="1"/>
  <c r="T30" s="1"/>
  <c r="AH30"/>
  <c r="CV30" s="1"/>
  <c r="U30" s="1"/>
  <c r="AI30"/>
  <c r="CW30" s="1"/>
  <c r="V30" s="1"/>
  <c r="AJ30"/>
  <c r="CR30"/>
  <c r="CT30"/>
  <c r="CX30"/>
  <c r="W30" s="1"/>
  <c r="FR30"/>
  <c r="GL30"/>
  <c r="GN30"/>
  <c r="GO30"/>
  <c r="GV30"/>
  <c r="HC30"/>
  <c r="GX30" s="1"/>
  <c r="I31"/>
  <c r="K31"/>
  <c r="P31"/>
  <c r="AC31"/>
  <c r="AD31"/>
  <c r="AB31" s="1"/>
  <c r="AE31"/>
  <c r="Q31" s="1"/>
  <c r="AF31"/>
  <c r="S31" s="1"/>
  <c r="AG31"/>
  <c r="AH31"/>
  <c r="CV31" s="1"/>
  <c r="U31" s="1"/>
  <c r="AI31"/>
  <c r="CW31" s="1"/>
  <c r="V31" s="1"/>
  <c r="AJ31"/>
  <c r="CX31" s="1"/>
  <c r="W31" s="1"/>
  <c r="CQ31"/>
  <c r="CR31"/>
  <c r="CU31"/>
  <c r="T31" s="1"/>
  <c r="FR31"/>
  <c r="GL31"/>
  <c r="GN31"/>
  <c r="GO31"/>
  <c r="GV31"/>
  <c r="HC31" s="1"/>
  <c r="GX31" s="1"/>
  <c r="I32"/>
  <c r="K32"/>
  <c r="AC32"/>
  <c r="P32" s="1"/>
  <c r="AE32"/>
  <c r="R32" s="1"/>
  <c r="GK32" s="1"/>
  <c r="AF32"/>
  <c r="S32" s="1"/>
  <c r="AG32"/>
  <c r="CU32" s="1"/>
  <c r="T32" s="1"/>
  <c r="AH32"/>
  <c r="AI32"/>
  <c r="CW32" s="1"/>
  <c r="V32" s="1"/>
  <c r="AJ32"/>
  <c r="CX32" s="1"/>
  <c r="W32" s="1"/>
  <c r="CR32"/>
  <c r="CV32"/>
  <c r="U32" s="1"/>
  <c r="FR32"/>
  <c r="GL32"/>
  <c r="GN32"/>
  <c r="GO32"/>
  <c r="GV32"/>
  <c r="HC32" s="1"/>
  <c r="GX32" s="1"/>
  <c r="I33"/>
  <c r="K33"/>
  <c r="R33"/>
  <c r="GK33" s="1"/>
  <c r="AC33"/>
  <c r="P33" s="1"/>
  <c r="AD33"/>
  <c r="AE33"/>
  <c r="Q33" s="1"/>
  <c r="AF33"/>
  <c r="S33" s="1"/>
  <c r="AG33"/>
  <c r="CU33" s="1"/>
  <c r="T33" s="1"/>
  <c r="AH33"/>
  <c r="CV33" s="1"/>
  <c r="U33" s="1"/>
  <c r="AI33"/>
  <c r="AJ33"/>
  <c r="CX33" s="1"/>
  <c r="W33" s="1"/>
  <c r="CR33"/>
  <c r="CS33"/>
  <c r="CW33"/>
  <c r="V33" s="1"/>
  <c r="FR33"/>
  <c r="GL33"/>
  <c r="GN33"/>
  <c r="GO33"/>
  <c r="GV33"/>
  <c r="GX33"/>
  <c r="HC33"/>
  <c r="I34"/>
  <c r="K34"/>
  <c r="S34"/>
  <c r="CY34" s="1"/>
  <c r="X34" s="1"/>
  <c r="AC34"/>
  <c r="P34" s="1"/>
  <c r="AD34"/>
  <c r="AE34"/>
  <c r="R34" s="1"/>
  <c r="GK34" s="1"/>
  <c r="AF34"/>
  <c r="AG34"/>
  <c r="CU34" s="1"/>
  <c r="T34" s="1"/>
  <c r="AH34"/>
  <c r="CV34" s="1"/>
  <c r="U34" s="1"/>
  <c r="AI34"/>
  <c r="CW34" s="1"/>
  <c r="V34" s="1"/>
  <c r="AJ34"/>
  <c r="CR34"/>
  <c r="CT34"/>
  <c r="CX34"/>
  <c r="W34" s="1"/>
  <c r="FR34"/>
  <c r="GL34"/>
  <c r="GN34"/>
  <c r="GO34"/>
  <c r="GV34"/>
  <c r="HC34"/>
  <c r="GX34" s="1"/>
  <c r="I35"/>
  <c r="K35"/>
  <c r="P35"/>
  <c r="AC35"/>
  <c r="AD35"/>
  <c r="AB35" s="1"/>
  <c r="AE35"/>
  <c r="Q35" s="1"/>
  <c r="AF35"/>
  <c r="S35" s="1"/>
  <c r="AG35"/>
  <c r="AH35"/>
  <c r="CV35" s="1"/>
  <c r="U35" s="1"/>
  <c r="AI35"/>
  <c r="CW35" s="1"/>
  <c r="V35" s="1"/>
  <c r="AJ35"/>
  <c r="CX35" s="1"/>
  <c r="W35" s="1"/>
  <c r="CQ35"/>
  <c r="CR35"/>
  <c r="CU35"/>
  <c r="T35" s="1"/>
  <c r="FR35"/>
  <c r="GL35"/>
  <c r="GO35"/>
  <c r="GP35"/>
  <c r="GV35"/>
  <c r="HC35" s="1"/>
  <c r="GX35" s="1"/>
  <c r="I36"/>
  <c r="K36"/>
  <c r="AC36"/>
  <c r="P36" s="1"/>
  <c r="AE36"/>
  <c r="R36" s="1"/>
  <c r="GK36" s="1"/>
  <c r="AF36"/>
  <c r="S36" s="1"/>
  <c r="AG36"/>
  <c r="CU36" s="1"/>
  <c r="T36" s="1"/>
  <c r="AH36"/>
  <c r="AI36"/>
  <c r="CW36" s="1"/>
  <c r="V36" s="1"/>
  <c r="AJ36"/>
  <c r="CX36" s="1"/>
  <c r="W36" s="1"/>
  <c r="CR36"/>
  <c r="CV36"/>
  <c r="U36" s="1"/>
  <c r="FR36"/>
  <c r="GL36"/>
  <c r="GO36"/>
  <c r="GP36"/>
  <c r="GV36"/>
  <c r="HC36" s="1"/>
  <c r="GX36" s="1"/>
  <c r="B38"/>
  <c r="B26" s="1"/>
  <c r="C38"/>
  <c r="C26" s="1"/>
  <c r="D38"/>
  <c r="D26" s="1"/>
  <c r="F38"/>
  <c r="F26" s="1"/>
  <c r="G38"/>
  <c r="G26" s="1"/>
  <c r="BX38"/>
  <c r="BX26" s="1"/>
  <c r="BY38"/>
  <c r="BY26" s="1"/>
  <c r="BZ38"/>
  <c r="AQ38" s="1"/>
  <c r="CC38"/>
  <c r="CC26" s="1"/>
  <c r="CG38"/>
  <c r="CG26" s="1"/>
  <c r="CI38"/>
  <c r="AZ38" s="1"/>
  <c r="CK38"/>
  <c r="CK26" s="1"/>
  <c r="CL38"/>
  <c r="BC38" s="1"/>
  <c r="CM38"/>
  <c r="BD38" s="1"/>
  <c r="FP38"/>
  <c r="FP26" s="1"/>
  <c r="FQ38"/>
  <c r="FQ26" s="1"/>
  <c r="FR38"/>
  <c r="FR26" s="1"/>
  <c r="FU38"/>
  <c r="FU26" s="1"/>
  <c r="FY38"/>
  <c r="FY26" s="1"/>
  <c r="GC38"/>
  <c r="GC26" s="1"/>
  <c r="GD38"/>
  <c r="GD26" s="1"/>
  <c r="GE38"/>
  <c r="GE26" s="1"/>
  <c r="D68"/>
  <c r="E70"/>
  <c r="Z70"/>
  <c r="AA70"/>
  <c r="AM70"/>
  <c r="AN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CN70"/>
  <c r="CO70"/>
  <c r="CP70"/>
  <c r="CQ70"/>
  <c r="CR70"/>
  <c r="CS70"/>
  <c r="CT70"/>
  <c r="CU70"/>
  <c r="CV70"/>
  <c r="CW70"/>
  <c r="CX70"/>
  <c r="CY70"/>
  <c r="CZ70"/>
  <c r="DA70"/>
  <c r="DB70"/>
  <c r="DC70"/>
  <c r="DD70"/>
  <c r="DE70"/>
  <c r="DF70"/>
  <c r="DR70"/>
  <c r="DS70"/>
  <c r="EE70"/>
  <c r="EF70"/>
  <c r="EW70"/>
  <c r="EX70"/>
  <c r="EY70"/>
  <c r="EZ70"/>
  <c r="FA70"/>
  <c r="FB70"/>
  <c r="FC70"/>
  <c r="FD70"/>
  <c r="FE70"/>
  <c r="FF70"/>
  <c r="FG70"/>
  <c r="FH70"/>
  <c r="FI70"/>
  <c r="FJ70"/>
  <c r="FK70"/>
  <c r="FL70"/>
  <c r="FM70"/>
  <c r="FN70"/>
  <c r="FO70"/>
  <c r="GF70"/>
  <c r="GG70"/>
  <c r="GH70"/>
  <c r="GI70"/>
  <c r="GJ70"/>
  <c r="GK70"/>
  <c r="GL70"/>
  <c r="GM70"/>
  <c r="GN70"/>
  <c r="GO70"/>
  <c r="GP70"/>
  <c r="GQ70"/>
  <c r="GR70"/>
  <c r="GS70"/>
  <c r="GT70"/>
  <c r="GU70"/>
  <c r="GV70"/>
  <c r="GW70"/>
  <c r="GX70"/>
  <c r="S72"/>
  <c r="CY72" s="1"/>
  <c r="X72" s="1"/>
  <c r="AK75" s="1"/>
  <c r="AC72"/>
  <c r="AE72"/>
  <c r="R72" s="1"/>
  <c r="AF72"/>
  <c r="AG72"/>
  <c r="CU72" s="1"/>
  <c r="T72" s="1"/>
  <c r="AG75" s="1"/>
  <c r="AH72"/>
  <c r="AI72"/>
  <c r="AJ72"/>
  <c r="CR72"/>
  <c r="CS72"/>
  <c r="CT72"/>
  <c r="CV72"/>
  <c r="U72" s="1"/>
  <c r="AH75" s="1"/>
  <c r="CW72"/>
  <c r="V72" s="1"/>
  <c r="AI75" s="1"/>
  <c r="CX72"/>
  <c r="W72" s="1"/>
  <c r="AJ75" s="1"/>
  <c r="CZ72"/>
  <c r="Y72" s="1"/>
  <c r="AL75" s="1"/>
  <c r="FR72"/>
  <c r="GL72"/>
  <c r="GN72"/>
  <c r="GO72"/>
  <c r="GV72"/>
  <c r="HC72"/>
  <c r="GX72" s="1"/>
  <c r="CJ75" s="1"/>
  <c r="P73"/>
  <c r="R73"/>
  <c r="GK73" s="1"/>
  <c r="AC73"/>
  <c r="AD73"/>
  <c r="AE73"/>
  <c r="Q73" s="1"/>
  <c r="DV75" s="1"/>
  <c r="AF73"/>
  <c r="AB73" s="1"/>
  <c r="AG73"/>
  <c r="AH73"/>
  <c r="AI73"/>
  <c r="AJ73"/>
  <c r="CX73" s="1"/>
  <c r="W73" s="1"/>
  <c r="EB75" s="1"/>
  <c r="CQ73"/>
  <c r="CR73"/>
  <c r="CS73"/>
  <c r="CU73"/>
  <c r="T73" s="1"/>
  <c r="DY75" s="1"/>
  <c r="CV73"/>
  <c r="U73" s="1"/>
  <c r="DZ75" s="1"/>
  <c r="CW73"/>
  <c r="V73" s="1"/>
  <c r="EA75" s="1"/>
  <c r="FR73"/>
  <c r="GL73"/>
  <c r="GN73"/>
  <c r="GO73"/>
  <c r="GV73"/>
  <c r="HC73" s="1"/>
  <c r="GX73" s="1"/>
  <c r="GB75" s="1"/>
  <c r="B75"/>
  <c r="B70" s="1"/>
  <c r="C75"/>
  <c r="C70" s="1"/>
  <c r="D75"/>
  <c r="D70" s="1"/>
  <c r="F75"/>
  <c r="F70" s="1"/>
  <c r="G75"/>
  <c r="G70" s="1"/>
  <c r="AF75"/>
  <c r="S75" s="1"/>
  <c r="BX75"/>
  <c r="BX70" s="1"/>
  <c r="BY75"/>
  <c r="CI75" s="1"/>
  <c r="BZ75"/>
  <c r="BZ70" s="1"/>
  <c r="CB75"/>
  <c r="CB70" s="1"/>
  <c r="CC75"/>
  <c r="CC70" s="1"/>
  <c r="CG75"/>
  <c r="CG70" s="1"/>
  <c r="CK75"/>
  <c r="CK70" s="1"/>
  <c r="CL75"/>
  <c r="CL70" s="1"/>
  <c r="CM75"/>
  <c r="CM70" s="1"/>
  <c r="DH75"/>
  <c r="DH70" s="1"/>
  <c r="DJ75"/>
  <c r="DJ70" s="1"/>
  <c r="DU75"/>
  <c r="DU70" s="1"/>
  <c r="DW75"/>
  <c r="DW70" s="1"/>
  <c r="FP75"/>
  <c r="EG75" s="1"/>
  <c r="FQ75"/>
  <c r="EH75" s="1"/>
  <c r="FR75"/>
  <c r="FR70" s="1"/>
  <c r="FT75"/>
  <c r="EK75" s="1"/>
  <c r="EK70" s="1"/>
  <c r="FU75"/>
  <c r="EL75" s="1"/>
  <c r="EL70" s="1"/>
  <c r="FW75"/>
  <c r="FW70" s="1"/>
  <c r="FY75"/>
  <c r="EP75" s="1"/>
  <c r="GA75"/>
  <c r="GA70" s="1"/>
  <c r="GC75"/>
  <c r="ET75" s="1"/>
  <c r="GD75"/>
  <c r="GD70" s="1"/>
  <c r="GE75"/>
  <c r="GE70" s="1"/>
  <c r="P78"/>
  <c r="P89"/>
  <c r="P93"/>
  <c r="B105"/>
  <c r="B22" s="1"/>
  <c r="C105"/>
  <c r="C22" s="1"/>
  <c r="D105"/>
  <c r="D22" s="1"/>
  <c r="F105"/>
  <c r="F22" s="1"/>
  <c r="G105"/>
  <c r="G22" s="1"/>
  <c r="B135"/>
  <c r="B18" s="1"/>
  <c r="C135"/>
  <c r="C18" s="1"/>
  <c r="D135"/>
  <c r="D18" s="1"/>
  <c r="F135"/>
  <c r="F18" s="1"/>
  <c r="G135"/>
  <c r="G18" s="1"/>
  <c r="F12" i="6"/>
  <c r="G12"/>
  <c r="CY12"/>
  <c r="I19" i="7" l="1"/>
  <c r="H80"/>
  <c r="J48"/>
  <c r="AA50"/>
  <c r="J80"/>
  <c r="H48"/>
  <c r="P50"/>
  <c r="AA60"/>
  <c r="O60"/>
  <c r="H67"/>
  <c r="P60"/>
  <c r="P40"/>
  <c r="P82"/>
  <c r="J85" s="1"/>
  <c r="H58"/>
  <c r="H38"/>
  <c r="J67"/>
  <c r="W54"/>
  <c r="I18" s="1"/>
  <c r="J58"/>
  <c r="O67"/>
  <c r="O40"/>
  <c r="AA40"/>
  <c r="O50"/>
  <c r="O82"/>
  <c r="H85" s="1"/>
  <c r="DY70" i="1"/>
  <c r="DL75"/>
  <c r="EA70"/>
  <c r="DN75"/>
  <c r="CJ70"/>
  <c r="BA75"/>
  <c r="AI70"/>
  <c r="V75"/>
  <c r="T75"/>
  <c r="AG70"/>
  <c r="X75"/>
  <c r="AK70"/>
  <c r="F54"/>
  <c r="BC26"/>
  <c r="CZ36"/>
  <c r="Y36" s="1"/>
  <c r="CY36"/>
  <c r="X36" s="1"/>
  <c r="DX38"/>
  <c r="CZ32"/>
  <c r="Y32" s="1"/>
  <c r="CY32"/>
  <c r="X32" s="1"/>
  <c r="DU38"/>
  <c r="GB38"/>
  <c r="DY38"/>
  <c r="AH38"/>
  <c r="ET70"/>
  <c r="P88"/>
  <c r="P79"/>
  <c r="EG70"/>
  <c r="CI70"/>
  <c r="AZ75"/>
  <c r="ES75"/>
  <c r="GB70"/>
  <c r="DV70"/>
  <c r="DI75"/>
  <c r="W75"/>
  <c r="AJ70"/>
  <c r="BD26"/>
  <c r="F63"/>
  <c r="DZ38"/>
  <c r="AG38"/>
  <c r="AI38"/>
  <c r="AD38"/>
  <c r="EH70"/>
  <c r="P84"/>
  <c r="EB70"/>
  <c r="DO75"/>
  <c r="AL70"/>
  <c r="Y75"/>
  <c r="GK72"/>
  <c r="AE75"/>
  <c r="AZ26"/>
  <c r="F49"/>
  <c r="CZ33"/>
  <c r="Y33" s="1"/>
  <c r="CY33"/>
  <c r="X33" s="1"/>
  <c r="GK30"/>
  <c r="DW38"/>
  <c r="CJ26"/>
  <c r="BA38"/>
  <c r="CZ29"/>
  <c r="Y29" s="1"/>
  <c r="CY29"/>
  <c r="X29" s="1"/>
  <c r="AF38"/>
  <c r="CP36"/>
  <c r="O36" s="1"/>
  <c r="GM36" s="1"/>
  <c r="GN36" s="1"/>
  <c r="FT38" s="1"/>
  <c r="EB38"/>
  <c r="EA38"/>
  <c r="AJ38"/>
  <c r="CP29"/>
  <c r="O29" s="1"/>
  <c r="EP70"/>
  <c r="P82"/>
  <c r="S70"/>
  <c r="F90"/>
  <c r="DZ70"/>
  <c r="DM75"/>
  <c r="AH70"/>
  <c r="U75"/>
  <c r="F48"/>
  <c r="AQ26"/>
  <c r="CZ35"/>
  <c r="Y35" s="1"/>
  <c r="CY35"/>
  <c r="X35" s="1"/>
  <c r="CP33"/>
  <c r="O33" s="1"/>
  <c r="AC38"/>
  <c r="CZ31"/>
  <c r="Y31" s="1"/>
  <c r="CY31"/>
  <c r="X31" s="1"/>
  <c r="AZ105"/>
  <c r="P92"/>
  <c r="CP35"/>
  <c r="O35" s="1"/>
  <c r="GM35" s="1"/>
  <c r="GN35" s="1"/>
  <c r="CB38" s="1"/>
  <c r="CP31"/>
  <c r="O31" s="1"/>
  <c r="EC38"/>
  <c r="FZ75"/>
  <c r="EU75"/>
  <c r="EI75"/>
  <c r="AS75"/>
  <c r="AO75"/>
  <c r="CT73"/>
  <c r="S73"/>
  <c r="CP73" s="1"/>
  <c r="O73" s="1"/>
  <c r="CQ72"/>
  <c r="AD72"/>
  <c r="AB72" s="1"/>
  <c r="P72"/>
  <c r="FT70"/>
  <c r="FP70"/>
  <c r="AF70"/>
  <c r="EU38"/>
  <c r="EI38"/>
  <c r="AO38"/>
  <c r="CT36"/>
  <c r="CS35"/>
  <c r="R35"/>
  <c r="GK35" s="1"/>
  <c r="CZ34"/>
  <c r="Y34" s="1"/>
  <c r="Q34"/>
  <c r="CP34" s="1"/>
  <c r="O34" s="1"/>
  <c r="GM34" s="1"/>
  <c r="GP34" s="1"/>
  <c r="CQ33"/>
  <c r="CT32"/>
  <c r="CS31"/>
  <c r="R31"/>
  <c r="GK31" s="1"/>
  <c r="CZ30"/>
  <c r="Y30" s="1"/>
  <c r="ED38" s="1"/>
  <c r="Q30"/>
  <c r="CP30" s="1"/>
  <c r="O30" s="1"/>
  <c r="CS29"/>
  <c r="R29"/>
  <c r="CL26"/>
  <c r="BZ26"/>
  <c r="EV75"/>
  <c r="ER75"/>
  <c r="EN75"/>
  <c r="BB75"/>
  <c r="AX75"/>
  <c r="AT75"/>
  <c r="AP75"/>
  <c r="Q72"/>
  <c r="AD75" s="1"/>
  <c r="GC70"/>
  <c r="FY70"/>
  <c r="FU70"/>
  <c r="FQ70"/>
  <c r="BY70"/>
  <c r="GA38"/>
  <c r="EV38"/>
  <c r="BB38"/>
  <c r="AX38"/>
  <c r="AT38"/>
  <c r="AP38"/>
  <c r="CQ36"/>
  <c r="AD36"/>
  <c r="AB36" s="1"/>
  <c r="CT35"/>
  <c r="CS34"/>
  <c r="AB34"/>
  <c r="CQ32"/>
  <c r="AD32"/>
  <c r="AB32" s="1"/>
  <c r="CT31"/>
  <c r="CS30"/>
  <c r="AB30"/>
  <c r="CT29"/>
  <c r="CM26"/>
  <c r="CI26"/>
  <c r="FX75"/>
  <c r="BC75"/>
  <c r="BC105" s="1"/>
  <c r="AQ75"/>
  <c r="EG38"/>
  <c r="Q36"/>
  <c r="AB33"/>
  <c r="Q32"/>
  <c r="CP32" s="1"/>
  <c r="O32" s="1"/>
  <c r="GM32" s="1"/>
  <c r="GP32" s="1"/>
  <c r="BD75"/>
  <c r="ET38"/>
  <c r="EP38"/>
  <c r="EL38"/>
  <c r="EH38"/>
  <c r="CS36"/>
  <c r="CQ34"/>
  <c r="CT33"/>
  <c r="CS32"/>
  <c r="CQ30"/>
  <c r="J93" i="7" l="1"/>
  <c r="J17" s="1"/>
  <c r="J13" s="1"/>
  <c r="J70"/>
  <c r="J89"/>
  <c r="H93"/>
  <c r="I17" s="1"/>
  <c r="H70"/>
  <c r="H89"/>
  <c r="I13"/>
  <c r="DT38" i="1"/>
  <c r="GM30"/>
  <c r="DT75"/>
  <c r="BC22"/>
  <c r="F121"/>
  <c r="BC135"/>
  <c r="GA26"/>
  <c r="ER38"/>
  <c r="AT70"/>
  <c r="F93"/>
  <c r="P86"/>
  <c r="ER70"/>
  <c r="F79"/>
  <c r="AO70"/>
  <c r="FZ70"/>
  <c r="EQ75"/>
  <c r="AJ26"/>
  <c r="W38"/>
  <c r="DX26"/>
  <c r="DK38"/>
  <c r="DL70"/>
  <c r="P96"/>
  <c r="AQ70"/>
  <c r="F85"/>
  <c r="AP26"/>
  <c r="F47"/>
  <c r="AP105"/>
  <c r="AP70"/>
  <c r="F84"/>
  <c r="P51"/>
  <c r="ET26"/>
  <c r="ET105"/>
  <c r="EO75"/>
  <c r="FX70"/>
  <c r="AX26"/>
  <c r="F45"/>
  <c r="AX105"/>
  <c r="AX70"/>
  <c r="F82"/>
  <c r="EV70"/>
  <c r="P100"/>
  <c r="AO26"/>
  <c r="F42"/>
  <c r="AO105"/>
  <c r="AS70"/>
  <c r="F92"/>
  <c r="EC26"/>
  <c r="DP38"/>
  <c r="AZ22"/>
  <c r="AZ135"/>
  <c r="F116"/>
  <c r="DM70"/>
  <c r="P97"/>
  <c r="DN38"/>
  <c r="EA26"/>
  <c r="AF26"/>
  <c r="S38"/>
  <c r="AI26"/>
  <c r="V38"/>
  <c r="W70"/>
  <c r="F99"/>
  <c r="ES70"/>
  <c r="P95"/>
  <c r="DY26"/>
  <c r="DL38"/>
  <c r="T70"/>
  <c r="F96"/>
  <c r="GM33"/>
  <c r="GP33" s="1"/>
  <c r="AQ105"/>
  <c r="AE70"/>
  <c r="R75"/>
  <c r="BC70"/>
  <c r="F91"/>
  <c r="FT26"/>
  <c r="EK38"/>
  <c r="BA26"/>
  <c r="F58"/>
  <c r="BA105"/>
  <c r="DO70"/>
  <c r="P99"/>
  <c r="DU26"/>
  <c r="FX38"/>
  <c r="DH38"/>
  <c r="FW38"/>
  <c r="FZ38"/>
  <c r="DQ38"/>
  <c r="ED26"/>
  <c r="CB26"/>
  <c r="AS38"/>
  <c r="F97"/>
  <c r="U70"/>
  <c r="AB38"/>
  <c r="DM38"/>
  <c r="DZ26"/>
  <c r="F101"/>
  <c r="X70"/>
  <c r="AL38"/>
  <c r="P45"/>
  <c r="EP26"/>
  <c r="EP105"/>
  <c r="F56"/>
  <c r="AT26"/>
  <c r="AT105"/>
  <c r="GK29"/>
  <c r="GM29" s="1"/>
  <c r="AE38"/>
  <c r="AC26"/>
  <c r="P38"/>
  <c r="CE38"/>
  <c r="CH38"/>
  <c r="CF38"/>
  <c r="AD26"/>
  <c r="Q38"/>
  <c r="AH26"/>
  <c r="U38"/>
  <c r="F95"/>
  <c r="BA70"/>
  <c r="P56"/>
  <c r="EL26"/>
  <c r="EL105"/>
  <c r="EV26"/>
  <c r="EV105"/>
  <c r="P63"/>
  <c r="P80"/>
  <c r="EN70"/>
  <c r="P54"/>
  <c r="EU26"/>
  <c r="EU105"/>
  <c r="CP72"/>
  <c r="O72" s="1"/>
  <c r="AC75"/>
  <c r="EU70"/>
  <c r="P91"/>
  <c r="P47"/>
  <c r="EH26"/>
  <c r="EH105"/>
  <c r="BD70"/>
  <c r="F100"/>
  <c r="BD105"/>
  <c r="EG26"/>
  <c r="P42"/>
  <c r="EG105"/>
  <c r="BB26"/>
  <c r="F51"/>
  <c r="BB105"/>
  <c r="AD70"/>
  <c r="Q75"/>
  <c r="BB70"/>
  <c r="F88"/>
  <c r="P48"/>
  <c r="EI26"/>
  <c r="EI105"/>
  <c r="DX75"/>
  <c r="CZ73"/>
  <c r="Y73" s="1"/>
  <c r="ED75" s="1"/>
  <c r="CY73"/>
  <c r="X73" s="1"/>
  <c r="EC75" s="1"/>
  <c r="EI70"/>
  <c r="P85"/>
  <c r="EB26"/>
  <c r="DO38"/>
  <c r="DJ38"/>
  <c r="DW26"/>
  <c r="Y70"/>
  <c r="F102"/>
  <c r="AG26"/>
  <c r="T38"/>
  <c r="P87"/>
  <c r="DI70"/>
  <c r="AZ70"/>
  <c r="F86"/>
  <c r="GB26"/>
  <c r="ES38"/>
  <c r="V70"/>
  <c r="F98"/>
  <c r="DN70"/>
  <c r="P98"/>
  <c r="DV38"/>
  <c r="GM31"/>
  <c r="GP31" s="1"/>
  <c r="AK38"/>
  <c r="CA38" l="1"/>
  <c r="GP29"/>
  <c r="CD38" s="1"/>
  <c r="AB26"/>
  <c r="O38"/>
  <c r="FZ26"/>
  <c r="EQ38"/>
  <c r="DL26"/>
  <c r="P59"/>
  <c r="DL105"/>
  <c r="P81"/>
  <c r="EO70"/>
  <c r="T26"/>
  <c r="T105"/>
  <c r="F59"/>
  <c r="DX70"/>
  <c r="DK75"/>
  <c r="BB22"/>
  <c r="BB135"/>
  <c r="F118"/>
  <c r="EU22"/>
  <c r="P121"/>
  <c r="EU135"/>
  <c r="EL22"/>
  <c r="P123"/>
  <c r="EL135"/>
  <c r="P26"/>
  <c r="F41"/>
  <c r="AT22"/>
  <c r="F123"/>
  <c r="AT135"/>
  <c r="FW26"/>
  <c r="EN38"/>
  <c r="P64"/>
  <c r="DP26"/>
  <c r="AO22"/>
  <c r="F109"/>
  <c r="AO135"/>
  <c r="P118"/>
  <c r="ET22"/>
  <c r="ET135"/>
  <c r="DK26"/>
  <c r="P53"/>
  <c r="DK105"/>
  <c r="EQ70"/>
  <c r="P83"/>
  <c r="ER26"/>
  <c r="ER105"/>
  <c r="P49"/>
  <c r="DT26"/>
  <c r="DG38"/>
  <c r="AK26"/>
  <c r="X38"/>
  <c r="EG22"/>
  <c r="P109"/>
  <c r="EG135"/>
  <c r="GM72"/>
  <c r="AB75"/>
  <c r="AV38"/>
  <c r="CE26"/>
  <c r="P112"/>
  <c r="EP22"/>
  <c r="EP135"/>
  <c r="S26"/>
  <c r="F53"/>
  <c r="S105"/>
  <c r="AX22"/>
  <c r="AX135"/>
  <c r="F112"/>
  <c r="GP30"/>
  <c r="FV38" s="1"/>
  <c r="FS38"/>
  <c r="ES26"/>
  <c r="P58"/>
  <c r="ES105"/>
  <c r="P62"/>
  <c r="DO26"/>
  <c r="DO105"/>
  <c r="P75"/>
  <c r="CE75"/>
  <c r="CH75"/>
  <c r="AC70"/>
  <c r="CF75"/>
  <c r="EV22"/>
  <c r="P130"/>
  <c r="EV135"/>
  <c r="AY38"/>
  <c r="CH26"/>
  <c r="AL26"/>
  <c r="Y38"/>
  <c r="DM26"/>
  <c r="P60"/>
  <c r="DM105"/>
  <c r="DQ26"/>
  <c r="P65"/>
  <c r="FX26"/>
  <c r="EO38"/>
  <c r="BA22"/>
  <c r="F125"/>
  <c r="BA135"/>
  <c r="P61"/>
  <c r="DN26"/>
  <c r="DN105"/>
  <c r="AZ18"/>
  <c r="F146"/>
  <c r="F62"/>
  <c r="W26"/>
  <c r="W105"/>
  <c r="BC18"/>
  <c r="F151"/>
  <c r="DT70"/>
  <c r="DG75"/>
  <c r="ED70"/>
  <c r="DQ75"/>
  <c r="Q26"/>
  <c r="F50"/>
  <c r="Q105"/>
  <c r="AS26"/>
  <c r="F55"/>
  <c r="AS105"/>
  <c r="AQ22"/>
  <c r="F115"/>
  <c r="AQ135"/>
  <c r="EC70"/>
  <c r="DP75"/>
  <c r="F87"/>
  <c r="Q70"/>
  <c r="BD22"/>
  <c r="BD135"/>
  <c r="F130"/>
  <c r="AE26"/>
  <c r="R38"/>
  <c r="DI38"/>
  <c r="DV26"/>
  <c r="P52"/>
  <c r="DJ26"/>
  <c r="DJ105"/>
  <c r="EI22"/>
  <c r="P115"/>
  <c r="EI135"/>
  <c r="P114"/>
  <c r="G16" i="2" s="1"/>
  <c r="G18" s="1"/>
  <c r="EH22" i="1"/>
  <c r="EH135"/>
  <c r="U26"/>
  <c r="F60"/>
  <c r="U105"/>
  <c r="CF26"/>
  <c r="AW38"/>
  <c r="DH26"/>
  <c r="P41"/>
  <c r="DH105"/>
  <c r="EK26"/>
  <c r="P55"/>
  <c r="EK105"/>
  <c r="R70"/>
  <c r="F89"/>
  <c r="V26"/>
  <c r="F61"/>
  <c r="V105"/>
  <c r="AP22"/>
  <c r="AP135"/>
  <c r="F114"/>
  <c r="V16" i="2" s="1"/>
  <c r="V18" s="1"/>
  <c r="GM73" i="1"/>
  <c r="AP18" l="1"/>
  <c r="F144"/>
  <c r="DJ22"/>
  <c r="P119"/>
  <c r="DJ135"/>
  <c r="BD18"/>
  <c r="F160"/>
  <c r="Y26"/>
  <c r="F65"/>
  <c r="Y105"/>
  <c r="X26"/>
  <c r="F64"/>
  <c r="X105"/>
  <c r="ET18"/>
  <c r="P148"/>
  <c r="BB18"/>
  <c r="F148"/>
  <c r="AW26"/>
  <c r="F44"/>
  <c r="EI18"/>
  <c r="P145"/>
  <c r="F52"/>
  <c r="R26"/>
  <c r="R105"/>
  <c r="AS22"/>
  <c r="AS135"/>
  <c r="F122"/>
  <c r="T16" i="2" s="1"/>
  <c r="DG70" i="1"/>
  <c r="P77"/>
  <c r="W22"/>
  <c r="W135"/>
  <c r="F129"/>
  <c r="BA18"/>
  <c r="F155"/>
  <c r="DM22"/>
  <c r="P127"/>
  <c r="DM135"/>
  <c r="CH70"/>
  <c r="AY75"/>
  <c r="AX18"/>
  <c r="F142"/>
  <c r="EG18"/>
  <c r="P139"/>
  <c r="ER22"/>
  <c r="P116"/>
  <c r="ER135"/>
  <c r="DK22"/>
  <c r="P120"/>
  <c r="J16" i="2" s="1"/>
  <c r="J18" s="1"/>
  <c r="DK135" i="1"/>
  <c r="EN26"/>
  <c r="EN105"/>
  <c r="P43"/>
  <c r="EL18"/>
  <c r="P153"/>
  <c r="T22"/>
  <c r="T135"/>
  <c r="F126"/>
  <c r="DL22"/>
  <c r="P126"/>
  <c r="DL135"/>
  <c r="AR38"/>
  <c r="CA26"/>
  <c r="DP70"/>
  <c r="P101"/>
  <c r="CA75"/>
  <c r="GP72"/>
  <c r="CD75" s="1"/>
  <c r="F165"/>
  <c r="U16" i="2"/>
  <c r="U18" s="1"/>
  <c r="EU18" i="1"/>
  <c r="P151"/>
  <c r="P46"/>
  <c r="EQ26"/>
  <c r="EQ105"/>
  <c r="AU38"/>
  <c r="CD26"/>
  <c r="DI26"/>
  <c r="P50"/>
  <c r="DI105"/>
  <c r="EO26"/>
  <c r="P44"/>
  <c r="EO105"/>
  <c r="DO22"/>
  <c r="P129"/>
  <c r="DO135"/>
  <c r="P122"/>
  <c r="E16" i="2" s="1"/>
  <c r="EK22" i="1"/>
  <c r="EK135"/>
  <c r="U22"/>
  <c r="F127"/>
  <c r="U135"/>
  <c r="DQ70"/>
  <c r="P102"/>
  <c r="F46"/>
  <c r="AY105"/>
  <c r="AY26"/>
  <c r="CF70"/>
  <c r="AW75"/>
  <c r="P70"/>
  <c r="F78"/>
  <c r="ES22"/>
  <c r="P125"/>
  <c r="ES135"/>
  <c r="FV26"/>
  <c r="EM38"/>
  <c r="S22"/>
  <c r="S135"/>
  <c r="F120"/>
  <c r="O75"/>
  <c r="AB70"/>
  <c r="AO18"/>
  <c r="F139"/>
  <c r="AT18"/>
  <c r="F153"/>
  <c r="DQ105"/>
  <c r="P105"/>
  <c r="Q22"/>
  <c r="Q135"/>
  <c r="F117"/>
  <c r="EV18"/>
  <c r="P160"/>
  <c r="GP73"/>
  <c r="FV75" s="1"/>
  <c r="FS75"/>
  <c r="V22"/>
  <c r="V135"/>
  <c r="F128"/>
  <c r="DH22"/>
  <c r="P108"/>
  <c r="DH135"/>
  <c r="EH18"/>
  <c r="P144"/>
  <c r="AQ18"/>
  <c r="F145"/>
  <c r="P128"/>
  <c r="DN22"/>
  <c r="DN135"/>
  <c r="CE70"/>
  <c r="AV75"/>
  <c r="AV105" s="1"/>
  <c r="FS26"/>
  <c r="EJ38"/>
  <c r="EP18"/>
  <c r="P142"/>
  <c r="AV26"/>
  <c r="F43"/>
  <c r="P40"/>
  <c r="DG26"/>
  <c r="DG105"/>
  <c r="F16" i="2"/>
  <c r="F18" s="1"/>
  <c r="P165" i="1"/>
  <c r="DK70"/>
  <c r="P90"/>
  <c r="F40"/>
  <c r="O26"/>
  <c r="O105"/>
  <c r="DP105"/>
  <c r="AV22" l="1"/>
  <c r="AV135"/>
  <c r="F110"/>
  <c r="FV70"/>
  <c r="EM75"/>
  <c r="E18" i="2"/>
  <c r="EO22" i="1"/>
  <c r="P111"/>
  <c r="EO135"/>
  <c r="AR26"/>
  <c r="F66"/>
  <c r="Y22"/>
  <c r="Y135"/>
  <c r="F132"/>
  <c r="DH18"/>
  <c r="P138"/>
  <c r="V18"/>
  <c r="F158"/>
  <c r="O70"/>
  <c r="F77"/>
  <c r="EM26"/>
  <c r="P57"/>
  <c r="EM105"/>
  <c r="DO18"/>
  <c r="P159"/>
  <c r="DL18"/>
  <c r="P156"/>
  <c r="T18"/>
  <c r="F156"/>
  <c r="R22"/>
  <c r="F119"/>
  <c r="R135"/>
  <c r="X22"/>
  <c r="F131"/>
  <c r="X135"/>
  <c r="DJ18"/>
  <c r="P149"/>
  <c r="AV70"/>
  <c r="F80"/>
  <c r="Q18"/>
  <c r="F147"/>
  <c r="F81"/>
  <c r="AW70"/>
  <c r="EQ22"/>
  <c r="P113"/>
  <c r="EQ135"/>
  <c r="DK18"/>
  <c r="P150"/>
  <c r="O22"/>
  <c r="O135"/>
  <c r="F107"/>
  <c r="FS70"/>
  <c r="EJ75"/>
  <c r="P132"/>
  <c r="DQ22"/>
  <c r="DQ135"/>
  <c r="S18"/>
  <c r="F150"/>
  <c r="ES18"/>
  <c r="P155"/>
  <c r="AY22"/>
  <c r="F113"/>
  <c r="AY135"/>
  <c r="U18"/>
  <c r="F157"/>
  <c r="DI22"/>
  <c r="P117"/>
  <c r="DI135"/>
  <c r="AU26"/>
  <c r="F57"/>
  <c r="CD70"/>
  <c r="AU75"/>
  <c r="ER18"/>
  <c r="P146"/>
  <c r="AS18"/>
  <c r="F152"/>
  <c r="CA70"/>
  <c r="AR75"/>
  <c r="DM18"/>
  <c r="P157"/>
  <c r="DP22"/>
  <c r="P131"/>
  <c r="DP135"/>
  <c r="DG22"/>
  <c r="P107"/>
  <c r="DG135"/>
  <c r="P66"/>
  <c r="EJ26"/>
  <c r="EJ105"/>
  <c r="DN18"/>
  <c r="P158"/>
  <c r="P22"/>
  <c r="P135"/>
  <c r="F108"/>
  <c r="EK18"/>
  <c r="P152"/>
  <c r="EN22"/>
  <c r="P110"/>
  <c r="EN135"/>
  <c r="AY70"/>
  <c r="F83"/>
  <c r="W18"/>
  <c r="F159"/>
  <c r="T18" i="2"/>
  <c r="Y16"/>
  <c r="Y18" s="1"/>
  <c r="AW105" i="1"/>
  <c r="DG18" l="1"/>
  <c r="P137"/>
  <c r="F103"/>
  <c r="AR70"/>
  <c r="AY18"/>
  <c r="F143"/>
  <c r="X18"/>
  <c r="F161"/>
  <c r="EM22"/>
  <c r="P124"/>
  <c r="EM135"/>
  <c r="EM70"/>
  <c r="P94"/>
  <c r="AR105"/>
  <c r="AW22"/>
  <c r="F111"/>
  <c r="AW135"/>
  <c r="DI18"/>
  <c r="P147"/>
  <c r="R18"/>
  <c r="F149"/>
  <c r="EO18"/>
  <c r="P141"/>
  <c r="AV18"/>
  <c r="F140"/>
  <c r="EN18"/>
  <c r="P140"/>
  <c r="DP18"/>
  <c r="P161"/>
  <c r="AU70"/>
  <c r="F94"/>
  <c r="EJ70"/>
  <c r="P103"/>
  <c r="Y18"/>
  <c r="F162"/>
  <c r="AU105"/>
  <c r="DQ18"/>
  <c r="P162"/>
  <c r="P18"/>
  <c r="F138"/>
  <c r="EJ22"/>
  <c r="P133"/>
  <c r="EJ135"/>
  <c r="O18"/>
  <c r="F137"/>
  <c r="EQ18"/>
  <c r="P143"/>
  <c r="AW18" l="1"/>
  <c r="F141"/>
  <c r="H16" i="2"/>
  <c r="P166" i="1"/>
  <c r="EM18"/>
  <c r="P154"/>
  <c r="AR22"/>
  <c r="F133"/>
  <c r="AR135"/>
  <c r="EJ18"/>
  <c r="P163"/>
  <c r="P164" s="1"/>
  <c r="AU22"/>
  <c r="F124"/>
  <c r="AU135"/>
  <c r="AR18" l="1"/>
  <c r="F163"/>
  <c r="F164" s="1"/>
  <c r="AU18"/>
  <c r="F154"/>
  <c r="H18" i="2"/>
  <c r="I16"/>
  <c r="I18" s="1"/>
  <c r="F166" i="1"/>
  <c r="W16" i="2"/>
  <c r="W18" l="1"/>
  <c r="X16"/>
  <c r="X18" s="1"/>
</calcChain>
</file>

<file path=xl/sharedStrings.xml><?xml version="1.0" encoding="utf-8"?>
<sst xmlns="http://schemas.openxmlformats.org/spreadsheetml/2006/main" count="1313" uniqueCount="182">
  <si>
    <t>Smeta.RU  (495) 974-1589</t>
  </si>
  <si>
    <t>_PS_</t>
  </si>
  <si>
    <t>Smeta.RU</t>
  </si>
  <si>
    <t>АО "СПКБРР"  Доп. раб. место  MCCS-0021997</t>
  </si>
  <si>
    <t>(ТСН-2001 (Мосгосэкспертиза))</t>
  </si>
  <si>
    <t>09-01-07  ПНР _24.04.25</t>
  </si>
  <si>
    <t/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</si>
  <si>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</si>
  <si>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</si>
  <si>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</si>
  <si>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</si>
  <si>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</si>
  <si>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</si>
  <si>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</si>
  <si>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</si>
  <si>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09-01-06</t>
  </si>
  <si>
    <t>Пусконаладочные работы</t>
  </si>
  <si>
    <t>ДУ.ЭТ-2025-02-02-КЛ10.ЭС</t>
  </si>
  <si>
    <t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t>
  </si>
  <si>
    <t>Новый раздел</t>
  </si>
  <si>
    <t>КЛ 10 кВ</t>
  </si>
  <si>
    <t>Направление  СП 60401 - ТП 28274</t>
  </si>
  <si>
    <t>1</t>
  </si>
  <si>
    <t>5.10-35-1</t>
  </si>
  <si>
    <t>Кабельные линии высокого или низкого напряжения</t>
  </si>
  <si>
    <t>1 линия кабеля (3 испытания 1-го образца)</t>
  </si>
  <si>
    <t>ТСН-2001.5 Доп. 62, Сб. 10, т. 35, поз. 1</t>
  </si>
  <si>
    <t>Поправка: ТСН-2001.5-10.О.П. п.2  Наименование: В случаях, если на объекте различные виды пусконаладочных работ выполняются комплексно одной подрядной организацией</t>
  </si>
  <si>
    <t>)*0,8</t>
  </si>
  <si>
    <t>ТСН-2001.5-10. 10-4...10-44</t>
  </si>
  <si>
    <t>ТСН-2001.5-10-1</t>
  </si>
  <si>
    <t>Поправка: ТСН-2001.5-10.О.П. п.2</t>
  </si>
  <si>
    <t>2</t>
  </si>
  <si>
    <t>5.10-35-3</t>
  </si>
  <si>
    <t>Испытание образцов кабелей напряжением 6-10 кВ, отечественного и импортного производства</t>
  </si>
  <si>
    <t>ТСН-2001.5 Доп. 62, Сб. 10, т. 35, поз. 3</t>
  </si>
  <si>
    <t>3</t>
  </si>
  <si>
    <t>5.10-44-1</t>
  </si>
  <si>
    <t>Кабельные линии, испытание оболочек из сшитого полиэтилена каждой строительной длины силовых кабелей на напряжение 10 кВ ( 2 соед. муфты)</t>
  </si>
  <si>
    <t>1 испытание</t>
  </si>
  <si>
    <t>ТСН-2001.5. Доп. 1-42. Сб. 10, т. 44, поз. 1</t>
  </si>
  <si>
    <t>4</t>
  </si>
  <si>
    <t>2.1-8-3</t>
  </si>
  <si>
    <t>Автолаборатории</t>
  </si>
  <si>
    <t>маш.-ч</t>
  </si>
  <si>
    <t>ТСН-2001.2. Доп. 68. п.1-8-3 (085001)</t>
  </si>
  <si>
    <t>Механизмы</t>
  </si>
  <si>
    <t>ТСН-2001. Машины и механизмы</t>
  </si>
  <si>
    <t>ТСН-2001.2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</si>
  <si>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</si>
  <si>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</si>
  <si>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</si>
  <si>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</si>
  <si>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</si>
  <si>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</si>
  <si>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</si>
  <si>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</si>
  <si>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</si>
  <si>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</si>
  <si>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</si>
  <si>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</si>
  <si>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</si>
  <si>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</si>
  <si>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</si>
  <si>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</si>
  <si>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</si>
  <si>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</si>
  <si>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</si>
  <si>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</si>
  <si>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</si>
  <si>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</si>
  <si>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</si>
  <si>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</si>
  <si>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</si>
  <si>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</si>
  <si>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</si>
  <si>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</si>
  <si>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</si>
  <si>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</si>
  <si>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</si>
  <si>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</si>
  <si>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</si>
  <si>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</si>
  <si>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</si>
  <si>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</si>
  <si>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</si>
  <si>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</si>
  <si>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</si>
  <si>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</si>
  <si>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</si>
  <si>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</si>
  <si>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</si>
  <si>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</si>
  <si>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</si>
  <si>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</si>
  <si>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</si>
  <si>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</si>
  <si>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</si>
  <si>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</si>
  <si>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</si>
  <si>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</si>
  <si>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</si>
  <si>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</si>
  <si>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ТП</t>
  </si>
  <si>
    <t>5</t>
  </si>
  <si>
    <t>5.10-32-1</t>
  </si>
  <si>
    <t>Распределительный пункт (РП) на 22 камеры (ячейки) ( 2 ячейки)</t>
  </si>
  <si>
    <t>1 объект</t>
  </si>
  <si>
    <t>ТСН-2001.5. Доп. 1-42. Сб. 10, т. 32, поз. 1</t>
  </si>
  <si>
    <t>Поправка: Гл.5.Прил.2.2.п.2.2.24_05.00.01.37.002 Наименование: При производстве пусконаладочных работ при техническом руководстве персонала предприятий- изготовителей или поставщиков оборудования</t>
  </si>
  <si>
    <t>/22*2</t>
  </si>
  <si>
    <t>/22*2)*0,8</t>
  </si>
  <si>
    <t>Поправка: Гл.5.Прил.2.2.п.2.2.24_05.00.01.37.002</t>
  </si>
  <si>
    <t>в т.ч.</t>
  </si>
  <si>
    <t>Строительные работы</t>
  </si>
  <si>
    <t>Мон</t>
  </si>
  <si>
    <t>Монтажные работы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</si>
  <si>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</si>
  <si>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</si>
  <si>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</si>
  <si>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</si>
  <si>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</si>
  <si>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</si>
  <si>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</si>
  <si>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</si>
  <si>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</si>
  <si>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</si>
  <si>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</si>
  <si>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</si>
  <si>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</si>
  <si>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</si>
  <si>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*0,8</t>
  </si>
  <si>
    <t>Гл.5.Прил.2.2.п.2.2.24_05.00.01.37.002</t>
  </si>
  <si>
    <t>При производстве пусконаладочных работ при техническом руководстве персонала предприятий- изготовителей или поставщиков оборудования</t>
  </si>
  <si>
    <t>Глава 5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</si>
  <si>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</si>
  <si>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</si>
  <si>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</si>
  <si>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</si>
  <si>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</si>
  <si>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</si>
  <si>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</si>
  <si>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</si>
  <si>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</si>
  <si>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</si>
  <si>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</si>
  <si>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</si>
  <si>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</si>
  <si>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</si>
  <si>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</si>
  <si>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</si>
  <si>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</si>
  <si>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</si>
  <si>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</si>
  <si>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</si>
  <si>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</si>
  <si>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</si>
  <si>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</si>
  <si>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</si>
  <si>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</si>
  <si>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</si>
  <si>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</si>
  <si>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НР от ЗП</t>
  </si>
  <si>
    <t>%</t>
  </si>
  <si>
    <t>СП от ЗП</t>
  </si>
  <si>
    <t>ЗТР</t>
  </si>
  <si>
    <t>чел-ч</t>
  </si>
  <si>
    <t>ВСЕГО работ по позиции:</t>
  </si>
  <si>
    <t>ВСЕГО оборудование по позиции:</t>
  </si>
  <si>
    <t>ЭМ</t>
  </si>
  <si>
    <t>в т.ч. ЗПМ</t>
  </si>
  <si>
    <t>НР и СП от ЗПМ</t>
  </si>
  <si>
    <t>ВСЕГО по позиции:</t>
  </si>
  <si>
    <t xml:space="preserve">   Итого по ТСН-2001.16</t>
  </si>
  <si>
    <t xml:space="preserve">   Итого возвратных сумм</t>
  </si>
  <si>
    <t xml:space="preserve"> тыс.руб.</t>
  </si>
  <si>
    <r>
      <t>5.10-35-1</t>
    </r>
    <r>
      <rPr>
        <i/>
        <sz val="10"/>
        <rFont val="Times New Roman"/>
        <family val="1"/>
        <charset val="204"/>
      </rPr>
      <t xml:space="preserve">
Поправка: ТСН-2001.5-10.О.П. п.2</t>
    </r>
  </si>
  <si>
    <r>
      <t>5.10-35-3</t>
    </r>
    <r>
      <rPr>
        <i/>
        <sz val="10"/>
        <rFont val="Times New Roman"/>
        <family val="1"/>
        <charset val="204"/>
      </rPr>
      <t xml:space="preserve">
Поправка: ТСН-2001.5-10.О.П. п.2</t>
    </r>
  </si>
  <si>
    <r>
      <t>5.10-44-1</t>
    </r>
    <r>
      <rPr>
        <i/>
        <sz val="10"/>
        <rFont val="Times New Roman"/>
        <family val="1"/>
        <charset val="204"/>
      </rPr>
      <t xml:space="preserve">
Поправка: ТСН-2001.5-10.О.П. п.2</t>
    </r>
  </si>
  <si>
    <r>
      <t>5.10-32-1</t>
    </r>
    <r>
      <rPr>
        <i/>
        <sz val="10"/>
        <rFont val="Times New Roman"/>
        <family val="1"/>
        <charset val="204"/>
      </rPr>
      <t xml:space="preserve">
Поправка: Гл.5.Прил.2.2.п.2.2.24_05.00.01.37.002</t>
    </r>
  </si>
  <si>
    <t xml:space="preserve">Итого по смете: </t>
  </si>
  <si>
    <t>ЛОКАЛЬНАЯ СМЕТА № 09-01-02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</si>
</sst>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3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3" fillId="0" borderId="0" xfId="0" applyFont="1" applyAlignment="1">
      <alignment vertical="top" wrapText="1"/>
    </xf>
    <xf numFmtId="164" fontId="22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164" fontId="1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5"/>
  <sheetViews>
    <sheetView tabSelected="1" zoomScaleNormal="100" workbookViewId="0">
      <selection activeCell="A6" sqref="A6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8.28515625" style="12" bestFit="1" customWidth="1"/>
    <col min="6" max="6" width="10.7109375" style="12" bestFit="1" customWidth="1"/>
    <col min="7" max="7" width="8.85546875" style="12"/>
    <col min="8" max="8" width="8.42578125" style="12" bestFit="1" customWidth="1"/>
    <col min="9" max="9" width="10.7109375" style="12" bestFit="1" customWidth="1"/>
    <col min="10" max="10" width="11.28515625" style="12" bestFit="1" customWidth="1"/>
    <col min="11" max="11" width="11.855468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45" t="s">
        <v>158</v>
      </c>
      <c r="K1" s="45"/>
    </row>
    <row r="2" spans="1:11" ht="48.95" customHeight="1">
      <c r="A2" s="47" t="str">
        <f>Source!U20</f>
        <v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>
      <c r="A3" s="48" t="s">
        <v>135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7" t="s">
        <v>181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50" t="str">
        <f>Source!G20</f>
        <v>Пусконаладочные работы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>
      <c r="A8" s="51" t="s">
        <v>136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4" t="str">
        <f>CONCATENATE( "Основание: чертежи № ", Source!J12)</f>
        <v xml:space="preserve">Основание: чертежи № 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45">
      <c r="A12" s="11"/>
      <c r="B12" s="11"/>
      <c r="C12" s="11"/>
      <c r="D12" s="11"/>
      <c r="E12" s="11"/>
      <c r="F12" s="11"/>
      <c r="G12" s="11"/>
      <c r="H12" s="11"/>
      <c r="I12" s="14" t="s">
        <v>137</v>
      </c>
      <c r="J12" s="14" t="s">
        <v>138</v>
      </c>
      <c r="K12" s="11"/>
    </row>
    <row r="13" spans="1:11" ht="15">
      <c r="A13" s="11"/>
      <c r="B13" s="11"/>
      <c r="C13" s="11"/>
      <c r="D13" s="11"/>
      <c r="E13" s="46" t="s">
        <v>139</v>
      </c>
      <c r="F13" s="46"/>
      <c r="G13" s="46"/>
      <c r="H13" s="46"/>
      <c r="I13" s="15">
        <f>I14+I15+I16+I17</f>
        <v>33.312440000000002</v>
      </c>
      <c r="J13" s="15">
        <f>J14+J15+J16+J17</f>
        <v>956.22604999999999</v>
      </c>
      <c r="K13" s="16" t="s">
        <v>175</v>
      </c>
    </row>
    <row r="14" spans="1:11" ht="15">
      <c r="A14" s="11"/>
      <c r="B14" s="11"/>
      <c r="C14" s="11"/>
      <c r="D14" s="11"/>
      <c r="E14" s="41" t="s">
        <v>114</v>
      </c>
      <c r="F14" s="41"/>
      <c r="G14" s="41"/>
      <c r="H14" s="41"/>
      <c r="I14" s="17">
        <v>0</v>
      </c>
      <c r="J14" s="17">
        <v>0</v>
      </c>
      <c r="K14" s="11" t="s">
        <v>175</v>
      </c>
    </row>
    <row r="15" spans="1:11" ht="15">
      <c r="A15" s="11"/>
      <c r="B15" s="11"/>
      <c r="C15" s="11"/>
      <c r="D15" s="11"/>
      <c r="E15" s="41" t="s">
        <v>140</v>
      </c>
      <c r="F15" s="41"/>
      <c r="G15" s="41"/>
      <c r="H15" s="41"/>
      <c r="I15" s="17">
        <f>ROUND(SUM(Y1:Y95)/1000, 2)</f>
        <v>0</v>
      </c>
      <c r="J15" s="17">
        <f>ROUND((Source!P153)/1000, 2)</f>
        <v>0</v>
      </c>
      <c r="K15" s="11" t="s">
        <v>175</v>
      </c>
    </row>
    <row r="16" spans="1:11" ht="15">
      <c r="A16" s="11"/>
      <c r="B16" s="11"/>
      <c r="C16" s="11"/>
      <c r="D16" s="11"/>
      <c r="E16" s="41" t="s">
        <v>141</v>
      </c>
      <c r="F16" s="41"/>
      <c r="G16" s="41"/>
      <c r="H16" s="41"/>
      <c r="I16" s="17">
        <f>ROUND(SUM(Z1:Z95)/1000, 2)</f>
        <v>0</v>
      </c>
      <c r="J16" s="17">
        <f>ROUND((Source!P144)/1000, 2)</f>
        <v>0</v>
      </c>
      <c r="K16" s="11" t="s">
        <v>175</v>
      </c>
    </row>
    <row r="17" spans="1:42" ht="15">
      <c r="A17" s="11"/>
      <c r="B17" s="11"/>
      <c r="C17" s="11"/>
      <c r="D17" s="11"/>
      <c r="E17" s="41" t="s">
        <v>142</v>
      </c>
      <c r="F17" s="41"/>
      <c r="G17" s="41"/>
      <c r="H17" s="41"/>
      <c r="I17" s="17">
        <f>H93/1000</f>
        <v>33.312440000000002</v>
      </c>
      <c r="J17" s="17">
        <f>J93/1000</f>
        <v>956.22604999999999</v>
      </c>
      <c r="K17" s="11" t="s">
        <v>175</v>
      </c>
    </row>
    <row r="18" spans="1:42" ht="15">
      <c r="A18" s="11"/>
      <c r="B18" s="11"/>
      <c r="C18" s="11"/>
      <c r="D18" s="11"/>
      <c r="E18" s="41" t="s">
        <v>143</v>
      </c>
      <c r="F18" s="41"/>
      <c r="G18" s="41"/>
      <c r="H18" s="41"/>
      <c r="I18" s="17">
        <f>ROUND(SUM(W1:W95)/1000, 2)</f>
        <v>8.42</v>
      </c>
      <c r="J18" s="17">
        <f>((Source!P150 + Source!P149)/1000)</f>
        <v>392.84193000000005</v>
      </c>
      <c r="K18" s="11" t="s">
        <v>175</v>
      </c>
    </row>
    <row r="19" spans="1:42" ht="15">
      <c r="A19" s="11"/>
      <c r="B19" s="11"/>
      <c r="C19" s="11"/>
      <c r="D19" s="11"/>
      <c r="E19" s="41" t="s">
        <v>144</v>
      </c>
      <c r="F19" s="41"/>
      <c r="G19" s="41"/>
      <c r="H19" s="41"/>
      <c r="I19" s="17">
        <f>SUM(AB1:AB95)</f>
        <v>496.416</v>
      </c>
      <c r="J19" s="17"/>
      <c r="K19" s="11" t="s">
        <v>145</v>
      </c>
    </row>
    <row r="20" spans="1:42" ht="15" hidden="1">
      <c r="A20" s="11"/>
      <c r="B20" s="11"/>
      <c r="C20" s="11"/>
      <c r="D20" s="11"/>
      <c r="E20" s="42" t="s">
        <v>146</v>
      </c>
      <c r="F20" s="42"/>
      <c r="G20" s="42"/>
      <c r="H20" s="42"/>
      <c r="I20" s="17"/>
      <c r="J20" s="17"/>
      <c r="K20" s="11"/>
    </row>
    <row r="21" spans="1:42" ht="15" hidden="1">
      <c r="A21" s="11"/>
      <c r="B21" s="11"/>
      <c r="C21" s="11"/>
      <c r="D21" s="11"/>
      <c r="E21" s="43" t="s">
        <v>88</v>
      </c>
      <c r="F21" s="43"/>
      <c r="G21" s="43"/>
      <c r="H21" s="43"/>
      <c r="I21" s="17">
        <f>ROUND(SUM(AE1:AE95)/1000, 2)</f>
        <v>0</v>
      </c>
      <c r="J21" s="17">
        <f>SUM(AF1:AF95)/1000</f>
        <v>0</v>
      </c>
      <c r="K21" s="11" t="s">
        <v>175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159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4" t="s">
        <v>160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AP24" s="19" t="s">
        <v>160</v>
      </c>
    </row>
    <row r="25" spans="1:42" ht="105">
      <c r="A25" s="20" t="s">
        <v>147</v>
      </c>
      <c r="B25" s="20" t="s">
        <v>148</v>
      </c>
      <c r="C25" s="20" t="s">
        <v>149</v>
      </c>
      <c r="D25" s="20" t="s">
        <v>150</v>
      </c>
      <c r="E25" s="20" t="s">
        <v>151</v>
      </c>
      <c r="F25" s="20" t="s">
        <v>152</v>
      </c>
      <c r="G25" s="21" t="s">
        <v>153</v>
      </c>
      <c r="H25" s="21" t="s">
        <v>154</v>
      </c>
      <c r="I25" s="20" t="s">
        <v>155</v>
      </c>
      <c r="J25" s="20" t="s">
        <v>156</v>
      </c>
      <c r="K25" s="20" t="s">
        <v>157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38" t="str">
        <f>CONCATENATE("Локальная смета: ",IF(Source!G20&lt;&gt;"Новая локальная смета", Source!G20, ""))</f>
        <v>Локальная смета: Пусконаладочные работы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30" spans="1:42" ht="16.5">
      <c r="A30" s="38" t="str">
        <f>CONCATENATE("Раздел: ",IF(Source!G24&lt;&gt;"Новый раздел", Source!G24, ""))</f>
        <v>Раздел: КЛ 10 кВ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2" spans="1:42" ht="14.25">
      <c r="B32" s="40" t="str">
        <f>Source!G28</f>
        <v>Направление  СП 60401 - ТП 28274</v>
      </c>
      <c r="C32" s="40"/>
      <c r="D32" s="40"/>
      <c r="E32" s="40"/>
      <c r="F32" s="40"/>
      <c r="G32" s="40"/>
      <c r="H32" s="40"/>
      <c r="I32" s="40"/>
      <c r="J32" s="40"/>
    </row>
    <row r="33" spans="1:35" ht="75">
      <c r="A33" s="22">
        <v>1</v>
      </c>
      <c r="B33" s="22" t="s">
        <v>176</v>
      </c>
      <c r="C33" s="22" t="s">
        <v>24</v>
      </c>
      <c r="D33" s="23" t="str">
        <f>Source!H30</f>
        <v>1 линия кабеля (3 испытания 1-го образца)</v>
      </c>
      <c r="E33" s="24">
        <f>Source!I30</f>
        <v>2</v>
      </c>
      <c r="F33" s="25"/>
      <c r="G33" s="26"/>
      <c r="H33" s="24"/>
      <c r="I33" s="25"/>
      <c r="J33" s="24"/>
      <c r="K33" s="25"/>
      <c r="Q33" s="12">
        <f>ROUND((Source!DN30/100)*ROUND((ROUND((Source!AF30*Source!AV30*Source!I30),2)),2), 2)</f>
        <v>1242.74</v>
      </c>
      <c r="R33" s="12">
        <f>Source!X30</f>
        <v>54131.88</v>
      </c>
      <c r="S33" s="12">
        <f>ROUND((Source!DO30/100)*ROUND((ROUND((Source!AF30*Source!AV30*Source!I30),2)),2), 2)</f>
        <v>1159.8900000000001</v>
      </c>
      <c r="T33" s="12">
        <f>Source!Y30</f>
        <v>31705.82</v>
      </c>
      <c r="U33" s="12">
        <f>ROUND((175/100)*ROUND((ROUND((Source!AE30*Source!AV30*Source!I30),2)),2), 2)</f>
        <v>0</v>
      </c>
      <c r="V33" s="12">
        <f>ROUND((160/100)*ROUND(ROUND((ROUND((Source!AE30*Source!AV30*Source!I30),2)*Source!BS30),2), 2), 2)</f>
        <v>0</v>
      </c>
      <c r="AI33" s="12">
        <v>0</v>
      </c>
    </row>
    <row r="34" spans="1:35" ht="15">
      <c r="A34" s="22"/>
      <c r="B34" s="22"/>
      <c r="C34" s="22" t="s">
        <v>161</v>
      </c>
      <c r="D34" s="23"/>
      <c r="E34" s="24"/>
      <c r="F34" s="25">
        <f>Source!AO30</f>
        <v>1035.6099999999999</v>
      </c>
      <c r="G34" s="26" t="str">
        <f>Source!DG30</f>
        <v>)*0,8</v>
      </c>
      <c r="H34" s="24">
        <f>Source!AV30</f>
        <v>1</v>
      </c>
      <c r="I34" s="25">
        <f>ROUND((ROUND((Source!AF30*Source!AV30*Source!I30),2)),2)</f>
        <v>1656.98</v>
      </c>
      <c r="J34" s="24">
        <f>IF(Source!BA30&lt;&gt; 0, Source!BA30, 1)</f>
        <v>46.67</v>
      </c>
      <c r="K34" s="25">
        <f>Source!S30</f>
        <v>77331.259999999995</v>
      </c>
      <c r="W34" s="12">
        <f>I34</f>
        <v>1656.98</v>
      </c>
    </row>
    <row r="35" spans="1:35" ht="15">
      <c r="A35" s="22"/>
      <c r="B35" s="22"/>
      <c r="C35" s="22" t="s">
        <v>162</v>
      </c>
      <c r="D35" s="23" t="s">
        <v>163</v>
      </c>
      <c r="E35" s="24">
        <f>Source!DN30</f>
        <v>75</v>
      </c>
      <c r="F35" s="25"/>
      <c r="G35" s="26"/>
      <c r="H35" s="24"/>
      <c r="I35" s="25">
        <f>SUM(Q33:Q34)</f>
        <v>1242.74</v>
      </c>
      <c r="J35" s="24">
        <f>Source!BZ30</f>
        <v>70</v>
      </c>
      <c r="K35" s="25">
        <f>SUM(R33:R34)</f>
        <v>54131.88</v>
      </c>
    </row>
    <row r="36" spans="1:35" ht="15">
      <c r="A36" s="22"/>
      <c r="B36" s="22"/>
      <c r="C36" s="22" t="s">
        <v>164</v>
      </c>
      <c r="D36" s="23" t="s">
        <v>163</v>
      </c>
      <c r="E36" s="24">
        <f>Source!DO30</f>
        <v>70</v>
      </c>
      <c r="F36" s="25"/>
      <c r="G36" s="26"/>
      <c r="H36" s="24"/>
      <c r="I36" s="25">
        <f>SUM(S33:S35)</f>
        <v>1159.8900000000001</v>
      </c>
      <c r="J36" s="24">
        <f>Source!CA30</f>
        <v>41</v>
      </c>
      <c r="K36" s="25">
        <f>SUM(T33:T35)</f>
        <v>31705.82</v>
      </c>
    </row>
    <row r="37" spans="1:35" ht="15">
      <c r="A37" s="27"/>
      <c r="B37" s="27"/>
      <c r="C37" s="27" t="s">
        <v>165</v>
      </c>
      <c r="D37" s="28" t="s">
        <v>166</v>
      </c>
      <c r="E37" s="29">
        <f>Source!AQ30</f>
        <v>65</v>
      </c>
      <c r="F37" s="30"/>
      <c r="G37" s="31" t="str">
        <f>Source!DI30</f>
        <v>)*0,8</v>
      </c>
      <c r="H37" s="29">
        <f>Source!AV30</f>
        <v>1</v>
      </c>
      <c r="I37" s="30">
        <f>Source!U30</f>
        <v>104</v>
      </c>
      <c r="J37" s="29"/>
      <c r="K37" s="30"/>
      <c r="AB37" s="32">
        <f>I37</f>
        <v>104</v>
      </c>
    </row>
    <row r="38" spans="1:35" ht="14.25">
      <c r="C38" s="16" t="s">
        <v>167</v>
      </c>
      <c r="H38" s="39">
        <f>I34+I35+I36+0-0-0</f>
        <v>4059.6100000000006</v>
      </c>
      <c r="I38" s="39"/>
      <c r="J38" s="39">
        <f>K34+K35+K36+0-0-0</f>
        <v>163168.95999999999</v>
      </c>
      <c r="K38" s="39"/>
    </row>
    <row r="39" spans="1:35" ht="14.25">
      <c r="C39" s="16" t="s">
        <v>168</v>
      </c>
      <c r="H39" s="35">
        <f>0+0</f>
        <v>0</v>
      </c>
      <c r="I39" s="35"/>
      <c r="J39" s="35">
        <f>0+0</f>
        <v>0</v>
      </c>
      <c r="K39" s="35"/>
    </row>
    <row r="40" spans="1:35" ht="14.25">
      <c r="H40" s="35"/>
      <c r="I40" s="35"/>
      <c r="J40" s="35"/>
      <c r="K40" s="35"/>
      <c r="O40" s="32">
        <f>I34+I35+I36+0</f>
        <v>4059.6100000000006</v>
      </c>
      <c r="P40" s="32">
        <f>K34+K35+K36+0</f>
        <v>163168.95999999999</v>
      </c>
      <c r="X40" s="12">
        <f>IF(Source!BI30&lt;=1,I34+I35+I36-0, 0)</f>
        <v>0</v>
      </c>
      <c r="Y40" s="12">
        <f>IF(Source!BI30=2,I34+I35+I36-0, 0)</f>
        <v>0</v>
      </c>
      <c r="Z40" s="12">
        <f>IF(Source!BI30=3,I34+I35+I36-0, 0)</f>
        <v>0</v>
      </c>
      <c r="AA40" s="12">
        <f>IF(Source!BI30=4,I34+I35+I36,0)</f>
        <v>4059.6100000000006</v>
      </c>
    </row>
    <row r="42" spans="1:35" ht="75">
      <c r="A42" s="22">
        <v>2</v>
      </c>
      <c r="B42" s="22" t="s">
        <v>177</v>
      </c>
      <c r="C42" s="22" t="s">
        <v>34</v>
      </c>
      <c r="D42" s="23" t="str">
        <f>Source!H32</f>
        <v>1 линия кабеля (3 испытания 1-го образца)</v>
      </c>
      <c r="E42" s="24">
        <f>Source!I32</f>
        <v>6</v>
      </c>
      <c r="F42" s="25"/>
      <c r="G42" s="26"/>
      <c r="H42" s="24"/>
      <c r="I42" s="25"/>
      <c r="J42" s="24"/>
      <c r="K42" s="25"/>
      <c r="Q42" s="12">
        <f>ROUND((Source!DN32/100)*ROUND((ROUND((Source!AF32*Source!AV32*Source!I32),2)),2), 2)</f>
        <v>2466.3200000000002</v>
      </c>
      <c r="R42" s="12">
        <f>Source!X32</f>
        <v>107429.72</v>
      </c>
      <c r="S42" s="12">
        <f>ROUND((Source!DO32/100)*ROUND((ROUND((Source!AF32*Source!AV32*Source!I32),2)),2), 2)</f>
        <v>2301.9</v>
      </c>
      <c r="T42" s="12">
        <f>Source!Y32</f>
        <v>62923.12</v>
      </c>
      <c r="U42" s="12">
        <f>ROUND((175/100)*ROUND((ROUND((Source!AE32*Source!AV32*Source!I32),2)),2), 2)</f>
        <v>0</v>
      </c>
      <c r="V42" s="12">
        <f>ROUND((160/100)*ROUND(ROUND((ROUND((Source!AE32*Source!AV32*Source!I32),2)*Source!BS32),2), 2), 2)</f>
        <v>0</v>
      </c>
      <c r="AI42" s="12">
        <v>0</v>
      </c>
    </row>
    <row r="43" spans="1:35">
      <c r="C43" s="33" t="str">
        <f>"Объем: "&amp;Source!I32&amp;"=2*"&amp;"3"</f>
        <v>Объем: 6=2*3</v>
      </c>
    </row>
    <row r="44" spans="1:35" ht="15">
      <c r="A44" s="22"/>
      <c r="B44" s="22"/>
      <c r="C44" s="22" t="s">
        <v>161</v>
      </c>
      <c r="D44" s="23"/>
      <c r="E44" s="24"/>
      <c r="F44" s="25">
        <f>Source!AO32</f>
        <v>685.09</v>
      </c>
      <c r="G44" s="26" t="str">
        <f>Source!DG32</f>
        <v>)*0,8</v>
      </c>
      <c r="H44" s="24">
        <f>Source!AV32</f>
        <v>1</v>
      </c>
      <c r="I44" s="25">
        <f>ROUND((ROUND((Source!AF32*Source!AV32*Source!I32),2)),2)</f>
        <v>3288.43</v>
      </c>
      <c r="J44" s="24">
        <f>IF(Source!BA32&lt;&gt; 0, Source!BA32, 1)</f>
        <v>46.67</v>
      </c>
      <c r="K44" s="25">
        <f>Source!S32</f>
        <v>153471.03</v>
      </c>
      <c r="W44" s="12">
        <f>I44</f>
        <v>3288.43</v>
      </c>
    </row>
    <row r="45" spans="1:35" ht="15">
      <c r="A45" s="22"/>
      <c r="B45" s="22"/>
      <c r="C45" s="22" t="s">
        <v>162</v>
      </c>
      <c r="D45" s="23" t="s">
        <v>163</v>
      </c>
      <c r="E45" s="24">
        <f>Source!DN32</f>
        <v>75</v>
      </c>
      <c r="F45" s="25"/>
      <c r="G45" s="26"/>
      <c r="H45" s="24"/>
      <c r="I45" s="25">
        <f>SUM(Q42:Q44)</f>
        <v>2466.3200000000002</v>
      </c>
      <c r="J45" s="24">
        <f>Source!BZ32</f>
        <v>70</v>
      </c>
      <c r="K45" s="25">
        <f>SUM(R42:R44)</f>
        <v>107429.72</v>
      </c>
    </row>
    <row r="46" spans="1:35" ht="15">
      <c r="A46" s="22"/>
      <c r="B46" s="22"/>
      <c r="C46" s="22" t="s">
        <v>164</v>
      </c>
      <c r="D46" s="23" t="s">
        <v>163</v>
      </c>
      <c r="E46" s="24">
        <f>Source!DO32</f>
        <v>70</v>
      </c>
      <c r="F46" s="25"/>
      <c r="G46" s="26"/>
      <c r="H46" s="24"/>
      <c r="I46" s="25">
        <f>SUM(S42:S45)</f>
        <v>2301.9</v>
      </c>
      <c r="J46" s="24">
        <f>Source!CA32</f>
        <v>41</v>
      </c>
      <c r="K46" s="25">
        <f>SUM(T42:T45)</f>
        <v>62923.12</v>
      </c>
    </row>
    <row r="47" spans="1:35" ht="15">
      <c r="A47" s="27"/>
      <c r="B47" s="27"/>
      <c r="C47" s="27" t="s">
        <v>165</v>
      </c>
      <c r="D47" s="28" t="s">
        <v>166</v>
      </c>
      <c r="E47" s="29">
        <f>Source!AQ32</f>
        <v>43</v>
      </c>
      <c r="F47" s="30"/>
      <c r="G47" s="31" t="str">
        <f>Source!DI32</f>
        <v>)*0,8</v>
      </c>
      <c r="H47" s="29">
        <f>Source!AV32</f>
        <v>1</v>
      </c>
      <c r="I47" s="30">
        <f>Source!U32</f>
        <v>206.39999999999998</v>
      </c>
      <c r="J47" s="29"/>
      <c r="K47" s="30"/>
      <c r="AB47" s="32">
        <f>I47</f>
        <v>206.39999999999998</v>
      </c>
    </row>
    <row r="48" spans="1:35" ht="14.25">
      <c r="C48" s="16" t="s">
        <v>167</v>
      </c>
      <c r="H48" s="39">
        <f>I44+I45+I46+0-0-0</f>
        <v>8056.65</v>
      </c>
      <c r="I48" s="39"/>
      <c r="J48" s="39">
        <f>K44+K45+K46+0-0-0</f>
        <v>323823.87</v>
      </c>
      <c r="K48" s="39"/>
    </row>
    <row r="49" spans="1:35" ht="14.25">
      <c r="C49" s="16" t="s">
        <v>168</v>
      </c>
      <c r="H49" s="35">
        <f>0+0</f>
        <v>0</v>
      </c>
      <c r="I49" s="35"/>
      <c r="J49" s="35">
        <f>0+0</f>
        <v>0</v>
      </c>
      <c r="K49" s="35"/>
    </row>
    <row r="50" spans="1:35" ht="14.25">
      <c r="H50" s="35"/>
      <c r="I50" s="35"/>
      <c r="J50" s="35"/>
      <c r="K50" s="35"/>
      <c r="O50" s="32">
        <f>I44+I45+I46+0</f>
        <v>8056.65</v>
      </c>
      <c r="P50" s="32">
        <f>K44+K45+K46+0</f>
        <v>323823.87</v>
      </c>
      <c r="X50" s="12">
        <f>IF(Source!BI32&lt;=1,I44+I45+I46-0, 0)</f>
        <v>0</v>
      </c>
      <c r="Y50" s="12">
        <f>IF(Source!BI32=2,I44+I45+I46-0, 0)</f>
        <v>0</v>
      </c>
      <c r="Z50" s="12">
        <f>IF(Source!BI32=3,I44+I45+I46-0, 0)</f>
        <v>0</v>
      </c>
      <c r="AA50" s="12">
        <f>IF(Source!BI32=4,I44+I45+I46,0)</f>
        <v>8056.65</v>
      </c>
    </row>
    <row r="52" spans="1:35" ht="60">
      <c r="A52" s="22">
        <v>3</v>
      </c>
      <c r="B52" s="22" t="s">
        <v>178</v>
      </c>
      <c r="C52" s="22" t="s">
        <v>38</v>
      </c>
      <c r="D52" s="23" t="str">
        <f>Source!H34</f>
        <v>1 испытание</v>
      </c>
      <c r="E52" s="24">
        <f>Source!I34</f>
        <v>12</v>
      </c>
      <c r="F52" s="25"/>
      <c r="G52" s="26"/>
      <c r="H52" s="24"/>
      <c r="I52" s="25"/>
      <c r="J52" s="24"/>
      <c r="K52" s="25"/>
      <c r="Q52" s="12">
        <f>ROUND((Source!DN34/100)*ROUND((ROUND((Source!AF34*Source!AV34*Source!I34),2)),2), 2)</f>
        <v>934.28</v>
      </c>
      <c r="R52" s="12">
        <f>Source!X34</f>
        <v>40695.769999999997</v>
      </c>
      <c r="S52" s="12">
        <f>ROUND((Source!DO34/100)*ROUND((ROUND((Source!AF34*Source!AV34*Source!I34),2)),2), 2)</f>
        <v>871.99</v>
      </c>
      <c r="T52" s="12">
        <f>Source!Y34</f>
        <v>23836.1</v>
      </c>
      <c r="U52" s="12">
        <f>ROUND((175/100)*ROUND((ROUND((Source!AE34*Source!AV34*Source!I34),2)),2), 2)</f>
        <v>0</v>
      </c>
      <c r="V52" s="12">
        <f>ROUND((160/100)*ROUND(ROUND((ROUND((Source!AE34*Source!AV34*Source!I34),2)*Source!BS34),2), 2), 2)</f>
        <v>0</v>
      </c>
      <c r="AI52" s="12">
        <v>0</v>
      </c>
    </row>
    <row r="53" spans="1:35">
      <c r="C53" s="33" t="str">
        <f>"Объем: "&amp;Source!I34&amp;"=3*"&amp;"2*"&amp;"2"</f>
        <v>Объем: 12=3*2*2</v>
      </c>
    </row>
    <row r="54" spans="1:35" ht="15">
      <c r="A54" s="22"/>
      <c r="B54" s="22"/>
      <c r="C54" s="22" t="s">
        <v>161</v>
      </c>
      <c r="D54" s="23"/>
      <c r="E54" s="24"/>
      <c r="F54" s="25">
        <f>Source!AO34</f>
        <v>129.76</v>
      </c>
      <c r="G54" s="26" t="str">
        <f>Source!DG34</f>
        <v>)*0,8</v>
      </c>
      <c r="H54" s="24">
        <f>Source!AV34</f>
        <v>1</v>
      </c>
      <c r="I54" s="25">
        <f>ROUND((ROUND((Source!AF34*Source!AV34*Source!I34),2)),2)</f>
        <v>1245.7</v>
      </c>
      <c r="J54" s="24">
        <f>IF(Source!BA34&lt;&gt; 0, Source!BA34, 1)</f>
        <v>46.67</v>
      </c>
      <c r="K54" s="25">
        <f>Source!S34</f>
        <v>58136.82</v>
      </c>
      <c r="W54" s="12">
        <f>I54</f>
        <v>1245.7</v>
      </c>
    </row>
    <row r="55" spans="1:35" ht="15">
      <c r="A55" s="22"/>
      <c r="B55" s="22"/>
      <c r="C55" s="22" t="s">
        <v>162</v>
      </c>
      <c r="D55" s="23" t="s">
        <v>163</v>
      </c>
      <c r="E55" s="24">
        <f>Source!DN34</f>
        <v>75</v>
      </c>
      <c r="F55" s="25"/>
      <c r="G55" s="26"/>
      <c r="H55" s="24"/>
      <c r="I55" s="25">
        <f>SUM(Q52:Q54)</f>
        <v>934.28</v>
      </c>
      <c r="J55" s="24">
        <f>Source!BZ34</f>
        <v>70</v>
      </c>
      <c r="K55" s="25">
        <f>SUM(R52:R54)</f>
        <v>40695.769999999997</v>
      </c>
    </row>
    <row r="56" spans="1:35" ht="15">
      <c r="A56" s="22"/>
      <c r="B56" s="22"/>
      <c r="C56" s="22" t="s">
        <v>164</v>
      </c>
      <c r="D56" s="23" t="s">
        <v>163</v>
      </c>
      <c r="E56" s="24">
        <f>Source!DO34</f>
        <v>70</v>
      </c>
      <c r="F56" s="25"/>
      <c r="G56" s="26"/>
      <c r="H56" s="24"/>
      <c r="I56" s="25">
        <f>SUM(S52:S55)</f>
        <v>871.99</v>
      </c>
      <c r="J56" s="24">
        <f>Source!CA34</f>
        <v>41</v>
      </c>
      <c r="K56" s="25">
        <f>SUM(T52:T55)</f>
        <v>23836.1</v>
      </c>
    </row>
    <row r="57" spans="1:35" ht="15">
      <c r="A57" s="27"/>
      <c r="B57" s="27"/>
      <c r="C57" s="27" t="s">
        <v>165</v>
      </c>
      <c r="D57" s="28" t="s">
        <v>166</v>
      </c>
      <c r="E57" s="29">
        <f>Source!AQ34</f>
        <v>9.2100000000000009</v>
      </c>
      <c r="F57" s="30"/>
      <c r="G57" s="31" t="str">
        <f>Source!DI34</f>
        <v>)*0,8</v>
      </c>
      <c r="H57" s="29">
        <f>Source!AV34</f>
        <v>1</v>
      </c>
      <c r="I57" s="30">
        <f>Source!U34</f>
        <v>88.416000000000011</v>
      </c>
      <c r="J57" s="29"/>
      <c r="K57" s="30"/>
      <c r="AB57" s="32">
        <f>I57</f>
        <v>88.416000000000011</v>
      </c>
    </row>
    <row r="58" spans="1:35" ht="14.25">
      <c r="C58" s="16" t="s">
        <v>167</v>
      </c>
      <c r="H58" s="39">
        <f>I54+I55+I56+0-0-0</f>
        <v>3051.9700000000003</v>
      </c>
      <c r="I58" s="39"/>
      <c r="J58" s="39">
        <f>K54+K55+K56+0-0-0</f>
        <v>122668.69</v>
      </c>
      <c r="K58" s="39"/>
    </row>
    <row r="59" spans="1:35" ht="14.25">
      <c r="C59" s="16" t="s">
        <v>168</v>
      </c>
      <c r="H59" s="35">
        <f>0+0</f>
        <v>0</v>
      </c>
      <c r="I59" s="35"/>
      <c r="J59" s="35">
        <f>0+0</f>
        <v>0</v>
      </c>
      <c r="K59" s="35"/>
    </row>
    <row r="60" spans="1:35" ht="14.25">
      <c r="H60" s="35"/>
      <c r="I60" s="35"/>
      <c r="J60" s="35"/>
      <c r="K60" s="35"/>
      <c r="O60" s="32">
        <f>I54+I55+I56+0</f>
        <v>3051.9700000000003</v>
      </c>
      <c r="P60" s="32">
        <f>K54+K55+K56+0</f>
        <v>122668.69</v>
      </c>
      <c r="X60" s="12">
        <f>IF(Source!BI34&lt;=1,I54+I55+I56-0, 0)</f>
        <v>0</v>
      </c>
      <c r="Y60" s="12">
        <f>IF(Source!BI34=2,I54+I55+I56-0, 0)</f>
        <v>0</v>
      </c>
      <c r="Z60" s="12">
        <f>IF(Source!BI34=3,I54+I55+I56-0, 0)</f>
        <v>0</v>
      </c>
      <c r="AA60" s="12">
        <f>IF(Source!BI34=4,I54+I55+I56,0)</f>
        <v>3051.9700000000003</v>
      </c>
    </row>
    <row r="62" spans="1:35" ht="15">
      <c r="A62" s="22">
        <v>4</v>
      </c>
      <c r="B62" s="22" t="str">
        <f>Source!F36</f>
        <v>2.1-8-3</v>
      </c>
      <c r="C62" s="22" t="s">
        <v>43</v>
      </c>
      <c r="D62" s="23" t="str">
        <f>Source!H36</f>
        <v>маш.-ч</v>
      </c>
      <c r="E62" s="24">
        <f>Source!I36</f>
        <v>53.195999999999998</v>
      </c>
      <c r="F62" s="25"/>
      <c r="G62" s="26"/>
      <c r="H62" s="24"/>
      <c r="I62" s="25"/>
      <c r="J62" s="24"/>
      <c r="K62" s="25"/>
      <c r="Q62" s="12">
        <f>ROUND((Source!DN36/100)*ROUND((ROUND((Source!AF36*Source!AV36*Source!I36),2)),2), 2)</f>
        <v>0</v>
      </c>
      <c r="R62" s="12">
        <f>Source!X36</f>
        <v>0</v>
      </c>
      <c r="S62" s="12">
        <f>ROUND((Source!DO36/100)*ROUND((ROUND((Source!AF36*Source!AV36*Source!I36),2)),2), 2)</f>
        <v>0</v>
      </c>
      <c r="T62" s="12">
        <f>Source!Y36</f>
        <v>0</v>
      </c>
      <c r="U62" s="12">
        <f>ROUND((175/100)*ROUND((ROUND((Source!AE36*Source!AV36*Source!I36),2)),2), 2)</f>
        <v>1174.83</v>
      </c>
      <c r="V62" s="12">
        <f>ROUND((160/100)*ROUND(ROUND((ROUND((Source!AE36*Source!AV36*Source!I36),2)*Source!BS36),2), 2), 2)</f>
        <v>50129.55</v>
      </c>
      <c r="AI62" s="12">
        <v>2</v>
      </c>
    </row>
    <row r="63" spans="1:35">
      <c r="C63" s="33" t="str">
        <f>"Объем: "&amp;Source!I36&amp;"=("&amp;Source!I30&amp;"*"&amp;"1,5+"&amp;""&amp;Source!I34&amp;"*"&amp;"0,4)*"&amp;"6,82"</f>
        <v>Объем: 53,196=(2*1,5+12*0,4)*6,82</v>
      </c>
    </row>
    <row r="64" spans="1:35" ht="15">
      <c r="A64" s="22"/>
      <c r="B64" s="22"/>
      <c r="C64" s="22" t="s">
        <v>169</v>
      </c>
      <c r="D64" s="23"/>
      <c r="E64" s="24"/>
      <c r="F64" s="25">
        <f>Source!AM36</f>
        <v>247.38</v>
      </c>
      <c r="G64" s="26" t="str">
        <f>Source!DE36</f>
        <v/>
      </c>
      <c r="H64" s="24">
        <f>Source!AV36</f>
        <v>1</v>
      </c>
      <c r="I64" s="25">
        <f>(ROUND((ROUND(((Source!ET36)*Source!AV36*Source!I36),2)),2)+ROUND((ROUND(((Source!AE36-(Source!EU36))*Source!AV36*Source!I36),2)),2))</f>
        <v>13159.63</v>
      </c>
      <c r="J64" s="24">
        <f>IF(Source!BB36&lt;&gt; 0, Source!BB36, 1)</f>
        <v>10.89</v>
      </c>
      <c r="K64" s="25">
        <f>Source!Q36</f>
        <v>143308.37</v>
      </c>
    </row>
    <row r="65" spans="1:35" ht="15">
      <c r="A65" s="22"/>
      <c r="B65" s="22"/>
      <c r="C65" s="22" t="s">
        <v>170</v>
      </c>
      <c r="D65" s="23"/>
      <c r="E65" s="24"/>
      <c r="F65" s="25">
        <f>Source!AN36</f>
        <v>12.62</v>
      </c>
      <c r="G65" s="26" t="str">
        <f>Source!DF36</f>
        <v/>
      </c>
      <c r="H65" s="24">
        <f>Source!AV36</f>
        <v>1</v>
      </c>
      <c r="I65" s="34">
        <f>ROUND((ROUND((Source!AE36*Source!AV36*Source!I36),2)),2)</f>
        <v>671.33</v>
      </c>
      <c r="J65" s="24">
        <f>IF(Source!BS36&lt;&gt; 0, Source!BS36, 1)</f>
        <v>46.67</v>
      </c>
      <c r="K65" s="34">
        <f>Source!R36</f>
        <v>31330.97</v>
      </c>
      <c r="W65" s="12">
        <f>I65</f>
        <v>671.33</v>
      </c>
    </row>
    <row r="66" spans="1:35" ht="15">
      <c r="A66" s="27"/>
      <c r="B66" s="27"/>
      <c r="C66" s="27" t="s">
        <v>171</v>
      </c>
      <c r="D66" s="28" t="s">
        <v>163</v>
      </c>
      <c r="E66" s="29">
        <f>175</f>
        <v>175</v>
      </c>
      <c r="F66" s="30"/>
      <c r="G66" s="31"/>
      <c r="H66" s="29"/>
      <c r="I66" s="30">
        <f>SUM(U62:U65)</f>
        <v>1174.83</v>
      </c>
      <c r="J66" s="29">
        <f>160</f>
        <v>160</v>
      </c>
      <c r="K66" s="30">
        <f>SUM(V62:V65)</f>
        <v>50129.55</v>
      </c>
    </row>
    <row r="67" spans="1:35" ht="14.25">
      <c r="C67" s="16" t="s">
        <v>172</v>
      </c>
      <c r="H67" s="39">
        <f>I64+I66+0</f>
        <v>14334.46</v>
      </c>
      <c r="I67" s="39"/>
      <c r="J67" s="39">
        <f>K64+K66+0</f>
        <v>193437.91999999998</v>
      </c>
      <c r="K67" s="39"/>
      <c r="O67" s="32">
        <f>I64+I66+0</f>
        <v>14334.46</v>
      </c>
      <c r="P67" s="32">
        <f>K64+K66+0</f>
        <v>193437.91999999998</v>
      </c>
      <c r="X67" s="12">
        <f>IF(Source!BI36&lt;=1,I64+I66-0, 0)</f>
        <v>14334.46</v>
      </c>
      <c r="Y67" s="12">
        <f>IF(Source!BI36=2,I64+I66-0, 0)</f>
        <v>0</v>
      </c>
      <c r="Z67" s="12">
        <f>IF(Source!BI36=3,I64+I66-0, 0)</f>
        <v>0</v>
      </c>
      <c r="AA67" s="12">
        <f>IF(Source!BI36=4,I64+I66,0)</f>
        <v>0</v>
      </c>
    </row>
    <row r="70" spans="1:35" ht="14.25">
      <c r="A70" s="37" t="str">
        <f>CONCATENATE("Итого по разделу: ",IF(Source!G38&lt;&gt;"Новый раздел", Source!G38, ""))</f>
        <v>Итого по разделу: КЛ 10 кВ</v>
      </c>
      <c r="B70" s="37"/>
      <c r="C70" s="37"/>
      <c r="D70" s="37"/>
      <c r="E70" s="37"/>
      <c r="F70" s="37"/>
      <c r="G70" s="37"/>
      <c r="H70" s="35">
        <f>SUM(O30:O69)</f>
        <v>29502.69</v>
      </c>
      <c r="I70" s="36"/>
      <c r="J70" s="35">
        <f>SUM(P30:P69)</f>
        <v>803099.44</v>
      </c>
      <c r="K70" s="36"/>
    </row>
    <row r="71" spans="1:35" hidden="1">
      <c r="A71" s="12" t="s">
        <v>173</v>
      </c>
      <c r="H71" s="12">
        <f>SUM(AC30:AC70)</f>
        <v>0</v>
      </c>
      <c r="J71" s="12">
        <f>SUM(AD30:AD70)</f>
        <v>0</v>
      </c>
    </row>
    <row r="72" spans="1:35" hidden="1">
      <c r="A72" s="12" t="s">
        <v>174</v>
      </c>
      <c r="H72" s="12">
        <f>SUM(AE30:AE71)</f>
        <v>0</v>
      </c>
      <c r="J72" s="12">
        <f>SUM(AF30:AF71)</f>
        <v>0</v>
      </c>
    </row>
    <row r="74" spans="1:35" ht="16.5">
      <c r="A74" s="38" t="str">
        <f>CONCATENATE("Раздел: ",IF(Source!G68&lt;&gt;"Новый раздел", Source!G68, ""))</f>
        <v>Раздел: ТП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35" ht="78.75">
      <c r="A75" s="22">
        <v>5</v>
      </c>
      <c r="B75" s="22" t="s">
        <v>179</v>
      </c>
      <c r="C75" s="22" t="s">
        <v>106</v>
      </c>
      <c r="D75" s="23" t="str">
        <f>Source!H73</f>
        <v>1 объект</v>
      </c>
      <c r="E75" s="24">
        <f>Source!I73</f>
        <v>1</v>
      </c>
      <c r="F75" s="25"/>
      <c r="G75" s="26"/>
      <c r="H75" s="24"/>
      <c r="I75" s="25"/>
      <c r="J75" s="24"/>
      <c r="K75" s="25"/>
      <c r="Q75" s="12">
        <f>ROUND((Source!DN73/100)*ROUND((ROUND((Source!AF73*Source!AV73*Source!I73),2)),2), 2)</f>
        <v>1166.25</v>
      </c>
      <c r="R75" s="12">
        <f>Source!X73</f>
        <v>50800.3</v>
      </c>
      <c r="S75" s="12">
        <f>ROUND((Source!DO73/100)*ROUND((ROUND((Source!AF73*Source!AV73*Source!I73),2)),2), 2)</f>
        <v>1088.5</v>
      </c>
      <c r="T75" s="12">
        <f>Source!Y73</f>
        <v>29754.46</v>
      </c>
      <c r="U75" s="12">
        <f>ROUND((175/100)*ROUND((ROUND((Source!AE73*Source!AV73*Source!I73),2)),2), 2)</f>
        <v>0</v>
      </c>
      <c r="V75" s="12">
        <f>ROUND((160/100)*ROUND(ROUND((ROUND((Source!AE73*Source!AV73*Source!I73),2)*Source!BS73),2), 2), 2)</f>
        <v>0</v>
      </c>
      <c r="AI75" s="12">
        <v>0</v>
      </c>
    </row>
    <row r="76" spans="1:35" ht="30">
      <c r="A76" s="22"/>
      <c r="B76" s="22"/>
      <c r="C76" s="22" t="s">
        <v>161</v>
      </c>
      <c r="D76" s="23"/>
      <c r="E76" s="24"/>
      <c r="F76" s="25">
        <f>Source!AO73</f>
        <v>21381.279999999999</v>
      </c>
      <c r="G76" s="26" t="str">
        <f>Source!DG73</f>
        <v>/22*2)*0,8</v>
      </c>
      <c r="H76" s="24">
        <f>Source!AV73</f>
        <v>1</v>
      </c>
      <c r="I76" s="25">
        <f>ROUND((ROUND((Source!AF73*Source!AV73*Source!I73),2)),2)</f>
        <v>1555</v>
      </c>
      <c r="J76" s="24">
        <f>IF(Source!BA73&lt;&gt; 0, Source!BA73, 1)</f>
        <v>46.67</v>
      </c>
      <c r="K76" s="25">
        <f>Source!S73</f>
        <v>72571.850000000006</v>
      </c>
      <c r="W76" s="12">
        <f>I76</f>
        <v>1555</v>
      </c>
    </row>
    <row r="77" spans="1:35" ht="15">
      <c r="A77" s="22"/>
      <c r="B77" s="22"/>
      <c r="C77" s="22" t="s">
        <v>162</v>
      </c>
      <c r="D77" s="23" t="s">
        <v>163</v>
      </c>
      <c r="E77" s="24">
        <f>Source!DN73</f>
        <v>75</v>
      </c>
      <c r="F77" s="25"/>
      <c r="G77" s="26"/>
      <c r="H77" s="24"/>
      <c r="I77" s="25">
        <f>SUM(Q75:Q76)</f>
        <v>1166.25</v>
      </c>
      <c r="J77" s="24">
        <f>Source!BZ73</f>
        <v>70</v>
      </c>
      <c r="K77" s="25">
        <f>SUM(R75:R76)</f>
        <v>50800.3</v>
      </c>
    </row>
    <row r="78" spans="1:35" ht="15">
      <c r="A78" s="22"/>
      <c r="B78" s="22"/>
      <c r="C78" s="22" t="s">
        <v>164</v>
      </c>
      <c r="D78" s="23" t="s">
        <v>163</v>
      </c>
      <c r="E78" s="24">
        <f>Source!DO73</f>
        <v>70</v>
      </c>
      <c r="F78" s="25"/>
      <c r="G78" s="26"/>
      <c r="H78" s="24"/>
      <c r="I78" s="25">
        <f>SUM(S75:S77)</f>
        <v>1088.5</v>
      </c>
      <c r="J78" s="24">
        <f>Source!CA73</f>
        <v>41</v>
      </c>
      <c r="K78" s="25">
        <f>SUM(T75:T77)</f>
        <v>29754.46</v>
      </c>
    </row>
    <row r="79" spans="1:35" ht="30">
      <c r="A79" s="27"/>
      <c r="B79" s="27"/>
      <c r="C79" s="27" t="s">
        <v>165</v>
      </c>
      <c r="D79" s="28" t="s">
        <v>166</v>
      </c>
      <c r="E79" s="29">
        <f>Source!AQ73</f>
        <v>1342</v>
      </c>
      <c r="F79" s="30"/>
      <c r="G79" s="31" t="str">
        <f>Source!DI73</f>
        <v>/22*2)*0,8</v>
      </c>
      <c r="H79" s="29">
        <f>Source!AV73</f>
        <v>1</v>
      </c>
      <c r="I79" s="30">
        <f>Source!U73</f>
        <v>97.600000000000009</v>
      </c>
      <c r="J79" s="29"/>
      <c r="K79" s="30"/>
      <c r="AB79" s="32">
        <f>I79</f>
        <v>97.600000000000009</v>
      </c>
    </row>
    <row r="80" spans="1:35" ht="14.25">
      <c r="C80" s="16" t="s">
        <v>167</v>
      </c>
      <c r="H80" s="39">
        <f>I76+I77+I78+0-0-0</f>
        <v>3809.75</v>
      </c>
      <c r="I80" s="39"/>
      <c r="J80" s="39">
        <f>K76+K77+K78+0-0-0</f>
        <v>153126.61000000002</v>
      </c>
      <c r="K80" s="39"/>
    </row>
    <row r="81" spans="1:27" ht="14.25">
      <c r="C81" s="16" t="s">
        <v>168</v>
      </c>
      <c r="H81" s="35">
        <f>0+0</f>
        <v>0</v>
      </c>
      <c r="I81" s="35"/>
      <c r="J81" s="35">
        <f>0+0</f>
        <v>0</v>
      </c>
      <c r="K81" s="35"/>
    </row>
    <row r="82" spans="1:27" ht="14.25">
      <c r="H82" s="35"/>
      <c r="I82" s="35"/>
      <c r="J82" s="35"/>
      <c r="K82" s="35"/>
      <c r="O82" s="32">
        <f>I76+I77+I78+0</f>
        <v>3809.75</v>
      </c>
      <c r="P82" s="32">
        <f>K76+K77+K78+0</f>
        <v>153126.61000000002</v>
      </c>
      <c r="X82" s="12">
        <f>IF(Source!BI73&lt;=1,I76+I77+I78-0, 0)</f>
        <v>0</v>
      </c>
      <c r="Y82" s="12">
        <f>IF(Source!BI73=2,I76+I77+I78-0, 0)</f>
        <v>0</v>
      </c>
      <c r="Z82" s="12">
        <f>IF(Source!BI73=3,I76+I77+I78-0, 0)</f>
        <v>0</v>
      </c>
      <c r="AA82" s="12">
        <f>IF(Source!BI73=4,I76+I77+I78,0)</f>
        <v>3809.75</v>
      </c>
    </row>
    <row r="85" spans="1:27" ht="14.25">
      <c r="A85" s="37" t="str">
        <f>CONCATENATE("Итого по разделу: ",IF(Source!G75&lt;&gt;"Новый раздел", Source!G75, ""))</f>
        <v>Итого по разделу: ТП</v>
      </c>
      <c r="B85" s="37"/>
      <c r="C85" s="37"/>
      <c r="D85" s="37"/>
      <c r="E85" s="37"/>
      <c r="F85" s="37"/>
      <c r="G85" s="37"/>
      <c r="H85" s="35">
        <f>SUM(O74:O84)</f>
        <v>3809.75</v>
      </c>
      <c r="I85" s="36"/>
      <c r="J85" s="35">
        <f>SUM(P74:P84)</f>
        <v>153126.61000000002</v>
      </c>
      <c r="K85" s="36"/>
    </row>
    <row r="86" spans="1:27" hidden="1">
      <c r="A86" s="12" t="s">
        <v>173</v>
      </c>
      <c r="H86" s="12">
        <f>SUM(AC74:AC85)</f>
        <v>0</v>
      </c>
      <c r="J86" s="12">
        <f>SUM(AD74:AD85)</f>
        <v>0</v>
      </c>
    </row>
    <row r="87" spans="1:27" hidden="1">
      <c r="A87" s="12" t="s">
        <v>174</v>
      </c>
      <c r="H87" s="12">
        <f>SUM(AE74:AE86)</f>
        <v>0</v>
      </c>
      <c r="J87" s="12">
        <f>SUM(AF74:AF86)</f>
        <v>0</v>
      </c>
    </row>
    <row r="89" spans="1:27" ht="14.25">
      <c r="A89" s="37" t="str">
        <f>CONCATENATE("Итого по локальной смете: ",IF(Source!G105&lt;&gt;"Новая локальная смета", Source!G105, ""))</f>
        <v>Итого по локальной смете: Пусконаладочные работы</v>
      </c>
      <c r="B89" s="37"/>
      <c r="C89" s="37"/>
      <c r="D89" s="37"/>
      <c r="E89" s="37"/>
      <c r="F89" s="37"/>
      <c r="G89" s="37"/>
      <c r="H89" s="35">
        <f>SUM(O28:O88)</f>
        <v>33312.44</v>
      </c>
      <c r="I89" s="36"/>
      <c r="J89" s="35">
        <f>SUM(P28:P88)</f>
        <v>956226.04999999993</v>
      </c>
      <c r="K89" s="36"/>
    </row>
    <row r="90" spans="1:27" hidden="1">
      <c r="A90" s="12" t="s">
        <v>173</v>
      </c>
      <c r="H90" s="12">
        <f>SUM(AC28:AC89)</f>
        <v>0</v>
      </c>
      <c r="J90" s="12">
        <f>SUM(AD28:AD89)</f>
        <v>0</v>
      </c>
    </row>
    <row r="91" spans="1:27" hidden="1">
      <c r="A91" s="12" t="s">
        <v>174</v>
      </c>
      <c r="H91" s="12">
        <f>SUM(AE28:AE90)</f>
        <v>0</v>
      </c>
      <c r="J91" s="12">
        <f>SUM(AF28:AF90)</f>
        <v>0</v>
      </c>
    </row>
    <row r="93" spans="1:27" ht="14.25">
      <c r="A93" s="37" t="s">
        <v>180</v>
      </c>
      <c r="B93" s="37"/>
      <c r="C93" s="37"/>
      <c r="D93" s="37"/>
      <c r="E93" s="37"/>
      <c r="F93" s="37"/>
      <c r="G93" s="37"/>
      <c r="H93" s="35">
        <f>SUM(O1:O92)</f>
        <v>33312.44</v>
      </c>
      <c r="I93" s="36"/>
      <c r="J93" s="35">
        <f>SUM(P1:P92)</f>
        <v>956226.04999999993</v>
      </c>
      <c r="K93" s="36"/>
    </row>
    <row r="94" spans="1:27" hidden="1">
      <c r="A94" s="12" t="s">
        <v>173</v>
      </c>
      <c r="H94" s="12">
        <f>SUM(AC1:AC93)</f>
        <v>0</v>
      </c>
      <c r="J94" s="12">
        <f>SUM(AD1:AD93)</f>
        <v>0</v>
      </c>
    </row>
    <row r="95" spans="1:27" hidden="1">
      <c r="A95" s="12" t="s">
        <v>174</v>
      </c>
      <c r="H95" s="12">
        <f>SUM(AE1:AE94)</f>
        <v>0</v>
      </c>
      <c r="J95" s="12">
        <f>SUM(AF1:AF94)</f>
        <v>0</v>
      </c>
    </row>
  </sheetData>
  <mergeCells count="59">
    <mergeCell ref="A28:K28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A24:K24"/>
    <mergeCell ref="J1:K1"/>
    <mergeCell ref="A2:K2"/>
    <mergeCell ref="A3:K3"/>
    <mergeCell ref="A5:K5"/>
    <mergeCell ref="A7:K7"/>
    <mergeCell ref="A8:K8"/>
    <mergeCell ref="A10:K10"/>
    <mergeCell ref="A30:K30"/>
    <mergeCell ref="B32:J32"/>
    <mergeCell ref="H38:I38"/>
    <mergeCell ref="J38:K38"/>
    <mergeCell ref="H39:I39"/>
    <mergeCell ref="J39:K39"/>
    <mergeCell ref="J40:K40"/>
    <mergeCell ref="H40:I40"/>
    <mergeCell ref="H48:I48"/>
    <mergeCell ref="J48:K48"/>
    <mergeCell ref="H49:I49"/>
    <mergeCell ref="J49:K49"/>
    <mergeCell ref="J50:K50"/>
    <mergeCell ref="H50:I50"/>
    <mergeCell ref="H58:I58"/>
    <mergeCell ref="J58:K58"/>
    <mergeCell ref="H59:I59"/>
    <mergeCell ref="J59:K59"/>
    <mergeCell ref="J60:K60"/>
    <mergeCell ref="H60:I60"/>
    <mergeCell ref="H67:I67"/>
    <mergeCell ref="J67:K67"/>
    <mergeCell ref="J70:K70"/>
    <mergeCell ref="H70:I70"/>
    <mergeCell ref="A70:G70"/>
    <mergeCell ref="A74:K74"/>
    <mergeCell ref="H80:I80"/>
    <mergeCell ref="J80:K80"/>
    <mergeCell ref="H81:I81"/>
    <mergeCell ref="J81:K81"/>
    <mergeCell ref="J93:K93"/>
    <mergeCell ref="H93:I93"/>
    <mergeCell ref="A93:G93"/>
    <mergeCell ref="J82:K82"/>
    <mergeCell ref="H82:I82"/>
    <mergeCell ref="J85:K85"/>
    <mergeCell ref="H85:I85"/>
    <mergeCell ref="A85:G85"/>
    <mergeCell ref="J89:K89"/>
    <mergeCell ref="H89:I89"/>
    <mergeCell ref="A89:G89"/>
  </mergeCells>
  <pageMargins left="0.4" right="0.2" top="0.4" bottom="0.4" header="0.2" footer="0.2"/>
  <pageSetup paperSize="9" scale="71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183"/>
  <sheetViews>
    <sheetView workbookViewId="0">
      <selection activeCell="J1" sqref="J1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176</v>
      </c>
      <c r="C12" s="1">
        <v>0</v>
      </c>
      <c r="D12" s="1">
        <f>ROW(A135)</f>
        <v>135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B135</f>
        <v>176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(ТСН-2001 (Мосгосэкспертиза))</v>
      </c>
      <c r="G18" s="3" t="str">
        <f t="shared" si="0"/>
        <v>09-01-07  ПНР _24.04.25</v>
      </c>
      <c r="H18" s="3"/>
      <c r="I18" s="3"/>
      <c r="J18" s="3"/>
      <c r="K18" s="3"/>
      <c r="L18" s="3"/>
      <c r="M18" s="3"/>
      <c r="N18" s="3"/>
      <c r="O18" s="3">
        <f t="shared" ref="O18:AT18" si="1">O135</f>
        <v>20905.740000000002</v>
      </c>
      <c r="P18" s="3">
        <f t="shared" si="1"/>
        <v>0</v>
      </c>
      <c r="Q18" s="3">
        <f t="shared" si="1"/>
        <v>13159.63</v>
      </c>
      <c r="R18" s="3">
        <f t="shared" si="1"/>
        <v>671.33</v>
      </c>
      <c r="S18" s="3">
        <f t="shared" si="1"/>
        <v>7746.11</v>
      </c>
      <c r="T18" s="3">
        <f t="shared" si="1"/>
        <v>0</v>
      </c>
      <c r="U18" s="3">
        <f t="shared" si="1"/>
        <v>496.416</v>
      </c>
      <c r="V18" s="3">
        <f t="shared" si="1"/>
        <v>0</v>
      </c>
      <c r="W18" s="3">
        <f t="shared" si="1"/>
        <v>0</v>
      </c>
      <c r="X18" s="3">
        <f t="shared" si="1"/>
        <v>5809.59</v>
      </c>
      <c r="Y18" s="3">
        <f t="shared" si="1"/>
        <v>5422.28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33312.44</v>
      </c>
      <c r="AS18" s="3">
        <f t="shared" si="1"/>
        <v>14334.46</v>
      </c>
      <c r="AT18" s="3">
        <f t="shared" si="1"/>
        <v>0</v>
      </c>
      <c r="AU18" s="3">
        <f t="shared" ref="AU18:BZ18" si="2">AU135</f>
        <v>18977.98</v>
      </c>
      <c r="AV18" s="3">
        <f t="shared" si="2"/>
        <v>0</v>
      </c>
      <c r="AW18" s="3">
        <f t="shared" si="2"/>
        <v>0</v>
      </c>
      <c r="AX18" s="3">
        <f t="shared" si="2"/>
        <v>0</v>
      </c>
      <c r="AY18" s="3">
        <f t="shared" si="2"/>
        <v>0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CA135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DG135</f>
        <v>504819.33</v>
      </c>
      <c r="DH18" s="4">
        <f t="shared" si="4"/>
        <v>0</v>
      </c>
      <c r="DI18" s="4">
        <f t="shared" si="4"/>
        <v>143308.37</v>
      </c>
      <c r="DJ18" s="4">
        <f t="shared" si="4"/>
        <v>31330.97</v>
      </c>
      <c r="DK18" s="4">
        <f t="shared" si="4"/>
        <v>361510.96</v>
      </c>
      <c r="DL18" s="4">
        <f t="shared" si="4"/>
        <v>0</v>
      </c>
      <c r="DM18" s="4">
        <f t="shared" si="4"/>
        <v>496.416</v>
      </c>
      <c r="DN18" s="4">
        <f t="shared" si="4"/>
        <v>0</v>
      </c>
      <c r="DO18" s="4">
        <f t="shared" si="4"/>
        <v>0</v>
      </c>
      <c r="DP18" s="4">
        <f t="shared" si="4"/>
        <v>253057.67</v>
      </c>
      <c r="DQ18" s="4">
        <f t="shared" si="4"/>
        <v>148219.5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956226.05</v>
      </c>
      <c r="EK18" s="4">
        <f t="shared" si="4"/>
        <v>193437.92</v>
      </c>
      <c r="EL18" s="4">
        <f t="shared" si="4"/>
        <v>0</v>
      </c>
      <c r="EM18" s="4">
        <f t="shared" ref="EM18:FR18" si="5">EM135</f>
        <v>762788.13</v>
      </c>
      <c r="EN18" s="4">
        <f t="shared" si="5"/>
        <v>0</v>
      </c>
      <c r="EO18" s="4">
        <f t="shared" si="5"/>
        <v>0</v>
      </c>
      <c r="EP18" s="4">
        <f t="shared" si="5"/>
        <v>0</v>
      </c>
      <c r="EQ18" s="4">
        <f t="shared" si="5"/>
        <v>0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FS135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ROW(A105)</f>
        <v>105</v>
      </c>
      <c r="E20" s="1"/>
      <c r="F20" s="1" t="s">
        <v>15</v>
      </c>
      <c r="G20" s="1" t="s">
        <v>16</v>
      </c>
      <c r="H20" s="1" t="s">
        <v>6</v>
      </c>
      <c r="I20" s="1">
        <v>0</v>
      </c>
      <c r="J20" s="1" t="s">
        <v>17</v>
      </c>
      <c r="K20" s="1">
        <v>-1</v>
      </c>
      <c r="L20" s="1" t="s">
        <v>15</v>
      </c>
      <c r="M20" s="1" t="s">
        <v>6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18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55">
      <c r="A22" s="3">
        <v>52</v>
      </c>
      <c r="B22" s="3">
        <f t="shared" ref="B22:G22" si="7">B105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09-01-06</v>
      </c>
      <c r="G22" s="3" t="str">
        <f t="shared" si="7"/>
        <v>Пусконаладочные работы</v>
      </c>
      <c r="H22" s="3"/>
      <c r="I22" s="3"/>
      <c r="J22" s="3"/>
      <c r="K22" s="3"/>
      <c r="L22" s="3"/>
      <c r="M22" s="3"/>
      <c r="N22" s="3"/>
      <c r="O22" s="3">
        <f t="shared" ref="O22:AT22" si="8">O105</f>
        <v>20905.740000000002</v>
      </c>
      <c r="P22" s="3">
        <f t="shared" si="8"/>
        <v>0</v>
      </c>
      <c r="Q22" s="3">
        <f t="shared" si="8"/>
        <v>13159.63</v>
      </c>
      <c r="R22" s="3">
        <f t="shared" si="8"/>
        <v>671.33</v>
      </c>
      <c r="S22" s="3">
        <f t="shared" si="8"/>
        <v>7746.11</v>
      </c>
      <c r="T22" s="3">
        <f t="shared" si="8"/>
        <v>0</v>
      </c>
      <c r="U22" s="3">
        <f t="shared" si="8"/>
        <v>496.416</v>
      </c>
      <c r="V22" s="3">
        <f t="shared" si="8"/>
        <v>0</v>
      </c>
      <c r="W22" s="3">
        <f t="shared" si="8"/>
        <v>0</v>
      </c>
      <c r="X22" s="3">
        <f t="shared" si="8"/>
        <v>5809.59</v>
      </c>
      <c r="Y22" s="3">
        <f t="shared" si="8"/>
        <v>5422.28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33312.44</v>
      </c>
      <c r="AS22" s="3">
        <f t="shared" si="8"/>
        <v>14334.46</v>
      </c>
      <c r="AT22" s="3">
        <f t="shared" si="8"/>
        <v>0</v>
      </c>
      <c r="AU22" s="3">
        <f t="shared" ref="AU22:BZ22" si="9">AU105</f>
        <v>18977.98</v>
      </c>
      <c r="AV22" s="3">
        <f t="shared" si="9"/>
        <v>0</v>
      </c>
      <c r="AW22" s="3">
        <f t="shared" si="9"/>
        <v>0</v>
      </c>
      <c r="AX22" s="3">
        <f t="shared" si="9"/>
        <v>0</v>
      </c>
      <c r="AY22" s="3">
        <f t="shared" si="9"/>
        <v>0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CA105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DG105</f>
        <v>504819.33</v>
      </c>
      <c r="DH22" s="4">
        <f t="shared" si="11"/>
        <v>0</v>
      </c>
      <c r="DI22" s="4">
        <f t="shared" si="11"/>
        <v>143308.37</v>
      </c>
      <c r="DJ22" s="4">
        <f t="shared" si="11"/>
        <v>31330.97</v>
      </c>
      <c r="DK22" s="4">
        <f t="shared" si="11"/>
        <v>361510.96</v>
      </c>
      <c r="DL22" s="4">
        <f t="shared" si="11"/>
        <v>0</v>
      </c>
      <c r="DM22" s="4">
        <f t="shared" si="11"/>
        <v>496.416</v>
      </c>
      <c r="DN22" s="4">
        <f t="shared" si="11"/>
        <v>0</v>
      </c>
      <c r="DO22" s="4">
        <f t="shared" si="11"/>
        <v>0</v>
      </c>
      <c r="DP22" s="4">
        <f t="shared" si="11"/>
        <v>253057.67</v>
      </c>
      <c r="DQ22" s="4">
        <f t="shared" si="11"/>
        <v>148219.5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956226.05</v>
      </c>
      <c r="EK22" s="4">
        <f t="shared" si="11"/>
        <v>193437.92</v>
      </c>
      <c r="EL22" s="4">
        <f t="shared" si="11"/>
        <v>0</v>
      </c>
      <c r="EM22" s="4">
        <f t="shared" ref="EM22:FR22" si="12">EM105</f>
        <v>762788.13</v>
      </c>
      <c r="EN22" s="4">
        <f t="shared" si="12"/>
        <v>0</v>
      </c>
      <c r="EO22" s="4">
        <f t="shared" si="12"/>
        <v>0</v>
      </c>
      <c r="EP22" s="4">
        <f t="shared" si="12"/>
        <v>0</v>
      </c>
      <c r="EQ22" s="4">
        <f t="shared" si="12"/>
        <v>0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FS105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ROW(A38)</f>
        <v>38</v>
      </c>
      <c r="E24" s="1"/>
      <c r="F24" s="1" t="s">
        <v>19</v>
      </c>
      <c r="G24" s="1" t="s">
        <v>20</v>
      </c>
      <c r="H24" s="1" t="s">
        <v>6</v>
      </c>
      <c r="I24" s="1">
        <v>0</v>
      </c>
      <c r="J24" s="1"/>
      <c r="K24" s="1">
        <v>-1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B38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КЛ 10 кВ</v>
      </c>
      <c r="H26" s="3"/>
      <c r="I26" s="3"/>
      <c r="J26" s="3"/>
      <c r="K26" s="3"/>
      <c r="L26" s="3"/>
      <c r="M26" s="3"/>
      <c r="N26" s="3"/>
      <c r="O26" s="3">
        <f t="shared" ref="O26:AT26" si="15">O38</f>
        <v>19350.740000000002</v>
      </c>
      <c r="P26" s="3">
        <f t="shared" si="15"/>
        <v>0</v>
      </c>
      <c r="Q26" s="3">
        <f t="shared" si="15"/>
        <v>13159.63</v>
      </c>
      <c r="R26" s="3">
        <f t="shared" si="15"/>
        <v>671.33</v>
      </c>
      <c r="S26" s="3">
        <f t="shared" si="15"/>
        <v>6191.11</v>
      </c>
      <c r="T26" s="3">
        <f t="shared" si="15"/>
        <v>0</v>
      </c>
      <c r="U26" s="3">
        <f t="shared" si="15"/>
        <v>398.81599999999997</v>
      </c>
      <c r="V26" s="3">
        <f t="shared" si="15"/>
        <v>0</v>
      </c>
      <c r="W26" s="3">
        <f t="shared" si="15"/>
        <v>0</v>
      </c>
      <c r="X26" s="3">
        <f t="shared" si="15"/>
        <v>4643.34</v>
      </c>
      <c r="Y26" s="3">
        <f t="shared" si="15"/>
        <v>4333.78</v>
      </c>
      <c r="Z26" s="3">
        <f t="shared" si="15"/>
        <v>0</v>
      </c>
      <c r="AA26" s="3">
        <f t="shared" si="15"/>
        <v>0</v>
      </c>
      <c r="AB26" s="3">
        <f t="shared" si="15"/>
        <v>19350.740000000002</v>
      </c>
      <c r="AC26" s="3">
        <f t="shared" si="15"/>
        <v>0</v>
      </c>
      <c r="AD26" s="3">
        <f t="shared" si="15"/>
        <v>13159.63</v>
      </c>
      <c r="AE26" s="3">
        <f t="shared" si="15"/>
        <v>671.33</v>
      </c>
      <c r="AF26" s="3">
        <f t="shared" si="15"/>
        <v>6191.11</v>
      </c>
      <c r="AG26" s="3">
        <f t="shared" si="15"/>
        <v>0</v>
      </c>
      <c r="AH26" s="3">
        <f t="shared" si="15"/>
        <v>398.81599999999997</v>
      </c>
      <c r="AI26" s="3">
        <f t="shared" si="15"/>
        <v>0</v>
      </c>
      <c r="AJ26" s="3">
        <f t="shared" si="15"/>
        <v>0</v>
      </c>
      <c r="AK26" s="3">
        <f t="shared" si="15"/>
        <v>4643.34</v>
      </c>
      <c r="AL26" s="3">
        <f t="shared" si="15"/>
        <v>4333.78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29502.69</v>
      </c>
      <c r="AS26" s="3">
        <f t="shared" si="15"/>
        <v>14334.46</v>
      </c>
      <c r="AT26" s="3">
        <f t="shared" si="15"/>
        <v>0</v>
      </c>
      <c r="AU26" s="3">
        <f t="shared" ref="AU26:BZ26" si="16">AU38</f>
        <v>15168.23</v>
      </c>
      <c r="AV26" s="3">
        <f t="shared" si="16"/>
        <v>0</v>
      </c>
      <c r="AW26" s="3">
        <f t="shared" si="16"/>
        <v>0</v>
      </c>
      <c r="AX26" s="3">
        <f t="shared" si="16"/>
        <v>0</v>
      </c>
      <c r="AY26" s="3">
        <f t="shared" si="16"/>
        <v>0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CA38</f>
        <v>29502.69</v>
      </c>
      <c r="CB26" s="3">
        <f t="shared" si="17"/>
        <v>14334.46</v>
      </c>
      <c r="CC26" s="3">
        <f t="shared" si="17"/>
        <v>0</v>
      </c>
      <c r="CD26" s="3">
        <f t="shared" si="17"/>
        <v>15168.23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DG38</f>
        <v>432247.48</v>
      </c>
      <c r="DH26" s="4">
        <f t="shared" si="18"/>
        <v>0</v>
      </c>
      <c r="DI26" s="4">
        <f t="shared" si="18"/>
        <v>143308.37</v>
      </c>
      <c r="DJ26" s="4">
        <f t="shared" si="18"/>
        <v>31330.97</v>
      </c>
      <c r="DK26" s="4">
        <f t="shared" si="18"/>
        <v>288939.11</v>
      </c>
      <c r="DL26" s="4">
        <f t="shared" si="18"/>
        <v>0</v>
      </c>
      <c r="DM26" s="4">
        <f t="shared" si="18"/>
        <v>398.81599999999997</v>
      </c>
      <c r="DN26" s="4">
        <f t="shared" si="18"/>
        <v>0</v>
      </c>
      <c r="DO26" s="4">
        <f t="shared" si="18"/>
        <v>0</v>
      </c>
      <c r="DP26" s="4">
        <f t="shared" si="18"/>
        <v>202257.37</v>
      </c>
      <c r="DQ26" s="4">
        <f t="shared" si="18"/>
        <v>118465.04</v>
      </c>
      <c r="DR26" s="4">
        <f t="shared" si="18"/>
        <v>0</v>
      </c>
      <c r="DS26" s="4">
        <f t="shared" si="18"/>
        <v>0</v>
      </c>
      <c r="DT26" s="4">
        <f t="shared" si="18"/>
        <v>432247.48</v>
      </c>
      <c r="DU26" s="4">
        <f t="shared" si="18"/>
        <v>0</v>
      </c>
      <c r="DV26" s="4">
        <f t="shared" si="18"/>
        <v>143308.37</v>
      </c>
      <c r="DW26" s="4">
        <f t="shared" si="18"/>
        <v>31330.97</v>
      </c>
      <c r="DX26" s="4">
        <f t="shared" si="18"/>
        <v>288939.11</v>
      </c>
      <c r="DY26" s="4">
        <f t="shared" si="18"/>
        <v>0</v>
      </c>
      <c r="DZ26" s="4">
        <f t="shared" si="18"/>
        <v>398.81599999999997</v>
      </c>
      <c r="EA26" s="4">
        <f t="shared" si="18"/>
        <v>0</v>
      </c>
      <c r="EB26" s="4">
        <f t="shared" si="18"/>
        <v>0</v>
      </c>
      <c r="EC26" s="4">
        <f t="shared" si="18"/>
        <v>202257.37</v>
      </c>
      <c r="ED26" s="4">
        <f t="shared" si="18"/>
        <v>118465.04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803099.44</v>
      </c>
      <c r="EK26" s="4">
        <f t="shared" si="18"/>
        <v>193437.92</v>
      </c>
      <c r="EL26" s="4">
        <f t="shared" si="18"/>
        <v>0</v>
      </c>
      <c r="EM26" s="4">
        <f t="shared" ref="EM26:FR26" si="19">EM38</f>
        <v>609661.52</v>
      </c>
      <c r="EN26" s="4">
        <f t="shared" si="19"/>
        <v>0</v>
      </c>
      <c r="EO26" s="4">
        <f t="shared" si="19"/>
        <v>0</v>
      </c>
      <c r="EP26" s="4">
        <f t="shared" si="19"/>
        <v>0</v>
      </c>
      <c r="EQ26" s="4">
        <f t="shared" si="19"/>
        <v>0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FS38</f>
        <v>803099.44</v>
      </c>
      <c r="FT26" s="4">
        <f t="shared" si="20"/>
        <v>193437.92</v>
      </c>
      <c r="FU26" s="4">
        <f t="shared" si="20"/>
        <v>0</v>
      </c>
      <c r="FV26" s="4">
        <f t="shared" si="20"/>
        <v>609661.52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19</v>
      </c>
      <c r="B28" s="2">
        <v>1</v>
      </c>
      <c r="C28" s="2"/>
      <c r="D28" s="2"/>
      <c r="E28" s="2"/>
      <c r="F28" s="2" t="s">
        <v>6</v>
      </c>
      <c r="G28" s="2" t="s">
        <v>21</v>
      </c>
      <c r="H28" s="2" t="s">
        <v>6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 s="2">
        <v>17</v>
      </c>
      <c r="B29" s="2">
        <v>1</v>
      </c>
      <c r="C29" s="2"/>
      <c r="D29" s="2"/>
      <c r="E29" s="2" t="s">
        <v>22</v>
      </c>
      <c r="F29" s="2" t="s">
        <v>23</v>
      </c>
      <c r="G29" s="2" t="s">
        <v>24</v>
      </c>
      <c r="H29" s="2" t="s">
        <v>25</v>
      </c>
      <c r="I29" s="2">
        <v>2</v>
      </c>
      <c r="J29" s="2">
        <v>0</v>
      </c>
      <c r="K29" s="2">
        <v>2</v>
      </c>
      <c r="L29" s="2"/>
      <c r="M29" s="2"/>
      <c r="N29" s="2"/>
      <c r="O29" s="2">
        <f t="shared" ref="O29:O36" si="21">ROUND(CP29,2)</f>
        <v>1656.98</v>
      </c>
      <c r="P29" s="2">
        <f t="shared" ref="P29:P36" si="22">ROUND((ROUND((AC29*AW29*I29),2)*BC29),2)</f>
        <v>0</v>
      </c>
      <c r="Q29" s="2">
        <f t="shared" ref="Q29:Q36" si="23">(ROUND((ROUND(((ET29)*AV29*I29),2)*BB29),2)+ROUND((ROUND(((AE29-(EU29))*AV29*I29),2)*BS29),2))</f>
        <v>0</v>
      </c>
      <c r="R29" s="2">
        <f t="shared" ref="R29:R36" si="24">ROUND((ROUND((AE29*AV29*I29),2)*BS29),2)</f>
        <v>0</v>
      </c>
      <c r="S29" s="2">
        <f t="shared" ref="S29:S36" si="25">ROUND((ROUND((AF29*AV29*I29),2)*BA29),2)</f>
        <v>1656.98</v>
      </c>
      <c r="T29" s="2">
        <f t="shared" ref="T29:T36" si="26">ROUND(CU29*I29,2)</f>
        <v>0</v>
      </c>
      <c r="U29" s="2">
        <f t="shared" ref="U29:U36" si="27">CV29*I29</f>
        <v>104</v>
      </c>
      <c r="V29" s="2">
        <f t="shared" ref="V29:V36" si="28">CW29*I29</f>
        <v>0</v>
      </c>
      <c r="W29" s="2">
        <f t="shared" ref="W29:W36" si="29">ROUND(CX29*I29,2)</f>
        <v>0</v>
      </c>
      <c r="X29" s="2">
        <f t="shared" ref="X29:Y36" si="30">ROUND(CY29,2)</f>
        <v>1242.74</v>
      </c>
      <c r="Y29" s="2">
        <f t="shared" si="30"/>
        <v>1159.8900000000001</v>
      </c>
      <c r="Z29" s="2"/>
      <c r="AA29" s="2">
        <v>70323474</v>
      </c>
      <c r="AB29" s="2">
        <f t="shared" ref="AB29:AB36" si="31">ROUND((AC29+AD29+AF29),6)</f>
        <v>828.48800000000006</v>
      </c>
      <c r="AC29" s="2">
        <f t="shared" ref="AC29:AC36" si="32">ROUND((ES29),6)</f>
        <v>0</v>
      </c>
      <c r="AD29" s="2">
        <f t="shared" ref="AD29:AD36" si="33">ROUND((((ET29)-(EU29))+AE29),6)</f>
        <v>0</v>
      </c>
      <c r="AE29" s="2">
        <f t="shared" ref="AE29:AE36" si="34">ROUND((EU29),6)</f>
        <v>0</v>
      </c>
      <c r="AF29" s="2">
        <f t="shared" ref="AF29:AF34" si="35">ROUND(((EV29*0.8)),6)</f>
        <v>828.48800000000006</v>
      </c>
      <c r="AG29" s="2">
        <f t="shared" ref="AG29:AG36" si="36">ROUND((AP29),6)</f>
        <v>0</v>
      </c>
      <c r="AH29" s="2">
        <f t="shared" ref="AH29:AH34" si="37">((EW29*0.8))</f>
        <v>52</v>
      </c>
      <c r="AI29" s="2">
        <f t="shared" ref="AI29:AI36" si="38">(EX29)</f>
        <v>0</v>
      </c>
      <c r="AJ29" s="2">
        <f t="shared" ref="AJ29:AJ36" si="39">(AS29)</f>
        <v>0</v>
      </c>
      <c r="AK29" s="2">
        <v>1035.6099999999999</v>
      </c>
      <c r="AL29" s="2">
        <v>0</v>
      </c>
      <c r="AM29" s="2">
        <v>0</v>
      </c>
      <c r="AN29" s="2">
        <v>0</v>
      </c>
      <c r="AO29" s="2">
        <v>1035.6099999999999</v>
      </c>
      <c r="AP29" s="2">
        <v>0</v>
      </c>
      <c r="AQ29" s="2">
        <v>65</v>
      </c>
      <c r="AR29" s="2">
        <v>0</v>
      </c>
      <c r="AS29" s="2">
        <v>0</v>
      </c>
      <c r="AT29" s="2">
        <v>75</v>
      </c>
      <c r="AU29" s="2">
        <v>70</v>
      </c>
      <c r="AV29" s="2">
        <v>1</v>
      </c>
      <c r="AW29" s="2">
        <v>1</v>
      </c>
      <c r="AX29" s="2"/>
      <c r="AY29" s="2"/>
      <c r="AZ29" s="2">
        <v>1</v>
      </c>
      <c r="BA29" s="2">
        <v>1</v>
      </c>
      <c r="BB29" s="2">
        <v>1</v>
      </c>
      <c r="BC29" s="2">
        <v>1</v>
      </c>
      <c r="BD29" s="2" t="s">
        <v>6</v>
      </c>
      <c r="BE29" s="2" t="s">
        <v>6</v>
      </c>
      <c r="BF29" s="2" t="s">
        <v>6</v>
      </c>
      <c r="BG29" s="2" t="s">
        <v>6</v>
      </c>
      <c r="BH29" s="2">
        <v>0</v>
      </c>
      <c r="BI29" s="2">
        <v>4</v>
      </c>
      <c r="BJ29" s="2" t="s">
        <v>26</v>
      </c>
      <c r="BK29" s="2"/>
      <c r="BL29" s="2"/>
      <c r="BM29" s="2">
        <v>388</v>
      </c>
      <c r="BN29" s="2">
        <v>0</v>
      </c>
      <c r="BO29" s="2" t="s">
        <v>6</v>
      </c>
      <c r="BP29" s="2">
        <v>0</v>
      </c>
      <c r="BQ29" s="2">
        <v>50</v>
      </c>
      <c r="BR29" s="2">
        <v>0</v>
      </c>
      <c r="BS29" s="2">
        <v>1</v>
      </c>
      <c r="BT29" s="2">
        <v>1</v>
      </c>
      <c r="BU29" s="2">
        <v>1</v>
      </c>
      <c r="BV29" s="2">
        <v>1</v>
      </c>
      <c r="BW29" s="2">
        <v>1</v>
      </c>
      <c r="BX29" s="2">
        <v>1</v>
      </c>
      <c r="BY29" s="2" t="s">
        <v>6</v>
      </c>
      <c r="BZ29" s="2">
        <v>75</v>
      </c>
      <c r="CA29" s="2">
        <v>70</v>
      </c>
      <c r="CB29" s="2" t="s">
        <v>6</v>
      </c>
      <c r="CC29" s="2"/>
      <c r="CD29" s="2"/>
      <c r="CE29" s="2">
        <v>30</v>
      </c>
      <c r="CF29" s="2">
        <v>0</v>
      </c>
      <c r="CG29" s="2">
        <v>0</v>
      </c>
      <c r="CH29" s="2"/>
      <c r="CI29" s="2"/>
      <c r="CJ29" s="2"/>
      <c r="CK29" s="2"/>
      <c r="CL29" s="2"/>
      <c r="CM29" s="2">
        <v>0</v>
      </c>
      <c r="CN29" s="2" t="s">
        <v>27</v>
      </c>
      <c r="CO29" s="2">
        <v>0</v>
      </c>
      <c r="CP29" s="2">
        <f t="shared" ref="CP29:CP36" si="40">(P29+Q29+S29)</f>
        <v>1656.98</v>
      </c>
      <c r="CQ29" s="2">
        <f t="shared" ref="CQ29:CQ36" si="41">ROUND((ROUND((AC29*AW29*1),2)*BC29),2)</f>
        <v>0</v>
      </c>
      <c r="CR29" s="2">
        <f t="shared" ref="CR29:CR36" si="42">(ROUND((ROUND(((ET29)*AV29*1),2)*BB29),2)+ROUND((ROUND(((AE29-(EU29))*AV29*1),2)*BS29),2))</f>
        <v>0</v>
      </c>
      <c r="CS29" s="2">
        <f t="shared" ref="CS29:CS36" si="43">ROUND((ROUND((AE29*AV29*1),2)*BS29),2)</f>
        <v>0</v>
      </c>
      <c r="CT29" s="2">
        <f t="shared" ref="CT29:CT36" si="44">ROUND((ROUND((AF29*AV29*1),2)*BA29),2)</f>
        <v>828.49</v>
      </c>
      <c r="CU29" s="2">
        <f t="shared" ref="CU29:CU36" si="45">AG29</f>
        <v>0</v>
      </c>
      <c r="CV29" s="2">
        <f t="shared" ref="CV29:CV36" si="46">(AH29*AV29)</f>
        <v>52</v>
      </c>
      <c r="CW29" s="2">
        <f t="shared" ref="CW29:CX36" si="47">AI29</f>
        <v>0</v>
      </c>
      <c r="CX29" s="2">
        <f t="shared" si="47"/>
        <v>0</v>
      </c>
      <c r="CY29" s="2">
        <f>((S29*BZ29)/100)</f>
        <v>1242.7349999999999</v>
      </c>
      <c r="CZ29" s="2">
        <f>((S29*CA29)/100)</f>
        <v>1159.886</v>
      </c>
      <c r="DA29" s="2"/>
      <c r="DB29" s="2"/>
      <c r="DC29" s="2" t="s">
        <v>6</v>
      </c>
      <c r="DD29" s="2" t="s">
        <v>6</v>
      </c>
      <c r="DE29" s="2" t="s">
        <v>6</v>
      </c>
      <c r="DF29" s="2" t="s">
        <v>6</v>
      </c>
      <c r="DG29" s="2" t="s">
        <v>28</v>
      </c>
      <c r="DH29" s="2" t="s">
        <v>6</v>
      </c>
      <c r="DI29" s="2" t="s">
        <v>28</v>
      </c>
      <c r="DJ29" s="2" t="s">
        <v>6</v>
      </c>
      <c r="DK29" s="2" t="s">
        <v>6</v>
      </c>
      <c r="DL29" s="2" t="s">
        <v>6</v>
      </c>
      <c r="DM29" s="2" t="s">
        <v>6</v>
      </c>
      <c r="DN29" s="2">
        <v>0</v>
      </c>
      <c r="DO29" s="2">
        <v>0</v>
      </c>
      <c r="DP29" s="2">
        <v>1</v>
      </c>
      <c r="DQ29" s="2">
        <v>1</v>
      </c>
      <c r="DR29" s="2"/>
      <c r="DS29" s="2"/>
      <c r="DT29" s="2"/>
      <c r="DU29" s="2">
        <v>1013</v>
      </c>
      <c r="DV29" s="2" t="s">
        <v>25</v>
      </c>
      <c r="DW29" s="2" t="s">
        <v>25</v>
      </c>
      <c r="DX29" s="2">
        <v>1</v>
      </c>
      <c r="DY29" s="2"/>
      <c r="DZ29" s="2" t="s">
        <v>6</v>
      </c>
      <c r="EA29" s="2" t="s">
        <v>6</v>
      </c>
      <c r="EB29" s="2" t="s">
        <v>6</v>
      </c>
      <c r="EC29" s="2" t="s">
        <v>6</v>
      </c>
      <c r="ED29" s="2"/>
      <c r="EE29" s="2">
        <v>69253013</v>
      </c>
      <c r="EF29" s="2">
        <v>50</v>
      </c>
      <c r="EG29" s="2" t="s">
        <v>16</v>
      </c>
      <c r="EH29" s="2">
        <v>0</v>
      </c>
      <c r="EI29" s="2" t="s">
        <v>6</v>
      </c>
      <c r="EJ29" s="2">
        <v>4</v>
      </c>
      <c r="EK29" s="2">
        <v>388</v>
      </c>
      <c r="EL29" s="2" t="s">
        <v>29</v>
      </c>
      <c r="EM29" s="2" t="s">
        <v>30</v>
      </c>
      <c r="EN29" s="2"/>
      <c r="EO29" s="2" t="s">
        <v>31</v>
      </c>
      <c r="EP29" s="2"/>
      <c r="EQ29" s="2">
        <v>131072</v>
      </c>
      <c r="ER29" s="2">
        <v>1035.6099999999999</v>
      </c>
      <c r="ES29" s="2">
        <v>0</v>
      </c>
      <c r="ET29" s="2">
        <v>0</v>
      </c>
      <c r="EU29" s="2">
        <v>0</v>
      </c>
      <c r="EV29" s="2">
        <v>1035.6099999999999</v>
      </c>
      <c r="EW29" s="2">
        <v>65</v>
      </c>
      <c r="EX29" s="2">
        <v>0</v>
      </c>
      <c r="EY29" s="2">
        <v>0</v>
      </c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>
        <v>0</v>
      </c>
      <c r="FR29" s="2">
        <f t="shared" ref="FR29:FR36" si="48">ROUND(IF(BI29=3,GM29,0),2)</f>
        <v>0</v>
      </c>
      <c r="FS29" s="2">
        <v>0</v>
      </c>
      <c r="FT29" s="2"/>
      <c r="FU29" s="2"/>
      <c r="FV29" s="2"/>
      <c r="FW29" s="2"/>
      <c r="FX29" s="2">
        <v>75</v>
      </c>
      <c r="FY29" s="2">
        <v>70</v>
      </c>
      <c r="FZ29" s="2"/>
      <c r="GA29" s="2" t="s">
        <v>6</v>
      </c>
      <c r="GB29" s="2"/>
      <c r="GC29" s="2"/>
      <c r="GD29" s="2">
        <v>0</v>
      </c>
      <c r="GE29" s="2"/>
      <c r="GF29" s="2">
        <v>19258799</v>
      </c>
      <c r="GG29" s="2">
        <v>2</v>
      </c>
      <c r="GH29" s="2">
        <v>1</v>
      </c>
      <c r="GI29" s="2">
        <v>-2</v>
      </c>
      <c r="GJ29" s="2">
        <v>0</v>
      </c>
      <c r="GK29" s="2">
        <f>ROUND(R29*(R12)/100,2)</f>
        <v>0</v>
      </c>
      <c r="GL29" s="2">
        <f t="shared" ref="GL29:GL36" si="49">ROUND(IF(AND(BH29=3,BI29=3,FS29&lt;&gt;0),P29,0),2)</f>
        <v>0</v>
      </c>
      <c r="GM29" s="2">
        <f t="shared" ref="GM29:GM36" si="50">ROUND(O29+X29+Y29+GK29,2)+GX29</f>
        <v>4059.61</v>
      </c>
      <c r="GN29" s="2">
        <f t="shared" ref="GN29:GN36" si="51">IF(OR(BI29=0,BI29=1),GM29-GX29,0)</f>
        <v>0</v>
      </c>
      <c r="GO29" s="2">
        <f t="shared" ref="GO29:GO36" si="52">IF(BI29=2,GM29-GX29,0)</f>
        <v>0</v>
      </c>
      <c r="GP29" s="2">
        <f t="shared" ref="GP29:GP36" si="53">IF(BI29=4,GM29-GX29,0)</f>
        <v>4059.61</v>
      </c>
      <c r="GQ29" s="2"/>
      <c r="GR29" s="2">
        <v>0</v>
      </c>
      <c r="GS29" s="2">
        <v>3</v>
      </c>
      <c r="GT29" s="2">
        <v>0</v>
      </c>
      <c r="GU29" s="2" t="s">
        <v>6</v>
      </c>
      <c r="GV29" s="2">
        <f t="shared" ref="GV29:GV36" si="54">ROUND((GT29),6)</f>
        <v>0</v>
      </c>
      <c r="GW29" s="2">
        <v>1</v>
      </c>
      <c r="GX29" s="2">
        <f t="shared" ref="GX29:GX36" si="55">ROUND(HC29*I29,2)</f>
        <v>0</v>
      </c>
      <c r="GY29" s="2"/>
      <c r="GZ29" s="2"/>
      <c r="HA29" s="2">
        <v>0</v>
      </c>
      <c r="HB29" s="2">
        <v>0</v>
      </c>
      <c r="HC29" s="2">
        <f t="shared" ref="HC29:HC36" si="56">GV29*GW29</f>
        <v>0</v>
      </c>
      <c r="HD29" s="2"/>
      <c r="HE29" s="2" t="s">
        <v>6</v>
      </c>
      <c r="HF29" s="2" t="s">
        <v>6</v>
      </c>
      <c r="HG29" s="2"/>
      <c r="HH29" s="2"/>
      <c r="HI29" s="2"/>
      <c r="HJ29" s="2"/>
      <c r="HK29" s="2"/>
      <c r="HL29" s="2"/>
      <c r="HM29" s="2" t="s">
        <v>6</v>
      </c>
      <c r="HN29" s="2" t="s">
        <v>6</v>
      </c>
      <c r="HO29" s="2" t="s">
        <v>6</v>
      </c>
      <c r="HP29" s="2" t="s">
        <v>6</v>
      </c>
      <c r="HQ29" s="2" t="s">
        <v>6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>
        <v>0</v>
      </c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>
      <c r="A30">
        <v>17</v>
      </c>
      <c r="B30">
        <v>1</v>
      </c>
      <c r="E30" t="s">
        <v>22</v>
      </c>
      <c r="F30" t="s">
        <v>23</v>
      </c>
      <c r="G30" t="s">
        <v>24</v>
      </c>
      <c r="H30" t="s">
        <v>25</v>
      </c>
      <c r="I30">
        <v>2</v>
      </c>
      <c r="J30">
        <v>0</v>
      </c>
      <c r="K30">
        <v>2</v>
      </c>
      <c r="O30">
        <f t="shared" si="21"/>
        <v>77331.259999999995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77331.259999999995</v>
      </c>
      <c r="T30">
        <f t="shared" si="26"/>
        <v>0</v>
      </c>
      <c r="U30">
        <f t="shared" si="27"/>
        <v>104</v>
      </c>
      <c r="V30">
        <f t="shared" si="28"/>
        <v>0</v>
      </c>
      <c r="W30">
        <f t="shared" si="29"/>
        <v>0</v>
      </c>
      <c r="X30">
        <f t="shared" si="30"/>
        <v>54131.88</v>
      </c>
      <c r="Y30">
        <f t="shared" si="30"/>
        <v>31705.82</v>
      </c>
      <c r="AA30">
        <v>70323475</v>
      </c>
      <c r="AB30">
        <f t="shared" si="31"/>
        <v>828.48800000000006</v>
      </c>
      <c r="AC30">
        <f t="shared" si="32"/>
        <v>0</v>
      </c>
      <c r="AD30">
        <f t="shared" si="33"/>
        <v>0</v>
      </c>
      <c r="AE30">
        <f t="shared" si="34"/>
        <v>0</v>
      </c>
      <c r="AF30">
        <f t="shared" si="35"/>
        <v>828.48800000000006</v>
      </c>
      <c r="AG30">
        <f t="shared" si="36"/>
        <v>0</v>
      </c>
      <c r="AH30">
        <f t="shared" si="37"/>
        <v>52</v>
      </c>
      <c r="AI30">
        <f t="shared" si="38"/>
        <v>0</v>
      </c>
      <c r="AJ30">
        <f t="shared" si="39"/>
        <v>0</v>
      </c>
      <c r="AK30">
        <v>1035.6099999999999</v>
      </c>
      <c r="AL30">
        <v>0</v>
      </c>
      <c r="AM30">
        <v>0</v>
      </c>
      <c r="AN30">
        <v>0</v>
      </c>
      <c r="AO30">
        <v>1035.6099999999999</v>
      </c>
      <c r="AP30">
        <v>0</v>
      </c>
      <c r="AQ30">
        <v>65</v>
      </c>
      <c r="AR30">
        <v>0</v>
      </c>
      <c r="AS30">
        <v>0</v>
      </c>
      <c r="AT30">
        <v>70</v>
      </c>
      <c r="AU30">
        <v>41</v>
      </c>
      <c r="AV30">
        <v>1</v>
      </c>
      <c r="AW30">
        <v>1</v>
      </c>
      <c r="AZ30">
        <v>1</v>
      </c>
      <c r="BA30">
        <v>46.67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0</v>
      </c>
      <c r="BI30">
        <v>4</v>
      </c>
      <c r="BJ30" t="s">
        <v>26</v>
      </c>
      <c r="BM30">
        <v>388</v>
      </c>
      <c r="BN30">
        <v>0</v>
      </c>
      <c r="BO30" t="s">
        <v>6</v>
      </c>
      <c r="BP30">
        <v>0</v>
      </c>
      <c r="BQ30">
        <v>50</v>
      </c>
      <c r="BR30">
        <v>0</v>
      </c>
      <c r="BS30">
        <v>46.67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70</v>
      </c>
      <c r="CA30">
        <v>41</v>
      </c>
      <c r="CB30" t="s">
        <v>6</v>
      </c>
      <c r="CE30">
        <v>30</v>
      </c>
      <c r="CF30">
        <v>0</v>
      </c>
      <c r="CG30">
        <v>0</v>
      </c>
      <c r="CM30">
        <v>0</v>
      </c>
      <c r="CN30" t="s">
        <v>27</v>
      </c>
      <c r="CO30">
        <v>0</v>
      </c>
      <c r="CP30">
        <f t="shared" si="40"/>
        <v>77331.259999999995</v>
      </c>
      <c r="CQ30">
        <f t="shared" si="41"/>
        <v>0</v>
      </c>
      <c r="CR30">
        <f t="shared" si="42"/>
        <v>0</v>
      </c>
      <c r="CS30">
        <f t="shared" si="43"/>
        <v>0</v>
      </c>
      <c r="CT30">
        <f t="shared" si="44"/>
        <v>38665.629999999997</v>
      </c>
      <c r="CU30">
        <f t="shared" si="45"/>
        <v>0</v>
      </c>
      <c r="CV30">
        <f t="shared" si="46"/>
        <v>52</v>
      </c>
      <c r="CW30">
        <f t="shared" si="47"/>
        <v>0</v>
      </c>
      <c r="CX30">
        <f t="shared" si="47"/>
        <v>0</v>
      </c>
      <c r="CY30">
        <f>S30*(BZ30/100)</f>
        <v>54131.881999999991</v>
      </c>
      <c r="CZ30">
        <f>S30*(CA30/100)</f>
        <v>31705.816599999995</v>
      </c>
      <c r="DC30" t="s">
        <v>6</v>
      </c>
      <c r="DD30" t="s">
        <v>6</v>
      </c>
      <c r="DE30" t="s">
        <v>6</v>
      </c>
      <c r="DF30" t="s">
        <v>6</v>
      </c>
      <c r="DG30" t="s">
        <v>28</v>
      </c>
      <c r="DH30" t="s">
        <v>6</v>
      </c>
      <c r="DI30" t="s">
        <v>28</v>
      </c>
      <c r="DJ30" t="s">
        <v>6</v>
      </c>
      <c r="DK30" t="s">
        <v>6</v>
      </c>
      <c r="DL30" t="s">
        <v>6</v>
      </c>
      <c r="DM30" t="s">
        <v>6</v>
      </c>
      <c r="DN30">
        <v>75</v>
      </c>
      <c r="DO30">
        <v>70</v>
      </c>
      <c r="DP30">
        <v>1</v>
      </c>
      <c r="DQ30">
        <v>1</v>
      </c>
      <c r="DU30">
        <v>1013</v>
      </c>
      <c r="DV30" t="s">
        <v>25</v>
      </c>
      <c r="DW30" t="s">
        <v>25</v>
      </c>
      <c r="DX30">
        <v>1</v>
      </c>
      <c r="DZ30" t="s">
        <v>6</v>
      </c>
      <c r="EA30" t="s">
        <v>6</v>
      </c>
      <c r="EB30" t="s">
        <v>6</v>
      </c>
      <c r="EC30" t="s">
        <v>6</v>
      </c>
      <c r="EE30">
        <v>69253013</v>
      </c>
      <c r="EF30">
        <v>50</v>
      </c>
      <c r="EG30" t="s">
        <v>16</v>
      </c>
      <c r="EH30">
        <v>0</v>
      </c>
      <c r="EI30" t="s">
        <v>6</v>
      </c>
      <c r="EJ30">
        <v>4</v>
      </c>
      <c r="EK30">
        <v>388</v>
      </c>
      <c r="EL30" t="s">
        <v>29</v>
      </c>
      <c r="EM30" t="s">
        <v>30</v>
      </c>
      <c r="EO30" t="s">
        <v>31</v>
      </c>
      <c r="EQ30">
        <v>131072</v>
      </c>
      <c r="ER30">
        <v>1035.6099999999999</v>
      </c>
      <c r="ES30">
        <v>0</v>
      </c>
      <c r="ET30">
        <v>0</v>
      </c>
      <c r="EU30">
        <v>0</v>
      </c>
      <c r="EV30">
        <v>1035.6099999999999</v>
      </c>
      <c r="EW30">
        <v>65</v>
      </c>
      <c r="EX30">
        <v>0</v>
      </c>
      <c r="EY30">
        <v>0</v>
      </c>
      <c r="FQ30">
        <v>0</v>
      </c>
      <c r="FR30">
        <f t="shared" si="48"/>
        <v>0</v>
      </c>
      <c r="FS30">
        <v>0</v>
      </c>
      <c r="FX30">
        <v>75</v>
      </c>
      <c r="FY30">
        <v>70</v>
      </c>
      <c r="GA30" t="s">
        <v>6</v>
      </c>
      <c r="GD30">
        <v>0</v>
      </c>
      <c r="GF30">
        <v>19258799</v>
      </c>
      <c r="GG30">
        <v>2</v>
      </c>
      <c r="GH30">
        <v>1</v>
      </c>
      <c r="GI30">
        <v>2</v>
      </c>
      <c r="GJ30">
        <v>0</v>
      </c>
      <c r="GK30">
        <f>ROUND(R30*(S12)/100,2)</f>
        <v>0</v>
      </c>
      <c r="GL30">
        <f t="shared" si="49"/>
        <v>0</v>
      </c>
      <c r="GM30">
        <f t="shared" si="50"/>
        <v>163168.95999999999</v>
      </c>
      <c r="GN30">
        <f t="shared" si="51"/>
        <v>0</v>
      </c>
      <c r="GO30">
        <f t="shared" si="52"/>
        <v>0</v>
      </c>
      <c r="GP30">
        <f t="shared" si="53"/>
        <v>163168.95999999999</v>
      </c>
      <c r="GR30">
        <v>0</v>
      </c>
      <c r="GS30">
        <v>0</v>
      </c>
      <c r="GT30">
        <v>0</v>
      </c>
      <c r="GU30" t="s">
        <v>6</v>
      </c>
      <c r="GV30">
        <f t="shared" si="54"/>
        <v>0</v>
      </c>
      <c r="GW30">
        <v>1</v>
      </c>
      <c r="GX30">
        <f t="shared" si="55"/>
        <v>0</v>
      </c>
      <c r="HA30">
        <v>0</v>
      </c>
      <c r="HB30">
        <v>0</v>
      </c>
      <c r="HC30">
        <f t="shared" si="56"/>
        <v>0</v>
      </c>
      <c r="HE30" t="s">
        <v>6</v>
      </c>
      <c r="HF30" t="s">
        <v>6</v>
      </c>
      <c r="HM30" t="s">
        <v>6</v>
      </c>
      <c r="HN30" t="s">
        <v>6</v>
      </c>
      <c r="HO30" t="s">
        <v>6</v>
      </c>
      <c r="HP30" t="s">
        <v>6</v>
      </c>
      <c r="HQ30" t="s">
        <v>6</v>
      </c>
      <c r="IK30">
        <v>0</v>
      </c>
    </row>
    <row r="31" spans="1:255">
      <c r="A31" s="2">
        <v>17</v>
      </c>
      <c r="B31" s="2">
        <v>1</v>
      </c>
      <c r="C31" s="2"/>
      <c r="D31" s="2"/>
      <c r="E31" s="2" t="s">
        <v>32</v>
      </c>
      <c r="F31" s="2" t="s">
        <v>33</v>
      </c>
      <c r="G31" s="2" t="s">
        <v>34</v>
      </c>
      <c r="H31" s="2" t="s">
        <v>25</v>
      </c>
      <c r="I31" s="2">
        <f>ROUND(2*3,9)</f>
        <v>6</v>
      </c>
      <c r="J31" s="2">
        <v>0</v>
      </c>
      <c r="K31" s="2">
        <f>ROUND(2*3,9)</f>
        <v>6</v>
      </c>
      <c r="L31" s="2"/>
      <c r="M31" s="2"/>
      <c r="N31" s="2"/>
      <c r="O31" s="2">
        <f t="shared" si="21"/>
        <v>3288.43</v>
      </c>
      <c r="P31" s="2">
        <f t="shared" si="22"/>
        <v>0</v>
      </c>
      <c r="Q31" s="2">
        <f t="shared" si="23"/>
        <v>0</v>
      </c>
      <c r="R31" s="2">
        <f t="shared" si="24"/>
        <v>0</v>
      </c>
      <c r="S31" s="2">
        <f t="shared" si="25"/>
        <v>3288.43</v>
      </c>
      <c r="T31" s="2">
        <f t="shared" si="26"/>
        <v>0</v>
      </c>
      <c r="U31" s="2">
        <f t="shared" si="27"/>
        <v>206.39999999999998</v>
      </c>
      <c r="V31" s="2">
        <f t="shared" si="28"/>
        <v>0</v>
      </c>
      <c r="W31" s="2">
        <f t="shared" si="29"/>
        <v>0</v>
      </c>
      <c r="X31" s="2">
        <f t="shared" si="30"/>
        <v>2466.3200000000002</v>
      </c>
      <c r="Y31" s="2">
        <f t="shared" si="30"/>
        <v>2301.9</v>
      </c>
      <c r="Z31" s="2"/>
      <c r="AA31" s="2">
        <v>70323474</v>
      </c>
      <c r="AB31" s="2">
        <f t="shared" si="31"/>
        <v>548.072</v>
      </c>
      <c r="AC31" s="2">
        <f t="shared" si="32"/>
        <v>0</v>
      </c>
      <c r="AD31" s="2">
        <f t="shared" si="33"/>
        <v>0</v>
      </c>
      <c r="AE31" s="2">
        <f t="shared" si="34"/>
        <v>0</v>
      </c>
      <c r="AF31" s="2">
        <f t="shared" si="35"/>
        <v>548.072</v>
      </c>
      <c r="AG31" s="2">
        <f t="shared" si="36"/>
        <v>0</v>
      </c>
      <c r="AH31" s="2">
        <f t="shared" si="37"/>
        <v>34.4</v>
      </c>
      <c r="AI31" s="2">
        <f t="shared" si="38"/>
        <v>0</v>
      </c>
      <c r="AJ31" s="2">
        <f t="shared" si="39"/>
        <v>0</v>
      </c>
      <c r="AK31" s="2">
        <v>685.09</v>
      </c>
      <c r="AL31" s="2">
        <v>0</v>
      </c>
      <c r="AM31" s="2">
        <v>0</v>
      </c>
      <c r="AN31" s="2">
        <v>0</v>
      </c>
      <c r="AO31" s="2">
        <v>685.09</v>
      </c>
      <c r="AP31" s="2">
        <v>0</v>
      </c>
      <c r="AQ31" s="2">
        <v>43</v>
      </c>
      <c r="AR31" s="2">
        <v>0</v>
      </c>
      <c r="AS31" s="2">
        <v>0</v>
      </c>
      <c r="AT31" s="2">
        <v>75</v>
      </c>
      <c r="AU31" s="2">
        <v>70</v>
      </c>
      <c r="AV31" s="2">
        <v>1</v>
      </c>
      <c r="AW31" s="2">
        <v>1</v>
      </c>
      <c r="AX31" s="2"/>
      <c r="AY31" s="2"/>
      <c r="AZ31" s="2">
        <v>1</v>
      </c>
      <c r="BA31" s="2">
        <v>1</v>
      </c>
      <c r="BB31" s="2">
        <v>1</v>
      </c>
      <c r="BC31" s="2">
        <v>1</v>
      </c>
      <c r="BD31" s="2" t="s">
        <v>6</v>
      </c>
      <c r="BE31" s="2" t="s">
        <v>6</v>
      </c>
      <c r="BF31" s="2" t="s">
        <v>6</v>
      </c>
      <c r="BG31" s="2" t="s">
        <v>6</v>
      </c>
      <c r="BH31" s="2">
        <v>0</v>
      </c>
      <c r="BI31" s="2">
        <v>4</v>
      </c>
      <c r="BJ31" s="2" t="s">
        <v>35</v>
      </c>
      <c r="BK31" s="2"/>
      <c r="BL31" s="2"/>
      <c r="BM31" s="2">
        <v>388</v>
      </c>
      <c r="BN31" s="2">
        <v>0</v>
      </c>
      <c r="BO31" s="2" t="s">
        <v>6</v>
      </c>
      <c r="BP31" s="2">
        <v>0</v>
      </c>
      <c r="BQ31" s="2">
        <v>50</v>
      </c>
      <c r="BR31" s="2">
        <v>0</v>
      </c>
      <c r="BS31" s="2">
        <v>1</v>
      </c>
      <c r="BT31" s="2">
        <v>1</v>
      </c>
      <c r="BU31" s="2">
        <v>1</v>
      </c>
      <c r="BV31" s="2">
        <v>1</v>
      </c>
      <c r="BW31" s="2">
        <v>1</v>
      </c>
      <c r="BX31" s="2">
        <v>1</v>
      </c>
      <c r="BY31" s="2" t="s">
        <v>6</v>
      </c>
      <c r="BZ31" s="2">
        <v>75</v>
      </c>
      <c r="CA31" s="2">
        <v>70</v>
      </c>
      <c r="CB31" s="2" t="s">
        <v>6</v>
      </c>
      <c r="CC31" s="2"/>
      <c r="CD31" s="2"/>
      <c r="CE31" s="2">
        <v>30</v>
      </c>
      <c r="CF31" s="2">
        <v>0</v>
      </c>
      <c r="CG31" s="2">
        <v>0</v>
      </c>
      <c r="CH31" s="2"/>
      <c r="CI31" s="2"/>
      <c r="CJ31" s="2"/>
      <c r="CK31" s="2"/>
      <c r="CL31" s="2"/>
      <c r="CM31" s="2">
        <v>0</v>
      </c>
      <c r="CN31" s="2" t="s">
        <v>27</v>
      </c>
      <c r="CO31" s="2">
        <v>0</v>
      </c>
      <c r="CP31" s="2">
        <f t="shared" si="40"/>
        <v>3288.43</v>
      </c>
      <c r="CQ31" s="2">
        <f t="shared" si="41"/>
        <v>0</v>
      </c>
      <c r="CR31" s="2">
        <f t="shared" si="42"/>
        <v>0</v>
      </c>
      <c r="CS31" s="2">
        <f t="shared" si="43"/>
        <v>0</v>
      </c>
      <c r="CT31" s="2">
        <f t="shared" si="44"/>
        <v>548.07000000000005</v>
      </c>
      <c r="CU31" s="2">
        <f t="shared" si="45"/>
        <v>0</v>
      </c>
      <c r="CV31" s="2">
        <f t="shared" si="46"/>
        <v>34.4</v>
      </c>
      <c r="CW31" s="2">
        <f t="shared" si="47"/>
        <v>0</v>
      </c>
      <c r="CX31" s="2">
        <f t="shared" si="47"/>
        <v>0</v>
      </c>
      <c r="CY31" s="2">
        <f>((S31*BZ31)/100)</f>
        <v>2466.3225000000002</v>
      </c>
      <c r="CZ31" s="2">
        <f>((S31*CA31)/100)</f>
        <v>2301.9009999999998</v>
      </c>
      <c r="DA31" s="2"/>
      <c r="DB31" s="2"/>
      <c r="DC31" s="2" t="s">
        <v>6</v>
      </c>
      <c r="DD31" s="2" t="s">
        <v>6</v>
      </c>
      <c r="DE31" s="2" t="s">
        <v>6</v>
      </c>
      <c r="DF31" s="2" t="s">
        <v>6</v>
      </c>
      <c r="DG31" s="2" t="s">
        <v>28</v>
      </c>
      <c r="DH31" s="2" t="s">
        <v>6</v>
      </c>
      <c r="DI31" s="2" t="s">
        <v>28</v>
      </c>
      <c r="DJ31" s="2" t="s">
        <v>6</v>
      </c>
      <c r="DK31" s="2" t="s">
        <v>6</v>
      </c>
      <c r="DL31" s="2" t="s">
        <v>6</v>
      </c>
      <c r="DM31" s="2" t="s">
        <v>6</v>
      </c>
      <c r="DN31" s="2">
        <v>0</v>
      </c>
      <c r="DO31" s="2">
        <v>0</v>
      </c>
      <c r="DP31" s="2">
        <v>1</v>
      </c>
      <c r="DQ31" s="2">
        <v>1</v>
      </c>
      <c r="DR31" s="2"/>
      <c r="DS31" s="2"/>
      <c r="DT31" s="2"/>
      <c r="DU31" s="2">
        <v>1013</v>
      </c>
      <c r="DV31" s="2" t="s">
        <v>25</v>
      </c>
      <c r="DW31" s="2" t="s">
        <v>25</v>
      </c>
      <c r="DX31" s="2">
        <v>1</v>
      </c>
      <c r="DY31" s="2"/>
      <c r="DZ31" s="2" t="s">
        <v>6</v>
      </c>
      <c r="EA31" s="2" t="s">
        <v>6</v>
      </c>
      <c r="EB31" s="2" t="s">
        <v>6</v>
      </c>
      <c r="EC31" s="2" t="s">
        <v>6</v>
      </c>
      <c r="ED31" s="2"/>
      <c r="EE31" s="2">
        <v>69253013</v>
      </c>
      <c r="EF31" s="2">
        <v>50</v>
      </c>
      <c r="EG31" s="2" t="s">
        <v>16</v>
      </c>
      <c r="EH31" s="2">
        <v>0</v>
      </c>
      <c r="EI31" s="2" t="s">
        <v>6</v>
      </c>
      <c r="EJ31" s="2">
        <v>4</v>
      </c>
      <c r="EK31" s="2">
        <v>388</v>
      </c>
      <c r="EL31" s="2" t="s">
        <v>29</v>
      </c>
      <c r="EM31" s="2" t="s">
        <v>30</v>
      </c>
      <c r="EN31" s="2"/>
      <c r="EO31" s="2" t="s">
        <v>31</v>
      </c>
      <c r="EP31" s="2"/>
      <c r="EQ31" s="2">
        <v>0</v>
      </c>
      <c r="ER31" s="2">
        <v>685.09</v>
      </c>
      <c r="ES31" s="2">
        <v>0</v>
      </c>
      <c r="ET31" s="2">
        <v>0</v>
      </c>
      <c r="EU31" s="2">
        <v>0</v>
      </c>
      <c r="EV31" s="2">
        <v>685.09</v>
      </c>
      <c r="EW31" s="2">
        <v>43</v>
      </c>
      <c r="EX31" s="2">
        <v>0</v>
      </c>
      <c r="EY31" s="2">
        <v>0</v>
      </c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>
        <v>0</v>
      </c>
      <c r="FR31" s="2">
        <f t="shared" si="48"/>
        <v>0</v>
      </c>
      <c r="FS31" s="2">
        <v>0</v>
      </c>
      <c r="FT31" s="2"/>
      <c r="FU31" s="2"/>
      <c r="FV31" s="2"/>
      <c r="FW31" s="2"/>
      <c r="FX31" s="2">
        <v>75</v>
      </c>
      <c r="FY31" s="2">
        <v>70</v>
      </c>
      <c r="FZ31" s="2"/>
      <c r="GA31" s="2" t="s">
        <v>6</v>
      </c>
      <c r="GB31" s="2"/>
      <c r="GC31" s="2"/>
      <c r="GD31" s="2">
        <v>0</v>
      </c>
      <c r="GE31" s="2"/>
      <c r="GF31" s="2">
        <v>245265298</v>
      </c>
      <c r="GG31" s="2">
        <v>2</v>
      </c>
      <c r="GH31" s="2">
        <v>1</v>
      </c>
      <c r="GI31" s="2">
        <v>-2</v>
      </c>
      <c r="GJ31" s="2">
        <v>0</v>
      </c>
      <c r="GK31" s="2">
        <f>ROUND(R31*(R12)/100,2)</f>
        <v>0</v>
      </c>
      <c r="GL31" s="2">
        <f t="shared" si="49"/>
        <v>0</v>
      </c>
      <c r="GM31" s="2">
        <f t="shared" si="50"/>
        <v>8056.65</v>
      </c>
      <c r="GN31" s="2">
        <f t="shared" si="51"/>
        <v>0</v>
      </c>
      <c r="GO31" s="2">
        <f t="shared" si="52"/>
        <v>0</v>
      </c>
      <c r="GP31" s="2">
        <f t="shared" si="53"/>
        <v>8056.65</v>
      </c>
      <c r="GQ31" s="2"/>
      <c r="GR31" s="2">
        <v>0</v>
      </c>
      <c r="GS31" s="2">
        <v>3</v>
      </c>
      <c r="GT31" s="2">
        <v>0</v>
      </c>
      <c r="GU31" s="2" t="s">
        <v>6</v>
      </c>
      <c r="GV31" s="2">
        <f t="shared" si="54"/>
        <v>0</v>
      </c>
      <c r="GW31" s="2">
        <v>1</v>
      </c>
      <c r="GX31" s="2">
        <f t="shared" si="55"/>
        <v>0</v>
      </c>
      <c r="GY31" s="2"/>
      <c r="GZ31" s="2"/>
      <c r="HA31" s="2">
        <v>0</v>
      </c>
      <c r="HB31" s="2">
        <v>0</v>
      </c>
      <c r="HC31" s="2">
        <f t="shared" si="56"/>
        <v>0</v>
      </c>
      <c r="HD31" s="2"/>
      <c r="HE31" s="2" t="s">
        <v>6</v>
      </c>
      <c r="HF31" s="2" t="s">
        <v>6</v>
      </c>
      <c r="HG31" s="2"/>
      <c r="HH31" s="2"/>
      <c r="HI31" s="2"/>
      <c r="HJ31" s="2"/>
      <c r="HK31" s="2"/>
      <c r="HL31" s="2"/>
      <c r="HM31" s="2" t="s">
        <v>6</v>
      </c>
      <c r="HN31" s="2" t="s">
        <v>6</v>
      </c>
      <c r="HO31" s="2" t="s">
        <v>6</v>
      </c>
      <c r="HP31" s="2" t="s">
        <v>6</v>
      </c>
      <c r="HQ31" s="2" t="s">
        <v>6</v>
      </c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>
        <v>0</v>
      </c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>
      <c r="A32">
        <v>17</v>
      </c>
      <c r="B32">
        <v>1</v>
      </c>
      <c r="E32" t="s">
        <v>32</v>
      </c>
      <c r="F32" t="s">
        <v>33</v>
      </c>
      <c r="G32" t="s">
        <v>34</v>
      </c>
      <c r="H32" t="s">
        <v>25</v>
      </c>
      <c r="I32">
        <f>ROUND(2*3,9)</f>
        <v>6</v>
      </c>
      <c r="J32">
        <v>0</v>
      </c>
      <c r="K32">
        <f>ROUND(2*3,9)</f>
        <v>6</v>
      </c>
      <c r="O32">
        <f t="shared" si="21"/>
        <v>153471.03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153471.03</v>
      </c>
      <c r="T32">
        <f t="shared" si="26"/>
        <v>0</v>
      </c>
      <c r="U32">
        <f t="shared" si="27"/>
        <v>206.39999999999998</v>
      </c>
      <c r="V32">
        <f t="shared" si="28"/>
        <v>0</v>
      </c>
      <c r="W32">
        <f t="shared" si="29"/>
        <v>0</v>
      </c>
      <c r="X32">
        <f t="shared" si="30"/>
        <v>107429.72</v>
      </c>
      <c r="Y32">
        <f t="shared" si="30"/>
        <v>62923.12</v>
      </c>
      <c r="AA32">
        <v>70323475</v>
      </c>
      <c r="AB32">
        <f t="shared" si="31"/>
        <v>548.072</v>
      </c>
      <c r="AC32">
        <f t="shared" si="32"/>
        <v>0</v>
      </c>
      <c r="AD32">
        <f t="shared" si="33"/>
        <v>0</v>
      </c>
      <c r="AE32">
        <f t="shared" si="34"/>
        <v>0</v>
      </c>
      <c r="AF32">
        <f t="shared" si="35"/>
        <v>548.072</v>
      </c>
      <c r="AG32">
        <f t="shared" si="36"/>
        <v>0</v>
      </c>
      <c r="AH32">
        <f t="shared" si="37"/>
        <v>34.4</v>
      </c>
      <c r="AI32">
        <f t="shared" si="38"/>
        <v>0</v>
      </c>
      <c r="AJ32">
        <f t="shared" si="39"/>
        <v>0</v>
      </c>
      <c r="AK32">
        <v>685.09</v>
      </c>
      <c r="AL32">
        <v>0</v>
      </c>
      <c r="AM32">
        <v>0</v>
      </c>
      <c r="AN32">
        <v>0</v>
      </c>
      <c r="AO32">
        <v>685.09</v>
      </c>
      <c r="AP32">
        <v>0</v>
      </c>
      <c r="AQ32">
        <v>43</v>
      </c>
      <c r="AR32">
        <v>0</v>
      </c>
      <c r="AS32">
        <v>0</v>
      </c>
      <c r="AT32">
        <v>70</v>
      </c>
      <c r="AU32">
        <v>41</v>
      </c>
      <c r="AV32">
        <v>1</v>
      </c>
      <c r="AW32">
        <v>1</v>
      </c>
      <c r="AZ32">
        <v>1</v>
      </c>
      <c r="BA32">
        <v>46.67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0</v>
      </c>
      <c r="BI32">
        <v>4</v>
      </c>
      <c r="BJ32" t="s">
        <v>35</v>
      </c>
      <c r="BM32">
        <v>388</v>
      </c>
      <c r="BN32">
        <v>0</v>
      </c>
      <c r="BO32" t="s">
        <v>6</v>
      </c>
      <c r="BP32">
        <v>0</v>
      </c>
      <c r="BQ32">
        <v>50</v>
      </c>
      <c r="BR32">
        <v>0</v>
      </c>
      <c r="BS32">
        <v>46.67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70</v>
      </c>
      <c r="CA32">
        <v>41</v>
      </c>
      <c r="CB32" t="s">
        <v>6</v>
      </c>
      <c r="CE32">
        <v>30</v>
      </c>
      <c r="CF32">
        <v>0</v>
      </c>
      <c r="CG32">
        <v>0</v>
      </c>
      <c r="CM32">
        <v>0</v>
      </c>
      <c r="CN32" t="s">
        <v>27</v>
      </c>
      <c r="CO32">
        <v>0</v>
      </c>
      <c r="CP32">
        <f t="shared" si="40"/>
        <v>153471.03</v>
      </c>
      <c r="CQ32">
        <f t="shared" si="41"/>
        <v>0</v>
      </c>
      <c r="CR32">
        <f t="shared" si="42"/>
        <v>0</v>
      </c>
      <c r="CS32">
        <f t="shared" si="43"/>
        <v>0</v>
      </c>
      <c r="CT32">
        <f t="shared" si="44"/>
        <v>25578.43</v>
      </c>
      <c r="CU32">
        <f t="shared" si="45"/>
        <v>0</v>
      </c>
      <c r="CV32">
        <f t="shared" si="46"/>
        <v>34.4</v>
      </c>
      <c r="CW32">
        <f t="shared" si="47"/>
        <v>0</v>
      </c>
      <c r="CX32">
        <f t="shared" si="47"/>
        <v>0</v>
      </c>
      <c r="CY32">
        <f>S32*(BZ32/100)</f>
        <v>107429.72099999999</v>
      </c>
      <c r="CZ32">
        <f>S32*(CA32/100)</f>
        <v>62923.122299999995</v>
      </c>
      <c r="DC32" t="s">
        <v>6</v>
      </c>
      <c r="DD32" t="s">
        <v>6</v>
      </c>
      <c r="DE32" t="s">
        <v>6</v>
      </c>
      <c r="DF32" t="s">
        <v>6</v>
      </c>
      <c r="DG32" t="s">
        <v>28</v>
      </c>
      <c r="DH32" t="s">
        <v>6</v>
      </c>
      <c r="DI32" t="s">
        <v>28</v>
      </c>
      <c r="DJ32" t="s">
        <v>6</v>
      </c>
      <c r="DK32" t="s">
        <v>6</v>
      </c>
      <c r="DL32" t="s">
        <v>6</v>
      </c>
      <c r="DM32" t="s">
        <v>6</v>
      </c>
      <c r="DN32">
        <v>75</v>
      </c>
      <c r="DO32">
        <v>70</v>
      </c>
      <c r="DP32">
        <v>1</v>
      </c>
      <c r="DQ32">
        <v>1</v>
      </c>
      <c r="DU32">
        <v>1013</v>
      </c>
      <c r="DV32" t="s">
        <v>25</v>
      </c>
      <c r="DW32" t="s">
        <v>25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69253013</v>
      </c>
      <c r="EF32">
        <v>50</v>
      </c>
      <c r="EG32" t="s">
        <v>16</v>
      </c>
      <c r="EH32">
        <v>0</v>
      </c>
      <c r="EI32" t="s">
        <v>6</v>
      </c>
      <c r="EJ32">
        <v>4</v>
      </c>
      <c r="EK32">
        <v>388</v>
      </c>
      <c r="EL32" t="s">
        <v>29</v>
      </c>
      <c r="EM32" t="s">
        <v>30</v>
      </c>
      <c r="EO32" t="s">
        <v>31</v>
      </c>
      <c r="EQ32">
        <v>0</v>
      </c>
      <c r="ER32">
        <v>685.09</v>
      </c>
      <c r="ES32">
        <v>0</v>
      </c>
      <c r="ET32">
        <v>0</v>
      </c>
      <c r="EU32">
        <v>0</v>
      </c>
      <c r="EV32">
        <v>685.09</v>
      </c>
      <c r="EW32">
        <v>43</v>
      </c>
      <c r="EX32">
        <v>0</v>
      </c>
      <c r="EY32">
        <v>0</v>
      </c>
      <c r="FQ32">
        <v>0</v>
      </c>
      <c r="FR32">
        <f t="shared" si="48"/>
        <v>0</v>
      </c>
      <c r="FS32">
        <v>0</v>
      </c>
      <c r="FX32">
        <v>75</v>
      </c>
      <c r="FY32">
        <v>70</v>
      </c>
      <c r="GA32" t="s">
        <v>6</v>
      </c>
      <c r="GD32">
        <v>0</v>
      </c>
      <c r="GF32">
        <v>245265298</v>
      </c>
      <c r="GG32">
        <v>2</v>
      </c>
      <c r="GH32">
        <v>1</v>
      </c>
      <c r="GI32">
        <v>2</v>
      </c>
      <c r="GJ32">
        <v>0</v>
      </c>
      <c r="GK32">
        <f>ROUND(R32*(S12)/100,2)</f>
        <v>0</v>
      </c>
      <c r="GL32">
        <f t="shared" si="49"/>
        <v>0</v>
      </c>
      <c r="GM32">
        <f t="shared" si="50"/>
        <v>323823.87</v>
      </c>
      <c r="GN32">
        <f t="shared" si="51"/>
        <v>0</v>
      </c>
      <c r="GO32">
        <f t="shared" si="52"/>
        <v>0</v>
      </c>
      <c r="GP32">
        <f t="shared" si="53"/>
        <v>323823.87</v>
      </c>
      <c r="GR32">
        <v>0</v>
      </c>
      <c r="GS32">
        <v>0</v>
      </c>
      <c r="GT32">
        <v>0</v>
      </c>
      <c r="GU32" t="s">
        <v>6</v>
      </c>
      <c r="GV32">
        <f t="shared" si="54"/>
        <v>0</v>
      </c>
      <c r="GW32">
        <v>1</v>
      </c>
      <c r="GX32">
        <f t="shared" si="55"/>
        <v>0</v>
      </c>
      <c r="HA32">
        <v>0</v>
      </c>
      <c r="HB32">
        <v>0</v>
      </c>
      <c r="HC32">
        <f t="shared" si="56"/>
        <v>0</v>
      </c>
      <c r="HE32" t="s">
        <v>6</v>
      </c>
      <c r="HF32" t="s">
        <v>6</v>
      </c>
      <c r="HM32" t="s">
        <v>6</v>
      </c>
      <c r="HN32" t="s">
        <v>6</v>
      </c>
      <c r="HO32" t="s">
        <v>6</v>
      </c>
      <c r="HP32" t="s">
        <v>6</v>
      </c>
      <c r="HQ32" t="s">
        <v>6</v>
      </c>
      <c r="IK32">
        <v>0</v>
      </c>
    </row>
    <row r="33" spans="1:255">
      <c r="A33" s="2">
        <v>17</v>
      </c>
      <c r="B33" s="2">
        <v>1</v>
      </c>
      <c r="C33" s="2"/>
      <c r="D33" s="2"/>
      <c r="E33" s="2" t="s">
        <v>36</v>
      </c>
      <c r="F33" s="2" t="s">
        <v>37</v>
      </c>
      <c r="G33" s="2" t="s">
        <v>38</v>
      </c>
      <c r="H33" s="2" t="s">
        <v>39</v>
      </c>
      <c r="I33" s="2">
        <f>ROUND(3*2*2,9)</f>
        <v>12</v>
      </c>
      <c r="J33" s="2">
        <v>0</v>
      </c>
      <c r="K33" s="2">
        <f>ROUND(3*2*2,9)</f>
        <v>12</v>
      </c>
      <c r="L33" s="2"/>
      <c r="M33" s="2"/>
      <c r="N33" s="2"/>
      <c r="O33" s="2">
        <f t="shared" si="21"/>
        <v>1245.7</v>
      </c>
      <c r="P33" s="2">
        <f t="shared" si="22"/>
        <v>0</v>
      </c>
      <c r="Q33" s="2">
        <f t="shared" si="23"/>
        <v>0</v>
      </c>
      <c r="R33" s="2">
        <f t="shared" si="24"/>
        <v>0</v>
      </c>
      <c r="S33" s="2">
        <f t="shared" si="25"/>
        <v>1245.7</v>
      </c>
      <c r="T33" s="2">
        <f t="shared" si="26"/>
        <v>0</v>
      </c>
      <c r="U33" s="2">
        <f t="shared" si="27"/>
        <v>88.416000000000011</v>
      </c>
      <c r="V33" s="2">
        <f t="shared" si="28"/>
        <v>0</v>
      </c>
      <c r="W33" s="2">
        <f t="shared" si="29"/>
        <v>0</v>
      </c>
      <c r="X33" s="2">
        <f t="shared" si="30"/>
        <v>934.28</v>
      </c>
      <c r="Y33" s="2">
        <f t="shared" si="30"/>
        <v>871.99</v>
      </c>
      <c r="Z33" s="2"/>
      <c r="AA33" s="2">
        <v>70323474</v>
      </c>
      <c r="AB33" s="2">
        <f t="shared" si="31"/>
        <v>103.80800000000001</v>
      </c>
      <c r="AC33" s="2">
        <f t="shared" si="32"/>
        <v>0</v>
      </c>
      <c r="AD33" s="2">
        <f t="shared" si="33"/>
        <v>0</v>
      </c>
      <c r="AE33" s="2">
        <f t="shared" si="34"/>
        <v>0</v>
      </c>
      <c r="AF33" s="2">
        <f t="shared" si="35"/>
        <v>103.80800000000001</v>
      </c>
      <c r="AG33" s="2">
        <f t="shared" si="36"/>
        <v>0</v>
      </c>
      <c r="AH33" s="2">
        <f t="shared" si="37"/>
        <v>7.3680000000000012</v>
      </c>
      <c r="AI33" s="2">
        <f t="shared" si="38"/>
        <v>0</v>
      </c>
      <c r="AJ33" s="2">
        <f t="shared" si="39"/>
        <v>0</v>
      </c>
      <c r="AK33" s="2">
        <v>129.76</v>
      </c>
      <c r="AL33" s="2">
        <v>0</v>
      </c>
      <c r="AM33" s="2">
        <v>0</v>
      </c>
      <c r="AN33" s="2">
        <v>0</v>
      </c>
      <c r="AO33" s="2">
        <v>129.76</v>
      </c>
      <c r="AP33" s="2">
        <v>0</v>
      </c>
      <c r="AQ33" s="2">
        <v>9.2100000000000009</v>
      </c>
      <c r="AR33" s="2">
        <v>0</v>
      </c>
      <c r="AS33" s="2">
        <v>0</v>
      </c>
      <c r="AT33" s="2">
        <v>75</v>
      </c>
      <c r="AU33" s="2">
        <v>70</v>
      </c>
      <c r="AV33" s="2">
        <v>1</v>
      </c>
      <c r="AW33" s="2">
        <v>1</v>
      </c>
      <c r="AX33" s="2"/>
      <c r="AY33" s="2"/>
      <c r="AZ33" s="2">
        <v>1</v>
      </c>
      <c r="BA33" s="2">
        <v>1</v>
      </c>
      <c r="BB33" s="2">
        <v>1</v>
      </c>
      <c r="BC33" s="2">
        <v>1</v>
      </c>
      <c r="BD33" s="2" t="s">
        <v>6</v>
      </c>
      <c r="BE33" s="2" t="s">
        <v>6</v>
      </c>
      <c r="BF33" s="2" t="s">
        <v>6</v>
      </c>
      <c r="BG33" s="2" t="s">
        <v>6</v>
      </c>
      <c r="BH33" s="2">
        <v>0</v>
      </c>
      <c r="BI33" s="2">
        <v>4</v>
      </c>
      <c r="BJ33" s="2" t="s">
        <v>40</v>
      </c>
      <c r="BK33" s="2"/>
      <c r="BL33" s="2"/>
      <c r="BM33" s="2">
        <v>388</v>
      </c>
      <c r="BN33" s="2">
        <v>0</v>
      </c>
      <c r="BO33" s="2" t="s">
        <v>6</v>
      </c>
      <c r="BP33" s="2">
        <v>0</v>
      </c>
      <c r="BQ33" s="2">
        <v>50</v>
      </c>
      <c r="BR33" s="2">
        <v>0</v>
      </c>
      <c r="BS33" s="2">
        <v>1</v>
      </c>
      <c r="BT33" s="2">
        <v>1</v>
      </c>
      <c r="BU33" s="2">
        <v>1</v>
      </c>
      <c r="BV33" s="2">
        <v>1</v>
      </c>
      <c r="BW33" s="2">
        <v>1</v>
      </c>
      <c r="BX33" s="2">
        <v>1</v>
      </c>
      <c r="BY33" s="2" t="s">
        <v>6</v>
      </c>
      <c r="BZ33" s="2">
        <v>75</v>
      </c>
      <c r="CA33" s="2">
        <v>70</v>
      </c>
      <c r="CB33" s="2" t="s">
        <v>6</v>
      </c>
      <c r="CC33" s="2"/>
      <c r="CD33" s="2"/>
      <c r="CE33" s="2">
        <v>30</v>
      </c>
      <c r="CF33" s="2">
        <v>0</v>
      </c>
      <c r="CG33" s="2">
        <v>0</v>
      </c>
      <c r="CH33" s="2"/>
      <c r="CI33" s="2"/>
      <c r="CJ33" s="2"/>
      <c r="CK33" s="2"/>
      <c r="CL33" s="2"/>
      <c r="CM33" s="2">
        <v>0</v>
      </c>
      <c r="CN33" s="2" t="s">
        <v>27</v>
      </c>
      <c r="CO33" s="2">
        <v>0</v>
      </c>
      <c r="CP33" s="2">
        <f t="shared" si="40"/>
        <v>1245.7</v>
      </c>
      <c r="CQ33" s="2">
        <f t="shared" si="41"/>
        <v>0</v>
      </c>
      <c r="CR33" s="2">
        <f t="shared" si="42"/>
        <v>0</v>
      </c>
      <c r="CS33" s="2">
        <f t="shared" si="43"/>
        <v>0</v>
      </c>
      <c r="CT33" s="2">
        <f t="shared" si="44"/>
        <v>103.81</v>
      </c>
      <c r="CU33" s="2">
        <f t="shared" si="45"/>
        <v>0</v>
      </c>
      <c r="CV33" s="2">
        <f t="shared" si="46"/>
        <v>7.3680000000000012</v>
      </c>
      <c r="CW33" s="2">
        <f t="shared" si="47"/>
        <v>0</v>
      </c>
      <c r="CX33" s="2">
        <f t="shared" si="47"/>
        <v>0</v>
      </c>
      <c r="CY33" s="2">
        <f>((S33*BZ33)/100)</f>
        <v>934.27499999999998</v>
      </c>
      <c r="CZ33" s="2">
        <f>((S33*CA33)/100)</f>
        <v>871.99</v>
      </c>
      <c r="DA33" s="2"/>
      <c r="DB33" s="2"/>
      <c r="DC33" s="2" t="s">
        <v>6</v>
      </c>
      <c r="DD33" s="2" t="s">
        <v>6</v>
      </c>
      <c r="DE33" s="2" t="s">
        <v>6</v>
      </c>
      <c r="DF33" s="2" t="s">
        <v>6</v>
      </c>
      <c r="DG33" s="2" t="s">
        <v>28</v>
      </c>
      <c r="DH33" s="2" t="s">
        <v>6</v>
      </c>
      <c r="DI33" s="2" t="s">
        <v>28</v>
      </c>
      <c r="DJ33" s="2" t="s">
        <v>6</v>
      </c>
      <c r="DK33" s="2" t="s">
        <v>6</v>
      </c>
      <c r="DL33" s="2" t="s">
        <v>6</v>
      </c>
      <c r="DM33" s="2" t="s">
        <v>6</v>
      </c>
      <c r="DN33" s="2">
        <v>0</v>
      </c>
      <c r="DO33" s="2">
        <v>0</v>
      </c>
      <c r="DP33" s="2">
        <v>1</v>
      </c>
      <c r="DQ33" s="2">
        <v>1</v>
      </c>
      <c r="DR33" s="2"/>
      <c r="DS33" s="2"/>
      <c r="DT33" s="2"/>
      <c r="DU33" s="2">
        <v>1013</v>
      </c>
      <c r="DV33" s="2" t="s">
        <v>39</v>
      </c>
      <c r="DW33" s="2" t="s">
        <v>39</v>
      </c>
      <c r="DX33" s="2">
        <v>1</v>
      </c>
      <c r="DY33" s="2"/>
      <c r="DZ33" s="2" t="s">
        <v>6</v>
      </c>
      <c r="EA33" s="2" t="s">
        <v>6</v>
      </c>
      <c r="EB33" s="2" t="s">
        <v>6</v>
      </c>
      <c r="EC33" s="2" t="s">
        <v>6</v>
      </c>
      <c r="ED33" s="2"/>
      <c r="EE33" s="2">
        <v>69253013</v>
      </c>
      <c r="EF33" s="2">
        <v>50</v>
      </c>
      <c r="EG33" s="2" t="s">
        <v>16</v>
      </c>
      <c r="EH33" s="2">
        <v>0</v>
      </c>
      <c r="EI33" s="2" t="s">
        <v>6</v>
      </c>
      <c r="EJ33" s="2">
        <v>4</v>
      </c>
      <c r="EK33" s="2">
        <v>388</v>
      </c>
      <c r="EL33" s="2" t="s">
        <v>29</v>
      </c>
      <c r="EM33" s="2" t="s">
        <v>30</v>
      </c>
      <c r="EN33" s="2"/>
      <c r="EO33" s="2" t="s">
        <v>31</v>
      </c>
      <c r="EP33" s="2"/>
      <c r="EQ33" s="2">
        <v>131072</v>
      </c>
      <c r="ER33" s="2">
        <v>129.76</v>
      </c>
      <c r="ES33" s="2">
        <v>0</v>
      </c>
      <c r="ET33" s="2">
        <v>0</v>
      </c>
      <c r="EU33" s="2">
        <v>0</v>
      </c>
      <c r="EV33" s="2">
        <v>129.76</v>
      </c>
      <c r="EW33" s="2">
        <v>9.2100000000000009</v>
      </c>
      <c r="EX33" s="2">
        <v>0</v>
      </c>
      <c r="EY33" s="2">
        <v>0</v>
      </c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>
        <v>0</v>
      </c>
      <c r="FR33" s="2">
        <f t="shared" si="48"/>
        <v>0</v>
      </c>
      <c r="FS33" s="2">
        <v>0</v>
      </c>
      <c r="FT33" s="2"/>
      <c r="FU33" s="2"/>
      <c r="FV33" s="2"/>
      <c r="FW33" s="2"/>
      <c r="FX33" s="2">
        <v>75</v>
      </c>
      <c r="FY33" s="2">
        <v>70</v>
      </c>
      <c r="FZ33" s="2"/>
      <c r="GA33" s="2" t="s">
        <v>6</v>
      </c>
      <c r="GB33" s="2"/>
      <c r="GC33" s="2"/>
      <c r="GD33" s="2">
        <v>0</v>
      </c>
      <c r="GE33" s="2"/>
      <c r="GF33" s="2">
        <v>-785988428</v>
      </c>
      <c r="GG33" s="2">
        <v>2</v>
      </c>
      <c r="GH33" s="2">
        <v>1</v>
      </c>
      <c r="GI33" s="2">
        <v>-2</v>
      </c>
      <c r="GJ33" s="2">
        <v>0</v>
      </c>
      <c r="GK33" s="2">
        <f>ROUND(R33*(R12)/100,2)</f>
        <v>0</v>
      </c>
      <c r="GL33" s="2">
        <f t="shared" si="49"/>
        <v>0</v>
      </c>
      <c r="GM33" s="2">
        <f t="shared" si="50"/>
        <v>3051.97</v>
      </c>
      <c r="GN33" s="2">
        <f t="shared" si="51"/>
        <v>0</v>
      </c>
      <c r="GO33" s="2">
        <f t="shared" si="52"/>
        <v>0</v>
      </c>
      <c r="GP33" s="2">
        <f t="shared" si="53"/>
        <v>3051.97</v>
      </c>
      <c r="GQ33" s="2"/>
      <c r="GR33" s="2">
        <v>0</v>
      </c>
      <c r="GS33" s="2">
        <v>3</v>
      </c>
      <c r="GT33" s="2">
        <v>0</v>
      </c>
      <c r="GU33" s="2" t="s">
        <v>6</v>
      </c>
      <c r="GV33" s="2">
        <f t="shared" si="54"/>
        <v>0</v>
      </c>
      <c r="GW33" s="2">
        <v>1</v>
      </c>
      <c r="GX33" s="2">
        <f t="shared" si="55"/>
        <v>0</v>
      </c>
      <c r="GY33" s="2"/>
      <c r="GZ33" s="2"/>
      <c r="HA33" s="2">
        <v>0</v>
      </c>
      <c r="HB33" s="2">
        <v>0</v>
      </c>
      <c r="HC33" s="2">
        <f t="shared" si="56"/>
        <v>0</v>
      </c>
      <c r="HD33" s="2"/>
      <c r="HE33" s="2" t="s">
        <v>6</v>
      </c>
      <c r="HF33" s="2" t="s">
        <v>6</v>
      </c>
      <c r="HG33" s="2"/>
      <c r="HH33" s="2"/>
      <c r="HI33" s="2"/>
      <c r="HJ33" s="2"/>
      <c r="HK33" s="2"/>
      <c r="HL33" s="2"/>
      <c r="HM33" s="2" t="s">
        <v>6</v>
      </c>
      <c r="HN33" s="2" t="s">
        <v>6</v>
      </c>
      <c r="HO33" s="2" t="s">
        <v>6</v>
      </c>
      <c r="HP33" s="2" t="s">
        <v>6</v>
      </c>
      <c r="HQ33" s="2" t="s">
        <v>6</v>
      </c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>
        <v>17</v>
      </c>
      <c r="B34">
        <v>1</v>
      </c>
      <c r="E34" t="s">
        <v>36</v>
      </c>
      <c r="F34" t="s">
        <v>37</v>
      </c>
      <c r="G34" t="s">
        <v>38</v>
      </c>
      <c r="H34" t="s">
        <v>39</v>
      </c>
      <c r="I34">
        <f>ROUND(3*2*2,9)</f>
        <v>12</v>
      </c>
      <c r="J34">
        <v>0</v>
      </c>
      <c r="K34">
        <f>ROUND(3*2*2,9)</f>
        <v>12</v>
      </c>
      <c r="O34">
        <f t="shared" si="21"/>
        <v>58136.82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58136.82</v>
      </c>
      <c r="T34">
        <f t="shared" si="26"/>
        <v>0</v>
      </c>
      <c r="U34">
        <f t="shared" si="27"/>
        <v>88.416000000000011</v>
      </c>
      <c r="V34">
        <f t="shared" si="28"/>
        <v>0</v>
      </c>
      <c r="W34">
        <f t="shared" si="29"/>
        <v>0</v>
      </c>
      <c r="X34">
        <f t="shared" si="30"/>
        <v>40695.769999999997</v>
      </c>
      <c r="Y34">
        <f t="shared" si="30"/>
        <v>23836.1</v>
      </c>
      <c r="AA34">
        <v>70323475</v>
      </c>
      <c r="AB34">
        <f t="shared" si="31"/>
        <v>103.80800000000001</v>
      </c>
      <c r="AC34">
        <f t="shared" si="32"/>
        <v>0</v>
      </c>
      <c r="AD34">
        <f t="shared" si="33"/>
        <v>0</v>
      </c>
      <c r="AE34">
        <f t="shared" si="34"/>
        <v>0</v>
      </c>
      <c r="AF34">
        <f t="shared" si="35"/>
        <v>103.80800000000001</v>
      </c>
      <c r="AG34">
        <f t="shared" si="36"/>
        <v>0</v>
      </c>
      <c r="AH34">
        <f t="shared" si="37"/>
        <v>7.3680000000000012</v>
      </c>
      <c r="AI34">
        <f t="shared" si="38"/>
        <v>0</v>
      </c>
      <c r="AJ34">
        <f t="shared" si="39"/>
        <v>0</v>
      </c>
      <c r="AK34">
        <v>129.76</v>
      </c>
      <c r="AL34">
        <v>0</v>
      </c>
      <c r="AM34">
        <v>0</v>
      </c>
      <c r="AN34">
        <v>0</v>
      </c>
      <c r="AO34">
        <v>129.76</v>
      </c>
      <c r="AP34">
        <v>0</v>
      </c>
      <c r="AQ34">
        <v>9.2100000000000009</v>
      </c>
      <c r="AR34">
        <v>0</v>
      </c>
      <c r="AS34">
        <v>0</v>
      </c>
      <c r="AT34">
        <v>70</v>
      </c>
      <c r="AU34">
        <v>41</v>
      </c>
      <c r="AV34">
        <v>1</v>
      </c>
      <c r="AW34">
        <v>1</v>
      </c>
      <c r="AZ34">
        <v>1</v>
      </c>
      <c r="BA34">
        <v>46.67</v>
      </c>
      <c r="BB34">
        <v>1</v>
      </c>
      <c r="BC34">
        <v>1</v>
      </c>
      <c r="BD34" t="s">
        <v>6</v>
      </c>
      <c r="BE34" t="s">
        <v>6</v>
      </c>
      <c r="BF34" t="s">
        <v>6</v>
      </c>
      <c r="BG34" t="s">
        <v>6</v>
      </c>
      <c r="BH34">
        <v>0</v>
      </c>
      <c r="BI34">
        <v>4</v>
      </c>
      <c r="BJ34" t="s">
        <v>40</v>
      </c>
      <c r="BM34">
        <v>388</v>
      </c>
      <c r="BN34">
        <v>0</v>
      </c>
      <c r="BO34" t="s">
        <v>6</v>
      </c>
      <c r="BP34">
        <v>0</v>
      </c>
      <c r="BQ34">
        <v>50</v>
      </c>
      <c r="BR34">
        <v>0</v>
      </c>
      <c r="BS34">
        <v>46.67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6</v>
      </c>
      <c r="BZ34">
        <v>70</v>
      </c>
      <c r="CA34">
        <v>41</v>
      </c>
      <c r="CB34" t="s">
        <v>6</v>
      </c>
      <c r="CE34">
        <v>30</v>
      </c>
      <c r="CF34">
        <v>0</v>
      </c>
      <c r="CG34">
        <v>0</v>
      </c>
      <c r="CM34">
        <v>0</v>
      </c>
      <c r="CN34" t="s">
        <v>27</v>
      </c>
      <c r="CO34">
        <v>0</v>
      </c>
      <c r="CP34">
        <f t="shared" si="40"/>
        <v>58136.82</v>
      </c>
      <c r="CQ34">
        <f t="shared" si="41"/>
        <v>0</v>
      </c>
      <c r="CR34">
        <f t="shared" si="42"/>
        <v>0</v>
      </c>
      <c r="CS34">
        <f t="shared" si="43"/>
        <v>0</v>
      </c>
      <c r="CT34">
        <f t="shared" si="44"/>
        <v>4844.8100000000004</v>
      </c>
      <c r="CU34">
        <f t="shared" si="45"/>
        <v>0</v>
      </c>
      <c r="CV34">
        <f t="shared" si="46"/>
        <v>7.3680000000000012</v>
      </c>
      <c r="CW34">
        <f t="shared" si="47"/>
        <v>0</v>
      </c>
      <c r="CX34">
        <f t="shared" si="47"/>
        <v>0</v>
      </c>
      <c r="CY34">
        <f>S34*(BZ34/100)</f>
        <v>40695.773999999998</v>
      </c>
      <c r="CZ34">
        <f>S34*(CA34/100)</f>
        <v>23836.0962</v>
      </c>
      <c r="DC34" t="s">
        <v>6</v>
      </c>
      <c r="DD34" t="s">
        <v>6</v>
      </c>
      <c r="DE34" t="s">
        <v>6</v>
      </c>
      <c r="DF34" t="s">
        <v>6</v>
      </c>
      <c r="DG34" t="s">
        <v>28</v>
      </c>
      <c r="DH34" t="s">
        <v>6</v>
      </c>
      <c r="DI34" t="s">
        <v>28</v>
      </c>
      <c r="DJ34" t="s">
        <v>6</v>
      </c>
      <c r="DK34" t="s">
        <v>6</v>
      </c>
      <c r="DL34" t="s">
        <v>6</v>
      </c>
      <c r="DM34" t="s">
        <v>6</v>
      </c>
      <c r="DN34">
        <v>75</v>
      </c>
      <c r="DO34">
        <v>70</v>
      </c>
      <c r="DP34">
        <v>1</v>
      </c>
      <c r="DQ34">
        <v>1</v>
      </c>
      <c r="DU34">
        <v>1013</v>
      </c>
      <c r="DV34" t="s">
        <v>39</v>
      </c>
      <c r="DW34" t="s">
        <v>39</v>
      </c>
      <c r="DX34">
        <v>1</v>
      </c>
      <c r="DZ34" t="s">
        <v>6</v>
      </c>
      <c r="EA34" t="s">
        <v>6</v>
      </c>
      <c r="EB34" t="s">
        <v>6</v>
      </c>
      <c r="EC34" t="s">
        <v>6</v>
      </c>
      <c r="EE34">
        <v>69253013</v>
      </c>
      <c r="EF34">
        <v>50</v>
      </c>
      <c r="EG34" t="s">
        <v>16</v>
      </c>
      <c r="EH34">
        <v>0</v>
      </c>
      <c r="EI34" t="s">
        <v>6</v>
      </c>
      <c r="EJ34">
        <v>4</v>
      </c>
      <c r="EK34">
        <v>388</v>
      </c>
      <c r="EL34" t="s">
        <v>29</v>
      </c>
      <c r="EM34" t="s">
        <v>30</v>
      </c>
      <c r="EO34" t="s">
        <v>31</v>
      </c>
      <c r="EQ34">
        <v>131072</v>
      </c>
      <c r="ER34">
        <v>129.76</v>
      </c>
      <c r="ES34">
        <v>0</v>
      </c>
      <c r="ET34">
        <v>0</v>
      </c>
      <c r="EU34">
        <v>0</v>
      </c>
      <c r="EV34">
        <v>129.76</v>
      </c>
      <c r="EW34">
        <v>9.2100000000000009</v>
      </c>
      <c r="EX34">
        <v>0</v>
      </c>
      <c r="EY34">
        <v>0</v>
      </c>
      <c r="FQ34">
        <v>0</v>
      </c>
      <c r="FR34">
        <f t="shared" si="48"/>
        <v>0</v>
      </c>
      <c r="FS34">
        <v>0</v>
      </c>
      <c r="FX34">
        <v>75</v>
      </c>
      <c r="FY34">
        <v>70</v>
      </c>
      <c r="GA34" t="s">
        <v>6</v>
      </c>
      <c r="GD34">
        <v>0</v>
      </c>
      <c r="GF34">
        <v>-785988428</v>
      </c>
      <c r="GG34">
        <v>2</v>
      </c>
      <c r="GH34">
        <v>1</v>
      </c>
      <c r="GI34">
        <v>2</v>
      </c>
      <c r="GJ34">
        <v>0</v>
      </c>
      <c r="GK34">
        <f>ROUND(R34*(S12)/100,2)</f>
        <v>0</v>
      </c>
      <c r="GL34">
        <f t="shared" si="49"/>
        <v>0</v>
      </c>
      <c r="GM34">
        <f t="shared" si="50"/>
        <v>122668.69</v>
      </c>
      <c r="GN34">
        <f t="shared" si="51"/>
        <v>0</v>
      </c>
      <c r="GO34">
        <f t="shared" si="52"/>
        <v>0</v>
      </c>
      <c r="GP34">
        <f t="shared" si="53"/>
        <v>122668.69</v>
      </c>
      <c r="GR34">
        <v>0</v>
      </c>
      <c r="GS34">
        <v>0</v>
      </c>
      <c r="GT34">
        <v>0</v>
      </c>
      <c r="GU34" t="s">
        <v>6</v>
      </c>
      <c r="GV34">
        <f t="shared" si="54"/>
        <v>0</v>
      </c>
      <c r="GW34">
        <v>1</v>
      </c>
      <c r="GX34">
        <f t="shared" si="55"/>
        <v>0</v>
      </c>
      <c r="HA34">
        <v>0</v>
      </c>
      <c r="HB34">
        <v>0</v>
      </c>
      <c r="HC34">
        <f t="shared" si="56"/>
        <v>0</v>
      </c>
      <c r="HE34" t="s">
        <v>6</v>
      </c>
      <c r="HF34" t="s">
        <v>6</v>
      </c>
      <c r="HM34" t="s">
        <v>6</v>
      </c>
      <c r="HN34" t="s">
        <v>6</v>
      </c>
      <c r="HO34" t="s">
        <v>6</v>
      </c>
      <c r="HP34" t="s">
        <v>6</v>
      </c>
      <c r="HQ34" t="s">
        <v>6</v>
      </c>
      <c r="IK34">
        <v>0</v>
      </c>
    </row>
    <row r="35" spans="1:255">
      <c r="A35" s="2">
        <v>17</v>
      </c>
      <c r="B35" s="2">
        <v>1</v>
      </c>
      <c r="C35" s="2"/>
      <c r="D35" s="2"/>
      <c r="E35" s="2" t="s">
        <v>41</v>
      </c>
      <c r="F35" s="2" t="s">
        <v>42</v>
      </c>
      <c r="G35" s="2" t="s">
        <v>43</v>
      </c>
      <c r="H35" s="2" t="s">
        <v>44</v>
      </c>
      <c r="I35" s="2">
        <f>ROUND((I29*1.5+I33*0.4)*6.82,9)</f>
        <v>53.195999999999998</v>
      </c>
      <c r="J35" s="2">
        <v>0</v>
      </c>
      <c r="K35" s="2">
        <f>ROUND((I29*1.5+I33*0.4)*6.82,9)</f>
        <v>53.195999999999998</v>
      </c>
      <c r="L35" s="2"/>
      <c r="M35" s="2"/>
      <c r="N35" s="2"/>
      <c r="O35" s="2">
        <f t="shared" si="21"/>
        <v>13159.63</v>
      </c>
      <c r="P35" s="2">
        <f t="shared" si="22"/>
        <v>0</v>
      </c>
      <c r="Q35" s="2">
        <f t="shared" si="23"/>
        <v>13159.63</v>
      </c>
      <c r="R35" s="2">
        <f t="shared" si="24"/>
        <v>671.33</v>
      </c>
      <c r="S35" s="2">
        <f t="shared" si="25"/>
        <v>0</v>
      </c>
      <c r="T35" s="2">
        <f t="shared" si="26"/>
        <v>0</v>
      </c>
      <c r="U35" s="2">
        <f t="shared" si="27"/>
        <v>0</v>
      </c>
      <c r="V35" s="2">
        <f t="shared" si="28"/>
        <v>0</v>
      </c>
      <c r="W35" s="2">
        <f t="shared" si="29"/>
        <v>0</v>
      </c>
      <c r="X35" s="2">
        <f t="shared" si="30"/>
        <v>0</v>
      </c>
      <c r="Y35" s="2">
        <f t="shared" si="30"/>
        <v>0</v>
      </c>
      <c r="Z35" s="2"/>
      <c r="AA35" s="2">
        <v>70323474</v>
      </c>
      <c r="AB35" s="2">
        <f t="shared" si="31"/>
        <v>247.38</v>
      </c>
      <c r="AC35" s="2">
        <f t="shared" si="32"/>
        <v>0</v>
      </c>
      <c r="AD35" s="2">
        <f t="shared" si="33"/>
        <v>247.38</v>
      </c>
      <c r="AE35" s="2">
        <f t="shared" si="34"/>
        <v>12.62</v>
      </c>
      <c r="AF35" s="2">
        <f>ROUND((EV35),6)</f>
        <v>0</v>
      </c>
      <c r="AG35" s="2">
        <f t="shared" si="36"/>
        <v>0</v>
      </c>
      <c r="AH35" s="2">
        <f>(EW35)</f>
        <v>0</v>
      </c>
      <c r="AI35" s="2">
        <f t="shared" si="38"/>
        <v>0</v>
      </c>
      <c r="AJ35" s="2">
        <f t="shared" si="39"/>
        <v>0</v>
      </c>
      <c r="AK35" s="2">
        <v>247.38</v>
      </c>
      <c r="AL35" s="2">
        <v>0</v>
      </c>
      <c r="AM35" s="2">
        <v>247.38</v>
      </c>
      <c r="AN35" s="2">
        <v>12.62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1</v>
      </c>
      <c r="AW35" s="2">
        <v>1</v>
      </c>
      <c r="AX35" s="2"/>
      <c r="AY35" s="2"/>
      <c r="AZ35" s="2">
        <v>1</v>
      </c>
      <c r="BA35" s="2">
        <v>1</v>
      </c>
      <c r="BB35" s="2">
        <v>1</v>
      </c>
      <c r="BC35" s="2">
        <v>1</v>
      </c>
      <c r="BD35" s="2" t="s">
        <v>6</v>
      </c>
      <c r="BE35" s="2" t="s">
        <v>6</v>
      </c>
      <c r="BF35" s="2" t="s">
        <v>6</v>
      </c>
      <c r="BG35" s="2" t="s">
        <v>6</v>
      </c>
      <c r="BH35" s="2">
        <v>2</v>
      </c>
      <c r="BI35" s="2">
        <v>1</v>
      </c>
      <c r="BJ35" s="2" t="s">
        <v>45</v>
      </c>
      <c r="BK35" s="2"/>
      <c r="BL35" s="2"/>
      <c r="BM35" s="2">
        <v>400001</v>
      </c>
      <c r="BN35" s="2">
        <v>0</v>
      </c>
      <c r="BO35" s="2" t="s">
        <v>6</v>
      </c>
      <c r="BP35" s="2">
        <v>0</v>
      </c>
      <c r="BQ35" s="2">
        <v>190</v>
      </c>
      <c r="BR35" s="2">
        <v>0</v>
      </c>
      <c r="BS35" s="2">
        <v>1</v>
      </c>
      <c r="BT35" s="2">
        <v>1</v>
      </c>
      <c r="BU35" s="2">
        <v>1</v>
      </c>
      <c r="BV35" s="2">
        <v>1</v>
      </c>
      <c r="BW35" s="2">
        <v>1</v>
      </c>
      <c r="BX35" s="2">
        <v>1</v>
      </c>
      <c r="BY35" s="2" t="s">
        <v>6</v>
      </c>
      <c r="BZ35" s="2">
        <v>0</v>
      </c>
      <c r="CA35" s="2">
        <v>0</v>
      </c>
      <c r="CB35" s="2" t="s">
        <v>6</v>
      </c>
      <c r="CC35" s="2"/>
      <c r="CD35" s="2"/>
      <c r="CE35" s="2">
        <v>30</v>
      </c>
      <c r="CF35" s="2">
        <v>0</v>
      </c>
      <c r="CG35" s="2">
        <v>0</v>
      </c>
      <c r="CH35" s="2"/>
      <c r="CI35" s="2"/>
      <c r="CJ35" s="2"/>
      <c r="CK35" s="2"/>
      <c r="CL35" s="2"/>
      <c r="CM35" s="2">
        <v>0</v>
      </c>
      <c r="CN35" s="2" t="s">
        <v>6</v>
      </c>
      <c r="CO35" s="2">
        <v>0</v>
      </c>
      <c r="CP35" s="2">
        <f t="shared" si="40"/>
        <v>13159.63</v>
      </c>
      <c r="CQ35" s="2">
        <f t="shared" si="41"/>
        <v>0</v>
      </c>
      <c r="CR35" s="2">
        <f t="shared" si="42"/>
        <v>247.38</v>
      </c>
      <c r="CS35" s="2">
        <f t="shared" si="43"/>
        <v>12.62</v>
      </c>
      <c r="CT35" s="2">
        <f t="shared" si="44"/>
        <v>0</v>
      </c>
      <c r="CU35" s="2">
        <f t="shared" si="45"/>
        <v>0</v>
      </c>
      <c r="CV35" s="2">
        <f t="shared" si="46"/>
        <v>0</v>
      </c>
      <c r="CW35" s="2">
        <f t="shared" si="47"/>
        <v>0</v>
      </c>
      <c r="CX35" s="2">
        <f t="shared" si="47"/>
        <v>0</v>
      </c>
      <c r="CY35" s="2">
        <f>((S35*BZ35)/100)</f>
        <v>0</v>
      </c>
      <c r="CZ35" s="2">
        <f>((S35*CA35)/100)</f>
        <v>0</v>
      </c>
      <c r="DA35" s="2"/>
      <c r="DB35" s="2"/>
      <c r="DC35" s="2" t="s">
        <v>6</v>
      </c>
      <c r="DD35" s="2" t="s">
        <v>6</v>
      </c>
      <c r="DE35" s="2" t="s">
        <v>6</v>
      </c>
      <c r="DF35" s="2" t="s">
        <v>6</v>
      </c>
      <c r="DG35" s="2" t="s">
        <v>6</v>
      </c>
      <c r="DH35" s="2" t="s">
        <v>6</v>
      </c>
      <c r="DI35" s="2" t="s">
        <v>6</v>
      </c>
      <c r="DJ35" s="2" t="s">
        <v>6</v>
      </c>
      <c r="DK35" s="2" t="s">
        <v>6</v>
      </c>
      <c r="DL35" s="2" t="s">
        <v>6</v>
      </c>
      <c r="DM35" s="2" t="s">
        <v>6</v>
      </c>
      <c r="DN35" s="2">
        <v>0</v>
      </c>
      <c r="DO35" s="2">
        <v>0</v>
      </c>
      <c r="DP35" s="2">
        <v>1</v>
      </c>
      <c r="DQ35" s="2">
        <v>1</v>
      </c>
      <c r="DR35" s="2"/>
      <c r="DS35" s="2"/>
      <c r="DT35" s="2"/>
      <c r="DU35" s="2">
        <v>1011</v>
      </c>
      <c r="DV35" s="2" t="s">
        <v>44</v>
      </c>
      <c r="DW35" s="2" t="s">
        <v>44</v>
      </c>
      <c r="DX35" s="2">
        <v>1</v>
      </c>
      <c r="DY35" s="2"/>
      <c r="DZ35" s="2" t="s">
        <v>6</v>
      </c>
      <c r="EA35" s="2" t="s">
        <v>6</v>
      </c>
      <c r="EB35" s="2" t="s">
        <v>6</v>
      </c>
      <c r="EC35" s="2" t="s">
        <v>6</v>
      </c>
      <c r="ED35" s="2"/>
      <c r="EE35" s="2">
        <v>69254438</v>
      </c>
      <c r="EF35" s="2">
        <v>190</v>
      </c>
      <c r="EG35" s="2" t="s">
        <v>46</v>
      </c>
      <c r="EH35" s="2">
        <v>0</v>
      </c>
      <c r="EI35" s="2" t="s">
        <v>6</v>
      </c>
      <c r="EJ35" s="2">
        <v>1</v>
      </c>
      <c r="EK35" s="2">
        <v>400001</v>
      </c>
      <c r="EL35" s="2" t="s">
        <v>47</v>
      </c>
      <c r="EM35" s="2" t="s">
        <v>48</v>
      </c>
      <c r="EN35" s="2"/>
      <c r="EO35" s="2" t="s">
        <v>6</v>
      </c>
      <c r="EP35" s="2"/>
      <c r="EQ35" s="2">
        <v>131072</v>
      </c>
      <c r="ER35" s="2">
        <v>247.38</v>
      </c>
      <c r="ES35" s="2">
        <v>0</v>
      </c>
      <c r="ET35" s="2">
        <v>247.38</v>
      </c>
      <c r="EU35" s="2">
        <v>12.62</v>
      </c>
      <c r="EV35" s="2">
        <v>0</v>
      </c>
      <c r="EW35" s="2">
        <v>0</v>
      </c>
      <c r="EX35" s="2">
        <v>0</v>
      </c>
      <c r="EY35" s="2">
        <v>0</v>
      </c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>
        <v>0</v>
      </c>
      <c r="FR35" s="2">
        <f t="shared" si="48"/>
        <v>0</v>
      </c>
      <c r="FS35" s="2">
        <v>0</v>
      </c>
      <c r="FT35" s="2"/>
      <c r="FU35" s="2"/>
      <c r="FV35" s="2"/>
      <c r="FW35" s="2"/>
      <c r="FX35" s="2">
        <v>0</v>
      </c>
      <c r="FY35" s="2">
        <v>0</v>
      </c>
      <c r="FZ35" s="2"/>
      <c r="GA35" s="2" t="s">
        <v>6</v>
      </c>
      <c r="GB35" s="2"/>
      <c r="GC35" s="2"/>
      <c r="GD35" s="2">
        <v>0</v>
      </c>
      <c r="GE35" s="2"/>
      <c r="GF35" s="2">
        <v>1067973097</v>
      </c>
      <c r="GG35" s="2">
        <v>2</v>
      </c>
      <c r="GH35" s="2">
        <v>1</v>
      </c>
      <c r="GI35" s="2">
        <v>-2</v>
      </c>
      <c r="GJ35" s="2">
        <v>0</v>
      </c>
      <c r="GK35" s="2">
        <f>ROUND(R35*(R12)/100,2)</f>
        <v>1174.83</v>
      </c>
      <c r="GL35" s="2">
        <f t="shared" si="49"/>
        <v>0</v>
      </c>
      <c r="GM35" s="2">
        <f t="shared" si="50"/>
        <v>14334.46</v>
      </c>
      <c r="GN35" s="2">
        <f t="shared" si="51"/>
        <v>14334.46</v>
      </c>
      <c r="GO35" s="2">
        <f t="shared" si="52"/>
        <v>0</v>
      </c>
      <c r="GP35" s="2">
        <f t="shared" si="53"/>
        <v>0</v>
      </c>
      <c r="GQ35" s="2"/>
      <c r="GR35" s="2">
        <v>0</v>
      </c>
      <c r="GS35" s="2">
        <v>3</v>
      </c>
      <c r="GT35" s="2">
        <v>0</v>
      </c>
      <c r="GU35" s="2" t="s">
        <v>6</v>
      </c>
      <c r="GV35" s="2">
        <f t="shared" si="54"/>
        <v>0</v>
      </c>
      <c r="GW35" s="2">
        <v>1</v>
      </c>
      <c r="GX35" s="2">
        <f t="shared" si="55"/>
        <v>0</v>
      </c>
      <c r="GY35" s="2"/>
      <c r="GZ35" s="2"/>
      <c r="HA35" s="2">
        <v>0</v>
      </c>
      <c r="HB35" s="2">
        <v>0</v>
      </c>
      <c r="HC35" s="2">
        <f t="shared" si="56"/>
        <v>0</v>
      </c>
      <c r="HD35" s="2"/>
      <c r="HE35" s="2" t="s">
        <v>6</v>
      </c>
      <c r="HF35" s="2" t="s">
        <v>6</v>
      </c>
      <c r="HG35" s="2"/>
      <c r="HH35" s="2"/>
      <c r="HI35" s="2"/>
      <c r="HJ35" s="2"/>
      <c r="HK35" s="2"/>
      <c r="HL35" s="2"/>
      <c r="HM35" s="2" t="s">
        <v>6</v>
      </c>
      <c r="HN35" s="2" t="s">
        <v>6</v>
      </c>
      <c r="HO35" s="2" t="s">
        <v>6</v>
      </c>
      <c r="HP35" s="2" t="s">
        <v>6</v>
      </c>
      <c r="HQ35" s="2" t="s">
        <v>6</v>
      </c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>
        <v>0</v>
      </c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pans="1:255">
      <c r="A36">
        <v>17</v>
      </c>
      <c r="B36">
        <v>1</v>
      </c>
      <c r="E36" t="s">
        <v>41</v>
      </c>
      <c r="F36" t="s">
        <v>42</v>
      </c>
      <c r="G36" t="s">
        <v>43</v>
      </c>
      <c r="H36" t="s">
        <v>44</v>
      </c>
      <c r="I36">
        <f>ROUND((I30*1.5+I34*0.4)*6.82,9)</f>
        <v>53.195999999999998</v>
      </c>
      <c r="J36">
        <v>0</v>
      </c>
      <c r="K36">
        <f>ROUND((I30*1.5+I34*0.4)*6.82,9)</f>
        <v>53.195999999999998</v>
      </c>
      <c r="O36">
        <f t="shared" si="21"/>
        <v>143308.37</v>
      </c>
      <c r="P36">
        <f t="shared" si="22"/>
        <v>0</v>
      </c>
      <c r="Q36">
        <f t="shared" si="23"/>
        <v>143308.37</v>
      </c>
      <c r="R36">
        <f t="shared" si="24"/>
        <v>31330.97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0"/>
        <v>0</v>
      </c>
      <c r="AA36">
        <v>70323475</v>
      </c>
      <c r="AB36">
        <f t="shared" si="31"/>
        <v>247.38</v>
      </c>
      <c r="AC36">
        <f t="shared" si="32"/>
        <v>0</v>
      </c>
      <c r="AD36">
        <f t="shared" si="33"/>
        <v>247.38</v>
      </c>
      <c r="AE36">
        <f t="shared" si="34"/>
        <v>12.62</v>
      </c>
      <c r="AF36">
        <f>ROUND((EV36),6)</f>
        <v>0</v>
      </c>
      <c r="AG36">
        <f t="shared" si="36"/>
        <v>0</v>
      </c>
      <c r="AH36">
        <f>(EW36)</f>
        <v>0</v>
      </c>
      <c r="AI36">
        <f t="shared" si="38"/>
        <v>0</v>
      </c>
      <c r="AJ36">
        <f t="shared" si="39"/>
        <v>0</v>
      </c>
      <c r="AK36">
        <v>247.38</v>
      </c>
      <c r="AL36">
        <v>0</v>
      </c>
      <c r="AM36">
        <v>247.38</v>
      </c>
      <c r="AN36">
        <v>12.62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10.89</v>
      </c>
      <c r="BC36">
        <v>1</v>
      </c>
      <c r="BD36" t="s">
        <v>6</v>
      </c>
      <c r="BE36" t="s">
        <v>6</v>
      </c>
      <c r="BF36" t="s">
        <v>6</v>
      </c>
      <c r="BG36" t="s">
        <v>6</v>
      </c>
      <c r="BH36">
        <v>2</v>
      </c>
      <c r="BI36">
        <v>1</v>
      </c>
      <c r="BJ36" t="s">
        <v>45</v>
      </c>
      <c r="BM36">
        <v>400001</v>
      </c>
      <c r="BN36">
        <v>0</v>
      </c>
      <c r="BO36" t="s">
        <v>42</v>
      </c>
      <c r="BP36">
        <v>1</v>
      </c>
      <c r="BQ36">
        <v>190</v>
      </c>
      <c r="BR36">
        <v>0</v>
      </c>
      <c r="BS36">
        <v>46.67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30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40"/>
        <v>143308.37</v>
      </c>
      <c r="CQ36">
        <f t="shared" si="41"/>
        <v>0</v>
      </c>
      <c r="CR36">
        <f t="shared" si="42"/>
        <v>2693.97</v>
      </c>
      <c r="CS36">
        <f t="shared" si="43"/>
        <v>588.98</v>
      </c>
      <c r="CT36">
        <f t="shared" si="44"/>
        <v>0</v>
      </c>
      <c r="CU36">
        <f t="shared" si="45"/>
        <v>0</v>
      </c>
      <c r="CV36">
        <f t="shared" si="46"/>
        <v>0</v>
      </c>
      <c r="CW36">
        <f t="shared" si="47"/>
        <v>0</v>
      </c>
      <c r="CX36">
        <f t="shared" si="47"/>
        <v>0</v>
      </c>
      <c r="CY36">
        <f>S36*(BZ36/100)</f>
        <v>0</v>
      </c>
      <c r="CZ36">
        <f>S36*(CA36/100)</f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0</v>
      </c>
      <c r="DO36">
        <v>0</v>
      </c>
      <c r="DP36">
        <v>1</v>
      </c>
      <c r="DQ36">
        <v>1</v>
      </c>
      <c r="DU36">
        <v>1011</v>
      </c>
      <c r="DV36" t="s">
        <v>44</v>
      </c>
      <c r="DW36" t="s">
        <v>44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69254438</v>
      </c>
      <c r="EF36">
        <v>190</v>
      </c>
      <c r="EG36" t="s">
        <v>46</v>
      </c>
      <c r="EH36">
        <v>0</v>
      </c>
      <c r="EI36" t="s">
        <v>6</v>
      </c>
      <c r="EJ36">
        <v>1</v>
      </c>
      <c r="EK36">
        <v>400001</v>
      </c>
      <c r="EL36" t="s">
        <v>47</v>
      </c>
      <c r="EM36" t="s">
        <v>48</v>
      </c>
      <c r="EO36" t="s">
        <v>6</v>
      </c>
      <c r="EQ36">
        <v>131072</v>
      </c>
      <c r="ER36">
        <v>247.38</v>
      </c>
      <c r="ES36">
        <v>0</v>
      </c>
      <c r="ET36">
        <v>247.38</v>
      </c>
      <c r="EU36">
        <v>12.62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48"/>
        <v>0</v>
      </c>
      <c r="FS36">
        <v>0</v>
      </c>
      <c r="FX36">
        <v>0</v>
      </c>
      <c r="FY36">
        <v>0</v>
      </c>
      <c r="GA36" t="s">
        <v>6</v>
      </c>
      <c r="GD36">
        <v>0</v>
      </c>
      <c r="GF36">
        <v>1067973097</v>
      </c>
      <c r="GG36">
        <v>2</v>
      </c>
      <c r="GH36">
        <v>1</v>
      </c>
      <c r="GI36">
        <v>2</v>
      </c>
      <c r="GJ36">
        <v>0</v>
      </c>
      <c r="GK36">
        <f>ROUND(R36*(S12)/100,2)</f>
        <v>50129.55</v>
      </c>
      <c r="GL36">
        <f t="shared" si="49"/>
        <v>0</v>
      </c>
      <c r="GM36">
        <f t="shared" si="50"/>
        <v>193437.92</v>
      </c>
      <c r="GN36">
        <f t="shared" si="51"/>
        <v>193437.92</v>
      </c>
      <c r="GO36">
        <f t="shared" si="52"/>
        <v>0</v>
      </c>
      <c r="GP36">
        <f t="shared" si="53"/>
        <v>0</v>
      </c>
      <c r="GR36">
        <v>0</v>
      </c>
      <c r="GS36">
        <v>0</v>
      </c>
      <c r="GT36">
        <v>0</v>
      </c>
      <c r="GU36" t="s">
        <v>6</v>
      </c>
      <c r="GV36">
        <f t="shared" si="54"/>
        <v>0</v>
      </c>
      <c r="GW36">
        <v>1</v>
      </c>
      <c r="GX36">
        <f t="shared" si="55"/>
        <v>0</v>
      </c>
      <c r="HA36">
        <v>0</v>
      </c>
      <c r="HB36">
        <v>0</v>
      </c>
      <c r="HC36">
        <f t="shared" si="56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8" spans="1:255">
      <c r="A38" s="3">
        <v>51</v>
      </c>
      <c r="B38" s="3">
        <f>B24</f>
        <v>1</v>
      </c>
      <c r="C38" s="3">
        <f>A24</f>
        <v>4</v>
      </c>
      <c r="D38" s="3">
        <f>ROW(A24)</f>
        <v>24</v>
      </c>
      <c r="E38" s="3"/>
      <c r="F38" s="3" t="str">
        <f>IF(F24&lt;&gt;"",F24,"")</f>
        <v>Новый раздел</v>
      </c>
      <c r="G38" s="3" t="str">
        <f>IF(G24&lt;&gt;"",G24,"")</f>
        <v>КЛ 10 кВ</v>
      </c>
      <c r="H38" s="3">
        <v>0</v>
      </c>
      <c r="I38" s="3"/>
      <c r="J38" s="3"/>
      <c r="K38" s="3"/>
      <c r="L38" s="3"/>
      <c r="M38" s="3"/>
      <c r="N38" s="3"/>
      <c r="O38" s="3">
        <f t="shared" ref="O38:T38" si="57">ROUND(AB38,2)</f>
        <v>19350.740000000002</v>
      </c>
      <c r="P38" s="3">
        <f t="shared" si="57"/>
        <v>0</v>
      </c>
      <c r="Q38" s="3">
        <f t="shared" si="57"/>
        <v>13159.63</v>
      </c>
      <c r="R38" s="3">
        <f t="shared" si="57"/>
        <v>671.33</v>
      </c>
      <c r="S38" s="3">
        <f t="shared" si="57"/>
        <v>6191.11</v>
      </c>
      <c r="T38" s="3">
        <f t="shared" si="57"/>
        <v>0</v>
      </c>
      <c r="U38" s="3">
        <f>AH38</f>
        <v>398.81599999999997</v>
      </c>
      <c r="V38" s="3">
        <f>AI38</f>
        <v>0</v>
      </c>
      <c r="W38" s="3">
        <f>ROUND(AJ38,2)</f>
        <v>0</v>
      </c>
      <c r="X38" s="3">
        <f>ROUND(AK38,2)</f>
        <v>4643.34</v>
      </c>
      <c r="Y38" s="3">
        <f>ROUND(AL38,2)</f>
        <v>4333.78</v>
      </c>
      <c r="Z38" s="3"/>
      <c r="AA38" s="3"/>
      <c r="AB38" s="3">
        <f>ROUND(SUMIF(AA28:AA36,"=70323474",O28:O36),2)</f>
        <v>19350.740000000002</v>
      </c>
      <c r="AC38" s="3">
        <f>ROUND(SUMIF(AA28:AA36,"=70323474",P28:P36),2)</f>
        <v>0</v>
      </c>
      <c r="AD38" s="3">
        <f>ROUND(SUMIF(AA28:AA36,"=70323474",Q28:Q36),2)</f>
        <v>13159.63</v>
      </c>
      <c r="AE38" s="3">
        <f>ROUND(SUMIF(AA28:AA36,"=70323474",R28:R36),2)</f>
        <v>671.33</v>
      </c>
      <c r="AF38" s="3">
        <f>ROUND(SUMIF(AA28:AA36,"=70323474",S28:S36),2)</f>
        <v>6191.11</v>
      </c>
      <c r="AG38" s="3">
        <f>ROUND(SUMIF(AA28:AA36,"=70323474",T28:T36),2)</f>
        <v>0</v>
      </c>
      <c r="AH38" s="3">
        <f>SUMIF(AA28:AA36,"=70323474",U28:U36)</f>
        <v>398.81599999999997</v>
      </c>
      <c r="AI38" s="3">
        <f>SUMIF(AA28:AA36,"=70323474",V28:V36)</f>
        <v>0</v>
      </c>
      <c r="AJ38" s="3">
        <f>ROUND(SUMIF(AA28:AA36,"=70323474",W28:W36),2)</f>
        <v>0</v>
      </c>
      <c r="AK38" s="3">
        <f>ROUND(SUMIF(AA28:AA36,"=70323474",X28:X36),2)</f>
        <v>4643.34</v>
      </c>
      <c r="AL38" s="3">
        <f>ROUND(SUMIF(AA28:AA36,"=70323474",Y28:Y36),2)</f>
        <v>4333.78</v>
      </c>
      <c r="AM38" s="3"/>
      <c r="AN38" s="3"/>
      <c r="AO38" s="3">
        <f t="shared" ref="AO38:BD38" si="58">ROUND(BX38,2)</f>
        <v>0</v>
      </c>
      <c r="AP38" s="3">
        <f t="shared" si="58"/>
        <v>0</v>
      </c>
      <c r="AQ38" s="3">
        <f t="shared" si="58"/>
        <v>0</v>
      </c>
      <c r="AR38" s="3">
        <f t="shared" si="58"/>
        <v>29502.69</v>
      </c>
      <c r="AS38" s="3">
        <f t="shared" si="58"/>
        <v>14334.46</v>
      </c>
      <c r="AT38" s="3">
        <f t="shared" si="58"/>
        <v>0</v>
      </c>
      <c r="AU38" s="3">
        <f t="shared" si="58"/>
        <v>15168.23</v>
      </c>
      <c r="AV38" s="3">
        <f t="shared" si="58"/>
        <v>0</v>
      </c>
      <c r="AW38" s="3">
        <f t="shared" si="58"/>
        <v>0</v>
      </c>
      <c r="AX38" s="3">
        <f t="shared" si="58"/>
        <v>0</v>
      </c>
      <c r="AY38" s="3">
        <f t="shared" si="58"/>
        <v>0</v>
      </c>
      <c r="AZ38" s="3">
        <f t="shared" si="58"/>
        <v>0</v>
      </c>
      <c r="BA38" s="3">
        <f t="shared" si="58"/>
        <v>0</v>
      </c>
      <c r="BB38" s="3">
        <f t="shared" si="58"/>
        <v>0</v>
      </c>
      <c r="BC38" s="3">
        <f t="shared" si="58"/>
        <v>0</v>
      </c>
      <c r="BD38" s="3">
        <f t="shared" si="58"/>
        <v>0</v>
      </c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>
        <f>ROUND(SUMIF(AA28:AA36,"=70323474",FQ28:FQ36),2)</f>
        <v>0</v>
      </c>
      <c r="BY38" s="3">
        <f>ROUND(SUMIF(AA28:AA36,"=70323474",FR28:FR36),2)</f>
        <v>0</v>
      </c>
      <c r="BZ38" s="3">
        <f>ROUND(SUMIF(AA28:AA36,"=70323474",GL28:GL36),2)</f>
        <v>0</v>
      </c>
      <c r="CA38" s="3">
        <f>ROUND(SUMIF(AA28:AA36,"=70323474",GM28:GM36),2)</f>
        <v>29502.69</v>
      </c>
      <c r="CB38" s="3">
        <f>ROUND(SUMIF(AA28:AA36,"=70323474",GN28:GN36),2)</f>
        <v>14334.46</v>
      </c>
      <c r="CC38" s="3">
        <f>ROUND(SUMIF(AA28:AA36,"=70323474",GO28:GO36),2)</f>
        <v>0</v>
      </c>
      <c r="CD38" s="3">
        <f>ROUND(SUMIF(AA28:AA36,"=70323474",GP28:GP36),2)</f>
        <v>15168.23</v>
      </c>
      <c r="CE38" s="3">
        <f>AC38-BX38</f>
        <v>0</v>
      </c>
      <c r="CF38" s="3">
        <f>AC38-BY38</f>
        <v>0</v>
      </c>
      <c r="CG38" s="3">
        <f>BX38-BZ38</f>
        <v>0</v>
      </c>
      <c r="CH38" s="3">
        <f>AC38-BX38-BY38+BZ38</f>
        <v>0</v>
      </c>
      <c r="CI38" s="3">
        <f>BY38-BZ38</f>
        <v>0</v>
      </c>
      <c r="CJ38" s="3">
        <f>ROUND(SUMIF(AA28:AA36,"=70323474",GX28:GX36),2)</f>
        <v>0</v>
      </c>
      <c r="CK38" s="3">
        <f>ROUND(SUMIF(AA28:AA36,"=70323474",GY28:GY36),2)</f>
        <v>0</v>
      </c>
      <c r="CL38" s="3">
        <f>ROUND(SUMIF(AA28:AA36,"=70323474",GZ28:GZ36),2)</f>
        <v>0</v>
      </c>
      <c r="CM38" s="3">
        <f>ROUND(SUMIF(AA28:AA36,"=70323474",HD28:HD36),2)</f>
        <v>0</v>
      </c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4">
        <f t="shared" ref="DG38:DL38" si="59">ROUND(DT38,2)</f>
        <v>432247.48</v>
      </c>
      <c r="DH38" s="4">
        <f t="shared" si="59"/>
        <v>0</v>
      </c>
      <c r="DI38" s="4">
        <f t="shared" si="59"/>
        <v>143308.37</v>
      </c>
      <c r="DJ38" s="4">
        <f t="shared" si="59"/>
        <v>31330.97</v>
      </c>
      <c r="DK38" s="4">
        <f t="shared" si="59"/>
        <v>288939.11</v>
      </c>
      <c r="DL38" s="4">
        <f t="shared" si="59"/>
        <v>0</v>
      </c>
      <c r="DM38" s="4">
        <f>DZ38</f>
        <v>398.81599999999997</v>
      </c>
      <c r="DN38" s="4">
        <f>EA38</f>
        <v>0</v>
      </c>
      <c r="DO38" s="4">
        <f>ROUND(EB38,2)</f>
        <v>0</v>
      </c>
      <c r="DP38" s="4">
        <f>ROUND(EC38,2)</f>
        <v>202257.37</v>
      </c>
      <c r="DQ38" s="4">
        <f>ROUND(ED38,2)</f>
        <v>118465.04</v>
      </c>
      <c r="DR38" s="4"/>
      <c r="DS38" s="4"/>
      <c r="DT38" s="4">
        <f>ROUND(SUMIF(AA28:AA36,"=70323475",O28:O36),2)</f>
        <v>432247.48</v>
      </c>
      <c r="DU38" s="4">
        <f>ROUND(SUMIF(AA28:AA36,"=70323475",P28:P36),2)</f>
        <v>0</v>
      </c>
      <c r="DV38" s="4">
        <f>ROUND(SUMIF(AA28:AA36,"=70323475",Q28:Q36),2)</f>
        <v>143308.37</v>
      </c>
      <c r="DW38" s="4">
        <f>ROUND(SUMIF(AA28:AA36,"=70323475",R28:R36),2)</f>
        <v>31330.97</v>
      </c>
      <c r="DX38" s="4">
        <f>ROUND(SUMIF(AA28:AA36,"=70323475",S28:S36),2)</f>
        <v>288939.11</v>
      </c>
      <c r="DY38" s="4">
        <f>ROUND(SUMIF(AA28:AA36,"=70323475",T28:T36),2)</f>
        <v>0</v>
      </c>
      <c r="DZ38" s="4">
        <f>SUMIF(AA28:AA36,"=70323475",U28:U36)</f>
        <v>398.81599999999997</v>
      </c>
      <c r="EA38" s="4">
        <f>SUMIF(AA28:AA36,"=70323475",V28:V36)</f>
        <v>0</v>
      </c>
      <c r="EB38" s="4">
        <f>ROUND(SUMIF(AA28:AA36,"=70323475",W28:W36),2)</f>
        <v>0</v>
      </c>
      <c r="EC38" s="4">
        <f>ROUND(SUMIF(AA28:AA36,"=70323475",X28:X36),2)</f>
        <v>202257.37</v>
      </c>
      <c r="ED38" s="4">
        <f>ROUND(SUMIF(AA28:AA36,"=70323475",Y28:Y36),2)</f>
        <v>118465.04</v>
      </c>
      <c r="EE38" s="4"/>
      <c r="EF38" s="4"/>
      <c r="EG38" s="4">
        <f t="shared" ref="EG38:EV38" si="60">ROUND(FP38,2)</f>
        <v>0</v>
      </c>
      <c r="EH38" s="4">
        <f t="shared" si="60"/>
        <v>0</v>
      </c>
      <c r="EI38" s="4">
        <f t="shared" si="60"/>
        <v>0</v>
      </c>
      <c r="EJ38" s="4">
        <f t="shared" si="60"/>
        <v>803099.44</v>
      </c>
      <c r="EK38" s="4">
        <f t="shared" si="60"/>
        <v>193437.92</v>
      </c>
      <c r="EL38" s="4">
        <f t="shared" si="60"/>
        <v>0</v>
      </c>
      <c r="EM38" s="4">
        <f t="shared" si="60"/>
        <v>609661.52</v>
      </c>
      <c r="EN38" s="4">
        <f t="shared" si="60"/>
        <v>0</v>
      </c>
      <c r="EO38" s="4">
        <f t="shared" si="60"/>
        <v>0</v>
      </c>
      <c r="EP38" s="4">
        <f t="shared" si="60"/>
        <v>0</v>
      </c>
      <c r="EQ38" s="4">
        <f t="shared" si="60"/>
        <v>0</v>
      </c>
      <c r="ER38" s="4">
        <f t="shared" si="60"/>
        <v>0</v>
      </c>
      <c r="ES38" s="4">
        <f t="shared" si="60"/>
        <v>0</v>
      </c>
      <c r="ET38" s="4">
        <f t="shared" si="60"/>
        <v>0</v>
      </c>
      <c r="EU38" s="4">
        <f t="shared" si="60"/>
        <v>0</v>
      </c>
      <c r="EV38" s="4">
        <f t="shared" si="60"/>
        <v>0</v>
      </c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>
        <f>ROUND(SUMIF(AA28:AA36,"=70323475",FQ28:FQ36),2)</f>
        <v>0</v>
      </c>
      <c r="FQ38" s="4">
        <f>ROUND(SUMIF(AA28:AA36,"=70323475",FR28:FR36),2)</f>
        <v>0</v>
      </c>
      <c r="FR38" s="4">
        <f>ROUND(SUMIF(AA28:AA36,"=70323475",GL28:GL36),2)</f>
        <v>0</v>
      </c>
      <c r="FS38" s="4">
        <f>ROUND(SUMIF(AA28:AA36,"=70323475",GM28:GM36),2)</f>
        <v>803099.44</v>
      </c>
      <c r="FT38" s="4">
        <f>ROUND(SUMIF(AA28:AA36,"=70323475",GN28:GN36),2)</f>
        <v>193437.92</v>
      </c>
      <c r="FU38" s="4">
        <f>ROUND(SUMIF(AA28:AA36,"=70323475",GO28:GO36),2)</f>
        <v>0</v>
      </c>
      <c r="FV38" s="4">
        <f>ROUND(SUMIF(AA28:AA36,"=70323475",GP28:GP36),2)</f>
        <v>609661.52</v>
      </c>
      <c r="FW38" s="4">
        <f>DU38-FP38</f>
        <v>0</v>
      </c>
      <c r="FX38" s="4">
        <f>DU38-FQ38</f>
        <v>0</v>
      </c>
      <c r="FY38" s="4">
        <f>FP38-FR38</f>
        <v>0</v>
      </c>
      <c r="FZ38" s="4">
        <f>DU38-FP38-FQ38+FR38</f>
        <v>0</v>
      </c>
      <c r="GA38" s="4">
        <f>FQ38-FR38</f>
        <v>0</v>
      </c>
      <c r="GB38" s="4">
        <f>ROUND(SUMIF(AA28:AA36,"=70323475",GX28:GX36),2)</f>
        <v>0</v>
      </c>
      <c r="GC38" s="4">
        <f>ROUND(SUMIF(AA28:AA36,"=70323475",GY28:GY36),2)</f>
        <v>0</v>
      </c>
      <c r="GD38" s="4">
        <f>ROUND(SUMIF(AA28:AA36,"=70323475",GZ28:GZ36),2)</f>
        <v>0</v>
      </c>
      <c r="GE38" s="4">
        <f>ROUND(SUMIF(AA28:AA36,"=70323475",HD28:HD36),2)</f>
        <v>0</v>
      </c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>
        <v>0</v>
      </c>
    </row>
    <row r="40" spans="1:255">
      <c r="A40" s="5">
        <v>50</v>
      </c>
      <c r="B40" s="5">
        <v>0</v>
      </c>
      <c r="C40" s="5">
        <v>0</v>
      </c>
      <c r="D40" s="5">
        <v>1</v>
      </c>
      <c r="E40" s="5">
        <v>201</v>
      </c>
      <c r="F40" s="5">
        <f>ROUND(Source!O38,O40)</f>
        <v>19350.740000000002</v>
      </c>
      <c r="G40" s="5" t="s">
        <v>49</v>
      </c>
      <c r="H40" s="5" t="s">
        <v>50</v>
      </c>
      <c r="I40" s="5"/>
      <c r="J40" s="5"/>
      <c r="K40" s="5">
        <v>201</v>
      </c>
      <c r="L40" s="5">
        <v>1</v>
      </c>
      <c r="M40" s="5">
        <v>3</v>
      </c>
      <c r="N40" s="5" t="s">
        <v>6</v>
      </c>
      <c r="O40" s="5">
        <v>2</v>
      </c>
      <c r="P40" s="5">
        <f>ROUND(Source!DG38,O40)</f>
        <v>432247.48</v>
      </c>
      <c r="Q40" s="5"/>
      <c r="R40" s="5"/>
      <c r="S40" s="5"/>
      <c r="T40" s="5"/>
      <c r="U40" s="5"/>
      <c r="V40" s="5"/>
      <c r="W40" s="5">
        <v>19350.740000000002</v>
      </c>
      <c r="X40" s="5">
        <v>1</v>
      </c>
      <c r="Y40" s="5">
        <v>19350.740000000002</v>
      </c>
      <c r="Z40" s="5">
        <v>432247.48</v>
      </c>
      <c r="AA40" s="5">
        <v>1</v>
      </c>
      <c r="AB40" s="5">
        <v>432247.48</v>
      </c>
    </row>
    <row r="41" spans="1:255">
      <c r="A41" s="5">
        <v>50</v>
      </c>
      <c r="B41" s="5">
        <v>0</v>
      </c>
      <c r="C41" s="5">
        <v>0</v>
      </c>
      <c r="D41" s="5">
        <v>1</v>
      </c>
      <c r="E41" s="5">
        <v>202</v>
      </c>
      <c r="F41" s="5">
        <f>ROUND(Source!P38,O41)</f>
        <v>0</v>
      </c>
      <c r="G41" s="5" t="s">
        <v>51</v>
      </c>
      <c r="H41" s="5" t="s">
        <v>52</v>
      </c>
      <c r="I41" s="5"/>
      <c r="J41" s="5"/>
      <c r="K41" s="5">
        <v>202</v>
      </c>
      <c r="L41" s="5">
        <v>2</v>
      </c>
      <c r="M41" s="5">
        <v>3</v>
      </c>
      <c r="N41" s="5" t="s">
        <v>6</v>
      </c>
      <c r="O41" s="5">
        <v>2</v>
      </c>
      <c r="P41" s="5">
        <f>ROUND(Source!DH38,O41)</f>
        <v>0</v>
      </c>
      <c r="Q41" s="5"/>
      <c r="R41" s="5"/>
      <c r="S41" s="5"/>
      <c r="T41" s="5"/>
      <c r="U41" s="5"/>
      <c r="V41" s="5"/>
      <c r="W41" s="5">
        <v>0</v>
      </c>
      <c r="X41" s="5">
        <v>1</v>
      </c>
      <c r="Y41" s="5">
        <v>0</v>
      </c>
      <c r="Z41" s="5">
        <v>0</v>
      </c>
      <c r="AA41" s="5">
        <v>1</v>
      </c>
      <c r="AB41" s="5">
        <v>0</v>
      </c>
    </row>
    <row r="42" spans="1:255">
      <c r="A42" s="5">
        <v>50</v>
      </c>
      <c r="B42" s="5">
        <v>0</v>
      </c>
      <c r="C42" s="5">
        <v>0</v>
      </c>
      <c r="D42" s="5">
        <v>1</v>
      </c>
      <c r="E42" s="5">
        <v>222</v>
      </c>
      <c r="F42" s="5">
        <f>ROUND(Source!AO38,O42)</f>
        <v>0</v>
      </c>
      <c r="G42" s="5" t="s">
        <v>53</v>
      </c>
      <c r="H42" s="5" t="s">
        <v>54</v>
      </c>
      <c r="I42" s="5"/>
      <c r="J42" s="5"/>
      <c r="K42" s="5">
        <v>222</v>
      </c>
      <c r="L42" s="5">
        <v>3</v>
      </c>
      <c r="M42" s="5">
        <v>3</v>
      </c>
      <c r="N42" s="5" t="s">
        <v>6</v>
      </c>
      <c r="O42" s="5">
        <v>2</v>
      </c>
      <c r="P42" s="5">
        <f>ROUND(Source!EG38,O42)</f>
        <v>0</v>
      </c>
      <c r="Q42" s="5"/>
      <c r="R42" s="5"/>
      <c r="S42" s="5"/>
      <c r="T42" s="5"/>
      <c r="U42" s="5"/>
      <c r="V42" s="5"/>
      <c r="W42" s="5">
        <v>0</v>
      </c>
      <c r="X42" s="5">
        <v>1</v>
      </c>
      <c r="Y42" s="5">
        <v>0</v>
      </c>
      <c r="Z42" s="5">
        <v>0</v>
      </c>
      <c r="AA42" s="5">
        <v>1</v>
      </c>
      <c r="AB42" s="5">
        <v>0</v>
      </c>
    </row>
    <row r="43" spans="1:255">
      <c r="A43" s="5">
        <v>50</v>
      </c>
      <c r="B43" s="5">
        <v>0</v>
      </c>
      <c r="C43" s="5">
        <v>0</v>
      </c>
      <c r="D43" s="5">
        <v>1</v>
      </c>
      <c r="E43" s="5">
        <v>225</v>
      </c>
      <c r="F43" s="5">
        <f>ROUND(Source!AV38,O43)</f>
        <v>0</v>
      </c>
      <c r="G43" s="5" t="s">
        <v>55</v>
      </c>
      <c r="H43" s="5" t="s">
        <v>56</v>
      </c>
      <c r="I43" s="5"/>
      <c r="J43" s="5"/>
      <c r="K43" s="5">
        <v>225</v>
      </c>
      <c r="L43" s="5">
        <v>4</v>
      </c>
      <c r="M43" s="5">
        <v>3</v>
      </c>
      <c r="N43" s="5" t="s">
        <v>6</v>
      </c>
      <c r="O43" s="5">
        <v>2</v>
      </c>
      <c r="P43" s="5">
        <f>ROUND(Source!EN38,O43)</f>
        <v>0</v>
      </c>
      <c r="Q43" s="5"/>
      <c r="R43" s="5"/>
      <c r="S43" s="5"/>
      <c r="T43" s="5"/>
      <c r="U43" s="5"/>
      <c r="V43" s="5"/>
      <c r="W43" s="5">
        <v>0</v>
      </c>
      <c r="X43" s="5">
        <v>1</v>
      </c>
      <c r="Y43" s="5">
        <v>0</v>
      </c>
      <c r="Z43" s="5">
        <v>0</v>
      </c>
      <c r="AA43" s="5">
        <v>1</v>
      </c>
      <c r="AB43" s="5">
        <v>0</v>
      </c>
    </row>
    <row r="44" spans="1:255">
      <c r="A44" s="5">
        <v>50</v>
      </c>
      <c r="B44" s="5">
        <v>0</v>
      </c>
      <c r="C44" s="5">
        <v>0</v>
      </c>
      <c r="D44" s="5">
        <v>1</v>
      </c>
      <c r="E44" s="5">
        <v>226</v>
      </c>
      <c r="F44" s="5">
        <f>ROUND(Source!AW38,O44)</f>
        <v>0</v>
      </c>
      <c r="G44" s="5" t="s">
        <v>57</v>
      </c>
      <c r="H44" s="5" t="s">
        <v>58</v>
      </c>
      <c r="I44" s="5"/>
      <c r="J44" s="5"/>
      <c r="K44" s="5">
        <v>226</v>
      </c>
      <c r="L44" s="5">
        <v>5</v>
      </c>
      <c r="M44" s="5">
        <v>3</v>
      </c>
      <c r="N44" s="5" t="s">
        <v>6</v>
      </c>
      <c r="O44" s="5">
        <v>2</v>
      </c>
      <c r="P44" s="5">
        <f>ROUND(Source!EO38,O44)</f>
        <v>0</v>
      </c>
      <c r="Q44" s="5"/>
      <c r="R44" s="5"/>
      <c r="S44" s="5"/>
      <c r="T44" s="5"/>
      <c r="U44" s="5"/>
      <c r="V44" s="5"/>
      <c r="W44" s="5">
        <v>0</v>
      </c>
      <c r="X44" s="5">
        <v>1</v>
      </c>
      <c r="Y44" s="5">
        <v>0</v>
      </c>
      <c r="Z44" s="5">
        <v>0</v>
      </c>
      <c r="AA44" s="5">
        <v>1</v>
      </c>
      <c r="AB44" s="5">
        <v>0</v>
      </c>
    </row>
    <row r="45" spans="1:255">
      <c r="A45" s="5">
        <v>50</v>
      </c>
      <c r="B45" s="5">
        <v>0</v>
      </c>
      <c r="C45" s="5">
        <v>0</v>
      </c>
      <c r="D45" s="5">
        <v>1</v>
      </c>
      <c r="E45" s="5">
        <v>227</v>
      </c>
      <c r="F45" s="5">
        <f>ROUND(Source!AX38,O45)</f>
        <v>0</v>
      </c>
      <c r="G45" s="5" t="s">
        <v>59</v>
      </c>
      <c r="H45" s="5" t="s">
        <v>60</v>
      </c>
      <c r="I45" s="5"/>
      <c r="J45" s="5"/>
      <c r="K45" s="5">
        <v>227</v>
      </c>
      <c r="L45" s="5">
        <v>6</v>
      </c>
      <c r="M45" s="5">
        <v>3</v>
      </c>
      <c r="N45" s="5" t="s">
        <v>6</v>
      </c>
      <c r="O45" s="5">
        <v>2</v>
      </c>
      <c r="P45" s="5">
        <f>ROUND(Source!EP38,O45)</f>
        <v>0</v>
      </c>
      <c r="Q45" s="5"/>
      <c r="R45" s="5"/>
      <c r="S45" s="5"/>
      <c r="T45" s="5"/>
      <c r="U45" s="5"/>
      <c r="V45" s="5"/>
      <c r="W45" s="5">
        <v>0</v>
      </c>
      <c r="X45" s="5">
        <v>1</v>
      </c>
      <c r="Y45" s="5">
        <v>0</v>
      </c>
      <c r="Z45" s="5">
        <v>0</v>
      </c>
      <c r="AA45" s="5">
        <v>1</v>
      </c>
      <c r="AB45" s="5">
        <v>0</v>
      </c>
    </row>
    <row r="46" spans="1:255">
      <c r="A46" s="5">
        <v>50</v>
      </c>
      <c r="B46" s="5">
        <v>0</v>
      </c>
      <c r="C46" s="5">
        <v>0</v>
      </c>
      <c r="D46" s="5">
        <v>1</v>
      </c>
      <c r="E46" s="5">
        <v>228</v>
      </c>
      <c r="F46" s="5">
        <f>ROUND(Source!AY38,O46)</f>
        <v>0</v>
      </c>
      <c r="G46" s="5" t="s">
        <v>61</v>
      </c>
      <c r="H46" s="5" t="s">
        <v>62</v>
      </c>
      <c r="I46" s="5"/>
      <c r="J46" s="5"/>
      <c r="K46" s="5">
        <v>228</v>
      </c>
      <c r="L46" s="5">
        <v>7</v>
      </c>
      <c r="M46" s="5">
        <v>3</v>
      </c>
      <c r="N46" s="5" t="s">
        <v>6</v>
      </c>
      <c r="O46" s="5">
        <v>2</v>
      </c>
      <c r="P46" s="5">
        <f>ROUND(Source!EQ38,O46)</f>
        <v>0</v>
      </c>
      <c r="Q46" s="5"/>
      <c r="R46" s="5"/>
      <c r="S46" s="5"/>
      <c r="T46" s="5"/>
      <c r="U46" s="5"/>
      <c r="V46" s="5"/>
      <c r="W46" s="5">
        <v>0</v>
      </c>
      <c r="X46" s="5">
        <v>1</v>
      </c>
      <c r="Y46" s="5">
        <v>0</v>
      </c>
      <c r="Z46" s="5">
        <v>0</v>
      </c>
      <c r="AA46" s="5">
        <v>1</v>
      </c>
      <c r="AB46" s="5">
        <v>0</v>
      </c>
    </row>
    <row r="47" spans="1:255">
      <c r="A47" s="5">
        <v>50</v>
      </c>
      <c r="B47" s="5">
        <v>0</v>
      </c>
      <c r="C47" s="5">
        <v>0</v>
      </c>
      <c r="D47" s="5">
        <v>1</v>
      </c>
      <c r="E47" s="5">
        <v>216</v>
      </c>
      <c r="F47" s="5">
        <f>ROUND(Source!AP38,O47)</f>
        <v>0</v>
      </c>
      <c r="G47" s="5" t="s">
        <v>63</v>
      </c>
      <c r="H47" s="5" t="s">
        <v>64</v>
      </c>
      <c r="I47" s="5"/>
      <c r="J47" s="5"/>
      <c r="K47" s="5">
        <v>216</v>
      </c>
      <c r="L47" s="5">
        <v>8</v>
      </c>
      <c r="M47" s="5">
        <v>3</v>
      </c>
      <c r="N47" s="5" t="s">
        <v>6</v>
      </c>
      <c r="O47" s="5">
        <v>2</v>
      </c>
      <c r="P47" s="5">
        <f>ROUND(Source!EH38,O47)</f>
        <v>0</v>
      </c>
      <c r="Q47" s="5"/>
      <c r="R47" s="5"/>
      <c r="S47" s="5"/>
      <c r="T47" s="5"/>
      <c r="U47" s="5"/>
      <c r="V47" s="5"/>
      <c r="W47" s="5">
        <v>0</v>
      </c>
      <c r="X47" s="5">
        <v>1</v>
      </c>
      <c r="Y47" s="5">
        <v>0</v>
      </c>
      <c r="Z47" s="5">
        <v>0</v>
      </c>
      <c r="AA47" s="5">
        <v>1</v>
      </c>
      <c r="AB47" s="5">
        <v>0</v>
      </c>
    </row>
    <row r="48" spans="1:255">
      <c r="A48" s="5">
        <v>50</v>
      </c>
      <c r="B48" s="5">
        <v>0</v>
      </c>
      <c r="C48" s="5">
        <v>0</v>
      </c>
      <c r="D48" s="5">
        <v>1</v>
      </c>
      <c r="E48" s="5">
        <v>223</v>
      </c>
      <c r="F48" s="5">
        <f>ROUND(Source!AQ38,O48)</f>
        <v>0</v>
      </c>
      <c r="G48" s="5" t="s">
        <v>65</v>
      </c>
      <c r="H48" s="5" t="s">
        <v>66</v>
      </c>
      <c r="I48" s="5"/>
      <c r="J48" s="5"/>
      <c r="K48" s="5">
        <v>223</v>
      </c>
      <c r="L48" s="5">
        <v>9</v>
      </c>
      <c r="M48" s="5">
        <v>3</v>
      </c>
      <c r="N48" s="5" t="s">
        <v>6</v>
      </c>
      <c r="O48" s="5">
        <v>2</v>
      </c>
      <c r="P48" s="5">
        <f>ROUND(Source!EI38,O48)</f>
        <v>0</v>
      </c>
      <c r="Q48" s="5"/>
      <c r="R48" s="5"/>
      <c r="S48" s="5"/>
      <c r="T48" s="5"/>
      <c r="U48" s="5"/>
      <c r="V48" s="5"/>
      <c r="W48" s="5">
        <v>0</v>
      </c>
      <c r="X48" s="5">
        <v>1</v>
      </c>
      <c r="Y48" s="5">
        <v>0</v>
      </c>
      <c r="Z48" s="5">
        <v>0</v>
      </c>
      <c r="AA48" s="5">
        <v>1</v>
      </c>
      <c r="AB48" s="5">
        <v>0</v>
      </c>
    </row>
    <row r="49" spans="1:28">
      <c r="A49" s="5">
        <v>50</v>
      </c>
      <c r="B49" s="5">
        <v>0</v>
      </c>
      <c r="C49" s="5">
        <v>0</v>
      </c>
      <c r="D49" s="5">
        <v>1</v>
      </c>
      <c r="E49" s="5">
        <v>229</v>
      </c>
      <c r="F49" s="5">
        <f>ROUND(Source!AZ38,O49)</f>
        <v>0</v>
      </c>
      <c r="G49" s="5" t="s">
        <v>67</v>
      </c>
      <c r="H49" s="5" t="s">
        <v>68</v>
      </c>
      <c r="I49" s="5"/>
      <c r="J49" s="5"/>
      <c r="K49" s="5">
        <v>229</v>
      </c>
      <c r="L49" s="5">
        <v>10</v>
      </c>
      <c r="M49" s="5">
        <v>3</v>
      </c>
      <c r="N49" s="5" t="s">
        <v>6</v>
      </c>
      <c r="O49" s="5">
        <v>2</v>
      </c>
      <c r="P49" s="5">
        <f>ROUND(Source!ER38,O49)</f>
        <v>0</v>
      </c>
      <c r="Q49" s="5"/>
      <c r="R49" s="5"/>
      <c r="S49" s="5"/>
      <c r="T49" s="5"/>
      <c r="U49" s="5"/>
      <c r="V49" s="5"/>
      <c r="W49" s="5">
        <v>0</v>
      </c>
      <c r="X49" s="5">
        <v>1</v>
      </c>
      <c r="Y49" s="5">
        <v>0</v>
      </c>
      <c r="Z49" s="5">
        <v>0</v>
      </c>
      <c r="AA49" s="5">
        <v>1</v>
      </c>
      <c r="AB49" s="5">
        <v>0</v>
      </c>
    </row>
    <row r="50" spans="1:28">
      <c r="A50" s="5">
        <v>50</v>
      </c>
      <c r="B50" s="5">
        <v>0</v>
      </c>
      <c r="C50" s="5">
        <v>0</v>
      </c>
      <c r="D50" s="5">
        <v>1</v>
      </c>
      <c r="E50" s="5">
        <v>203</v>
      </c>
      <c r="F50" s="5">
        <f>ROUND(Source!Q38,O50)</f>
        <v>13159.63</v>
      </c>
      <c r="G50" s="5" t="s">
        <v>69</v>
      </c>
      <c r="H50" s="5" t="s">
        <v>70</v>
      </c>
      <c r="I50" s="5"/>
      <c r="J50" s="5"/>
      <c r="K50" s="5">
        <v>203</v>
      </c>
      <c r="L50" s="5">
        <v>11</v>
      </c>
      <c r="M50" s="5">
        <v>3</v>
      </c>
      <c r="N50" s="5" t="s">
        <v>6</v>
      </c>
      <c r="O50" s="5">
        <v>2</v>
      </c>
      <c r="P50" s="5">
        <f>ROUND(Source!DI38,O50)</f>
        <v>143308.37</v>
      </c>
      <c r="Q50" s="5"/>
      <c r="R50" s="5"/>
      <c r="S50" s="5"/>
      <c r="T50" s="5"/>
      <c r="U50" s="5"/>
      <c r="V50" s="5"/>
      <c r="W50" s="5">
        <v>13159.63</v>
      </c>
      <c r="X50" s="5">
        <v>1</v>
      </c>
      <c r="Y50" s="5">
        <v>13159.63</v>
      </c>
      <c r="Z50" s="5">
        <v>143308.37</v>
      </c>
      <c r="AA50" s="5">
        <v>1</v>
      </c>
      <c r="AB50" s="5">
        <v>143308.37</v>
      </c>
    </row>
    <row r="51" spans="1:28">
      <c r="A51" s="5">
        <v>50</v>
      </c>
      <c r="B51" s="5">
        <v>0</v>
      </c>
      <c r="C51" s="5">
        <v>0</v>
      </c>
      <c r="D51" s="5">
        <v>1</v>
      </c>
      <c r="E51" s="5">
        <v>231</v>
      </c>
      <c r="F51" s="5">
        <f>ROUND(Source!BB38,O51)</f>
        <v>0</v>
      </c>
      <c r="G51" s="5" t="s">
        <v>71</v>
      </c>
      <c r="H51" s="5" t="s">
        <v>72</v>
      </c>
      <c r="I51" s="5"/>
      <c r="J51" s="5"/>
      <c r="K51" s="5">
        <v>231</v>
      </c>
      <c r="L51" s="5">
        <v>12</v>
      </c>
      <c r="M51" s="5">
        <v>3</v>
      </c>
      <c r="N51" s="5" t="s">
        <v>6</v>
      </c>
      <c r="O51" s="5">
        <v>2</v>
      </c>
      <c r="P51" s="5">
        <f>ROUND(Source!ET38,O51)</f>
        <v>0</v>
      </c>
      <c r="Q51" s="5"/>
      <c r="R51" s="5"/>
      <c r="S51" s="5"/>
      <c r="T51" s="5"/>
      <c r="U51" s="5"/>
      <c r="V51" s="5"/>
      <c r="W51" s="5">
        <v>0</v>
      </c>
      <c r="X51" s="5">
        <v>1</v>
      </c>
      <c r="Y51" s="5">
        <v>0</v>
      </c>
      <c r="Z51" s="5">
        <v>0</v>
      </c>
      <c r="AA51" s="5">
        <v>1</v>
      </c>
      <c r="AB51" s="5">
        <v>0</v>
      </c>
    </row>
    <row r="52" spans="1:28">
      <c r="A52" s="5">
        <v>50</v>
      </c>
      <c r="B52" s="5">
        <v>0</v>
      </c>
      <c r="C52" s="5">
        <v>0</v>
      </c>
      <c r="D52" s="5">
        <v>1</v>
      </c>
      <c r="E52" s="5">
        <v>204</v>
      </c>
      <c r="F52" s="5">
        <f>ROUND(Source!R38,O52)</f>
        <v>671.33</v>
      </c>
      <c r="G52" s="5" t="s">
        <v>73</v>
      </c>
      <c r="H52" s="5" t="s">
        <v>74</v>
      </c>
      <c r="I52" s="5"/>
      <c r="J52" s="5"/>
      <c r="K52" s="5">
        <v>204</v>
      </c>
      <c r="L52" s="5">
        <v>13</v>
      </c>
      <c r="M52" s="5">
        <v>3</v>
      </c>
      <c r="N52" s="5" t="s">
        <v>6</v>
      </c>
      <c r="O52" s="5">
        <v>2</v>
      </c>
      <c r="P52" s="5">
        <f>ROUND(Source!DJ38,O52)</f>
        <v>31330.97</v>
      </c>
      <c r="Q52" s="5"/>
      <c r="R52" s="5"/>
      <c r="S52" s="5"/>
      <c r="T52" s="5"/>
      <c r="U52" s="5"/>
      <c r="V52" s="5"/>
      <c r="W52" s="5">
        <v>671.33</v>
      </c>
      <c r="X52" s="5">
        <v>1</v>
      </c>
      <c r="Y52" s="5">
        <v>671.33</v>
      </c>
      <c r="Z52" s="5">
        <v>31330.97</v>
      </c>
      <c r="AA52" s="5">
        <v>1</v>
      </c>
      <c r="AB52" s="5">
        <v>31330.97</v>
      </c>
    </row>
    <row r="53" spans="1:28">
      <c r="A53" s="5">
        <v>50</v>
      </c>
      <c r="B53" s="5">
        <v>0</v>
      </c>
      <c r="C53" s="5">
        <v>0</v>
      </c>
      <c r="D53" s="5">
        <v>1</v>
      </c>
      <c r="E53" s="5">
        <v>205</v>
      </c>
      <c r="F53" s="5">
        <f>ROUND(Source!S38,O53)</f>
        <v>6191.11</v>
      </c>
      <c r="G53" s="5" t="s">
        <v>75</v>
      </c>
      <c r="H53" s="5" t="s">
        <v>76</v>
      </c>
      <c r="I53" s="5"/>
      <c r="J53" s="5"/>
      <c r="K53" s="5">
        <v>205</v>
      </c>
      <c r="L53" s="5">
        <v>14</v>
      </c>
      <c r="M53" s="5">
        <v>3</v>
      </c>
      <c r="N53" s="5" t="s">
        <v>6</v>
      </c>
      <c r="O53" s="5">
        <v>2</v>
      </c>
      <c r="P53" s="5">
        <f>ROUND(Source!DK38,O53)</f>
        <v>288939.11</v>
      </c>
      <c r="Q53" s="5"/>
      <c r="R53" s="5"/>
      <c r="S53" s="5"/>
      <c r="T53" s="5"/>
      <c r="U53" s="5"/>
      <c r="V53" s="5"/>
      <c r="W53" s="5">
        <v>6191.11</v>
      </c>
      <c r="X53" s="5">
        <v>1</v>
      </c>
      <c r="Y53" s="5">
        <v>6191.11</v>
      </c>
      <c r="Z53" s="5">
        <v>288939.11</v>
      </c>
      <c r="AA53" s="5">
        <v>1</v>
      </c>
      <c r="AB53" s="5">
        <v>288939.11</v>
      </c>
    </row>
    <row r="54" spans="1:28">
      <c r="A54" s="5">
        <v>50</v>
      </c>
      <c r="B54" s="5">
        <v>0</v>
      </c>
      <c r="C54" s="5">
        <v>0</v>
      </c>
      <c r="D54" s="5">
        <v>1</v>
      </c>
      <c r="E54" s="5">
        <v>232</v>
      </c>
      <c r="F54" s="5">
        <f>ROUND(Source!BC38,O54)</f>
        <v>0</v>
      </c>
      <c r="G54" s="5" t="s">
        <v>77</v>
      </c>
      <c r="H54" s="5" t="s">
        <v>78</v>
      </c>
      <c r="I54" s="5"/>
      <c r="J54" s="5"/>
      <c r="K54" s="5">
        <v>232</v>
      </c>
      <c r="L54" s="5">
        <v>15</v>
      </c>
      <c r="M54" s="5">
        <v>3</v>
      </c>
      <c r="N54" s="5" t="s">
        <v>6</v>
      </c>
      <c r="O54" s="5">
        <v>2</v>
      </c>
      <c r="P54" s="5">
        <f>ROUND(Source!EU38,O54)</f>
        <v>0</v>
      </c>
      <c r="Q54" s="5"/>
      <c r="R54" s="5"/>
      <c r="S54" s="5"/>
      <c r="T54" s="5"/>
      <c r="U54" s="5"/>
      <c r="V54" s="5"/>
      <c r="W54" s="5">
        <v>0</v>
      </c>
      <c r="X54" s="5">
        <v>1</v>
      </c>
      <c r="Y54" s="5">
        <v>0</v>
      </c>
      <c r="Z54" s="5">
        <v>0</v>
      </c>
      <c r="AA54" s="5">
        <v>1</v>
      </c>
      <c r="AB54" s="5">
        <v>0</v>
      </c>
    </row>
    <row r="55" spans="1:28">
      <c r="A55" s="5">
        <v>50</v>
      </c>
      <c r="B55" s="5">
        <v>0</v>
      </c>
      <c r="C55" s="5">
        <v>0</v>
      </c>
      <c r="D55" s="5">
        <v>1</v>
      </c>
      <c r="E55" s="5">
        <v>214</v>
      </c>
      <c r="F55" s="5">
        <f>ROUND(Source!AS38,O55)</f>
        <v>14334.46</v>
      </c>
      <c r="G55" s="5" t="s">
        <v>79</v>
      </c>
      <c r="H55" s="5" t="s">
        <v>80</v>
      </c>
      <c r="I55" s="5"/>
      <c r="J55" s="5"/>
      <c r="K55" s="5">
        <v>214</v>
      </c>
      <c r="L55" s="5">
        <v>16</v>
      </c>
      <c r="M55" s="5">
        <v>3</v>
      </c>
      <c r="N55" s="5" t="s">
        <v>6</v>
      </c>
      <c r="O55" s="5">
        <v>2</v>
      </c>
      <c r="P55" s="5">
        <f>ROUND(Source!EK38,O55)</f>
        <v>193437.92</v>
      </c>
      <c r="Q55" s="5"/>
      <c r="R55" s="5"/>
      <c r="S55" s="5"/>
      <c r="T55" s="5"/>
      <c r="U55" s="5"/>
      <c r="V55" s="5"/>
      <c r="W55" s="5">
        <v>14334.46</v>
      </c>
      <c r="X55" s="5">
        <v>1</v>
      </c>
      <c r="Y55" s="5">
        <v>14334.46</v>
      </c>
      <c r="Z55" s="5">
        <v>193437.92</v>
      </c>
      <c r="AA55" s="5">
        <v>1</v>
      </c>
      <c r="AB55" s="5">
        <v>193437.92</v>
      </c>
    </row>
    <row r="56" spans="1:28">
      <c r="A56" s="5">
        <v>50</v>
      </c>
      <c r="B56" s="5">
        <v>0</v>
      </c>
      <c r="C56" s="5">
        <v>0</v>
      </c>
      <c r="D56" s="5">
        <v>1</v>
      </c>
      <c r="E56" s="5">
        <v>215</v>
      </c>
      <c r="F56" s="5">
        <f>ROUND(Source!AT38,O56)</f>
        <v>0</v>
      </c>
      <c r="G56" s="5" t="s">
        <v>81</v>
      </c>
      <c r="H56" s="5" t="s">
        <v>82</v>
      </c>
      <c r="I56" s="5"/>
      <c r="J56" s="5"/>
      <c r="K56" s="5">
        <v>215</v>
      </c>
      <c r="L56" s="5">
        <v>17</v>
      </c>
      <c r="M56" s="5">
        <v>3</v>
      </c>
      <c r="N56" s="5" t="s">
        <v>6</v>
      </c>
      <c r="O56" s="5">
        <v>2</v>
      </c>
      <c r="P56" s="5">
        <f>ROUND(Source!EL38,O56)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8">
      <c r="A57" s="5">
        <v>50</v>
      </c>
      <c r="B57" s="5">
        <v>0</v>
      </c>
      <c r="C57" s="5">
        <v>0</v>
      </c>
      <c r="D57" s="5">
        <v>1</v>
      </c>
      <c r="E57" s="5">
        <v>217</v>
      </c>
      <c r="F57" s="5">
        <f>ROUND(Source!AU38,O57)</f>
        <v>15168.23</v>
      </c>
      <c r="G57" s="5" t="s">
        <v>83</v>
      </c>
      <c r="H57" s="5" t="s">
        <v>84</v>
      </c>
      <c r="I57" s="5"/>
      <c r="J57" s="5"/>
      <c r="K57" s="5">
        <v>217</v>
      </c>
      <c r="L57" s="5">
        <v>18</v>
      </c>
      <c r="M57" s="5">
        <v>3</v>
      </c>
      <c r="N57" s="5" t="s">
        <v>6</v>
      </c>
      <c r="O57" s="5">
        <v>2</v>
      </c>
      <c r="P57" s="5">
        <f>ROUND(Source!EM38,O57)</f>
        <v>609661.52</v>
      </c>
      <c r="Q57" s="5"/>
      <c r="R57" s="5"/>
      <c r="S57" s="5"/>
      <c r="T57" s="5"/>
      <c r="U57" s="5"/>
      <c r="V57" s="5"/>
      <c r="W57" s="5">
        <v>15168.23</v>
      </c>
      <c r="X57" s="5">
        <v>1</v>
      </c>
      <c r="Y57" s="5">
        <v>15168.23</v>
      </c>
      <c r="Z57" s="5">
        <v>609661.52</v>
      </c>
      <c r="AA57" s="5">
        <v>1</v>
      </c>
      <c r="AB57" s="5">
        <v>609661.52</v>
      </c>
    </row>
    <row r="58" spans="1:28">
      <c r="A58" s="5">
        <v>50</v>
      </c>
      <c r="B58" s="5">
        <v>0</v>
      </c>
      <c r="C58" s="5">
        <v>0</v>
      </c>
      <c r="D58" s="5">
        <v>1</v>
      </c>
      <c r="E58" s="5">
        <v>230</v>
      </c>
      <c r="F58" s="5">
        <f>ROUND(Source!BA38,O58)</f>
        <v>0</v>
      </c>
      <c r="G58" s="5" t="s">
        <v>85</v>
      </c>
      <c r="H58" s="5" t="s">
        <v>86</v>
      </c>
      <c r="I58" s="5"/>
      <c r="J58" s="5"/>
      <c r="K58" s="5">
        <v>230</v>
      </c>
      <c r="L58" s="5">
        <v>19</v>
      </c>
      <c r="M58" s="5">
        <v>3</v>
      </c>
      <c r="N58" s="5" t="s">
        <v>6</v>
      </c>
      <c r="O58" s="5">
        <v>2</v>
      </c>
      <c r="P58" s="5">
        <f>ROUND(Source!ES38,O58)</f>
        <v>0</v>
      </c>
      <c r="Q58" s="5"/>
      <c r="R58" s="5"/>
      <c r="S58" s="5"/>
      <c r="T58" s="5"/>
      <c r="U58" s="5"/>
      <c r="V58" s="5"/>
      <c r="W58" s="5">
        <v>0</v>
      </c>
      <c r="X58" s="5">
        <v>1</v>
      </c>
      <c r="Y58" s="5">
        <v>0</v>
      </c>
      <c r="Z58" s="5">
        <v>0</v>
      </c>
      <c r="AA58" s="5">
        <v>1</v>
      </c>
      <c r="AB58" s="5">
        <v>0</v>
      </c>
    </row>
    <row r="59" spans="1:28">
      <c r="A59" s="5">
        <v>50</v>
      </c>
      <c r="B59" s="5">
        <v>0</v>
      </c>
      <c r="C59" s="5">
        <v>0</v>
      </c>
      <c r="D59" s="5">
        <v>1</v>
      </c>
      <c r="E59" s="5">
        <v>206</v>
      </c>
      <c r="F59" s="5">
        <f>ROUND(Source!T38,O59)</f>
        <v>0</v>
      </c>
      <c r="G59" s="5" t="s">
        <v>87</v>
      </c>
      <c r="H59" s="5" t="s">
        <v>88</v>
      </c>
      <c r="I59" s="5"/>
      <c r="J59" s="5"/>
      <c r="K59" s="5">
        <v>206</v>
      </c>
      <c r="L59" s="5">
        <v>20</v>
      </c>
      <c r="M59" s="5">
        <v>3</v>
      </c>
      <c r="N59" s="5" t="s">
        <v>6</v>
      </c>
      <c r="O59" s="5">
        <v>2</v>
      </c>
      <c r="P59" s="5">
        <f>ROUND(Source!DL38,O59)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8">
      <c r="A60" s="5">
        <v>50</v>
      </c>
      <c r="B60" s="5">
        <v>0</v>
      </c>
      <c r="C60" s="5">
        <v>0</v>
      </c>
      <c r="D60" s="5">
        <v>1</v>
      </c>
      <c r="E60" s="5">
        <v>207</v>
      </c>
      <c r="F60" s="5">
        <f>Source!U38</f>
        <v>398.81599999999997</v>
      </c>
      <c r="G60" s="5" t="s">
        <v>89</v>
      </c>
      <c r="H60" s="5" t="s">
        <v>90</v>
      </c>
      <c r="I60" s="5"/>
      <c r="J60" s="5"/>
      <c r="K60" s="5">
        <v>207</v>
      </c>
      <c r="L60" s="5">
        <v>21</v>
      </c>
      <c r="M60" s="5">
        <v>3</v>
      </c>
      <c r="N60" s="5" t="s">
        <v>6</v>
      </c>
      <c r="O60" s="5">
        <v>-1</v>
      </c>
      <c r="P60" s="5">
        <f>Source!DM38</f>
        <v>398.81599999999997</v>
      </c>
      <c r="Q60" s="5"/>
      <c r="R60" s="5"/>
      <c r="S60" s="5"/>
      <c r="T60" s="5"/>
      <c r="U60" s="5"/>
      <c r="V60" s="5"/>
      <c r="W60" s="5">
        <v>398.81599999999997</v>
      </c>
      <c r="X60" s="5">
        <v>1</v>
      </c>
      <c r="Y60" s="5">
        <v>398.81599999999997</v>
      </c>
      <c r="Z60" s="5">
        <v>398.81599999999997</v>
      </c>
      <c r="AA60" s="5">
        <v>1</v>
      </c>
      <c r="AB60" s="5">
        <v>398.81599999999997</v>
      </c>
    </row>
    <row r="61" spans="1:28">
      <c r="A61" s="5">
        <v>50</v>
      </c>
      <c r="B61" s="5">
        <v>0</v>
      </c>
      <c r="C61" s="5">
        <v>0</v>
      </c>
      <c r="D61" s="5">
        <v>1</v>
      </c>
      <c r="E61" s="5">
        <v>208</v>
      </c>
      <c r="F61" s="5">
        <f>Source!V38</f>
        <v>0</v>
      </c>
      <c r="G61" s="5" t="s">
        <v>91</v>
      </c>
      <c r="H61" s="5" t="s">
        <v>92</v>
      </c>
      <c r="I61" s="5"/>
      <c r="J61" s="5"/>
      <c r="K61" s="5">
        <v>208</v>
      </c>
      <c r="L61" s="5">
        <v>22</v>
      </c>
      <c r="M61" s="5">
        <v>3</v>
      </c>
      <c r="N61" s="5" t="s">
        <v>6</v>
      </c>
      <c r="O61" s="5">
        <v>-1</v>
      </c>
      <c r="P61" s="5">
        <f>Source!DN38</f>
        <v>0</v>
      </c>
      <c r="Q61" s="5"/>
      <c r="R61" s="5"/>
      <c r="S61" s="5"/>
      <c r="T61" s="5"/>
      <c r="U61" s="5"/>
      <c r="V61" s="5"/>
      <c r="W61" s="5">
        <v>0</v>
      </c>
      <c r="X61" s="5">
        <v>1</v>
      </c>
      <c r="Y61" s="5">
        <v>0</v>
      </c>
      <c r="Z61" s="5">
        <v>0</v>
      </c>
      <c r="AA61" s="5">
        <v>1</v>
      </c>
      <c r="AB61" s="5">
        <v>0</v>
      </c>
    </row>
    <row r="62" spans="1:28">
      <c r="A62" s="5">
        <v>50</v>
      </c>
      <c r="B62" s="5">
        <v>0</v>
      </c>
      <c r="C62" s="5">
        <v>0</v>
      </c>
      <c r="D62" s="5">
        <v>1</v>
      </c>
      <c r="E62" s="5">
        <v>209</v>
      </c>
      <c r="F62" s="5">
        <f>ROUND(Source!W38,O62)</f>
        <v>0</v>
      </c>
      <c r="G62" s="5" t="s">
        <v>93</v>
      </c>
      <c r="H62" s="5" t="s">
        <v>94</v>
      </c>
      <c r="I62" s="5"/>
      <c r="J62" s="5"/>
      <c r="K62" s="5">
        <v>209</v>
      </c>
      <c r="L62" s="5">
        <v>23</v>
      </c>
      <c r="M62" s="5">
        <v>3</v>
      </c>
      <c r="N62" s="5" t="s">
        <v>6</v>
      </c>
      <c r="O62" s="5">
        <v>2</v>
      </c>
      <c r="P62" s="5">
        <f>ROUND(Source!DO38,O62)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8">
      <c r="A63" s="5">
        <v>50</v>
      </c>
      <c r="B63" s="5">
        <v>0</v>
      </c>
      <c r="C63" s="5">
        <v>0</v>
      </c>
      <c r="D63" s="5">
        <v>1</v>
      </c>
      <c r="E63" s="5">
        <v>233</v>
      </c>
      <c r="F63" s="5">
        <f>ROUND(Source!BD38,O63)</f>
        <v>0</v>
      </c>
      <c r="G63" s="5" t="s">
        <v>95</v>
      </c>
      <c r="H63" s="5" t="s">
        <v>96</v>
      </c>
      <c r="I63" s="5"/>
      <c r="J63" s="5"/>
      <c r="K63" s="5">
        <v>233</v>
      </c>
      <c r="L63" s="5">
        <v>24</v>
      </c>
      <c r="M63" s="5">
        <v>3</v>
      </c>
      <c r="N63" s="5" t="s">
        <v>6</v>
      </c>
      <c r="O63" s="5">
        <v>2</v>
      </c>
      <c r="P63" s="5">
        <f>ROUND(Source!EV38,O63)</f>
        <v>0</v>
      </c>
      <c r="Q63" s="5"/>
      <c r="R63" s="5"/>
      <c r="S63" s="5"/>
      <c r="T63" s="5"/>
      <c r="U63" s="5"/>
      <c r="V63" s="5"/>
      <c r="W63" s="5">
        <v>0</v>
      </c>
      <c r="X63" s="5">
        <v>1</v>
      </c>
      <c r="Y63" s="5">
        <v>0</v>
      </c>
      <c r="Z63" s="5">
        <v>0</v>
      </c>
      <c r="AA63" s="5">
        <v>1</v>
      </c>
      <c r="AB63" s="5">
        <v>0</v>
      </c>
    </row>
    <row r="64" spans="1:28">
      <c r="A64" s="5">
        <v>50</v>
      </c>
      <c r="B64" s="5">
        <v>0</v>
      </c>
      <c r="C64" s="5">
        <v>0</v>
      </c>
      <c r="D64" s="5">
        <v>1</v>
      </c>
      <c r="E64" s="5">
        <v>210</v>
      </c>
      <c r="F64" s="5">
        <f>ROUND(Source!X38,O64)</f>
        <v>4643.34</v>
      </c>
      <c r="G64" s="5" t="s">
        <v>97</v>
      </c>
      <c r="H64" s="5" t="s">
        <v>98</v>
      </c>
      <c r="I64" s="5"/>
      <c r="J64" s="5"/>
      <c r="K64" s="5">
        <v>210</v>
      </c>
      <c r="L64" s="5">
        <v>25</v>
      </c>
      <c r="M64" s="5">
        <v>3</v>
      </c>
      <c r="N64" s="5" t="s">
        <v>6</v>
      </c>
      <c r="O64" s="5">
        <v>2</v>
      </c>
      <c r="P64" s="5">
        <f>ROUND(Source!DP38,O64)</f>
        <v>202257.37</v>
      </c>
      <c r="Q64" s="5"/>
      <c r="R64" s="5"/>
      <c r="S64" s="5"/>
      <c r="T64" s="5"/>
      <c r="U64" s="5"/>
      <c r="V64" s="5"/>
      <c r="W64" s="5">
        <v>4643.34</v>
      </c>
      <c r="X64" s="5">
        <v>1</v>
      </c>
      <c r="Y64" s="5">
        <v>4643.34</v>
      </c>
      <c r="Z64" s="5">
        <v>202257.37</v>
      </c>
      <c r="AA64" s="5">
        <v>1</v>
      </c>
      <c r="AB64" s="5">
        <v>202257.37</v>
      </c>
    </row>
    <row r="65" spans="1:255">
      <c r="A65" s="5">
        <v>50</v>
      </c>
      <c r="B65" s="5">
        <v>0</v>
      </c>
      <c r="C65" s="5">
        <v>0</v>
      </c>
      <c r="D65" s="5">
        <v>1</v>
      </c>
      <c r="E65" s="5">
        <v>211</v>
      </c>
      <c r="F65" s="5">
        <f>ROUND(Source!Y38,O65)</f>
        <v>4333.78</v>
      </c>
      <c r="G65" s="5" t="s">
        <v>99</v>
      </c>
      <c r="H65" s="5" t="s">
        <v>100</v>
      </c>
      <c r="I65" s="5"/>
      <c r="J65" s="5"/>
      <c r="K65" s="5">
        <v>211</v>
      </c>
      <c r="L65" s="5">
        <v>26</v>
      </c>
      <c r="M65" s="5">
        <v>3</v>
      </c>
      <c r="N65" s="5" t="s">
        <v>6</v>
      </c>
      <c r="O65" s="5">
        <v>2</v>
      </c>
      <c r="P65" s="5">
        <f>ROUND(Source!DQ38,O65)</f>
        <v>118465.04</v>
      </c>
      <c r="Q65" s="5"/>
      <c r="R65" s="5"/>
      <c r="S65" s="5"/>
      <c r="T65" s="5"/>
      <c r="U65" s="5"/>
      <c r="V65" s="5"/>
      <c r="W65" s="5">
        <v>4333.78</v>
      </c>
      <c r="X65" s="5">
        <v>1</v>
      </c>
      <c r="Y65" s="5">
        <v>4333.78</v>
      </c>
      <c r="Z65" s="5">
        <v>118465.04</v>
      </c>
      <c r="AA65" s="5">
        <v>1</v>
      </c>
      <c r="AB65" s="5">
        <v>118465.04</v>
      </c>
    </row>
    <row r="66" spans="1:255">
      <c r="A66" s="5">
        <v>50</v>
      </c>
      <c r="B66" s="5">
        <v>0</v>
      </c>
      <c r="C66" s="5">
        <v>0</v>
      </c>
      <c r="D66" s="5">
        <v>1</v>
      </c>
      <c r="E66" s="5">
        <v>224</v>
      </c>
      <c r="F66" s="5">
        <f>ROUND(Source!AR38,O66)</f>
        <v>29502.69</v>
      </c>
      <c r="G66" s="5" t="s">
        <v>101</v>
      </c>
      <c r="H66" s="5" t="s">
        <v>102</v>
      </c>
      <c r="I66" s="5"/>
      <c r="J66" s="5"/>
      <c r="K66" s="5">
        <v>224</v>
      </c>
      <c r="L66" s="5">
        <v>27</v>
      </c>
      <c r="M66" s="5">
        <v>3</v>
      </c>
      <c r="N66" s="5" t="s">
        <v>6</v>
      </c>
      <c r="O66" s="5">
        <v>2</v>
      </c>
      <c r="P66" s="5">
        <f>ROUND(Source!EJ38,O66)</f>
        <v>803099.44</v>
      </c>
      <c r="Q66" s="5"/>
      <c r="R66" s="5"/>
      <c r="S66" s="5"/>
      <c r="T66" s="5"/>
      <c r="U66" s="5"/>
      <c r="V66" s="5"/>
      <c r="W66" s="5">
        <v>29502.69</v>
      </c>
      <c r="X66" s="5">
        <v>1</v>
      </c>
      <c r="Y66" s="5">
        <v>29502.69</v>
      </c>
      <c r="Z66" s="5">
        <v>803099.44</v>
      </c>
      <c r="AA66" s="5">
        <v>1</v>
      </c>
      <c r="AB66" s="5">
        <v>803099.44</v>
      </c>
    </row>
    <row r="68" spans="1:255">
      <c r="A68" s="1">
        <v>4</v>
      </c>
      <c r="B68" s="1">
        <v>1</v>
      </c>
      <c r="C68" s="1"/>
      <c r="D68" s="1">
        <f>ROW(A75)</f>
        <v>75</v>
      </c>
      <c r="E68" s="1"/>
      <c r="F68" s="1" t="s">
        <v>19</v>
      </c>
      <c r="G68" s="1" t="s">
        <v>103</v>
      </c>
      <c r="H68" s="1" t="s">
        <v>6</v>
      </c>
      <c r="I68" s="1">
        <v>0</v>
      </c>
      <c r="J68" s="1"/>
      <c r="K68" s="1">
        <v>0</v>
      </c>
      <c r="L68" s="1"/>
      <c r="M68" s="1" t="s">
        <v>6</v>
      </c>
      <c r="N68" s="1"/>
      <c r="O68" s="1"/>
      <c r="P68" s="1"/>
      <c r="Q68" s="1"/>
      <c r="R68" s="1"/>
      <c r="S68" s="1">
        <v>0</v>
      </c>
      <c r="T68" s="1">
        <v>0</v>
      </c>
      <c r="U68" s="1" t="s">
        <v>6</v>
      </c>
      <c r="V68" s="1">
        <v>0</v>
      </c>
      <c r="W68" s="1"/>
      <c r="X68" s="1"/>
      <c r="Y68" s="1"/>
      <c r="Z68" s="1"/>
      <c r="AA68" s="1"/>
      <c r="AB68" s="1" t="s">
        <v>6</v>
      </c>
      <c r="AC68" s="1" t="s">
        <v>6</v>
      </c>
      <c r="AD68" s="1" t="s">
        <v>6</v>
      </c>
      <c r="AE68" s="1" t="s">
        <v>6</v>
      </c>
      <c r="AF68" s="1" t="s">
        <v>6</v>
      </c>
      <c r="AG68" s="1" t="s">
        <v>6</v>
      </c>
      <c r="AH68" s="1"/>
      <c r="AI68" s="1"/>
      <c r="AJ68" s="1"/>
      <c r="AK68" s="1"/>
      <c r="AL68" s="1"/>
      <c r="AM68" s="1"/>
      <c r="AN68" s="1"/>
      <c r="AO68" s="1"/>
      <c r="AP68" s="1" t="s">
        <v>6</v>
      </c>
      <c r="AQ68" s="1" t="s">
        <v>6</v>
      </c>
      <c r="AR68" s="1" t="s">
        <v>6</v>
      </c>
      <c r="AS68" s="1"/>
      <c r="AT68" s="1"/>
      <c r="AU68" s="1"/>
      <c r="AV68" s="1"/>
      <c r="AW68" s="1"/>
      <c r="AX68" s="1"/>
      <c r="AY68" s="1"/>
      <c r="AZ68" s="1" t="s">
        <v>6</v>
      </c>
      <c r="BA68" s="1"/>
      <c r="BB68" s="1" t="s">
        <v>6</v>
      </c>
      <c r="BC68" s="1" t="s">
        <v>6</v>
      </c>
      <c r="BD68" s="1" t="s">
        <v>6</v>
      </c>
      <c r="BE68" s="1" t="s">
        <v>6</v>
      </c>
      <c r="BF68" s="1" t="s">
        <v>6</v>
      </c>
      <c r="BG68" s="1" t="s">
        <v>6</v>
      </c>
      <c r="BH68" s="1" t="s">
        <v>6</v>
      </c>
      <c r="BI68" s="1" t="s">
        <v>6</v>
      </c>
      <c r="BJ68" s="1" t="s">
        <v>6</v>
      </c>
      <c r="BK68" s="1" t="s">
        <v>6</v>
      </c>
      <c r="BL68" s="1" t="s">
        <v>6</v>
      </c>
      <c r="BM68" s="1" t="s">
        <v>6</v>
      </c>
      <c r="BN68" s="1" t="s">
        <v>6</v>
      </c>
      <c r="BO68" s="1" t="s">
        <v>6</v>
      </c>
      <c r="BP68" s="1" t="s">
        <v>6</v>
      </c>
      <c r="BQ68" s="1"/>
      <c r="BR68" s="1"/>
      <c r="BS68" s="1"/>
      <c r="BT68" s="1"/>
      <c r="BU68" s="1"/>
      <c r="BV68" s="1"/>
      <c r="BW68" s="1"/>
      <c r="BX68" s="1">
        <v>0</v>
      </c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>
        <v>0</v>
      </c>
    </row>
    <row r="70" spans="1:255">
      <c r="A70" s="3">
        <v>52</v>
      </c>
      <c r="B70" s="3">
        <f t="shared" ref="B70:G70" si="61">B75</f>
        <v>1</v>
      </c>
      <c r="C70" s="3">
        <f t="shared" si="61"/>
        <v>4</v>
      </c>
      <c r="D70" s="3">
        <f t="shared" si="61"/>
        <v>68</v>
      </c>
      <c r="E70" s="3">
        <f t="shared" si="61"/>
        <v>0</v>
      </c>
      <c r="F70" s="3" t="str">
        <f t="shared" si="61"/>
        <v>Новый раздел</v>
      </c>
      <c r="G70" s="3" t="str">
        <f t="shared" si="61"/>
        <v>ТП</v>
      </c>
      <c r="H70" s="3"/>
      <c r="I70" s="3"/>
      <c r="J70" s="3"/>
      <c r="K70" s="3"/>
      <c r="L70" s="3"/>
      <c r="M70" s="3"/>
      <c r="N70" s="3"/>
      <c r="O70" s="3">
        <f t="shared" ref="O70:AT70" si="62">O75</f>
        <v>1555</v>
      </c>
      <c r="P70" s="3">
        <f t="shared" si="62"/>
        <v>0</v>
      </c>
      <c r="Q70" s="3">
        <f t="shared" si="62"/>
        <v>0</v>
      </c>
      <c r="R70" s="3">
        <f t="shared" si="62"/>
        <v>0</v>
      </c>
      <c r="S70" s="3">
        <f t="shared" si="62"/>
        <v>1555</v>
      </c>
      <c r="T70" s="3">
        <f t="shared" si="62"/>
        <v>0</v>
      </c>
      <c r="U70" s="3">
        <f t="shared" si="62"/>
        <v>97.600000000000009</v>
      </c>
      <c r="V70" s="3">
        <f t="shared" si="62"/>
        <v>0</v>
      </c>
      <c r="W70" s="3">
        <f t="shared" si="62"/>
        <v>0</v>
      </c>
      <c r="X70" s="3">
        <f t="shared" si="62"/>
        <v>1166.25</v>
      </c>
      <c r="Y70" s="3">
        <f t="shared" si="62"/>
        <v>1088.5</v>
      </c>
      <c r="Z70" s="3">
        <f t="shared" si="62"/>
        <v>0</v>
      </c>
      <c r="AA70" s="3">
        <f t="shared" si="62"/>
        <v>0</v>
      </c>
      <c r="AB70" s="3">
        <f t="shared" si="62"/>
        <v>1555</v>
      </c>
      <c r="AC70" s="3">
        <f t="shared" si="62"/>
        <v>0</v>
      </c>
      <c r="AD70" s="3">
        <f t="shared" si="62"/>
        <v>0</v>
      </c>
      <c r="AE70" s="3">
        <f t="shared" si="62"/>
        <v>0</v>
      </c>
      <c r="AF70" s="3">
        <f t="shared" si="62"/>
        <v>1555</v>
      </c>
      <c r="AG70" s="3">
        <f t="shared" si="62"/>
        <v>0</v>
      </c>
      <c r="AH70" s="3">
        <f t="shared" si="62"/>
        <v>97.600000000000009</v>
      </c>
      <c r="AI70" s="3">
        <f t="shared" si="62"/>
        <v>0</v>
      </c>
      <c r="AJ70" s="3">
        <f t="shared" si="62"/>
        <v>0</v>
      </c>
      <c r="AK70" s="3">
        <f t="shared" si="62"/>
        <v>1166.25</v>
      </c>
      <c r="AL70" s="3">
        <f t="shared" si="62"/>
        <v>1088.5</v>
      </c>
      <c r="AM70" s="3">
        <f t="shared" si="62"/>
        <v>0</v>
      </c>
      <c r="AN70" s="3">
        <f t="shared" si="62"/>
        <v>0</v>
      </c>
      <c r="AO70" s="3">
        <f t="shared" si="62"/>
        <v>0</v>
      </c>
      <c r="AP70" s="3">
        <f t="shared" si="62"/>
        <v>0</v>
      </c>
      <c r="AQ70" s="3">
        <f t="shared" si="62"/>
        <v>0</v>
      </c>
      <c r="AR70" s="3">
        <f t="shared" si="62"/>
        <v>3809.75</v>
      </c>
      <c r="AS70" s="3">
        <f t="shared" si="62"/>
        <v>0</v>
      </c>
      <c r="AT70" s="3">
        <f t="shared" si="62"/>
        <v>0</v>
      </c>
      <c r="AU70" s="3">
        <f t="shared" ref="AU70:BZ70" si="63">AU75</f>
        <v>3809.75</v>
      </c>
      <c r="AV70" s="3">
        <f t="shared" si="63"/>
        <v>0</v>
      </c>
      <c r="AW70" s="3">
        <f t="shared" si="63"/>
        <v>0</v>
      </c>
      <c r="AX70" s="3">
        <f t="shared" si="63"/>
        <v>0</v>
      </c>
      <c r="AY70" s="3">
        <f t="shared" si="63"/>
        <v>0</v>
      </c>
      <c r="AZ70" s="3">
        <f t="shared" si="63"/>
        <v>0</v>
      </c>
      <c r="BA70" s="3">
        <f t="shared" si="63"/>
        <v>0</v>
      </c>
      <c r="BB70" s="3">
        <f t="shared" si="63"/>
        <v>0</v>
      </c>
      <c r="BC70" s="3">
        <f t="shared" si="63"/>
        <v>0</v>
      </c>
      <c r="BD70" s="3">
        <f t="shared" si="63"/>
        <v>0</v>
      </c>
      <c r="BE70" s="3">
        <f t="shared" si="63"/>
        <v>0</v>
      </c>
      <c r="BF70" s="3">
        <f t="shared" si="63"/>
        <v>0</v>
      </c>
      <c r="BG70" s="3">
        <f t="shared" si="63"/>
        <v>0</v>
      </c>
      <c r="BH70" s="3">
        <f t="shared" si="63"/>
        <v>0</v>
      </c>
      <c r="BI70" s="3">
        <f t="shared" si="63"/>
        <v>0</v>
      </c>
      <c r="BJ70" s="3">
        <f t="shared" si="63"/>
        <v>0</v>
      </c>
      <c r="BK70" s="3">
        <f t="shared" si="63"/>
        <v>0</v>
      </c>
      <c r="BL70" s="3">
        <f t="shared" si="63"/>
        <v>0</v>
      </c>
      <c r="BM70" s="3">
        <f t="shared" si="63"/>
        <v>0</v>
      </c>
      <c r="BN70" s="3">
        <f t="shared" si="63"/>
        <v>0</v>
      </c>
      <c r="BO70" s="3">
        <f t="shared" si="63"/>
        <v>0</v>
      </c>
      <c r="BP70" s="3">
        <f t="shared" si="63"/>
        <v>0</v>
      </c>
      <c r="BQ70" s="3">
        <f t="shared" si="63"/>
        <v>0</v>
      </c>
      <c r="BR70" s="3">
        <f t="shared" si="63"/>
        <v>0</v>
      </c>
      <c r="BS70" s="3">
        <f t="shared" si="63"/>
        <v>0</v>
      </c>
      <c r="BT70" s="3">
        <f t="shared" si="63"/>
        <v>0</v>
      </c>
      <c r="BU70" s="3">
        <f t="shared" si="63"/>
        <v>0</v>
      </c>
      <c r="BV70" s="3">
        <f t="shared" si="63"/>
        <v>0</v>
      </c>
      <c r="BW70" s="3">
        <f t="shared" si="63"/>
        <v>0</v>
      </c>
      <c r="BX70" s="3">
        <f t="shared" si="63"/>
        <v>0</v>
      </c>
      <c r="BY70" s="3">
        <f t="shared" si="63"/>
        <v>0</v>
      </c>
      <c r="BZ70" s="3">
        <f t="shared" si="63"/>
        <v>0</v>
      </c>
      <c r="CA70" s="3">
        <f t="shared" ref="CA70:DF70" si="64">CA75</f>
        <v>3809.75</v>
      </c>
      <c r="CB70" s="3">
        <f t="shared" si="64"/>
        <v>0</v>
      </c>
      <c r="CC70" s="3">
        <f t="shared" si="64"/>
        <v>0</v>
      </c>
      <c r="CD70" s="3">
        <f t="shared" si="64"/>
        <v>3809.75</v>
      </c>
      <c r="CE70" s="3">
        <f t="shared" si="64"/>
        <v>0</v>
      </c>
      <c r="CF70" s="3">
        <f t="shared" si="64"/>
        <v>0</v>
      </c>
      <c r="CG70" s="3">
        <f t="shared" si="64"/>
        <v>0</v>
      </c>
      <c r="CH70" s="3">
        <f t="shared" si="64"/>
        <v>0</v>
      </c>
      <c r="CI70" s="3">
        <f t="shared" si="64"/>
        <v>0</v>
      </c>
      <c r="CJ70" s="3">
        <f t="shared" si="64"/>
        <v>0</v>
      </c>
      <c r="CK70" s="3">
        <f t="shared" si="64"/>
        <v>0</v>
      </c>
      <c r="CL70" s="3">
        <f t="shared" si="64"/>
        <v>0</v>
      </c>
      <c r="CM70" s="3">
        <f t="shared" si="64"/>
        <v>0</v>
      </c>
      <c r="CN70" s="3">
        <f t="shared" si="64"/>
        <v>0</v>
      </c>
      <c r="CO70" s="3">
        <f t="shared" si="64"/>
        <v>0</v>
      </c>
      <c r="CP70" s="3">
        <f t="shared" si="64"/>
        <v>0</v>
      </c>
      <c r="CQ70" s="3">
        <f t="shared" si="64"/>
        <v>0</v>
      </c>
      <c r="CR70" s="3">
        <f t="shared" si="64"/>
        <v>0</v>
      </c>
      <c r="CS70" s="3">
        <f t="shared" si="64"/>
        <v>0</v>
      </c>
      <c r="CT70" s="3">
        <f t="shared" si="64"/>
        <v>0</v>
      </c>
      <c r="CU70" s="3">
        <f t="shared" si="64"/>
        <v>0</v>
      </c>
      <c r="CV70" s="3">
        <f t="shared" si="64"/>
        <v>0</v>
      </c>
      <c r="CW70" s="3">
        <f t="shared" si="64"/>
        <v>0</v>
      </c>
      <c r="CX70" s="3">
        <f t="shared" si="64"/>
        <v>0</v>
      </c>
      <c r="CY70" s="3">
        <f t="shared" si="64"/>
        <v>0</v>
      </c>
      <c r="CZ70" s="3">
        <f t="shared" si="64"/>
        <v>0</v>
      </c>
      <c r="DA70" s="3">
        <f t="shared" si="64"/>
        <v>0</v>
      </c>
      <c r="DB70" s="3">
        <f t="shared" si="64"/>
        <v>0</v>
      </c>
      <c r="DC70" s="3">
        <f t="shared" si="64"/>
        <v>0</v>
      </c>
      <c r="DD70" s="3">
        <f t="shared" si="64"/>
        <v>0</v>
      </c>
      <c r="DE70" s="3">
        <f t="shared" si="64"/>
        <v>0</v>
      </c>
      <c r="DF70" s="3">
        <f t="shared" si="64"/>
        <v>0</v>
      </c>
      <c r="DG70" s="4">
        <f t="shared" ref="DG70:EL70" si="65">DG75</f>
        <v>72571.850000000006</v>
      </c>
      <c r="DH70" s="4">
        <f t="shared" si="65"/>
        <v>0</v>
      </c>
      <c r="DI70" s="4">
        <f t="shared" si="65"/>
        <v>0</v>
      </c>
      <c r="DJ70" s="4">
        <f t="shared" si="65"/>
        <v>0</v>
      </c>
      <c r="DK70" s="4">
        <f t="shared" si="65"/>
        <v>72571.850000000006</v>
      </c>
      <c r="DL70" s="4">
        <f t="shared" si="65"/>
        <v>0</v>
      </c>
      <c r="DM70" s="4">
        <f t="shared" si="65"/>
        <v>97.600000000000009</v>
      </c>
      <c r="DN70" s="4">
        <f t="shared" si="65"/>
        <v>0</v>
      </c>
      <c r="DO70" s="4">
        <f t="shared" si="65"/>
        <v>0</v>
      </c>
      <c r="DP70" s="4">
        <f t="shared" si="65"/>
        <v>50800.3</v>
      </c>
      <c r="DQ70" s="4">
        <f t="shared" si="65"/>
        <v>29754.46</v>
      </c>
      <c r="DR70" s="4">
        <f t="shared" si="65"/>
        <v>0</v>
      </c>
      <c r="DS70" s="4">
        <f t="shared" si="65"/>
        <v>0</v>
      </c>
      <c r="DT70" s="4">
        <f t="shared" si="65"/>
        <v>72571.850000000006</v>
      </c>
      <c r="DU70" s="4">
        <f t="shared" si="65"/>
        <v>0</v>
      </c>
      <c r="DV70" s="4">
        <f t="shared" si="65"/>
        <v>0</v>
      </c>
      <c r="DW70" s="4">
        <f t="shared" si="65"/>
        <v>0</v>
      </c>
      <c r="DX70" s="4">
        <f t="shared" si="65"/>
        <v>72571.850000000006</v>
      </c>
      <c r="DY70" s="4">
        <f t="shared" si="65"/>
        <v>0</v>
      </c>
      <c r="DZ70" s="4">
        <f t="shared" si="65"/>
        <v>97.600000000000009</v>
      </c>
      <c r="EA70" s="4">
        <f t="shared" si="65"/>
        <v>0</v>
      </c>
      <c r="EB70" s="4">
        <f t="shared" si="65"/>
        <v>0</v>
      </c>
      <c r="EC70" s="4">
        <f t="shared" si="65"/>
        <v>50800.3</v>
      </c>
      <c r="ED70" s="4">
        <f t="shared" si="65"/>
        <v>29754.46</v>
      </c>
      <c r="EE70" s="4">
        <f t="shared" si="65"/>
        <v>0</v>
      </c>
      <c r="EF70" s="4">
        <f t="shared" si="65"/>
        <v>0</v>
      </c>
      <c r="EG70" s="4">
        <f t="shared" si="65"/>
        <v>0</v>
      </c>
      <c r="EH70" s="4">
        <f t="shared" si="65"/>
        <v>0</v>
      </c>
      <c r="EI70" s="4">
        <f t="shared" si="65"/>
        <v>0</v>
      </c>
      <c r="EJ70" s="4">
        <f t="shared" si="65"/>
        <v>153126.60999999999</v>
      </c>
      <c r="EK70" s="4">
        <f t="shared" si="65"/>
        <v>0</v>
      </c>
      <c r="EL70" s="4">
        <f t="shared" si="65"/>
        <v>0</v>
      </c>
      <c r="EM70" s="4">
        <f t="shared" ref="EM70:FR70" si="66">EM75</f>
        <v>153126.60999999999</v>
      </c>
      <c r="EN70" s="4">
        <f t="shared" si="66"/>
        <v>0</v>
      </c>
      <c r="EO70" s="4">
        <f t="shared" si="66"/>
        <v>0</v>
      </c>
      <c r="EP70" s="4">
        <f t="shared" si="66"/>
        <v>0</v>
      </c>
      <c r="EQ70" s="4">
        <f t="shared" si="66"/>
        <v>0</v>
      </c>
      <c r="ER70" s="4">
        <f t="shared" si="66"/>
        <v>0</v>
      </c>
      <c r="ES70" s="4">
        <f t="shared" si="66"/>
        <v>0</v>
      </c>
      <c r="ET70" s="4">
        <f t="shared" si="66"/>
        <v>0</v>
      </c>
      <c r="EU70" s="4">
        <f t="shared" si="66"/>
        <v>0</v>
      </c>
      <c r="EV70" s="4">
        <f t="shared" si="66"/>
        <v>0</v>
      </c>
      <c r="EW70" s="4">
        <f t="shared" si="66"/>
        <v>0</v>
      </c>
      <c r="EX70" s="4">
        <f t="shared" si="66"/>
        <v>0</v>
      </c>
      <c r="EY70" s="4">
        <f t="shared" si="66"/>
        <v>0</v>
      </c>
      <c r="EZ70" s="4">
        <f t="shared" si="66"/>
        <v>0</v>
      </c>
      <c r="FA70" s="4">
        <f t="shared" si="66"/>
        <v>0</v>
      </c>
      <c r="FB70" s="4">
        <f t="shared" si="66"/>
        <v>0</v>
      </c>
      <c r="FC70" s="4">
        <f t="shared" si="66"/>
        <v>0</v>
      </c>
      <c r="FD70" s="4">
        <f t="shared" si="66"/>
        <v>0</v>
      </c>
      <c r="FE70" s="4">
        <f t="shared" si="66"/>
        <v>0</v>
      </c>
      <c r="FF70" s="4">
        <f t="shared" si="66"/>
        <v>0</v>
      </c>
      <c r="FG70" s="4">
        <f t="shared" si="66"/>
        <v>0</v>
      </c>
      <c r="FH70" s="4">
        <f t="shared" si="66"/>
        <v>0</v>
      </c>
      <c r="FI70" s="4">
        <f t="shared" si="66"/>
        <v>0</v>
      </c>
      <c r="FJ70" s="4">
        <f t="shared" si="66"/>
        <v>0</v>
      </c>
      <c r="FK70" s="4">
        <f t="shared" si="66"/>
        <v>0</v>
      </c>
      <c r="FL70" s="4">
        <f t="shared" si="66"/>
        <v>0</v>
      </c>
      <c r="FM70" s="4">
        <f t="shared" si="66"/>
        <v>0</v>
      </c>
      <c r="FN70" s="4">
        <f t="shared" si="66"/>
        <v>0</v>
      </c>
      <c r="FO70" s="4">
        <f t="shared" si="66"/>
        <v>0</v>
      </c>
      <c r="FP70" s="4">
        <f t="shared" si="66"/>
        <v>0</v>
      </c>
      <c r="FQ70" s="4">
        <f t="shared" si="66"/>
        <v>0</v>
      </c>
      <c r="FR70" s="4">
        <f t="shared" si="66"/>
        <v>0</v>
      </c>
      <c r="FS70" s="4">
        <f t="shared" ref="FS70:GX70" si="67">FS75</f>
        <v>153126.60999999999</v>
      </c>
      <c r="FT70" s="4">
        <f t="shared" si="67"/>
        <v>0</v>
      </c>
      <c r="FU70" s="4">
        <f t="shared" si="67"/>
        <v>0</v>
      </c>
      <c r="FV70" s="4">
        <f t="shared" si="67"/>
        <v>153126.60999999999</v>
      </c>
      <c r="FW70" s="4">
        <f t="shared" si="67"/>
        <v>0</v>
      </c>
      <c r="FX70" s="4">
        <f t="shared" si="67"/>
        <v>0</v>
      </c>
      <c r="FY70" s="4">
        <f t="shared" si="67"/>
        <v>0</v>
      </c>
      <c r="FZ70" s="4">
        <f t="shared" si="67"/>
        <v>0</v>
      </c>
      <c r="GA70" s="4">
        <f t="shared" si="67"/>
        <v>0</v>
      </c>
      <c r="GB70" s="4">
        <f t="shared" si="67"/>
        <v>0</v>
      </c>
      <c r="GC70" s="4">
        <f t="shared" si="67"/>
        <v>0</v>
      </c>
      <c r="GD70" s="4">
        <f t="shared" si="67"/>
        <v>0</v>
      </c>
      <c r="GE70" s="4">
        <f t="shared" si="67"/>
        <v>0</v>
      </c>
      <c r="GF70" s="4">
        <f t="shared" si="67"/>
        <v>0</v>
      </c>
      <c r="GG70" s="4">
        <f t="shared" si="67"/>
        <v>0</v>
      </c>
      <c r="GH70" s="4">
        <f t="shared" si="67"/>
        <v>0</v>
      </c>
      <c r="GI70" s="4">
        <f t="shared" si="67"/>
        <v>0</v>
      </c>
      <c r="GJ70" s="4">
        <f t="shared" si="67"/>
        <v>0</v>
      </c>
      <c r="GK70" s="4">
        <f t="shared" si="67"/>
        <v>0</v>
      </c>
      <c r="GL70" s="4">
        <f t="shared" si="67"/>
        <v>0</v>
      </c>
      <c r="GM70" s="4">
        <f t="shared" si="67"/>
        <v>0</v>
      </c>
      <c r="GN70" s="4">
        <f t="shared" si="67"/>
        <v>0</v>
      </c>
      <c r="GO70" s="4">
        <f t="shared" si="67"/>
        <v>0</v>
      </c>
      <c r="GP70" s="4">
        <f t="shared" si="67"/>
        <v>0</v>
      </c>
      <c r="GQ70" s="4">
        <f t="shared" si="67"/>
        <v>0</v>
      </c>
      <c r="GR70" s="4">
        <f t="shared" si="67"/>
        <v>0</v>
      </c>
      <c r="GS70" s="4">
        <f t="shared" si="67"/>
        <v>0</v>
      </c>
      <c r="GT70" s="4">
        <f t="shared" si="67"/>
        <v>0</v>
      </c>
      <c r="GU70" s="4">
        <f t="shared" si="67"/>
        <v>0</v>
      </c>
      <c r="GV70" s="4">
        <f t="shared" si="67"/>
        <v>0</v>
      </c>
      <c r="GW70" s="4">
        <f t="shared" si="67"/>
        <v>0</v>
      </c>
      <c r="GX70" s="4">
        <f t="shared" si="67"/>
        <v>0</v>
      </c>
    </row>
    <row r="72" spans="1:255">
      <c r="A72" s="2">
        <v>17</v>
      </c>
      <c r="B72" s="2">
        <v>1</v>
      </c>
      <c r="C72" s="2"/>
      <c r="D72" s="2"/>
      <c r="E72" s="2" t="s">
        <v>104</v>
      </c>
      <c r="F72" s="2" t="s">
        <v>105</v>
      </c>
      <c r="G72" s="2" t="s">
        <v>106</v>
      </c>
      <c r="H72" s="2" t="s">
        <v>107</v>
      </c>
      <c r="I72" s="2">
        <v>1</v>
      </c>
      <c r="J72" s="2">
        <v>0</v>
      </c>
      <c r="K72" s="2">
        <v>1</v>
      </c>
      <c r="L72" s="2"/>
      <c r="M72" s="2"/>
      <c r="N72" s="2"/>
      <c r="O72" s="2">
        <f>ROUND(CP72,2)</f>
        <v>1555</v>
      </c>
      <c r="P72" s="2">
        <f>ROUND((ROUND((AC72*AW72*I72),2)*BC72),2)</f>
        <v>0</v>
      </c>
      <c r="Q72" s="2">
        <f>(ROUND((ROUND(((((ET72/22)*2))*AV72*I72),2)*BB72),2)+ROUND((ROUND(((AE72-(((EU72/22)*2)))*AV72*I72),2)*BS72),2))</f>
        <v>0</v>
      </c>
      <c r="R72" s="2">
        <f>ROUND((ROUND((AE72*AV72*I72),2)*BS72),2)</f>
        <v>0</v>
      </c>
      <c r="S72" s="2">
        <f>ROUND((ROUND((AF72*AV72*I72),2)*BA72),2)</f>
        <v>1555</v>
      </c>
      <c r="T72" s="2">
        <f>ROUND(CU72*I72,2)</f>
        <v>0</v>
      </c>
      <c r="U72" s="2">
        <f>CV72*I72</f>
        <v>97.600000000000009</v>
      </c>
      <c r="V72" s="2">
        <f>CW72*I72</f>
        <v>0</v>
      </c>
      <c r="W72" s="2">
        <f>ROUND(CX72*I72,2)</f>
        <v>0</v>
      </c>
      <c r="X72" s="2">
        <f>ROUND(CY72,2)</f>
        <v>1166.25</v>
      </c>
      <c r="Y72" s="2">
        <f>ROUND(CZ72,2)</f>
        <v>1088.5</v>
      </c>
      <c r="Z72" s="2"/>
      <c r="AA72" s="2">
        <v>70323474</v>
      </c>
      <c r="AB72" s="2">
        <f>ROUND((AC72+AD72+AF72),6)</f>
        <v>1555.0021819999999</v>
      </c>
      <c r="AC72" s="2">
        <f>ROUND((((ES72/22)*2)),6)</f>
        <v>0</v>
      </c>
      <c r="AD72" s="2">
        <f>ROUND((((((ET72/22)*2))-(((EU72/22)*2)))+AE72),6)</f>
        <v>0</v>
      </c>
      <c r="AE72" s="2">
        <f>ROUND((((EU72/22)*2)),6)</f>
        <v>0</v>
      </c>
      <c r="AF72" s="2">
        <f>ROUND(((((EV72/22)*2)*0.8)),6)</f>
        <v>1555.0021819999999</v>
      </c>
      <c r="AG72" s="2">
        <f>ROUND((AP72),6)</f>
        <v>0</v>
      </c>
      <c r="AH72" s="2">
        <f>((((EW72/22)*2)*0.8))</f>
        <v>97.600000000000009</v>
      </c>
      <c r="AI72" s="2">
        <f>(((EX72/22)*2))</f>
        <v>0</v>
      </c>
      <c r="AJ72" s="2">
        <f>(AS72)</f>
        <v>0</v>
      </c>
      <c r="AK72" s="2">
        <v>21381.279999999999</v>
      </c>
      <c r="AL72" s="2">
        <v>0</v>
      </c>
      <c r="AM72" s="2">
        <v>0</v>
      </c>
      <c r="AN72" s="2">
        <v>0</v>
      </c>
      <c r="AO72" s="2">
        <v>21381.279999999999</v>
      </c>
      <c r="AP72" s="2">
        <v>0</v>
      </c>
      <c r="AQ72" s="2">
        <v>1342</v>
      </c>
      <c r="AR72" s="2">
        <v>0</v>
      </c>
      <c r="AS72" s="2">
        <v>0</v>
      </c>
      <c r="AT72" s="2">
        <v>75</v>
      </c>
      <c r="AU72" s="2">
        <v>70</v>
      </c>
      <c r="AV72" s="2">
        <v>1</v>
      </c>
      <c r="AW72" s="2">
        <v>1</v>
      </c>
      <c r="AX72" s="2"/>
      <c r="AY72" s="2"/>
      <c r="AZ72" s="2">
        <v>1</v>
      </c>
      <c r="BA72" s="2">
        <v>1</v>
      </c>
      <c r="BB72" s="2">
        <v>1</v>
      </c>
      <c r="BC72" s="2">
        <v>1</v>
      </c>
      <c r="BD72" s="2" t="s">
        <v>6</v>
      </c>
      <c r="BE72" s="2" t="s">
        <v>6</v>
      </c>
      <c r="BF72" s="2" t="s">
        <v>6</v>
      </c>
      <c r="BG72" s="2" t="s">
        <v>6</v>
      </c>
      <c r="BH72" s="2">
        <v>0</v>
      </c>
      <c r="BI72" s="2">
        <v>4</v>
      </c>
      <c r="BJ72" s="2" t="s">
        <v>108</v>
      </c>
      <c r="BK72" s="2"/>
      <c r="BL72" s="2"/>
      <c r="BM72" s="2">
        <v>388</v>
      </c>
      <c r="BN72" s="2">
        <v>0</v>
      </c>
      <c r="BO72" s="2" t="s">
        <v>6</v>
      </c>
      <c r="BP72" s="2">
        <v>0</v>
      </c>
      <c r="BQ72" s="2">
        <v>50</v>
      </c>
      <c r="BR72" s="2">
        <v>0</v>
      </c>
      <c r="BS72" s="2">
        <v>1</v>
      </c>
      <c r="BT72" s="2">
        <v>1</v>
      </c>
      <c r="BU72" s="2">
        <v>1</v>
      </c>
      <c r="BV72" s="2">
        <v>1</v>
      </c>
      <c r="BW72" s="2">
        <v>1</v>
      </c>
      <c r="BX72" s="2">
        <v>1</v>
      </c>
      <c r="BY72" s="2" t="s">
        <v>6</v>
      </c>
      <c r="BZ72" s="2">
        <v>75</v>
      </c>
      <c r="CA72" s="2">
        <v>70</v>
      </c>
      <c r="CB72" s="2" t="s">
        <v>6</v>
      </c>
      <c r="CC72" s="2"/>
      <c r="CD72" s="2"/>
      <c r="CE72" s="2">
        <v>30</v>
      </c>
      <c r="CF72" s="2">
        <v>0</v>
      </c>
      <c r="CG72" s="2">
        <v>0</v>
      </c>
      <c r="CH72" s="2"/>
      <c r="CI72" s="2"/>
      <c r="CJ72" s="2"/>
      <c r="CK72" s="2"/>
      <c r="CL72" s="2"/>
      <c r="CM72" s="2">
        <v>0</v>
      </c>
      <c r="CN72" s="2" t="s">
        <v>109</v>
      </c>
      <c r="CO72" s="2">
        <v>0</v>
      </c>
      <c r="CP72" s="2">
        <f>(P72+Q72+S72)</f>
        <v>1555</v>
      </c>
      <c r="CQ72" s="2">
        <f>ROUND((ROUND((AC72*AW72*1),2)*BC72),2)</f>
        <v>0</v>
      </c>
      <c r="CR72" s="2">
        <f>(ROUND((ROUND(((((ET72/22)*2))*AV72*1),2)*BB72),2)+ROUND((ROUND(((AE72-(((EU72/22)*2)))*AV72*1),2)*BS72),2))</f>
        <v>0</v>
      </c>
      <c r="CS72" s="2">
        <f>ROUND((ROUND((AE72*AV72*1),2)*BS72),2)</f>
        <v>0</v>
      </c>
      <c r="CT72" s="2">
        <f>ROUND((ROUND((AF72*AV72*1),2)*BA72),2)</f>
        <v>1555</v>
      </c>
      <c r="CU72" s="2">
        <f>AG72</f>
        <v>0</v>
      </c>
      <c r="CV72" s="2">
        <f>(AH72*AV72)</f>
        <v>97.600000000000009</v>
      </c>
      <c r="CW72" s="2">
        <f>AI72</f>
        <v>0</v>
      </c>
      <c r="CX72" s="2">
        <f>AJ72</f>
        <v>0</v>
      </c>
      <c r="CY72" s="2">
        <f>((S72*BZ72)/100)</f>
        <v>1166.25</v>
      </c>
      <c r="CZ72" s="2">
        <f>((S72*CA72)/100)</f>
        <v>1088.5</v>
      </c>
      <c r="DA72" s="2"/>
      <c r="DB72" s="2">
        <v>1</v>
      </c>
      <c r="DC72" s="2" t="s">
        <v>6</v>
      </c>
      <c r="DD72" s="2" t="s">
        <v>110</v>
      </c>
      <c r="DE72" s="2" t="s">
        <v>110</v>
      </c>
      <c r="DF72" s="2" t="s">
        <v>110</v>
      </c>
      <c r="DG72" s="2" t="s">
        <v>111</v>
      </c>
      <c r="DH72" s="2" t="s">
        <v>6</v>
      </c>
      <c r="DI72" s="2" t="s">
        <v>111</v>
      </c>
      <c r="DJ72" s="2" t="s">
        <v>110</v>
      </c>
      <c r="DK72" s="2" t="s">
        <v>6</v>
      </c>
      <c r="DL72" s="2" t="s">
        <v>6</v>
      </c>
      <c r="DM72" s="2" t="s">
        <v>6</v>
      </c>
      <c r="DN72" s="2">
        <v>0</v>
      </c>
      <c r="DO72" s="2">
        <v>0</v>
      </c>
      <c r="DP72" s="2">
        <v>1</v>
      </c>
      <c r="DQ72" s="2">
        <v>1</v>
      </c>
      <c r="DR72" s="2"/>
      <c r="DS72" s="2"/>
      <c r="DT72" s="2"/>
      <c r="DU72" s="2">
        <v>1013</v>
      </c>
      <c r="DV72" s="2" t="s">
        <v>107</v>
      </c>
      <c r="DW72" s="2" t="s">
        <v>107</v>
      </c>
      <c r="DX72" s="2">
        <v>1</v>
      </c>
      <c r="DY72" s="2"/>
      <c r="DZ72" s="2" t="s">
        <v>6</v>
      </c>
      <c r="EA72" s="2" t="s">
        <v>6</v>
      </c>
      <c r="EB72" s="2" t="s">
        <v>6</v>
      </c>
      <c r="EC72" s="2" t="s">
        <v>6</v>
      </c>
      <c r="ED72" s="2"/>
      <c r="EE72" s="2">
        <v>69253013</v>
      </c>
      <c r="EF72" s="2">
        <v>50</v>
      </c>
      <c r="EG72" s="2" t="s">
        <v>16</v>
      </c>
      <c r="EH72" s="2">
        <v>0</v>
      </c>
      <c r="EI72" s="2" t="s">
        <v>6</v>
      </c>
      <c r="EJ72" s="2">
        <v>4</v>
      </c>
      <c r="EK72" s="2">
        <v>388</v>
      </c>
      <c r="EL72" s="2" t="s">
        <v>29</v>
      </c>
      <c r="EM72" s="2" t="s">
        <v>30</v>
      </c>
      <c r="EN72" s="2"/>
      <c r="EO72" s="2" t="s">
        <v>112</v>
      </c>
      <c r="EP72" s="2"/>
      <c r="EQ72" s="2">
        <v>0</v>
      </c>
      <c r="ER72" s="2">
        <v>21381.279999999999</v>
      </c>
      <c r="ES72" s="2">
        <v>0</v>
      </c>
      <c r="ET72" s="2">
        <v>0</v>
      </c>
      <c r="EU72" s="2">
        <v>0</v>
      </c>
      <c r="EV72" s="2">
        <v>21381.279999999999</v>
      </c>
      <c r="EW72" s="2">
        <v>1342</v>
      </c>
      <c r="EX72" s="2">
        <v>0</v>
      </c>
      <c r="EY72" s="2">
        <v>0</v>
      </c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>
        <v>0</v>
      </c>
      <c r="FR72" s="2">
        <f>ROUND(IF(BI72=3,GM72,0),2)</f>
        <v>0</v>
      </c>
      <c r="FS72" s="2">
        <v>0</v>
      </c>
      <c r="FT72" s="2"/>
      <c r="FU72" s="2"/>
      <c r="FV72" s="2"/>
      <c r="FW72" s="2"/>
      <c r="FX72" s="2">
        <v>75</v>
      </c>
      <c r="FY72" s="2">
        <v>70</v>
      </c>
      <c r="FZ72" s="2"/>
      <c r="GA72" s="2" t="s">
        <v>6</v>
      </c>
      <c r="GB72" s="2"/>
      <c r="GC72" s="2"/>
      <c r="GD72" s="2">
        <v>0</v>
      </c>
      <c r="GE72" s="2"/>
      <c r="GF72" s="2">
        <v>-813878034</v>
      </c>
      <c r="GG72" s="2">
        <v>2</v>
      </c>
      <c r="GH72" s="2">
        <v>1</v>
      </c>
      <c r="GI72" s="2">
        <v>-2</v>
      </c>
      <c r="GJ72" s="2">
        <v>0</v>
      </c>
      <c r="GK72" s="2">
        <f>ROUND(R72*(R12)/100,2)</f>
        <v>0</v>
      </c>
      <c r="GL72" s="2">
        <f>ROUND(IF(AND(BH72=3,BI72=3,FS72&lt;&gt;0),P72,0),2)</f>
        <v>0</v>
      </c>
      <c r="GM72" s="2">
        <f>ROUND(O72+X72+Y72+GK72,2)+GX72</f>
        <v>3809.75</v>
      </c>
      <c r="GN72" s="2">
        <f>IF(OR(BI72=0,BI72=1),GM72-GX72,0)</f>
        <v>0</v>
      </c>
      <c r="GO72" s="2">
        <f>IF(BI72=2,GM72-GX72,0)</f>
        <v>0</v>
      </c>
      <c r="GP72" s="2">
        <f>IF(BI72=4,GM72-GX72,0)</f>
        <v>3809.75</v>
      </c>
      <c r="GQ72" s="2"/>
      <c r="GR72" s="2">
        <v>0</v>
      </c>
      <c r="GS72" s="2">
        <v>3</v>
      </c>
      <c r="GT72" s="2">
        <v>0</v>
      </c>
      <c r="GU72" s="2" t="s">
        <v>110</v>
      </c>
      <c r="GV72" s="2">
        <f>ROUND((((GT72/22)*2)),6)</f>
        <v>0</v>
      </c>
      <c r="GW72" s="2">
        <v>1</v>
      </c>
      <c r="GX72" s="2">
        <f>ROUND(HC72*I72,2)</f>
        <v>0</v>
      </c>
      <c r="GY72" s="2"/>
      <c r="GZ72" s="2"/>
      <c r="HA72" s="2">
        <v>0</v>
      </c>
      <c r="HB72" s="2">
        <v>0</v>
      </c>
      <c r="HC72" s="2">
        <f>GV72*GW72</f>
        <v>0</v>
      </c>
      <c r="HD72" s="2"/>
      <c r="HE72" s="2" t="s">
        <v>6</v>
      </c>
      <c r="HF72" s="2" t="s">
        <v>6</v>
      </c>
      <c r="HG72" s="2"/>
      <c r="HH72" s="2"/>
      <c r="HI72" s="2"/>
      <c r="HJ72" s="2"/>
      <c r="HK72" s="2"/>
      <c r="HL72" s="2"/>
      <c r="HM72" s="2" t="s">
        <v>6</v>
      </c>
      <c r="HN72" s="2" t="s">
        <v>6</v>
      </c>
      <c r="HO72" s="2" t="s">
        <v>6</v>
      </c>
      <c r="HP72" s="2" t="s">
        <v>6</v>
      </c>
      <c r="HQ72" s="2" t="s">
        <v>6</v>
      </c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>
        <v>0</v>
      </c>
      <c r="IL72" s="2"/>
      <c r="IM72" s="2"/>
      <c r="IN72" s="2"/>
      <c r="IO72" s="2"/>
      <c r="IP72" s="2"/>
      <c r="IQ72" s="2"/>
      <c r="IR72" s="2"/>
      <c r="IS72" s="2"/>
      <c r="IT72" s="2"/>
      <c r="IU72" s="2"/>
    </row>
    <row r="73" spans="1:255">
      <c r="A73">
        <v>17</v>
      </c>
      <c r="B73">
        <v>1</v>
      </c>
      <c r="E73" t="s">
        <v>104</v>
      </c>
      <c r="F73" t="s">
        <v>105</v>
      </c>
      <c r="G73" t="s">
        <v>106</v>
      </c>
      <c r="H73" t="s">
        <v>107</v>
      </c>
      <c r="I73">
        <v>1</v>
      </c>
      <c r="J73">
        <v>0</v>
      </c>
      <c r="K73">
        <v>1</v>
      </c>
      <c r="O73">
        <f>ROUND(CP73,2)</f>
        <v>72571.850000000006</v>
      </c>
      <c r="P73">
        <f>ROUND((ROUND((AC73*AW73*I73),2)*BC73),2)</f>
        <v>0</v>
      </c>
      <c r="Q73">
        <f>(ROUND((ROUND(((((ET73/22)*2))*AV73*I73),2)*BB73),2)+ROUND((ROUND(((AE73-(((EU73/22)*2)))*AV73*I73),2)*BS73),2))</f>
        <v>0</v>
      </c>
      <c r="R73">
        <f>ROUND((ROUND((AE73*AV73*I73),2)*BS73),2)</f>
        <v>0</v>
      </c>
      <c r="S73">
        <f>ROUND((ROUND((AF73*AV73*I73),2)*BA73),2)</f>
        <v>72571.850000000006</v>
      </c>
      <c r="T73">
        <f>ROUND(CU73*I73,2)</f>
        <v>0</v>
      </c>
      <c r="U73">
        <f>CV73*I73</f>
        <v>97.600000000000009</v>
      </c>
      <c r="V73">
        <f>CW73*I73</f>
        <v>0</v>
      </c>
      <c r="W73">
        <f>ROUND(CX73*I73,2)</f>
        <v>0</v>
      </c>
      <c r="X73">
        <f>ROUND(CY73,2)</f>
        <v>50800.3</v>
      </c>
      <c r="Y73">
        <f>ROUND(CZ73,2)</f>
        <v>29754.46</v>
      </c>
      <c r="AA73">
        <v>70323475</v>
      </c>
      <c r="AB73">
        <f>ROUND((AC73+AD73+AF73),6)</f>
        <v>1555.0021819999999</v>
      </c>
      <c r="AC73">
        <f>ROUND((((ES73/22)*2)),6)</f>
        <v>0</v>
      </c>
      <c r="AD73">
        <f>ROUND((((((ET73/22)*2))-(((EU73/22)*2)))+AE73),6)</f>
        <v>0</v>
      </c>
      <c r="AE73">
        <f>ROUND((((EU73/22)*2)),6)</f>
        <v>0</v>
      </c>
      <c r="AF73">
        <f>ROUND(((((EV73/22)*2)*0.8)),6)</f>
        <v>1555.0021819999999</v>
      </c>
      <c r="AG73">
        <f>ROUND((AP73),6)</f>
        <v>0</v>
      </c>
      <c r="AH73">
        <f>((((EW73/22)*2)*0.8))</f>
        <v>97.600000000000009</v>
      </c>
      <c r="AI73">
        <f>(((EX73/22)*2))</f>
        <v>0</v>
      </c>
      <c r="AJ73">
        <f>(AS73)</f>
        <v>0</v>
      </c>
      <c r="AK73">
        <v>21381.279999999999</v>
      </c>
      <c r="AL73">
        <v>0</v>
      </c>
      <c r="AM73">
        <v>0</v>
      </c>
      <c r="AN73">
        <v>0</v>
      </c>
      <c r="AO73">
        <v>21381.279999999999</v>
      </c>
      <c r="AP73">
        <v>0</v>
      </c>
      <c r="AQ73">
        <v>1342</v>
      </c>
      <c r="AR73">
        <v>0</v>
      </c>
      <c r="AS73">
        <v>0</v>
      </c>
      <c r="AT73">
        <v>70</v>
      </c>
      <c r="AU73">
        <v>41</v>
      </c>
      <c r="AV73">
        <v>1</v>
      </c>
      <c r="AW73">
        <v>1</v>
      </c>
      <c r="AZ73">
        <v>1</v>
      </c>
      <c r="BA73">
        <v>46.67</v>
      </c>
      <c r="BB73">
        <v>1</v>
      </c>
      <c r="BC73">
        <v>1</v>
      </c>
      <c r="BD73" t="s">
        <v>6</v>
      </c>
      <c r="BE73" t="s">
        <v>6</v>
      </c>
      <c r="BF73" t="s">
        <v>6</v>
      </c>
      <c r="BG73" t="s">
        <v>6</v>
      </c>
      <c r="BH73">
        <v>0</v>
      </c>
      <c r="BI73">
        <v>4</v>
      </c>
      <c r="BJ73" t="s">
        <v>108</v>
      </c>
      <c r="BM73">
        <v>388</v>
      </c>
      <c r="BN73">
        <v>0</v>
      </c>
      <c r="BO73" t="s">
        <v>6</v>
      </c>
      <c r="BP73">
        <v>0</v>
      </c>
      <c r="BQ73">
        <v>50</v>
      </c>
      <c r="BR73">
        <v>0</v>
      </c>
      <c r="BS73">
        <v>46.67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6</v>
      </c>
      <c r="BZ73">
        <v>70</v>
      </c>
      <c r="CA73">
        <v>41</v>
      </c>
      <c r="CB73" t="s">
        <v>6</v>
      </c>
      <c r="CE73">
        <v>30</v>
      </c>
      <c r="CF73">
        <v>0</v>
      </c>
      <c r="CG73">
        <v>0</v>
      </c>
      <c r="CM73">
        <v>0</v>
      </c>
      <c r="CN73" t="s">
        <v>109</v>
      </c>
      <c r="CO73">
        <v>0</v>
      </c>
      <c r="CP73">
        <f>(P73+Q73+S73)</f>
        <v>72571.850000000006</v>
      </c>
      <c r="CQ73">
        <f>ROUND((ROUND((AC73*AW73*1),2)*BC73),2)</f>
        <v>0</v>
      </c>
      <c r="CR73">
        <f>(ROUND((ROUND(((((ET73/22)*2))*AV73*1),2)*BB73),2)+ROUND((ROUND(((AE73-(((EU73/22)*2)))*AV73*1),2)*BS73),2))</f>
        <v>0</v>
      </c>
      <c r="CS73">
        <f>ROUND((ROUND((AE73*AV73*1),2)*BS73),2)</f>
        <v>0</v>
      </c>
      <c r="CT73">
        <f>ROUND((ROUND((AF73*AV73*1),2)*BA73),2)</f>
        <v>72571.850000000006</v>
      </c>
      <c r="CU73">
        <f>AG73</f>
        <v>0</v>
      </c>
      <c r="CV73">
        <f>(AH73*AV73)</f>
        <v>97.600000000000009</v>
      </c>
      <c r="CW73">
        <f>AI73</f>
        <v>0</v>
      </c>
      <c r="CX73">
        <f>AJ73</f>
        <v>0</v>
      </c>
      <c r="CY73">
        <f>S73*(BZ73/100)</f>
        <v>50800.294999999998</v>
      </c>
      <c r="CZ73">
        <f>S73*(CA73/100)</f>
        <v>29754.458500000001</v>
      </c>
      <c r="DB73">
        <v>3</v>
      </c>
      <c r="DC73" t="s">
        <v>6</v>
      </c>
      <c r="DD73" t="s">
        <v>110</v>
      </c>
      <c r="DE73" t="s">
        <v>110</v>
      </c>
      <c r="DF73" t="s">
        <v>110</v>
      </c>
      <c r="DG73" t="s">
        <v>111</v>
      </c>
      <c r="DH73" t="s">
        <v>6</v>
      </c>
      <c r="DI73" t="s">
        <v>111</v>
      </c>
      <c r="DJ73" t="s">
        <v>110</v>
      </c>
      <c r="DK73" t="s">
        <v>6</v>
      </c>
      <c r="DL73" t="s">
        <v>6</v>
      </c>
      <c r="DM73" t="s">
        <v>6</v>
      </c>
      <c r="DN73">
        <v>75</v>
      </c>
      <c r="DO73">
        <v>70</v>
      </c>
      <c r="DP73">
        <v>1</v>
      </c>
      <c r="DQ73">
        <v>1</v>
      </c>
      <c r="DU73">
        <v>1013</v>
      </c>
      <c r="DV73" t="s">
        <v>107</v>
      </c>
      <c r="DW73" t="s">
        <v>107</v>
      </c>
      <c r="DX73">
        <v>1</v>
      </c>
      <c r="DZ73" t="s">
        <v>6</v>
      </c>
      <c r="EA73" t="s">
        <v>6</v>
      </c>
      <c r="EB73" t="s">
        <v>6</v>
      </c>
      <c r="EC73" t="s">
        <v>6</v>
      </c>
      <c r="EE73">
        <v>69253013</v>
      </c>
      <c r="EF73">
        <v>50</v>
      </c>
      <c r="EG73" t="s">
        <v>16</v>
      </c>
      <c r="EH73">
        <v>0</v>
      </c>
      <c r="EI73" t="s">
        <v>6</v>
      </c>
      <c r="EJ73">
        <v>4</v>
      </c>
      <c r="EK73">
        <v>388</v>
      </c>
      <c r="EL73" t="s">
        <v>29</v>
      </c>
      <c r="EM73" t="s">
        <v>30</v>
      </c>
      <c r="EO73" t="s">
        <v>112</v>
      </c>
      <c r="EQ73">
        <v>0</v>
      </c>
      <c r="ER73">
        <v>21381.279999999999</v>
      </c>
      <c r="ES73">
        <v>0</v>
      </c>
      <c r="ET73">
        <v>0</v>
      </c>
      <c r="EU73">
        <v>0</v>
      </c>
      <c r="EV73">
        <v>21381.279999999999</v>
      </c>
      <c r="EW73">
        <v>1342</v>
      </c>
      <c r="EX73">
        <v>0</v>
      </c>
      <c r="EY73">
        <v>0</v>
      </c>
      <c r="FQ73">
        <v>0</v>
      </c>
      <c r="FR73">
        <f>ROUND(IF(BI73=3,GM73,0),2)</f>
        <v>0</v>
      </c>
      <c r="FS73">
        <v>0</v>
      </c>
      <c r="FX73">
        <v>75</v>
      </c>
      <c r="FY73">
        <v>70</v>
      </c>
      <c r="GA73" t="s">
        <v>6</v>
      </c>
      <c r="GD73">
        <v>0</v>
      </c>
      <c r="GF73">
        <v>-813878034</v>
      </c>
      <c r="GG73">
        <v>2</v>
      </c>
      <c r="GH73">
        <v>1</v>
      </c>
      <c r="GI73">
        <v>2</v>
      </c>
      <c r="GJ73">
        <v>0</v>
      </c>
      <c r="GK73">
        <f>ROUND(R73*(S12)/100,2)</f>
        <v>0</v>
      </c>
      <c r="GL73">
        <f>ROUND(IF(AND(BH73=3,BI73=3,FS73&lt;&gt;0),P73,0),2)</f>
        <v>0</v>
      </c>
      <c r="GM73">
        <f>ROUND(O73+X73+Y73+GK73,2)+GX73</f>
        <v>153126.60999999999</v>
      </c>
      <c r="GN73">
        <f>IF(OR(BI73=0,BI73=1),GM73-GX73,0)</f>
        <v>0</v>
      </c>
      <c r="GO73">
        <f>IF(BI73=2,GM73-GX73,0)</f>
        <v>0</v>
      </c>
      <c r="GP73">
        <f>IF(BI73=4,GM73-GX73,0)</f>
        <v>153126.60999999999</v>
      </c>
      <c r="GR73">
        <v>0</v>
      </c>
      <c r="GS73">
        <v>0</v>
      </c>
      <c r="GT73">
        <v>0</v>
      </c>
      <c r="GU73" t="s">
        <v>110</v>
      </c>
      <c r="GV73">
        <f>ROUND((((GT73/22)*2)),6)</f>
        <v>0</v>
      </c>
      <c r="GW73">
        <v>1</v>
      </c>
      <c r="GX73">
        <f>ROUND(HC73*I73,2)</f>
        <v>0</v>
      </c>
      <c r="HA73">
        <v>0</v>
      </c>
      <c r="HB73">
        <v>0</v>
      </c>
      <c r="HC73">
        <f>GV73*GW73</f>
        <v>0</v>
      </c>
      <c r="HE73" t="s">
        <v>6</v>
      </c>
      <c r="HF73" t="s">
        <v>6</v>
      </c>
      <c r="HM73" t="s">
        <v>6</v>
      </c>
      <c r="HN73" t="s">
        <v>6</v>
      </c>
      <c r="HO73" t="s">
        <v>6</v>
      </c>
      <c r="HP73" t="s">
        <v>6</v>
      </c>
      <c r="HQ73" t="s">
        <v>6</v>
      </c>
      <c r="IK73">
        <v>0</v>
      </c>
    </row>
    <row r="75" spans="1:255">
      <c r="A75" s="3">
        <v>51</v>
      </c>
      <c r="B75" s="3">
        <f>B68</f>
        <v>1</v>
      </c>
      <c r="C75" s="3">
        <f>A68</f>
        <v>4</v>
      </c>
      <c r="D75" s="3">
        <f>ROW(A68)</f>
        <v>68</v>
      </c>
      <c r="E75" s="3"/>
      <c r="F75" s="3" t="str">
        <f>IF(F68&lt;&gt;"",F68,"")</f>
        <v>Новый раздел</v>
      </c>
      <c r="G75" s="3" t="str">
        <f>IF(G68&lt;&gt;"",G68,"")</f>
        <v>ТП</v>
      </c>
      <c r="H75" s="3">
        <v>0</v>
      </c>
      <c r="I75" s="3"/>
      <c r="J75" s="3"/>
      <c r="K75" s="3"/>
      <c r="L75" s="3"/>
      <c r="M75" s="3"/>
      <c r="N75" s="3"/>
      <c r="O75" s="3">
        <f t="shared" ref="O75:T75" si="68">ROUND(AB75,2)</f>
        <v>1555</v>
      </c>
      <c r="P75" s="3">
        <f t="shared" si="68"/>
        <v>0</v>
      </c>
      <c r="Q75" s="3">
        <f t="shared" si="68"/>
        <v>0</v>
      </c>
      <c r="R75" s="3">
        <f t="shared" si="68"/>
        <v>0</v>
      </c>
      <c r="S75" s="3">
        <f t="shared" si="68"/>
        <v>1555</v>
      </c>
      <c r="T75" s="3">
        <f t="shared" si="68"/>
        <v>0</v>
      </c>
      <c r="U75" s="3">
        <f>AH75</f>
        <v>97.600000000000009</v>
      </c>
      <c r="V75" s="3">
        <f>AI75</f>
        <v>0</v>
      </c>
      <c r="W75" s="3">
        <f>ROUND(AJ75,2)</f>
        <v>0</v>
      </c>
      <c r="X75" s="3">
        <f>ROUND(AK75,2)</f>
        <v>1166.25</v>
      </c>
      <c r="Y75" s="3">
        <f>ROUND(AL75,2)</f>
        <v>1088.5</v>
      </c>
      <c r="Z75" s="3"/>
      <c r="AA75" s="3"/>
      <c r="AB75" s="3">
        <f>ROUND(SUMIF(AA72:AA73,"=70323474",O72:O73),2)</f>
        <v>1555</v>
      </c>
      <c r="AC75" s="3">
        <f>ROUND(SUMIF(AA72:AA73,"=70323474",P72:P73),2)</f>
        <v>0</v>
      </c>
      <c r="AD75" s="3">
        <f>ROUND(SUMIF(AA72:AA73,"=70323474",Q72:Q73),2)</f>
        <v>0</v>
      </c>
      <c r="AE75" s="3">
        <f>ROUND(SUMIF(AA72:AA73,"=70323474",R72:R73),2)</f>
        <v>0</v>
      </c>
      <c r="AF75" s="3">
        <f>ROUND(SUMIF(AA72:AA73,"=70323474",S72:S73),2)</f>
        <v>1555</v>
      </c>
      <c r="AG75" s="3">
        <f>ROUND(SUMIF(AA72:AA73,"=70323474",T72:T73),2)</f>
        <v>0</v>
      </c>
      <c r="AH75" s="3">
        <f>SUMIF(AA72:AA73,"=70323474",U72:U73)</f>
        <v>97.600000000000009</v>
      </c>
      <c r="AI75" s="3">
        <f>SUMIF(AA72:AA73,"=70323474",V72:V73)</f>
        <v>0</v>
      </c>
      <c r="AJ75" s="3">
        <f>ROUND(SUMIF(AA72:AA73,"=70323474",W72:W73),2)</f>
        <v>0</v>
      </c>
      <c r="AK75" s="3">
        <f>ROUND(SUMIF(AA72:AA73,"=70323474",X72:X73),2)</f>
        <v>1166.25</v>
      </c>
      <c r="AL75" s="3">
        <f>ROUND(SUMIF(AA72:AA73,"=70323474",Y72:Y73),2)</f>
        <v>1088.5</v>
      </c>
      <c r="AM75" s="3"/>
      <c r="AN75" s="3"/>
      <c r="AO75" s="3">
        <f t="shared" ref="AO75:BD75" si="69">ROUND(BX75,2)</f>
        <v>0</v>
      </c>
      <c r="AP75" s="3">
        <f t="shared" si="69"/>
        <v>0</v>
      </c>
      <c r="AQ75" s="3">
        <f t="shared" si="69"/>
        <v>0</v>
      </c>
      <c r="AR75" s="3">
        <f t="shared" si="69"/>
        <v>3809.75</v>
      </c>
      <c r="AS75" s="3">
        <f t="shared" si="69"/>
        <v>0</v>
      </c>
      <c r="AT75" s="3">
        <f t="shared" si="69"/>
        <v>0</v>
      </c>
      <c r="AU75" s="3">
        <f t="shared" si="69"/>
        <v>3809.75</v>
      </c>
      <c r="AV75" s="3">
        <f t="shared" si="69"/>
        <v>0</v>
      </c>
      <c r="AW75" s="3">
        <f t="shared" si="69"/>
        <v>0</v>
      </c>
      <c r="AX75" s="3">
        <f t="shared" si="69"/>
        <v>0</v>
      </c>
      <c r="AY75" s="3">
        <f t="shared" si="69"/>
        <v>0</v>
      </c>
      <c r="AZ75" s="3">
        <f t="shared" si="69"/>
        <v>0</v>
      </c>
      <c r="BA75" s="3">
        <f t="shared" si="69"/>
        <v>0</v>
      </c>
      <c r="BB75" s="3">
        <f t="shared" si="69"/>
        <v>0</v>
      </c>
      <c r="BC75" s="3">
        <f t="shared" si="69"/>
        <v>0</v>
      </c>
      <c r="BD75" s="3">
        <f t="shared" si="69"/>
        <v>0</v>
      </c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>
        <f>ROUND(SUMIF(AA72:AA73,"=70323474",FQ72:FQ73),2)</f>
        <v>0</v>
      </c>
      <c r="BY75" s="3">
        <f>ROUND(SUMIF(AA72:AA73,"=70323474",FR72:FR73),2)</f>
        <v>0</v>
      </c>
      <c r="BZ75" s="3">
        <f>ROUND(SUMIF(AA72:AA73,"=70323474",GL72:GL73),2)</f>
        <v>0</v>
      </c>
      <c r="CA75" s="3">
        <f>ROUND(SUMIF(AA72:AA73,"=70323474",GM72:GM73),2)</f>
        <v>3809.75</v>
      </c>
      <c r="CB75" s="3">
        <f>ROUND(SUMIF(AA72:AA73,"=70323474",GN72:GN73),2)</f>
        <v>0</v>
      </c>
      <c r="CC75" s="3">
        <f>ROUND(SUMIF(AA72:AA73,"=70323474",GO72:GO73),2)</f>
        <v>0</v>
      </c>
      <c r="CD75" s="3">
        <f>ROUND(SUMIF(AA72:AA73,"=70323474",GP72:GP73),2)</f>
        <v>3809.75</v>
      </c>
      <c r="CE75" s="3">
        <f>AC75-BX75</f>
        <v>0</v>
      </c>
      <c r="CF75" s="3">
        <f>AC75-BY75</f>
        <v>0</v>
      </c>
      <c r="CG75" s="3">
        <f>BX75-BZ75</f>
        <v>0</v>
      </c>
      <c r="CH75" s="3">
        <f>AC75-BX75-BY75+BZ75</f>
        <v>0</v>
      </c>
      <c r="CI75" s="3">
        <f>BY75-BZ75</f>
        <v>0</v>
      </c>
      <c r="CJ75" s="3">
        <f>ROUND(SUMIF(AA72:AA73,"=70323474",GX72:GX73),2)</f>
        <v>0</v>
      </c>
      <c r="CK75" s="3">
        <f>ROUND(SUMIF(AA72:AA73,"=70323474",GY72:GY73),2)</f>
        <v>0</v>
      </c>
      <c r="CL75" s="3">
        <f>ROUND(SUMIF(AA72:AA73,"=70323474",GZ72:GZ73),2)</f>
        <v>0</v>
      </c>
      <c r="CM75" s="3">
        <f>ROUND(SUMIF(AA72:AA73,"=70323474",HD72:HD73),2)</f>
        <v>0</v>
      </c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4">
        <f t="shared" ref="DG75:DL75" si="70">ROUND(DT75,2)</f>
        <v>72571.850000000006</v>
      </c>
      <c r="DH75" s="4">
        <f t="shared" si="70"/>
        <v>0</v>
      </c>
      <c r="DI75" s="4">
        <f t="shared" si="70"/>
        <v>0</v>
      </c>
      <c r="DJ75" s="4">
        <f t="shared" si="70"/>
        <v>0</v>
      </c>
      <c r="DK75" s="4">
        <f t="shared" si="70"/>
        <v>72571.850000000006</v>
      </c>
      <c r="DL75" s="4">
        <f t="shared" si="70"/>
        <v>0</v>
      </c>
      <c r="DM75" s="4">
        <f>DZ75</f>
        <v>97.600000000000009</v>
      </c>
      <c r="DN75" s="4">
        <f>EA75</f>
        <v>0</v>
      </c>
      <c r="DO75" s="4">
        <f>ROUND(EB75,2)</f>
        <v>0</v>
      </c>
      <c r="DP75" s="4">
        <f>ROUND(EC75,2)</f>
        <v>50800.3</v>
      </c>
      <c r="DQ75" s="4">
        <f>ROUND(ED75,2)</f>
        <v>29754.46</v>
      </c>
      <c r="DR75" s="4"/>
      <c r="DS75" s="4"/>
      <c r="DT75" s="4">
        <f>ROUND(SUMIF(AA72:AA73,"=70323475",O72:O73),2)</f>
        <v>72571.850000000006</v>
      </c>
      <c r="DU75" s="4">
        <f>ROUND(SUMIF(AA72:AA73,"=70323475",P72:P73),2)</f>
        <v>0</v>
      </c>
      <c r="DV75" s="4">
        <f>ROUND(SUMIF(AA72:AA73,"=70323475",Q72:Q73),2)</f>
        <v>0</v>
      </c>
      <c r="DW75" s="4">
        <f>ROUND(SUMIF(AA72:AA73,"=70323475",R72:R73),2)</f>
        <v>0</v>
      </c>
      <c r="DX75" s="4">
        <f>ROUND(SUMIF(AA72:AA73,"=70323475",S72:S73),2)</f>
        <v>72571.850000000006</v>
      </c>
      <c r="DY75" s="4">
        <f>ROUND(SUMIF(AA72:AA73,"=70323475",T72:T73),2)</f>
        <v>0</v>
      </c>
      <c r="DZ75" s="4">
        <f>SUMIF(AA72:AA73,"=70323475",U72:U73)</f>
        <v>97.600000000000009</v>
      </c>
      <c r="EA75" s="4">
        <f>SUMIF(AA72:AA73,"=70323475",V72:V73)</f>
        <v>0</v>
      </c>
      <c r="EB75" s="4">
        <f>ROUND(SUMIF(AA72:AA73,"=70323475",W72:W73),2)</f>
        <v>0</v>
      </c>
      <c r="EC75" s="4">
        <f>ROUND(SUMIF(AA72:AA73,"=70323475",X72:X73),2)</f>
        <v>50800.3</v>
      </c>
      <c r="ED75" s="4">
        <f>ROUND(SUMIF(AA72:AA73,"=70323475",Y72:Y73),2)</f>
        <v>29754.46</v>
      </c>
      <c r="EE75" s="4"/>
      <c r="EF75" s="4"/>
      <c r="EG75" s="4">
        <f t="shared" ref="EG75:EV75" si="71">ROUND(FP75,2)</f>
        <v>0</v>
      </c>
      <c r="EH75" s="4">
        <f t="shared" si="71"/>
        <v>0</v>
      </c>
      <c r="EI75" s="4">
        <f t="shared" si="71"/>
        <v>0</v>
      </c>
      <c r="EJ75" s="4">
        <f t="shared" si="71"/>
        <v>153126.60999999999</v>
      </c>
      <c r="EK75" s="4">
        <f t="shared" si="71"/>
        <v>0</v>
      </c>
      <c r="EL75" s="4">
        <f t="shared" si="71"/>
        <v>0</v>
      </c>
      <c r="EM75" s="4">
        <f t="shared" si="71"/>
        <v>153126.60999999999</v>
      </c>
      <c r="EN75" s="4">
        <f t="shared" si="71"/>
        <v>0</v>
      </c>
      <c r="EO75" s="4">
        <f t="shared" si="71"/>
        <v>0</v>
      </c>
      <c r="EP75" s="4">
        <f t="shared" si="71"/>
        <v>0</v>
      </c>
      <c r="EQ75" s="4">
        <f t="shared" si="71"/>
        <v>0</v>
      </c>
      <c r="ER75" s="4">
        <f t="shared" si="71"/>
        <v>0</v>
      </c>
      <c r="ES75" s="4">
        <f t="shared" si="71"/>
        <v>0</v>
      </c>
      <c r="ET75" s="4">
        <f t="shared" si="71"/>
        <v>0</v>
      </c>
      <c r="EU75" s="4">
        <f t="shared" si="71"/>
        <v>0</v>
      </c>
      <c r="EV75" s="4">
        <f t="shared" si="71"/>
        <v>0</v>
      </c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>
        <f>ROUND(SUMIF(AA72:AA73,"=70323475",FQ72:FQ73),2)</f>
        <v>0</v>
      </c>
      <c r="FQ75" s="4">
        <f>ROUND(SUMIF(AA72:AA73,"=70323475",FR72:FR73),2)</f>
        <v>0</v>
      </c>
      <c r="FR75" s="4">
        <f>ROUND(SUMIF(AA72:AA73,"=70323475",GL72:GL73),2)</f>
        <v>0</v>
      </c>
      <c r="FS75" s="4">
        <f>ROUND(SUMIF(AA72:AA73,"=70323475",GM72:GM73),2)</f>
        <v>153126.60999999999</v>
      </c>
      <c r="FT75" s="4">
        <f>ROUND(SUMIF(AA72:AA73,"=70323475",GN72:GN73),2)</f>
        <v>0</v>
      </c>
      <c r="FU75" s="4">
        <f>ROUND(SUMIF(AA72:AA73,"=70323475",GO72:GO73),2)</f>
        <v>0</v>
      </c>
      <c r="FV75" s="4">
        <f>ROUND(SUMIF(AA72:AA73,"=70323475",GP72:GP73),2)</f>
        <v>153126.60999999999</v>
      </c>
      <c r="FW75" s="4">
        <f>DU75-FP75</f>
        <v>0</v>
      </c>
      <c r="FX75" s="4">
        <f>DU75-FQ75</f>
        <v>0</v>
      </c>
      <c r="FY75" s="4">
        <f>FP75-FR75</f>
        <v>0</v>
      </c>
      <c r="FZ75" s="4">
        <f>DU75-FP75-FQ75+FR75</f>
        <v>0</v>
      </c>
      <c r="GA75" s="4">
        <f>FQ75-FR75</f>
        <v>0</v>
      </c>
      <c r="GB75" s="4">
        <f>ROUND(SUMIF(AA72:AA73,"=70323475",GX72:GX73),2)</f>
        <v>0</v>
      </c>
      <c r="GC75" s="4">
        <f>ROUND(SUMIF(AA72:AA73,"=70323475",GY72:GY73),2)</f>
        <v>0</v>
      </c>
      <c r="GD75" s="4">
        <f>ROUND(SUMIF(AA72:AA73,"=70323475",GZ72:GZ73),2)</f>
        <v>0</v>
      </c>
      <c r="GE75" s="4">
        <f>ROUND(SUMIF(AA72:AA73,"=70323475",HD72:HD73),2)</f>
        <v>0</v>
      </c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>
        <v>0</v>
      </c>
    </row>
    <row r="77" spans="1:255">
      <c r="A77" s="5">
        <v>50</v>
      </c>
      <c r="B77" s="5">
        <v>0</v>
      </c>
      <c r="C77" s="5">
        <v>0</v>
      </c>
      <c r="D77" s="5">
        <v>1</v>
      </c>
      <c r="E77" s="5">
        <v>201</v>
      </c>
      <c r="F77" s="5">
        <f>ROUND(Source!O75,O77)</f>
        <v>1555</v>
      </c>
      <c r="G77" s="5" t="s">
        <v>49</v>
      </c>
      <c r="H77" s="5" t="s">
        <v>50</v>
      </c>
      <c r="I77" s="5"/>
      <c r="J77" s="5"/>
      <c r="K77" s="5">
        <v>201</v>
      </c>
      <c r="L77" s="5">
        <v>1</v>
      </c>
      <c r="M77" s="5">
        <v>3</v>
      </c>
      <c r="N77" s="5" t="s">
        <v>6</v>
      </c>
      <c r="O77" s="5">
        <v>2</v>
      </c>
      <c r="P77" s="5">
        <f>ROUND(Source!DG75,O77)</f>
        <v>72571.850000000006</v>
      </c>
      <c r="Q77" s="5"/>
      <c r="R77" s="5"/>
      <c r="S77" s="5"/>
      <c r="T77" s="5"/>
      <c r="U77" s="5"/>
      <c r="V77" s="5"/>
      <c r="W77" s="5">
        <v>1555</v>
      </c>
      <c r="X77" s="5">
        <v>1</v>
      </c>
      <c r="Y77" s="5">
        <v>1555</v>
      </c>
      <c r="Z77" s="5">
        <v>72571.850000000006</v>
      </c>
      <c r="AA77" s="5">
        <v>1</v>
      </c>
      <c r="AB77" s="5">
        <v>72571.850000000006</v>
      </c>
    </row>
    <row r="78" spans="1:255">
      <c r="A78" s="5">
        <v>50</v>
      </c>
      <c r="B78" s="5">
        <v>0</v>
      </c>
      <c r="C78" s="5">
        <v>0</v>
      </c>
      <c r="D78" s="5">
        <v>1</v>
      </c>
      <c r="E78" s="5">
        <v>202</v>
      </c>
      <c r="F78" s="5">
        <f>ROUND(Source!P75,O78)</f>
        <v>0</v>
      </c>
      <c r="G78" s="5" t="s">
        <v>51</v>
      </c>
      <c r="H78" s="5" t="s">
        <v>52</v>
      </c>
      <c r="I78" s="5"/>
      <c r="J78" s="5"/>
      <c r="K78" s="5">
        <v>202</v>
      </c>
      <c r="L78" s="5">
        <v>2</v>
      </c>
      <c r="M78" s="5">
        <v>3</v>
      </c>
      <c r="N78" s="5" t="s">
        <v>6</v>
      </c>
      <c r="O78" s="5">
        <v>2</v>
      </c>
      <c r="P78" s="5">
        <f>ROUND(Source!DH75,O78)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55">
      <c r="A79" s="5">
        <v>50</v>
      </c>
      <c r="B79" s="5">
        <v>0</v>
      </c>
      <c r="C79" s="5">
        <v>0</v>
      </c>
      <c r="D79" s="5">
        <v>1</v>
      </c>
      <c r="E79" s="5">
        <v>222</v>
      </c>
      <c r="F79" s="5">
        <f>ROUND(Source!AO75,O79)</f>
        <v>0</v>
      </c>
      <c r="G79" s="5" t="s">
        <v>53</v>
      </c>
      <c r="H79" s="5" t="s">
        <v>54</v>
      </c>
      <c r="I79" s="5"/>
      <c r="J79" s="5"/>
      <c r="K79" s="5">
        <v>222</v>
      </c>
      <c r="L79" s="5">
        <v>3</v>
      </c>
      <c r="M79" s="5">
        <v>3</v>
      </c>
      <c r="N79" s="5" t="s">
        <v>6</v>
      </c>
      <c r="O79" s="5">
        <v>2</v>
      </c>
      <c r="P79" s="5">
        <f>ROUND(Source!EG75,O79)</f>
        <v>0</v>
      </c>
      <c r="Q79" s="5"/>
      <c r="R79" s="5"/>
      <c r="S79" s="5"/>
      <c r="T79" s="5"/>
      <c r="U79" s="5"/>
      <c r="V79" s="5"/>
      <c r="W79" s="5">
        <v>0</v>
      </c>
      <c r="X79" s="5">
        <v>1</v>
      </c>
      <c r="Y79" s="5">
        <v>0</v>
      </c>
      <c r="Z79" s="5">
        <v>0</v>
      </c>
      <c r="AA79" s="5">
        <v>1</v>
      </c>
      <c r="AB79" s="5">
        <v>0</v>
      </c>
    </row>
    <row r="80" spans="1:255">
      <c r="A80" s="5">
        <v>50</v>
      </c>
      <c r="B80" s="5">
        <v>0</v>
      </c>
      <c r="C80" s="5">
        <v>0</v>
      </c>
      <c r="D80" s="5">
        <v>1</v>
      </c>
      <c r="E80" s="5">
        <v>225</v>
      </c>
      <c r="F80" s="5">
        <f>ROUND(Source!AV75,O80)</f>
        <v>0</v>
      </c>
      <c r="G80" s="5" t="s">
        <v>55</v>
      </c>
      <c r="H80" s="5" t="s">
        <v>56</v>
      </c>
      <c r="I80" s="5"/>
      <c r="J80" s="5"/>
      <c r="K80" s="5">
        <v>225</v>
      </c>
      <c r="L80" s="5">
        <v>4</v>
      </c>
      <c r="M80" s="5">
        <v>3</v>
      </c>
      <c r="N80" s="5" t="s">
        <v>6</v>
      </c>
      <c r="O80" s="5">
        <v>2</v>
      </c>
      <c r="P80" s="5">
        <f>ROUND(Source!EN75,O80)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8">
      <c r="A81" s="5">
        <v>50</v>
      </c>
      <c r="B81" s="5">
        <v>0</v>
      </c>
      <c r="C81" s="5">
        <v>0</v>
      </c>
      <c r="D81" s="5">
        <v>1</v>
      </c>
      <c r="E81" s="5">
        <v>226</v>
      </c>
      <c r="F81" s="5">
        <f>ROUND(Source!AW75,O81)</f>
        <v>0</v>
      </c>
      <c r="G81" s="5" t="s">
        <v>57</v>
      </c>
      <c r="H81" s="5" t="s">
        <v>58</v>
      </c>
      <c r="I81" s="5"/>
      <c r="J81" s="5"/>
      <c r="K81" s="5">
        <v>226</v>
      </c>
      <c r="L81" s="5">
        <v>5</v>
      </c>
      <c r="M81" s="5">
        <v>3</v>
      </c>
      <c r="N81" s="5" t="s">
        <v>6</v>
      </c>
      <c r="O81" s="5">
        <v>2</v>
      </c>
      <c r="P81" s="5">
        <f>ROUND(Source!EO75,O81)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8">
      <c r="A82" s="5">
        <v>50</v>
      </c>
      <c r="B82" s="5">
        <v>0</v>
      </c>
      <c r="C82" s="5">
        <v>0</v>
      </c>
      <c r="D82" s="5">
        <v>1</v>
      </c>
      <c r="E82" s="5">
        <v>227</v>
      </c>
      <c r="F82" s="5">
        <f>ROUND(Source!AX75,O82)</f>
        <v>0</v>
      </c>
      <c r="G82" s="5" t="s">
        <v>59</v>
      </c>
      <c r="H82" s="5" t="s">
        <v>60</v>
      </c>
      <c r="I82" s="5"/>
      <c r="J82" s="5"/>
      <c r="K82" s="5">
        <v>227</v>
      </c>
      <c r="L82" s="5">
        <v>6</v>
      </c>
      <c r="M82" s="5">
        <v>3</v>
      </c>
      <c r="N82" s="5" t="s">
        <v>6</v>
      </c>
      <c r="O82" s="5">
        <v>2</v>
      </c>
      <c r="P82" s="5">
        <f>ROUND(Source!EP75,O82)</f>
        <v>0</v>
      </c>
      <c r="Q82" s="5"/>
      <c r="R82" s="5"/>
      <c r="S82" s="5"/>
      <c r="T82" s="5"/>
      <c r="U82" s="5"/>
      <c r="V82" s="5"/>
      <c r="W82" s="5">
        <v>0</v>
      </c>
      <c r="X82" s="5">
        <v>1</v>
      </c>
      <c r="Y82" s="5">
        <v>0</v>
      </c>
      <c r="Z82" s="5">
        <v>0</v>
      </c>
      <c r="AA82" s="5">
        <v>1</v>
      </c>
      <c r="AB82" s="5">
        <v>0</v>
      </c>
    </row>
    <row r="83" spans="1:28">
      <c r="A83" s="5">
        <v>50</v>
      </c>
      <c r="B83" s="5">
        <v>0</v>
      </c>
      <c r="C83" s="5">
        <v>0</v>
      </c>
      <c r="D83" s="5">
        <v>1</v>
      </c>
      <c r="E83" s="5">
        <v>228</v>
      </c>
      <c r="F83" s="5">
        <f>ROUND(Source!AY75,O83)</f>
        <v>0</v>
      </c>
      <c r="G83" s="5" t="s">
        <v>61</v>
      </c>
      <c r="H83" s="5" t="s">
        <v>62</v>
      </c>
      <c r="I83" s="5"/>
      <c r="J83" s="5"/>
      <c r="K83" s="5">
        <v>228</v>
      </c>
      <c r="L83" s="5">
        <v>7</v>
      </c>
      <c r="M83" s="5">
        <v>3</v>
      </c>
      <c r="N83" s="5" t="s">
        <v>6</v>
      </c>
      <c r="O83" s="5">
        <v>2</v>
      </c>
      <c r="P83" s="5">
        <f>ROUND(Source!EQ75,O83)</f>
        <v>0</v>
      </c>
      <c r="Q83" s="5"/>
      <c r="R83" s="5"/>
      <c r="S83" s="5"/>
      <c r="T83" s="5"/>
      <c r="U83" s="5"/>
      <c r="V83" s="5"/>
      <c r="W83" s="5">
        <v>0</v>
      </c>
      <c r="X83" s="5">
        <v>1</v>
      </c>
      <c r="Y83" s="5">
        <v>0</v>
      </c>
      <c r="Z83" s="5">
        <v>0</v>
      </c>
      <c r="AA83" s="5">
        <v>1</v>
      </c>
      <c r="AB83" s="5">
        <v>0</v>
      </c>
    </row>
    <row r="84" spans="1:28">
      <c r="A84" s="5">
        <v>50</v>
      </c>
      <c r="B84" s="5">
        <v>0</v>
      </c>
      <c r="C84" s="5">
        <v>0</v>
      </c>
      <c r="D84" s="5">
        <v>1</v>
      </c>
      <c r="E84" s="5">
        <v>216</v>
      </c>
      <c r="F84" s="5">
        <f>ROUND(Source!AP75,O84)</f>
        <v>0</v>
      </c>
      <c r="G84" s="5" t="s">
        <v>63</v>
      </c>
      <c r="H84" s="5" t="s">
        <v>64</v>
      </c>
      <c r="I84" s="5"/>
      <c r="J84" s="5"/>
      <c r="K84" s="5">
        <v>216</v>
      </c>
      <c r="L84" s="5">
        <v>8</v>
      </c>
      <c r="M84" s="5">
        <v>3</v>
      </c>
      <c r="N84" s="5" t="s">
        <v>6</v>
      </c>
      <c r="O84" s="5">
        <v>2</v>
      </c>
      <c r="P84" s="5">
        <f>ROUND(Source!EH75,O84)</f>
        <v>0</v>
      </c>
      <c r="Q84" s="5"/>
      <c r="R84" s="5"/>
      <c r="S84" s="5"/>
      <c r="T84" s="5"/>
      <c r="U84" s="5"/>
      <c r="V84" s="5"/>
      <c r="W84" s="5">
        <v>0</v>
      </c>
      <c r="X84" s="5">
        <v>1</v>
      </c>
      <c r="Y84" s="5">
        <v>0</v>
      </c>
      <c r="Z84" s="5">
        <v>0</v>
      </c>
      <c r="AA84" s="5">
        <v>1</v>
      </c>
      <c r="AB84" s="5">
        <v>0</v>
      </c>
    </row>
    <row r="85" spans="1:28">
      <c r="A85" s="5">
        <v>50</v>
      </c>
      <c r="B85" s="5">
        <v>0</v>
      </c>
      <c r="C85" s="5">
        <v>0</v>
      </c>
      <c r="D85" s="5">
        <v>1</v>
      </c>
      <c r="E85" s="5">
        <v>223</v>
      </c>
      <c r="F85" s="5">
        <f>ROUND(Source!AQ75,O85)</f>
        <v>0</v>
      </c>
      <c r="G85" s="5" t="s">
        <v>65</v>
      </c>
      <c r="H85" s="5" t="s">
        <v>66</v>
      </c>
      <c r="I85" s="5"/>
      <c r="J85" s="5"/>
      <c r="K85" s="5">
        <v>223</v>
      </c>
      <c r="L85" s="5">
        <v>9</v>
      </c>
      <c r="M85" s="5">
        <v>3</v>
      </c>
      <c r="N85" s="5" t="s">
        <v>6</v>
      </c>
      <c r="O85" s="5">
        <v>2</v>
      </c>
      <c r="P85" s="5">
        <f>ROUND(Source!EI75,O85)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8">
      <c r="A86" s="5">
        <v>50</v>
      </c>
      <c r="B86" s="5">
        <v>0</v>
      </c>
      <c r="C86" s="5">
        <v>0</v>
      </c>
      <c r="D86" s="5">
        <v>1</v>
      </c>
      <c r="E86" s="5">
        <v>229</v>
      </c>
      <c r="F86" s="5">
        <f>ROUND(Source!AZ75,O86)</f>
        <v>0</v>
      </c>
      <c r="G86" s="5" t="s">
        <v>67</v>
      </c>
      <c r="H86" s="5" t="s">
        <v>68</v>
      </c>
      <c r="I86" s="5"/>
      <c r="J86" s="5"/>
      <c r="K86" s="5">
        <v>229</v>
      </c>
      <c r="L86" s="5">
        <v>10</v>
      </c>
      <c r="M86" s="5">
        <v>3</v>
      </c>
      <c r="N86" s="5" t="s">
        <v>6</v>
      </c>
      <c r="O86" s="5">
        <v>2</v>
      </c>
      <c r="P86" s="5">
        <f>ROUND(Source!ER75,O86)</f>
        <v>0</v>
      </c>
      <c r="Q86" s="5"/>
      <c r="R86" s="5"/>
      <c r="S86" s="5"/>
      <c r="T86" s="5"/>
      <c r="U86" s="5"/>
      <c r="V86" s="5"/>
      <c r="W86" s="5">
        <v>0</v>
      </c>
      <c r="X86" s="5">
        <v>1</v>
      </c>
      <c r="Y86" s="5">
        <v>0</v>
      </c>
      <c r="Z86" s="5">
        <v>0</v>
      </c>
      <c r="AA86" s="5">
        <v>1</v>
      </c>
      <c r="AB86" s="5">
        <v>0</v>
      </c>
    </row>
    <row r="87" spans="1:28">
      <c r="A87" s="5">
        <v>50</v>
      </c>
      <c r="B87" s="5">
        <v>0</v>
      </c>
      <c r="C87" s="5">
        <v>0</v>
      </c>
      <c r="D87" s="5">
        <v>1</v>
      </c>
      <c r="E87" s="5">
        <v>203</v>
      </c>
      <c r="F87" s="5">
        <f>ROUND(Source!Q75,O87)</f>
        <v>0</v>
      </c>
      <c r="G87" s="5" t="s">
        <v>69</v>
      </c>
      <c r="H87" s="5" t="s">
        <v>70</v>
      </c>
      <c r="I87" s="5"/>
      <c r="J87" s="5"/>
      <c r="K87" s="5">
        <v>203</v>
      </c>
      <c r="L87" s="5">
        <v>11</v>
      </c>
      <c r="M87" s="5">
        <v>3</v>
      </c>
      <c r="N87" s="5" t="s">
        <v>6</v>
      </c>
      <c r="O87" s="5">
        <v>2</v>
      </c>
      <c r="P87" s="5">
        <f>ROUND(Source!DI75,O87)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8">
      <c r="A88" s="5">
        <v>50</v>
      </c>
      <c r="B88" s="5">
        <v>0</v>
      </c>
      <c r="C88" s="5">
        <v>0</v>
      </c>
      <c r="D88" s="5">
        <v>1</v>
      </c>
      <c r="E88" s="5">
        <v>231</v>
      </c>
      <c r="F88" s="5">
        <f>ROUND(Source!BB75,O88)</f>
        <v>0</v>
      </c>
      <c r="G88" s="5" t="s">
        <v>71</v>
      </c>
      <c r="H88" s="5" t="s">
        <v>72</v>
      </c>
      <c r="I88" s="5"/>
      <c r="J88" s="5"/>
      <c r="K88" s="5">
        <v>231</v>
      </c>
      <c r="L88" s="5">
        <v>12</v>
      </c>
      <c r="M88" s="5">
        <v>3</v>
      </c>
      <c r="N88" s="5" t="s">
        <v>6</v>
      </c>
      <c r="O88" s="5">
        <v>2</v>
      </c>
      <c r="P88" s="5">
        <f>ROUND(Source!ET75,O88)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8">
      <c r="A89" s="5">
        <v>50</v>
      </c>
      <c r="B89" s="5">
        <v>0</v>
      </c>
      <c r="C89" s="5">
        <v>0</v>
      </c>
      <c r="D89" s="5">
        <v>1</v>
      </c>
      <c r="E89" s="5">
        <v>204</v>
      </c>
      <c r="F89" s="5">
        <f>ROUND(Source!R75,O89)</f>
        <v>0</v>
      </c>
      <c r="G89" s="5" t="s">
        <v>73</v>
      </c>
      <c r="H89" s="5" t="s">
        <v>74</v>
      </c>
      <c r="I89" s="5"/>
      <c r="J89" s="5"/>
      <c r="K89" s="5">
        <v>204</v>
      </c>
      <c r="L89" s="5">
        <v>13</v>
      </c>
      <c r="M89" s="5">
        <v>3</v>
      </c>
      <c r="N89" s="5" t="s">
        <v>6</v>
      </c>
      <c r="O89" s="5">
        <v>2</v>
      </c>
      <c r="P89" s="5">
        <f>ROUND(Source!DJ75,O89)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8">
      <c r="A90" s="5">
        <v>50</v>
      </c>
      <c r="B90" s="5">
        <v>0</v>
      </c>
      <c r="C90" s="5">
        <v>0</v>
      </c>
      <c r="D90" s="5">
        <v>1</v>
      </c>
      <c r="E90" s="5">
        <v>205</v>
      </c>
      <c r="F90" s="5">
        <f>ROUND(Source!S75,O90)</f>
        <v>1555</v>
      </c>
      <c r="G90" s="5" t="s">
        <v>75</v>
      </c>
      <c r="H90" s="5" t="s">
        <v>76</v>
      </c>
      <c r="I90" s="5"/>
      <c r="J90" s="5"/>
      <c r="K90" s="5">
        <v>205</v>
      </c>
      <c r="L90" s="5">
        <v>14</v>
      </c>
      <c r="M90" s="5">
        <v>3</v>
      </c>
      <c r="N90" s="5" t="s">
        <v>6</v>
      </c>
      <c r="O90" s="5">
        <v>2</v>
      </c>
      <c r="P90" s="5">
        <f>ROUND(Source!DK75,O90)</f>
        <v>72571.850000000006</v>
      </c>
      <c r="Q90" s="5"/>
      <c r="R90" s="5"/>
      <c r="S90" s="5"/>
      <c r="T90" s="5"/>
      <c r="U90" s="5"/>
      <c r="V90" s="5"/>
      <c r="W90" s="5">
        <v>1555</v>
      </c>
      <c r="X90" s="5">
        <v>1</v>
      </c>
      <c r="Y90" s="5">
        <v>1555</v>
      </c>
      <c r="Z90" s="5">
        <v>72571.850000000006</v>
      </c>
      <c r="AA90" s="5">
        <v>1</v>
      </c>
      <c r="AB90" s="5">
        <v>72571.850000000006</v>
      </c>
    </row>
    <row r="91" spans="1:28">
      <c r="A91" s="5">
        <v>50</v>
      </c>
      <c r="B91" s="5">
        <v>0</v>
      </c>
      <c r="C91" s="5">
        <v>0</v>
      </c>
      <c r="D91" s="5">
        <v>1</v>
      </c>
      <c r="E91" s="5">
        <v>232</v>
      </c>
      <c r="F91" s="5">
        <f>ROUND(Source!BC75,O91)</f>
        <v>0</v>
      </c>
      <c r="G91" s="5" t="s">
        <v>77</v>
      </c>
      <c r="H91" s="5" t="s">
        <v>78</v>
      </c>
      <c r="I91" s="5"/>
      <c r="J91" s="5"/>
      <c r="K91" s="5">
        <v>232</v>
      </c>
      <c r="L91" s="5">
        <v>15</v>
      </c>
      <c r="M91" s="5">
        <v>3</v>
      </c>
      <c r="N91" s="5" t="s">
        <v>6</v>
      </c>
      <c r="O91" s="5">
        <v>2</v>
      </c>
      <c r="P91" s="5">
        <f>ROUND(Source!EU75,O91)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8">
      <c r="A92" s="5">
        <v>50</v>
      </c>
      <c r="B92" s="5">
        <v>0</v>
      </c>
      <c r="C92" s="5">
        <v>0</v>
      </c>
      <c r="D92" s="5">
        <v>1</v>
      </c>
      <c r="E92" s="5">
        <v>214</v>
      </c>
      <c r="F92" s="5">
        <f>ROUND(Source!AS75,O92)</f>
        <v>0</v>
      </c>
      <c r="G92" s="5" t="s">
        <v>79</v>
      </c>
      <c r="H92" s="5" t="s">
        <v>80</v>
      </c>
      <c r="I92" s="5"/>
      <c r="J92" s="5"/>
      <c r="K92" s="5">
        <v>214</v>
      </c>
      <c r="L92" s="5">
        <v>16</v>
      </c>
      <c r="M92" s="5">
        <v>3</v>
      </c>
      <c r="N92" s="5" t="s">
        <v>6</v>
      </c>
      <c r="O92" s="5">
        <v>2</v>
      </c>
      <c r="P92" s="5">
        <f>ROUND(Source!EK75,O92)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8">
      <c r="A93" s="5">
        <v>50</v>
      </c>
      <c r="B93" s="5">
        <v>0</v>
      </c>
      <c r="C93" s="5">
        <v>0</v>
      </c>
      <c r="D93" s="5">
        <v>1</v>
      </c>
      <c r="E93" s="5">
        <v>215</v>
      </c>
      <c r="F93" s="5">
        <f>ROUND(Source!AT75,O93)</f>
        <v>0</v>
      </c>
      <c r="G93" s="5" t="s">
        <v>81</v>
      </c>
      <c r="H93" s="5" t="s">
        <v>82</v>
      </c>
      <c r="I93" s="5"/>
      <c r="J93" s="5"/>
      <c r="K93" s="5">
        <v>215</v>
      </c>
      <c r="L93" s="5">
        <v>17</v>
      </c>
      <c r="M93" s="5">
        <v>3</v>
      </c>
      <c r="N93" s="5" t="s">
        <v>6</v>
      </c>
      <c r="O93" s="5">
        <v>2</v>
      </c>
      <c r="P93" s="5">
        <f>ROUND(Source!EL75,O93)</f>
        <v>0</v>
      </c>
      <c r="Q93" s="5"/>
      <c r="R93" s="5"/>
      <c r="S93" s="5"/>
      <c r="T93" s="5"/>
      <c r="U93" s="5"/>
      <c r="V93" s="5"/>
      <c r="W93" s="5">
        <v>0</v>
      </c>
      <c r="X93" s="5">
        <v>1</v>
      </c>
      <c r="Y93" s="5">
        <v>0</v>
      </c>
      <c r="Z93" s="5">
        <v>0</v>
      </c>
      <c r="AA93" s="5">
        <v>1</v>
      </c>
      <c r="AB93" s="5">
        <v>0</v>
      </c>
    </row>
    <row r="94" spans="1:28">
      <c r="A94" s="5">
        <v>50</v>
      </c>
      <c r="B94" s="5">
        <v>0</v>
      </c>
      <c r="C94" s="5">
        <v>0</v>
      </c>
      <c r="D94" s="5">
        <v>1</v>
      </c>
      <c r="E94" s="5">
        <v>217</v>
      </c>
      <c r="F94" s="5">
        <f>ROUND(Source!AU75,O94)</f>
        <v>3809.75</v>
      </c>
      <c r="G94" s="5" t="s">
        <v>83</v>
      </c>
      <c r="H94" s="5" t="s">
        <v>84</v>
      </c>
      <c r="I94" s="5"/>
      <c r="J94" s="5"/>
      <c r="K94" s="5">
        <v>217</v>
      </c>
      <c r="L94" s="5">
        <v>18</v>
      </c>
      <c r="M94" s="5">
        <v>3</v>
      </c>
      <c r="N94" s="5" t="s">
        <v>6</v>
      </c>
      <c r="O94" s="5">
        <v>2</v>
      </c>
      <c r="P94" s="5">
        <f>ROUND(Source!EM75,O94)</f>
        <v>153126.60999999999</v>
      </c>
      <c r="Q94" s="5"/>
      <c r="R94" s="5"/>
      <c r="S94" s="5"/>
      <c r="T94" s="5"/>
      <c r="U94" s="5"/>
      <c r="V94" s="5"/>
      <c r="W94" s="5">
        <v>3809.75</v>
      </c>
      <c r="X94" s="5">
        <v>1</v>
      </c>
      <c r="Y94" s="5">
        <v>3809.75</v>
      </c>
      <c r="Z94" s="5">
        <v>153126.60999999999</v>
      </c>
      <c r="AA94" s="5">
        <v>1</v>
      </c>
      <c r="AB94" s="5">
        <v>153126.60999999999</v>
      </c>
    </row>
    <row r="95" spans="1:28">
      <c r="A95" s="5">
        <v>50</v>
      </c>
      <c r="B95" s="5">
        <v>0</v>
      </c>
      <c r="C95" s="5">
        <v>0</v>
      </c>
      <c r="D95" s="5">
        <v>1</v>
      </c>
      <c r="E95" s="5">
        <v>230</v>
      </c>
      <c r="F95" s="5">
        <f>ROUND(Source!BA75,O95)</f>
        <v>0</v>
      </c>
      <c r="G95" s="5" t="s">
        <v>85</v>
      </c>
      <c r="H95" s="5" t="s">
        <v>86</v>
      </c>
      <c r="I95" s="5"/>
      <c r="J95" s="5"/>
      <c r="K95" s="5">
        <v>230</v>
      </c>
      <c r="L95" s="5">
        <v>19</v>
      </c>
      <c r="M95" s="5">
        <v>3</v>
      </c>
      <c r="N95" s="5" t="s">
        <v>6</v>
      </c>
      <c r="O95" s="5">
        <v>2</v>
      </c>
      <c r="P95" s="5">
        <f>ROUND(Source!ES75,O95)</f>
        <v>0</v>
      </c>
      <c r="Q95" s="5"/>
      <c r="R95" s="5"/>
      <c r="S95" s="5"/>
      <c r="T95" s="5"/>
      <c r="U95" s="5"/>
      <c r="V95" s="5"/>
      <c r="W95" s="5">
        <v>0</v>
      </c>
      <c r="X95" s="5">
        <v>1</v>
      </c>
      <c r="Y95" s="5">
        <v>0</v>
      </c>
      <c r="Z95" s="5">
        <v>0</v>
      </c>
      <c r="AA95" s="5">
        <v>1</v>
      </c>
      <c r="AB95" s="5">
        <v>0</v>
      </c>
    </row>
    <row r="96" spans="1:28">
      <c r="A96" s="5">
        <v>50</v>
      </c>
      <c r="B96" s="5">
        <v>0</v>
      </c>
      <c r="C96" s="5">
        <v>0</v>
      </c>
      <c r="D96" s="5">
        <v>1</v>
      </c>
      <c r="E96" s="5">
        <v>206</v>
      </c>
      <c r="F96" s="5">
        <f>ROUND(Source!T75,O96)</f>
        <v>0</v>
      </c>
      <c r="G96" s="5" t="s">
        <v>87</v>
      </c>
      <c r="H96" s="5" t="s">
        <v>88</v>
      </c>
      <c r="I96" s="5"/>
      <c r="J96" s="5"/>
      <c r="K96" s="5">
        <v>206</v>
      </c>
      <c r="L96" s="5">
        <v>20</v>
      </c>
      <c r="M96" s="5">
        <v>3</v>
      </c>
      <c r="N96" s="5" t="s">
        <v>6</v>
      </c>
      <c r="O96" s="5">
        <v>2</v>
      </c>
      <c r="P96" s="5">
        <f>ROUND(Source!DL75,O96)</f>
        <v>0</v>
      </c>
      <c r="Q96" s="5"/>
      <c r="R96" s="5"/>
      <c r="S96" s="5"/>
      <c r="T96" s="5"/>
      <c r="U96" s="5"/>
      <c r="V96" s="5"/>
      <c r="W96" s="5">
        <v>0</v>
      </c>
      <c r="X96" s="5">
        <v>1</v>
      </c>
      <c r="Y96" s="5">
        <v>0</v>
      </c>
      <c r="Z96" s="5">
        <v>0</v>
      </c>
      <c r="AA96" s="5">
        <v>1</v>
      </c>
      <c r="AB96" s="5">
        <v>0</v>
      </c>
    </row>
    <row r="97" spans="1:206">
      <c r="A97" s="5">
        <v>50</v>
      </c>
      <c r="B97" s="5">
        <v>0</v>
      </c>
      <c r="C97" s="5">
        <v>0</v>
      </c>
      <c r="D97" s="5">
        <v>1</v>
      </c>
      <c r="E97" s="5">
        <v>207</v>
      </c>
      <c r="F97" s="5">
        <f>Source!U75</f>
        <v>97.600000000000009</v>
      </c>
      <c r="G97" s="5" t="s">
        <v>89</v>
      </c>
      <c r="H97" s="5" t="s">
        <v>90</v>
      </c>
      <c r="I97" s="5"/>
      <c r="J97" s="5"/>
      <c r="K97" s="5">
        <v>207</v>
      </c>
      <c r="L97" s="5">
        <v>21</v>
      </c>
      <c r="M97" s="5">
        <v>3</v>
      </c>
      <c r="N97" s="5" t="s">
        <v>6</v>
      </c>
      <c r="O97" s="5">
        <v>-1</v>
      </c>
      <c r="P97" s="5">
        <f>Source!DM75</f>
        <v>97.600000000000009</v>
      </c>
      <c r="Q97" s="5"/>
      <c r="R97" s="5"/>
      <c r="S97" s="5"/>
      <c r="T97" s="5"/>
      <c r="U97" s="5"/>
      <c r="V97" s="5"/>
      <c r="W97" s="5">
        <v>97.6</v>
      </c>
      <c r="X97" s="5">
        <v>1</v>
      </c>
      <c r="Y97" s="5">
        <v>97.6</v>
      </c>
      <c r="Z97" s="5">
        <v>97.6</v>
      </c>
      <c r="AA97" s="5">
        <v>1</v>
      </c>
      <c r="AB97" s="5">
        <v>97.6</v>
      </c>
    </row>
    <row r="98" spans="1:206">
      <c r="A98" s="5">
        <v>50</v>
      </c>
      <c r="B98" s="5">
        <v>0</v>
      </c>
      <c r="C98" s="5">
        <v>0</v>
      </c>
      <c r="D98" s="5">
        <v>1</v>
      </c>
      <c r="E98" s="5">
        <v>208</v>
      </c>
      <c r="F98" s="5">
        <f>Source!V75</f>
        <v>0</v>
      </c>
      <c r="G98" s="5" t="s">
        <v>91</v>
      </c>
      <c r="H98" s="5" t="s">
        <v>92</v>
      </c>
      <c r="I98" s="5"/>
      <c r="J98" s="5"/>
      <c r="K98" s="5">
        <v>208</v>
      </c>
      <c r="L98" s="5">
        <v>22</v>
      </c>
      <c r="M98" s="5">
        <v>3</v>
      </c>
      <c r="N98" s="5" t="s">
        <v>6</v>
      </c>
      <c r="O98" s="5">
        <v>-1</v>
      </c>
      <c r="P98" s="5">
        <f>Source!DN75</f>
        <v>0</v>
      </c>
      <c r="Q98" s="5"/>
      <c r="R98" s="5"/>
      <c r="S98" s="5"/>
      <c r="T98" s="5"/>
      <c r="U98" s="5"/>
      <c r="V98" s="5"/>
      <c r="W98" s="5">
        <v>0</v>
      </c>
      <c r="X98" s="5">
        <v>1</v>
      </c>
      <c r="Y98" s="5">
        <v>0</v>
      </c>
      <c r="Z98" s="5">
        <v>0</v>
      </c>
      <c r="AA98" s="5">
        <v>1</v>
      </c>
      <c r="AB98" s="5">
        <v>0</v>
      </c>
    </row>
    <row r="99" spans="1:206">
      <c r="A99" s="5">
        <v>50</v>
      </c>
      <c r="B99" s="5">
        <v>0</v>
      </c>
      <c r="C99" s="5">
        <v>0</v>
      </c>
      <c r="D99" s="5">
        <v>1</v>
      </c>
      <c r="E99" s="5">
        <v>209</v>
      </c>
      <c r="F99" s="5">
        <f>ROUND(Source!W75,O99)</f>
        <v>0</v>
      </c>
      <c r="G99" s="5" t="s">
        <v>93</v>
      </c>
      <c r="H99" s="5" t="s">
        <v>94</v>
      </c>
      <c r="I99" s="5"/>
      <c r="J99" s="5"/>
      <c r="K99" s="5">
        <v>209</v>
      </c>
      <c r="L99" s="5">
        <v>23</v>
      </c>
      <c r="M99" s="5">
        <v>3</v>
      </c>
      <c r="N99" s="5" t="s">
        <v>6</v>
      </c>
      <c r="O99" s="5">
        <v>2</v>
      </c>
      <c r="P99" s="5">
        <f>ROUND(Source!DO75,O99)</f>
        <v>0</v>
      </c>
      <c r="Q99" s="5"/>
      <c r="R99" s="5"/>
      <c r="S99" s="5"/>
      <c r="T99" s="5"/>
      <c r="U99" s="5"/>
      <c r="V99" s="5"/>
      <c r="W99" s="5">
        <v>0</v>
      </c>
      <c r="X99" s="5">
        <v>1</v>
      </c>
      <c r="Y99" s="5">
        <v>0</v>
      </c>
      <c r="Z99" s="5">
        <v>0</v>
      </c>
      <c r="AA99" s="5">
        <v>1</v>
      </c>
      <c r="AB99" s="5">
        <v>0</v>
      </c>
    </row>
    <row r="100" spans="1:206">
      <c r="A100" s="5">
        <v>50</v>
      </c>
      <c r="B100" s="5">
        <v>0</v>
      </c>
      <c r="C100" s="5">
        <v>0</v>
      </c>
      <c r="D100" s="5">
        <v>1</v>
      </c>
      <c r="E100" s="5">
        <v>233</v>
      </c>
      <c r="F100" s="5">
        <f>ROUND(Source!BD75,O100)</f>
        <v>0</v>
      </c>
      <c r="G100" s="5" t="s">
        <v>95</v>
      </c>
      <c r="H100" s="5" t="s">
        <v>96</v>
      </c>
      <c r="I100" s="5"/>
      <c r="J100" s="5"/>
      <c r="K100" s="5">
        <v>233</v>
      </c>
      <c r="L100" s="5">
        <v>24</v>
      </c>
      <c r="M100" s="5">
        <v>3</v>
      </c>
      <c r="N100" s="5" t="s">
        <v>6</v>
      </c>
      <c r="O100" s="5">
        <v>2</v>
      </c>
      <c r="P100" s="5">
        <f>ROUND(Source!EV75,O100)</f>
        <v>0</v>
      </c>
      <c r="Q100" s="5"/>
      <c r="R100" s="5"/>
      <c r="S100" s="5"/>
      <c r="T100" s="5"/>
      <c r="U100" s="5"/>
      <c r="V100" s="5"/>
      <c r="W100" s="5">
        <v>0</v>
      </c>
      <c r="X100" s="5">
        <v>1</v>
      </c>
      <c r="Y100" s="5">
        <v>0</v>
      </c>
      <c r="Z100" s="5">
        <v>0</v>
      </c>
      <c r="AA100" s="5">
        <v>1</v>
      </c>
      <c r="AB100" s="5">
        <v>0</v>
      </c>
    </row>
    <row r="101" spans="1:206">
      <c r="A101" s="5">
        <v>50</v>
      </c>
      <c r="B101" s="5">
        <v>0</v>
      </c>
      <c r="C101" s="5">
        <v>0</v>
      </c>
      <c r="D101" s="5">
        <v>1</v>
      </c>
      <c r="E101" s="5">
        <v>210</v>
      </c>
      <c r="F101" s="5">
        <f>ROUND(Source!X75,O101)</f>
        <v>1166.25</v>
      </c>
      <c r="G101" s="5" t="s">
        <v>97</v>
      </c>
      <c r="H101" s="5" t="s">
        <v>98</v>
      </c>
      <c r="I101" s="5"/>
      <c r="J101" s="5"/>
      <c r="K101" s="5">
        <v>210</v>
      </c>
      <c r="L101" s="5">
        <v>25</v>
      </c>
      <c r="M101" s="5">
        <v>3</v>
      </c>
      <c r="N101" s="5" t="s">
        <v>6</v>
      </c>
      <c r="O101" s="5">
        <v>2</v>
      </c>
      <c r="P101" s="5">
        <f>ROUND(Source!DP75,O101)</f>
        <v>50800.3</v>
      </c>
      <c r="Q101" s="5"/>
      <c r="R101" s="5"/>
      <c r="S101" s="5"/>
      <c r="T101" s="5"/>
      <c r="U101" s="5"/>
      <c r="V101" s="5"/>
      <c r="W101" s="5">
        <v>1166.25</v>
      </c>
      <c r="X101" s="5">
        <v>1</v>
      </c>
      <c r="Y101" s="5">
        <v>1166.25</v>
      </c>
      <c r="Z101" s="5">
        <v>50800.3</v>
      </c>
      <c r="AA101" s="5">
        <v>1</v>
      </c>
      <c r="AB101" s="5">
        <v>50800.3</v>
      </c>
    </row>
    <row r="102" spans="1:206">
      <c r="A102" s="5">
        <v>50</v>
      </c>
      <c r="B102" s="5">
        <v>0</v>
      </c>
      <c r="C102" s="5">
        <v>0</v>
      </c>
      <c r="D102" s="5">
        <v>1</v>
      </c>
      <c r="E102" s="5">
        <v>211</v>
      </c>
      <c r="F102" s="5">
        <f>ROUND(Source!Y75,O102)</f>
        <v>1088.5</v>
      </c>
      <c r="G102" s="5" t="s">
        <v>99</v>
      </c>
      <c r="H102" s="5" t="s">
        <v>100</v>
      </c>
      <c r="I102" s="5"/>
      <c r="J102" s="5"/>
      <c r="K102" s="5">
        <v>211</v>
      </c>
      <c r="L102" s="5">
        <v>26</v>
      </c>
      <c r="M102" s="5">
        <v>3</v>
      </c>
      <c r="N102" s="5" t="s">
        <v>6</v>
      </c>
      <c r="O102" s="5">
        <v>2</v>
      </c>
      <c r="P102" s="5">
        <f>ROUND(Source!DQ75,O102)</f>
        <v>29754.46</v>
      </c>
      <c r="Q102" s="5"/>
      <c r="R102" s="5"/>
      <c r="S102" s="5"/>
      <c r="T102" s="5"/>
      <c r="U102" s="5"/>
      <c r="V102" s="5"/>
      <c r="W102" s="5">
        <v>1088.5</v>
      </c>
      <c r="X102" s="5">
        <v>1</v>
      </c>
      <c r="Y102" s="5">
        <v>1088.5</v>
      </c>
      <c r="Z102" s="5">
        <v>29754.46</v>
      </c>
      <c r="AA102" s="5">
        <v>1</v>
      </c>
      <c r="AB102" s="5">
        <v>29754.46</v>
      </c>
    </row>
    <row r="103" spans="1:206">
      <c r="A103" s="5">
        <v>50</v>
      </c>
      <c r="B103" s="5">
        <v>0</v>
      </c>
      <c r="C103" s="5">
        <v>0</v>
      </c>
      <c r="D103" s="5">
        <v>1</v>
      </c>
      <c r="E103" s="5">
        <v>224</v>
      </c>
      <c r="F103" s="5">
        <f>ROUND(Source!AR75,O103)</f>
        <v>3809.75</v>
      </c>
      <c r="G103" s="5" t="s">
        <v>101</v>
      </c>
      <c r="H103" s="5" t="s">
        <v>102</v>
      </c>
      <c r="I103" s="5"/>
      <c r="J103" s="5"/>
      <c r="K103" s="5">
        <v>224</v>
      </c>
      <c r="L103" s="5">
        <v>27</v>
      </c>
      <c r="M103" s="5">
        <v>3</v>
      </c>
      <c r="N103" s="5" t="s">
        <v>6</v>
      </c>
      <c r="O103" s="5">
        <v>2</v>
      </c>
      <c r="P103" s="5">
        <f>ROUND(Source!EJ75,O103)</f>
        <v>153126.60999999999</v>
      </c>
      <c r="Q103" s="5"/>
      <c r="R103" s="5"/>
      <c r="S103" s="5"/>
      <c r="T103" s="5"/>
      <c r="U103" s="5"/>
      <c r="V103" s="5"/>
      <c r="W103" s="5">
        <v>3809.75</v>
      </c>
      <c r="X103" s="5">
        <v>1</v>
      </c>
      <c r="Y103" s="5">
        <v>3809.75</v>
      </c>
      <c r="Z103" s="5">
        <v>153126.60999999999</v>
      </c>
      <c r="AA103" s="5">
        <v>1</v>
      </c>
      <c r="AB103" s="5">
        <v>153126.60999999999</v>
      </c>
    </row>
    <row r="105" spans="1:206">
      <c r="A105" s="3">
        <v>51</v>
      </c>
      <c r="B105" s="3">
        <f>B20</f>
        <v>1</v>
      </c>
      <c r="C105" s="3">
        <f>A20</f>
        <v>3</v>
      </c>
      <c r="D105" s="3">
        <f>ROW(A20)</f>
        <v>20</v>
      </c>
      <c r="E105" s="3"/>
      <c r="F105" s="3" t="str">
        <f>IF(F20&lt;&gt;"",F20,"")</f>
        <v>09-01-06</v>
      </c>
      <c r="G105" s="3" t="str">
        <f>IF(G20&lt;&gt;"",G20,"")</f>
        <v>Пусконаладочные работы</v>
      </c>
      <c r="H105" s="3">
        <v>0</v>
      </c>
      <c r="I105" s="3"/>
      <c r="J105" s="3"/>
      <c r="K105" s="3"/>
      <c r="L105" s="3"/>
      <c r="M105" s="3"/>
      <c r="N105" s="3"/>
      <c r="O105" s="3">
        <f t="shared" ref="O105:T105" si="72">ROUND(O38+O75+AB105,2)</f>
        <v>20905.740000000002</v>
      </c>
      <c r="P105" s="3">
        <f t="shared" si="72"/>
        <v>0</v>
      </c>
      <c r="Q105" s="3">
        <f t="shared" si="72"/>
        <v>13159.63</v>
      </c>
      <c r="R105" s="3">
        <f t="shared" si="72"/>
        <v>671.33</v>
      </c>
      <c r="S105" s="3">
        <f t="shared" si="72"/>
        <v>7746.11</v>
      </c>
      <c r="T105" s="3">
        <f t="shared" si="72"/>
        <v>0</v>
      </c>
      <c r="U105" s="3">
        <f>U38+U75+AH105</f>
        <v>496.416</v>
      </c>
      <c r="V105" s="3">
        <f>V38+V75+AI105</f>
        <v>0</v>
      </c>
      <c r="W105" s="3">
        <f>ROUND(W38+W75+AJ105,2)</f>
        <v>0</v>
      </c>
      <c r="X105" s="3">
        <f>ROUND(X38+X75+AK105,2)</f>
        <v>5809.59</v>
      </c>
      <c r="Y105" s="3">
        <f>ROUND(Y38+Y75+AL105,2)</f>
        <v>5422.28</v>
      </c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>
        <f t="shared" ref="AO105:BD105" si="73">ROUND(AO38+AO75+BX105,2)</f>
        <v>0</v>
      </c>
      <c r="AP105" s="3">
        <f t="shared" si="73"/>
        <v>0</v>
      </c>
      <c r="AQ105" s="3">
        <f t="shared" si="73"/>
        <v>0</v>
      </c>
      <c r="AR105" s="3">
        <f t="shared" si="73"/>
        <v>33312.44</v>
      </c>
      <c r="AS105" s="3">
        <f t="shared" si="73"/>
        <v>14334.46</v>
      </c>
      <c r="AT105" s="3">
        <f t="shared" si="73"/>
        <v>0</v>
      </c>
      <c r="AU105" s="3">
        <f t="shared" si="73"/>
        <v>18977.98</v>
      </c>
      <c r="AV105" s="3">
        <f t="shared" si="73"/>
        <v>0</v>
      </c>
      <c r="AW105" s="3">
        <f t="shared" si="73"/>
        <v>0</v>
      </c>
      <c r="AX105" s="3">
        <f t="shared" si="73"/>
        <v>0</v>
      </c>
      <c r="AY105" s="3">
        <f t="shared" si="73"/>
        <v>0</v>
      </c>
      <c r="AZ105" s="3">
        <f t="shared" si="73"/>
        <v>0</v>
      </c>
      <c r="BA105" s="3">
        <f t="shared" si="73"/>
        <v>0</v>
      </c>
      <c r="BB105" s="3">
        <f t="shared" si="73"/>
        <v>0</v>
      </c>
      <c r="BC105" s="3">
        <f t="shared" si="73"/>
        <v>0</v>
      </c>
      <c r="BD105" s="3">
        <f t="shared" si="73"/>
        <v>0</v>
      </c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4">
        <f t="shared" ref="DG105:DL105" si="74">ROUND(DG38+DG75+DT105,2)</f>
        <v>504819.33</v>
      </c>
      <c r="DH105" s="4">
        <f t="shared" si="74"/>
        <v>0</v>
      </c>
      <c r="DI105" s="4">
        <f t="shared" si="74"/>
        <v>143308.37</v>
      </c>
      <c r="DJ105" s="4">
        <f t="shared" si="74"/>
        <v>31330.97</v>
      </c>
      <c r="DK105" s="4">
        <f t="shared" si="74"/>
        <v>361510.96</v>
      </c>
      <c r="DL105" s="4">
        <f t="shared" si="74"/>
        <v>0</v>
      </c>
      <c r="DM105" s="4">
        <f>DM38+DM75+DZ105</f>
        <v>496.416</v>
      </c>
      <c r="DN105" s="4">
        <f>DN38+DN75+EA105</f>
        <v>0</v>
      </c>
      <c r="DO105" s="4">
        <f>ROUND(DO38+DO75+EB105,2)</f>
        <v>0</v>
      </c>
      <c r="DP105" s="4">
        <f>ROUND(DP38+DP75+EC105,2)</f>
        <v>253057.67</v>
      </c>
      <c r="DQ105" s="4">
        <f>ROUND(DQ38+DQ75+ED105,2)</f>
        <v>148219.5</v>
      </c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>
        <f t="shared" ref="EG105:EV105" si="75">ROUND(EG38+EG75+FP105,2)</f>
        <v>0</v>
      </c>
      <c r="EH105" s="4">
        <f t="shared" si="75"/>
        <v>0</v>
      </c>
      <c r="EI105" s="4">
        <f t="shared" si="75"/>
        <v>0</v>
      </c>
      <c r="EJ105" s="4">
        <f t="shared" si="75"/>
        <v>956226.05</v>
      </c>
      <c r="EK105" s="4">
        <f t="shared" si="75"/>
        <v>193437.92</v>
      </c>
      <c r="EL105" s="4">
        <f t="shared" si="75"/>
        <v>0</v>
      </c>
      <c r="EM105" s="4">
        <f t="shared" si="75"/>
        <v>762788.13</v>
      </c>
      <c r="EN105" s="4">
        <f t="shared" si="75"/>
        <v>0</v>
      </c>
      <c r="EO105" s="4">
        <f t="shared" si="75"/>
        <v>0</v>
      </c>
      <c r="EP105" s="4">
        <f t="shared" si="75"/>
        <v>0</v>
      </c>
      <c r="EQ105" s="4">
        <f t="shared" si="75"/>
        <v>0</v>
      </c>
      <c r="ER105" s="4">
        <f t="shared" si="75"/>
        <v>0</v>
      </c>
      <c r="ES105" s="4">
        <f t="shared" si="75"/>
        <v>0</v>
      </c>
      <c r="ET105" s="4">
        <f t="shared" si="75"/>
        <v>0</v>
      </c>
      <c r="EU105" s="4">
        <f t="shared" si="75"/>
        <v>0</v>
      </c>
      <c r="EV105" s="4">
        <f t="shared" si="75"/>
        <v>0</v>
      </c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>
        <v>0</v>
      </c>
    </row>
    <row r="107" spans="1:206">
      <c r="A107" s="5">
        <v>50</v>
      </c>
      <c r="B107" s="5">
        <v>0</v>
      </c>
      <c r="C107" s="5">
        <v>0</v>
      </c>
      <c r="D107" s="5">
        <v>1</v>
      </c>
      <c r="E107" s="5">
        <v>201</v>
      </c>
      <c r="F107" s="5">
        <f>ROUND(Source!O105,O107)</f>
        <v>20905.740000000002</v>
      </c>
      <c r="G107" s="5" t="s">
        <v>49</v>
      </c>
      <c r="H107" s="5" t="s">
        <v>50</v>
      </c>
      <c r="I107" s="5"/>
      <c r="J107" s="5"/>
      <c r="K107" s="5">
        <v>201</v>
      </c>
      <c r="L107" s="5">
        <v>1</v>
      </c>
      <c r="M107" s="5">
        <v>3</v>
      </c>
      <c r="N107" s="5" t="s">
        <v>6</v>
      </c>
      <c r="O107" s="5">
        <v>2</v>
      </c>
      <c r="P107" s="5">
        <f>ROUND(Source!DG105,O107)</f>
        <v>504819.33</v>
      </c>
      <c r="Q107" s="5"/>
      <c r="R107" s="5"/>
      <c r="S107" s="5"/>
      <c r="T107" s="5"/>
      <c r="U107" s="5"/>
      <c r="V107" s="5"/>
      <c r="W107" s="5">
        <v>20905.740000000002</v>
      </c>
      <c r="X107" s="5">
        <v>1</v>
      </c>
      <c r="Y107" s="5">
        <v>20905.740000000002</v>
      </c>
      <c r="Z107" s="5">
        <v>504819.33</v>
      </c>
      <c r="AA107" s="5">
        <v>1</v>
      </c>
      <c r="AB107" s="5">
        <v>504819.33</v>
      </c>
    </row>
    <row r="108" spans="1:206">
      <c r="A108" s="5">
        <v>50</v>
      </c>
      <c r="B108" s="5">
        <v>0</v>
      </c>
      <c r="C108" s="5">
        <v>0</v>
      </c>
      <c r="D108" s="5">
        <v>1</v>
      </c>
      <c r="E108" s="5">
        <v>202</v>
      </c>
      <c r="F108" s="5">
        <f>ROUND(Source!P105,O108)</f>
        <v>0</v>
      </c>
      <c r="G108" s="5" t="s">
        <v>51</v>
      </c>
      <c r="H108" s="5" t="s">
        <v>52</v>
      </c>
      <c r="I108" s="5"/>
      <c r="J108" s="5"/>
      <c r="K108" s="5">
        <v>202</v>
      </c>
      <c r="L108" s="5">
        <v>2</v>
      </c>
      <c r="M108" s="5">
        <v>3</v>
      </c>
      <c r="N108" s="5" t="s">
        <v>6</v>
      </c>
      <c r="O108" s="5">
        <v>2</v>
      </c>
      <c r="P108" s="5">
        <f>ROUND(Source!DH105,O108)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06">
      <c r="A109" s="5">
        <v>50</v>
      </c>
      <c r="B109" s="5">
        <v>0</v>
      </c>
      <c r="C109" s="5">
        <v>0</v>
      </c>
      <c r="D109" s="5">
        <v>1</v>
      </c>
      <c r="E109" s="5">
        <v>222</v>
      </c>
      <c r="F109" s="5">
        <f>ROUND(Source!AO105,O109)</f>
        <v>0</v>
      </c>
      <c r="G109" s="5" t="s">
        <v>53</v>
      </c>
      <c r="H109" s="5" t="s">
        <v>54</v>
      </c>
      <c r="I109" s="5"/>
      <c r="J109" s="5"/>
      <c r="K109" s="5">
        <v>222</v>
      </c>
      <c r="L109" s="5">
        <v>3</v>
      </c>
      <c r="M109" s="5">
        <v>3</v>
      </c>
      <c r="N109" s="5" t="s">
        <v>6</v>
      </c>
      <c r="O109" s="5">
        <v>2</v>
      </c>
      <c r="P109" s="5">
        <f>ROUND(Source!EG105,O109)</f>
        <v>0</v>
      </c>
      <c r="Q109" s="5"/>
      <c r="R109" s="5"/>
      <c r="S109" s="5"/>
      <c r="T109" s="5"/>
      <c r="U109" s="5"/>
      <c r="V109" s="5"/>
      <c r="W109" s="5">
        <v>0</v>
      </c>
      <c r="X109" s="5">
        <v>1</v>
      </c>
      <c r="Y109" s="5">
        <v>0</v>
      </c>
      <c r="Z109" s="5">
        <v>0</v>
      </c>
      <c r="AA109" s="5">
        <v>1</v>
      </c>
      <c r="AB109" s="5">
        <v>0</v>
      </c>
    </row>
    <row r="110" spans="1:206">
      <c r="A110" s="5">
        <v>50</v>
      </c>
      <c r="B110" s="5">
        <v>0</v>
      </c>
      <c r="C110" s="5">
        <v>0</v>
      </c>
      <c r="D110" s="5">
        <v>1</v>
      </c>
      <c r="E110" s="5">
        <v>225</v>
      </c>
      <c r="F110" s="5">
        <f>ROUND(Source!AV105,O110)</f>
        <v>0</v>
      </c>
      <c r="G110" s="5" t="s">
        <v>55</v>
      </c>
      <c r="H110" s="5" t="s">
        <v>56</v>
      </c>
      <c r="I110" s="5"/>
      <c r="J110" s="5"/>
      <c r="K110" s="5">
        <v>225</v>
      </c>
      <c r="L110" s="5">
        <v>4</v>
      </c>
      <c r="M110" s="5">
        <v>3</v>
      </c>
      <c r="N110" s="5" t="s">
        <v>6</v>
      </c>
      <c r="O110" s="5">
        <v>2</v>
      </c>
      <c r="P110" s="5">
        <f>ROUND(Source!EN105,O110)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06">
      <c r="A111" s="5">
        <v>50</v>
      </c>
      <c r="B111" s="5">
        <v>0</v>
      </c>
      <c r="C111" s="5">
        <v>0</v>
      </c>
      <c r="D111" s="5">
        <v>1</v>
      </c>
      <c r="E111" s="5">
        <v>226</v>
      </c>
      <c r="F111" s="5">
        <f>ROUND(Source!AW105,O111)</f>
        <v>0</v>
      </c>
      <c r="G111" s="5" t="s">
        <v>57</v>
      </c>
      <c r="H111" s="5" t="s">
        <v>58</v>
      </c>
      <c r="I111" s="5"/>
      <c r="J111" s="5"/>
      <c r="K111" s="5">
        <v>226</v>
      </c>
      <c r="L111" s="5">
        <v>5</v>
      </c>
      <c r="M111" s="5">
        <v>3</v>
      </c>
      <c r="N111" s="5" t="s">
        <v>6</v>
      </c>
      <c r="O111" s="5">
        <v>2</v>
      </c>
      <c r="P111" s="5">
        <f>ROUND(Source!EO105,O111)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06">
      <c r="A112" s="5">
        <v>50</v>
      </c>
      <c r="B112" s="5">
        <v>0</v>
      </c>
      <c r="C112" s="5">
        <v>0</v>
      </c>
      <c r="D112" s="5">
        <v>1</v>
      </c>
      <c r="E112" s="5">
        <v>227</v>
      </c>
      <c r="F112" s="5">
        <f>ROUND(Source!AX105,O112)</f>
        <v>0</v>
      </c>
      <c r="G112" s="5" t="s">
        <v>59</v>
      </c>
      <c r="H112" s="5" t="s">
        <v>60</v>
      </c>
      <c r="I112" s="5"/>
      <c r="J112" s="5"/>
      <c r="K112" s="5">
        <v>227</v>
      </c>
      <c r="L112" s="5">
        <v>6</v>
      </c>
      <c r="M112" s="5">
        <v>3</v>
      </c>
      <c r="N112" s="5" t="s">
        <v>6</v>
      </c>
      <c r="O112" s="5">
        <v>2</v>
      </c>
      <c r="P112" s="5">
        <f>ROUND(Source!EP105,O112)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8">
      <c r="A113" s="5">
        <v>50</v>
      </c>
      <c r="B113" s="5">
        <v>0</v>
      </c>
      <c r="C113" s="5">
        <v>0</v>
      </c>
      <c r="D113" s="5">
        <v>1</v>
      </c>
      <c r="E113" s="5">
        <v>228</v>
      </c>
      <c r="F113" s="5">
        <f>ROUND(Source!AY105,O113)</f>
        <v>0</v>
      </c>
      <c r="G113" s="5" t="s">
        <v>61</v>
      </c>
      <c r="H113" s="5" t="s">
        <v>62</v>
      </c>
      <c r="I113" s="5"/>
      <c r="J113" s="5"/>
      <c r="K113" s="5">
        <v>228</v>
      </c>
      <c r="L113" s="5">
        <v>7</v>
      </c>
      <c r="M113" s="5">
        <v>3</v>
      </c>
      <c r="N113" s="5" t="s">
        <v>6</v>
      </c>
      <c r="O113" s="5">
        <v>2</v>
      </c>
      <c r="P113" s="5">
        <f>ROUND(Source!EQ105,O113)</f>
        <v>0</v>
      </c>
      <c r="Q113" s="5"/>
      <c r="R113" s="5"/>
      <c r="S113" s="5"/>
      <c r="T113" s="5"/>
      <c r="U113" s="5"/>
      <c r="V113" s="5"/>
      <c r="W113" s="5">
        <v>0</v>
      </c>
      <c r="X113" s="5">
        <v>1</v>
      </c>
      <c r="Y113" s="5">
        <v>0</v>
      </c>
      <c r="Z113" s="5">
        <v>0</v>
      </c>
      <c r="AA113" s="5">
        <v>1</v>
      </c>
      <c r="AB113" s="5">
        <v>0</v>
      </c>
    </row>
    <row r="114" spans="1:28">
      <c r="A114" s="5">
        <v>50</v>
      </c>
      <c r="B114" s="5">
        <v>0</v>
      </c>
      <c r="C114" s="5">
        <v>0</v>
      </c>
      <c r="D114" s="5">
        <v>1</v>
      </c>
      <c r="E114" s="5">
        <v>216</v>
      </c>
      <c r="F114" s="5">
        <f>ROUND(Source!AP105,O114)</f>
        <v>0</v>
      </c>
      <c r="G114" s="5" t="s">
        <v>63</v>
      </c>
      <c r="H114" s="5" t="s">
        <v>64</v>
      </c>
      <c r="I114" s="5"/>
      <c r="J114" s="5"/>
      <c r="K114" s="5">
        <v>216</v>
      </c>
      <c r="L114" s="5">
        <v>8</v>
      </c>
      <c r="M114" s="5">
        <v>3</v>
      </c>
      <c r="N114" s="5" t="s">
        <v>6</v>
      </c>
      <c r="O114" s="5">
        <v>2</v>
      </c>
      <c r="P114" s="5">
        <f>ROUND(Source!EH105,O114)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8">
      <c r="A115" s="5">
        <v>50</v>
      </c>
      <c r="B115" s="5">
        <v>0</v>
      </c>
      <c r="C115" s="5">
        <v>0</v>
      </c>
      <c r="D115" s="5">
        <v>1</v>
      </c>
      <c r="E115" s="5">
        <v>223</v>
      </c>
      <c r="F115" s="5">
        <f>ROUND(Source!AQ105,O115)</f>
        <v>0</v>
      </c>
      <c r="G115" s="5" t="s">
        <v>65</v>
      </c>
      <c r="H115" s="5" t="s">
        <v>66</v>
      </c>
      <c r="I115" s="5"/>
      <c r="J115" s="5"/>
      <c r="K115" s="5">
        <v>223</v>
      </c>
      <c r="L115" s="5">
        <v>9</v>
      </c>
      <c r="M115" s="5">
        <v>3</v>
      </c>
      <c r="N115" s="5" t="s">
        <v>6</v>
      </c>
      <c r="O115" s="5">
        <v>2</v>
      </c>
      <c r="P115" s="5">
        <f>ROUND(Source!EI105,O115)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8">
      <c r="A116" s="5">
        <v>50</v>
      </c>
      <c r="B116" s="5">
        <v>0</v>
      </c>
      <c r="C116" s="5">
        <v>0</v>
      </c>
      <c r="D116" s="5">
        <v>1</v>
      </c>
      <c r="E116" s="5">
        <v>229</v>
      </c>
      <c r="F116" s="5">
        <f>ROUND(Source!AZ105,O116)</f>
        <v>0</v>
      </c>
      <c r="G116" s="5" t="s">
        <v>67</v>
      </c>
      <c r="H116" s="5" t="s">
        <v>68</v>
      </c>
      <c r="I116" s="5"/>
      <c r="J116" s="5"/>
      <c r="K116" s="5">
        <v>229</v>
      </c>
      <c r="L116" s="5">
        <v>10</v>
      </c>
      <c r="M116" s="5">
        <v>3</v>
      </c>
      <c r="N116" s="5" t="s">
        <v>6</v>
      </c>
      <c r="O116" s="5">
        <v>2</v>
      </c>
      <c r="P116" s="5">
        <f>ROUND(Source!ER105,O116)</f>
        <v>0</v>
      </c>
      <c r="Q116" s="5"/>
      <c r="R116" s="5"/>
      <c r="S116" s="5"/>
      <c r="T116" s="5"/>
      <c r="U116" s="5"/>
      <c r="V116" s="5"/>
      <c r="W116" s="5">
        <v>0</v>
      </c>
      <c r="X116" s="5">
        <v>1</v>
      </c>
      <c r="Y116" s="5">
        <v>0</v>
      </c>
      <c r="Z116" s="5">
        <v>0</v>
      </c>
      <c r="AA116" s="5">
        <v>1</v>
      </c>
      <c r="AB116" s="5">
        <v>0</v>
      </c>
    </row>
    <row r="117" spans="1:28">
      <c r="A117" s="5">
        <v>50</v>
      </c>
      <c r="B117" s="5">
        <v>0</v>
      </c>
      <c r="C117" s="5">
        <v>0</v>
      </c>
      <c r="D117" s="5">
        <v>1</v>
      </c>
      <c r="E117" s="5">
        <v>203</v>
      </c>
      <c r="F117" s="5">
        <f>ROUND(Source!Q105,O117)</f>
        <v>13159.63</v>
      </c>
      <c r="G117" s="5" t="s">
        <v>69</v>
      </c>
      <c r="H117" s="5" t="s">
        <v>70</v>
      </c>
      <c r="I117" s="5"/>
      <c r="J117" s="5"/>
      <c r="K117" s="5">
        <v>203</v>
      </c>
      <c r="L117" s="5">
        <v>11</v>
      </c>
      <c r="M117" s="5">
        <v>3</v>
      </c>
      <c r="N117" s="5" t="s">
        <v>6</v>
      </c>
      <c r="O117" s="5">
        <v>2</v>
      </c>
      <c r="P117" s="5">
        <f>ROUND(Source!DI105,O117)</f>
        <v>143308.37</v>
      </c>
      <c r="Q117" s="5"/>
      <c r="R117" s="5"/>
      <c r="S117" s="5"/>
      <c r="T117" s="5"/>
      <c r="U117" s="5"/>
      <c r="V117" s="5"/>
      <c r="W117" s="5">
        <v>13159.63</v>
      </c>
      <c r="X117" s="5">
        <v>1</v>
      </c>
      <c r="Y117" s="5">
        <v>13159.63</v>
      </c>
      <c r="Z117" s="5">
        <v>143308.37</v>
      </c>
      <c r="AA117" s="5">
        <v>1</v>
      </c>
      <c r="AB117" s="5">
        <v>143308.37</v>
      </c>
    </row>
    <row r="118" spans="1:28">
      <c r="A118" s="5">
        <v>50</v>
      </c>
      <c r="B118" s="5">
        <v>0</v>
      </c>
      <c r="C118" s="5">
        <v>0</v>
      </c>
      <c r="D118" s="5">
        <v>1</v>
      </c>
      <c r="E118" s="5">
        <v>231</v>
      </c>
      <c r="F118" s="5">
        <f>ROUND(Source!BB105,O118)</f>
        <v>0</v>
      </c>
      <c r="G118" s="5" t="s">
        <v>71</v>
      </c>
      <c r="H118" s="5" t="s">
        <v>72</v>
      </c>
      <c r="I118" s="5"/>
      <c r="J118" s="5"/>
      <c r="K118" s="5">
        <v>231</v>
      </c>
      <c r="L118" s="5">
        <v>12</v>
      </c>
      <c r="M118" s="5">
        <v>3</v>
      </c>
      <c r="N118" s="5" t="s">
        <v>6</v>
      </c>
      <c r="O118" s="5">
        <v>2</v>
      </c>
      <c r="P118" s="5">
        <f>ROUND(Source!ET105,O118)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8">
      <c r="A119" s="5">
        <v>50</v>
      </c>
      <c r="B119" s="5">
        <v>0</v>
      </c>
      <c r="C119" s="5">
        <v>0</v>
      </c>
      <c r="D119" s="5">
        <v>1</v>
      </c>
      <c r="E119" s="5">
        <v>204</v>
      </c>
      <c r="F119" s="5">
        <f>ROUND(Source!R105,O119)</f>
        <v>671.33</v>
      </c>
      <c r="G119" s="5" t="s">
        <v>73</v>
      </c>
      <c r="H119" s="5" t="s">
        <v>74</v>
      </c>
      <c r="I119" s="5"/>
      <c r="J119" s="5"/>
      <c r="K119" s="5">
        <v>204</v>
      </c>
      <c r="L119" s="5">
        <v>13</v>
      </c>
      <c r="M119" s="5">
        <v>3</v>
      </c>
      <c r="N119" s="5" t="s">
        <v>6</v>
      </c>
      <c r="O119" s="5">
        <v>2</v>
      </c>
      <c r="P119" s="5">
        <f>ROUND(Source!DJ105,O119)</f>
        <v>31330.97</v>
      </c>
      <c r="Q119" s="5"/>
      <c r="R119" s="5"/>
      <c r="S119" s="5"/>
      <c r="T119" s="5"/>
      <c r="U119" s="5"/>
      <c r="V119" s="5"/>
      <c r="W119" s="5">
        <v>671.33</v>
      </c>
      <c r="X119" s="5">
        <v>1</v>
      </c>
      <c r="Y119" s="5">
        <v>671.33</v>
      </c>
      <c r="Z119" s="5">
        <v>31330.97</v>
      </c>
      <c r="AA119" s="5">
        <v>1</v>
      </c>
      <c r="AB119" s="5">
        <v>31330.97</v>
      </c>
    </row>
    <row r="120" spans="1:28">
      <c r="A120" s="5">
        <v>50</v>
      </c>
      <c r="B120" s="5">
        <v>0</v>
      </c>
      <c r="C120" s="5">
        <v>0</v>
      </c>
      <c r="D120" s="5">
        <v>1</v>
      </c>
      <c r="E120" s="5">
        <v>205</v>
      </c>
      <c r="F120" s="5">
        <f>ROUND(Source!S105,O120)</f>
        <v>7746.11</v>
      </c>
      <c r="G120" s="5" t="s">
        <v>75</v>
      </c>
      <c r="H120" s="5" t="s">
        <v>76</v>
      </c>
      <c r="I120" s="5"/>
      <c r="J120" s="5"/>
      <c r="K120" s="5">
        <v>205</v>
      </c>
      <c r="L120" s="5">
        <v>14</v>
      </c>
      <c r="M120" s="5">
        <v>3</v>
      </c>
      <c r="N120" s="5" t="s">
        <v>6</v>
      </c>
      <c r="O120" s="5">
        <v>2</v>
      </c>
      <c r="P120" s="5">
        <f>ROUND(Source!DK105,O120)</f>
        <v>361510.96</v>
      </c>
      <c r="Q120" s="5"/>
      <c r="R120" s="5"/>
      <c r="S120" s="5"/>
      <c r="T120" s="5"/>
      <c r="U120" s="5"/>
      <c r="V120" s="5"/>
      <c r="W120" s="5">
        <v>7746.11</v>
      </c>
      <c r="X120" s="5">
        <v>1</v>
      </c>
      <c r="Y120" s="5">
        <v>7746.11</v>
      </c>
      <c r="Z120" s="5">
        <v>361510.96</v>
      </c>
      <c r="AA120" s="5">
        <v>1</v>
      </c>
      <c r="AB120" s="5">
        <v>361510.96</v>
      </c>
    </row>
    <row r="121" spans="1:28">
      <c r="A121" s="5">
        <v>50</v>
      </c>
      <c r="B121" s="5">
        <v>0</v>
      </c>
      <c r="C121" s="5">
        <v>0</v>
      </c>
      <c r="D121" s="5">
        <v>1</v>
      </c>
      <c r="E121" s="5">
        <v>232</v>
      </c>
      <c r="F121" s="5">
        <f>ROUND(Source!BC105,O121)</f>
        <v>0</v>
      </c>
      <c r="G121" s="5" t="s">
        <v>77</v>
      </c>
      <c r="H121" s="5" t="s">
        <v>78</v>
      </c>
      <c r="I121" s="5"/>
      <c r="J121" s="5"/>
      <c r="K121" s="5">
        <v>232</v>
      </c>
      <c r="L121" s="5">
        <v>15</v>
      </c>
      <c r="M121" s="5">
        <v>3</v>
      </c>
      <c r="N121" s="5" t="s">
        <v>6</v>
      </c>
      <c r="O121" s="5">
        <v>2</v>
      </c>
      <c r="P121" s="5">
        <f>ROUND(Source!EU105,O121)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28">
      <c r="A122" s="5">
        <v>50</v>
      </c>
      <c r="B122" s="5">
        <v>0</v>
      </c>
      <c r="C122" s="5">
        <v>0</v>
      </c>
      <c r="D122" s="5">
        <v>1</v>
      </c>
      <c r="E122" s="5">
        <v>214</v>
      </c>
      <c r="F122" s="5">
        <f>ROUND(Source!AS105,O122)</f>
        <v>14334.46</v>
      </c>
      <c r="G122" s="5" t="s">
        <v>79</v>
      </c>
      <c r="H122" s="5" t="s">
        <v>80</v>
      </c>
      <c r="I122" s="5"/>
      <c r="J122" s="5"/>
      <c r="K122" s="5">
        <v>214</v>
      </c>
      <c r="L122" s="5">
        <v>16</v>
      </c>
      <c r="M122" s="5">
        <v>3</v>
      </c>
      <c r="N122" s="5" t="s">
        <v>6</v>
      </c>
      <c r="O122" s="5">
        <v>2</v>
      </c>
      <c r="P122" s="5">
        <f>ROUND(Source!EK105,O122)</f>
        <v>193437.92</v>
      </c>
      <c r="Q122" s="5"/>
      <c r="R122" s="5"/>
      <c r="S122" s="5"/>
      <c r="T122" s="5"/>
      <c r="U122" s="5"/>
      <c r="V122" s="5"/>
      <c r="W122" s="5">
        <v>14334.46</v>
      </c>
      <c r="X122" s="5">
        <v>1</v>
      </c>
      <c r="Y122" s="5">
        <v>14334.46</v>
      </c>
      <c r="Z122" s="5">
        <v>193437.92</v>
      </c>
      <c r="AA122" s="5">
        <v>1</v>
      </c>
      <c r="AB122" s="5">
        <v>193437.92</v>
      </c>
    </row>
    <row r="123" spans="1:28">
      <c r="A123" s="5">
        <v>50</v>
      </c>
      <c r="B123" s="5">
        <v>0</v>
      </c>
      <c r="C123" s="5">
        <v>0</v>
      </c>
      <c r="D123" s="5">
        <v>1</v>
      </c>
      <c r="E123" s="5">
        <v>215</v>
      </c>
      <c r="F123" s="5">
        <f>ROUND(Source!AT105,O123)</f>
        <v>0</v>
      </c>
      <c r="G123" s="5" t="s">
        <v>81</v>
      </c>
      <c r="H123" s="5" t="s">
        <v>82</v>
      </c>
      <c r="I123" s="5"/>
      <c r="J123" s="5"/>
      <c r="K123" s="5">
        <v>215</v>
      </c>
      <c r="L123" s="5">
        <v>17</v>
      </c>
      <c r="M123" s="5">
        <v>3</v>
      </c>
      <c r="N123" s="5" t="s">
        <v>6</v>
      </c>
      <c r="O123" s="5">
        <v>2</v>
      </c>
      <c r="P123" s="5">
        <f>ROUND(Source!EL105,O123)</f>
        <v>0</v>
      </c>
      <c r="Q123" s="5"/>
      <c r="R123" s="5"/>
      <c r="S123" s="5"/>
      <c r="T123" s="5"/>
      <c r="U123" s="5"/>
      <c r="V123" s="5"/>
      <c r="W123" s="5">
        <v>0</v>
      </c>
      <c r="X123" s="5">
        <v>1</v>
      </c>
      <c r="Y123" s="5">
        <v>0</v>
      </c>
      <c r="Z123" s="5">
        <v>0</v>
      </c>
      <c r="AA123" s="5">
        <v>1</v>
      </c>
      <c r="AB123" s="5">
        <v>0</v>
      </c>
    </row>
    <row r="124" spans="1:28">
      <c r="A124" s="5">
        <v>50</v>
      </c>
      <c r="B124" s="5">
        <v>0</v>
      </c>
      <c r="C124" s="5">
        <v>0</v>
      </c>
      <c r="D124" s="5">
        <v>1</v>
      </c>
      <c r="E124" s="5">
        <v>217</v>
      </c>
      <c r="F124" s="5">
        <f>ROUND(Source!AU105,O124)</f>
        <v>18977.98</v>
      </c>
      <c r="G124" s="5" t="s">
        <v>83</v>
      </c>
      <c r="H124" s="5" t="s">
        <v>84</v>
      </c>
      <c r="I124" s="5"/>
      <c r="J124" s="5"/>
      <c r="K124" s="5">
        <v>217</v>
      </c>
      <c r="L124" s="5">
        <v>18</v>
      </c>
      <c r="M124" s="5">
        <v>3</v>
      </c>
      <c r="N124" s="5" t="s">
        <v>6</v>
      </c>
      <c r="O124" s="5">
        <v>2</v>
      </c>
      <c r="P124" s="5">
        <f>ROUND(Source!EM105,O124)</f>
        <v>762788.13</v>
      </c>
      <c r="Q124" s="5"/>
      <c r="R124" s="5"/>
      <c r="S124" s="5"/>
      <c r="T124" s="5"/>
      <c r="U124" s="5"/>
      <c r="V124" s="5"/>
      <c r="W124" s="5">
        <v>18977.98</v>
      </c>
      <c r="X124" s="5">
        <v>1</v>
      </c>
      <c r="Y124" s="5">
        <v>18977.98</v>
      </c>
      <c r="Z124" s="5">
        <v>762788.13</v>
      </c>
      <c r="AA124" s="5">
        <v>1</v>
      </c>
      <c r="AB124" s="5">
        <v>762788.13</v>
      </c>
    </row>
    <row r="125" spans="1:28">
      <c r="A125" s="5">
        <v>50</v>
      </c>
      <c r="B125" s="5">
        <v>0</v>
      </c>
      <c r="C125" s="5">
        <v>0</v>
      </c>
      <c r="D125" s="5">
        <v>1</v>
      </c>
      <c r="E125" s="5">
        <v>230</v>
      </c>
      <c r="F125" s="5">
        <f>ROUND(Source!BA105,O125)</f>
        <v>0</v>
      </c>
      <c r="G125" s="5" t="s">
        <v>85</v>
      </c>
      <c r="H125" s="5" t="s">
        <v>86</v>
      </c>
      <c r="I125" s="5"/>
      <c r="J125" s="5"/>
      <c r="K125" s="5">
        <v>230</v>
      </c>
      <c r="L125" s="5">
        <v>19</v>
      </c>
      <c r="M125" s="5">
        <v>3</v>
      </c>
      <c r="N125" s="5" t="s">
        <v>6</v>
      </c>
      <c r="O125" s="5">
        <v>2</v>
      </c>
      <c r="P125" s="5">
        <f>ROUND(Source!ES105,O125)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8">
      <c r="A126" s="5">
        <v>50</v>
      </c>
      <c r="B126" s="5">
        <v>0</v>
      </c>
      <c r="C126" s="5">
        <v>0</v>
      </c>
      <c r="D126" s="5">
        <v>1</v>
      </c>
      <c r="E126" s="5">
        <v>206</v>
      </c>
      <c r="F126" s="5">
        <f>ROUND(Source!T105,O126)</f>
        <v>0</v>
      </c>
      <c r="G126" s="5" t="s">
        <v>87</v>
      </c>
      <c r="H126" s="5" t="s">
        <v>88</v>
      </c>
      <c r="I126" s="5"/>
      <c r="J126" s="5"/>
      <c r="K126" s="5">
        <v>206</v>
      </c>
      <c r="L126" s="5">
        <v>20</v>
      </c>
      <c r="M126" s="5">
        <v>3</v>
      </c>
      <c r="N126" s="5" t="s">
        <v>6</v>
      </c>
      <c r="O126" s="5">
        <v>2</v>
      </c>
      <c r="P126" s="5">
        <f>ROUND(Source!DL105,O126)</f>
        <v>0</v>
      </c>
      <c r="Q126" s="5"/>
      <c r="R126" s="5"/>
      <c r="S126" s="5"/>
      <c r="T126" s="5"/>
      <c r="U126" s="5"/>
      <c r="V126" s="5"/>
      <c r="W126" s="5">
        <v>0</v>
      </c>
      <c r="X126" s="5">
        <v>1</v>
      </c>
      <c r="Y126" s="5">
        <v>0</v>
      </c>
      <c r="Z126" s="5">
        <v>0</v>
      </c>
      <c r="AA126" s="5">
        <v>1</v>
      </c>
      <c r="AB126" s="5">
        <v>0</v>
      </c>
    </row>
    <row r="127" spans="1:28">
      <c r="A127" s="5">
        <v>50</v>
      </c>
      <c r="B127" s="5">
        <v>0</v>
      </c>
      <c r="C127" s="5">
        <v>0</v>
      </c>
      <c r="D127" s="5">
        <v>1</v>
      </c>
      <c r="E127" s="5">
        <v>207</v>
      </c>
      <c r="F127" s="5">
        <f>Source!U105</f>
        <v>496.416</v>
      </c>
      <c r="G127" s="5" t="s">
        <v>89</v>
      </c>
      <c r="H127" s="5" t="s">
        <v>90</v>
      </c>
      <c r="I127" s="5"/>
      <c r="J127" s="5"/>
      <c r="K127" s="5">
        <v>207</v>
      </c>
      <c r="L127" s="5">
        <v>21</v>
      </c>
      <c r="M127" s="5">
        <v>3</v>
      </c>
      <c r="N127" s="5" t="s">
        <v>6</v>
      </c>
      <c r="O127" s="5">
        <v>-1</v>
      </c>
      <c r="P127" s="5">
        <f>Source!DM105</f>
        <v>496.416</v>
      </c>
      <c r="Q127" s="5"/>
      <c r="R127" s="5"/>
      <c r="S127" s="5"/>
      <c r="T127" s="5"/>
      <c r="U127" s="5"/>
      <c r="V127" s="5"/>
      <c r="W127" s="5">
        <v>496.41599999999994</v>
      </c>
      <c r="X127" s="5">
        <v>1</v>
      </c>
      <c r="Y127" s="5">
        <v>496.41599999999994</v>
      </c>
      <c r="Z127" s="5">
        <v>496.41599999999994</v>
      </c>
      <c r="AA127" s="5">
        <v>1</v>
      </c>
      <c r="AB127" s="5">
        <v>496.41599999999994</v>
      </c>
    </row>
    <row r="128" spans="1:28">
      <c r="A128" s="5">
        <v>50</v>
      </c>
      <c r="B128" s="5">
        <v>0</v>
      </c>
      <c r="C128" s="5">
        <v>0</v>
      </c>
      <c r="D128" s="5">
        <v>1</v>
      </c>
      <c r="E128" s="5">
        <v>208</v>
      </c>
      <c r="F128" s="5">
        <f>Source!V105</f>
        <v>0</v>
      </c>
      <c r="G128" s="5" t="s">
        <v>91</v>
      </c>
      <c r="H128" s="5" t="s">
        <v>92</v>
      </c>
      <c r="I128" s="5"/>
      <c r="J128" s="5"/>
      <c r="K128" s="5">
        <v>208</v>
      </c>
      <c r="L128" s="5">
        <v>22</v>
      </c>
      <c r="M128" s="5">
        <v>3</v>
      </c>
      <c r="N128" s="5" t="s">
        <v>6</v>
      </c>
      <c r="O128" s="5">
        <v>-1</v>
      </c>
      <c r="P128" s="5">
        <f>Source!DN105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06">
      <c r="A129" s="5">
        <v>50</v>
      </c>
      <c r="B129" s="5">
        <v>0</v>
      </c>
      <c r="C129" s="5">
        <v>0</v>
      </c>
      <c r="D129" s="5">
        <v>1</v>
      </c>
      <c r="E129" s="5">
        <v>209</v>
      </c>
      <c r="F129" s="5">
        <f>ROUND(Source!W105,O129)</f>
        <v>0</v>
      </c>
      <c r="G129" s="5" t="s">
        <v>93</v>
      </c>
      <c r="H129" s="5" t="s">
        <v>94</v>
      </c>
      <c r="I129" s="5"/>
      <c r="J129" s="5"/>
      <c r="K129" s="5">
        <v>209</v>
      </c>
      <c r="L129" s="5">
        <v>23</v>
      </c>
      <c r="M129" s="5">
        <v>3</v>
      </c>
      <c r="N129" s="5" t="s">
        <v>6</v>
      </c>
      <c r="O129" s="5">
        <v>2</v>
      </c>
      <c r="P129" s="5">
        <f>ROUND(Source!DO105,O129)</f>
        <v>0</v>
      </c>
      <c r="Q129" s="5"/>
      <c r="R129" s="5"/>
      <c r="S129" s="5"/>
      <c r="T129" s="5"/>
      <c r="U129" s="5"/>
      <c r="V129" s="5"/>
      <c r="W129" s="5">
        <v>0</v>
      </c>
      <c r="X129" s="5">
        <v>1</v>
      </c>
      <c r="Y129" s="5">
        <v>0</v>
      </c>
      <c r="Z129" s="5">
        <v>0</v>
      </c>
      <c r="AA129" s="5">
        <v>1</v>
      </c>
      <c r="AB129" s="5">
        <v>0</v>
      </c>
    </row>
    <row r="130" spans="1:206">
      <c r="A130" s="5">
        <v>50</v>
      </c>
      <c r="B130" s="5">
        <v>0</v>
      </c>
      <c r="C130" s="5">
        <v>0</v>
      </c>
      <c r="D130" s="5">
        <v>1</v>
      </c>
      <c r="E130" s="5">
        <v>233</v>
      </c>
      <c r="F130" s="5">
        <f>ROUND(Source!BD105,O130)</f>
        <v>0</v>
      </c>
      <c r="G130" s="5" t="s">
        <v>95</v>
      </c>
      <c r="H130" s="5" t="s">
        <v>96</v>
      </c>
      <c r="I130" s="5"/>
      <c r="J130" s="5"/>
      <c r="K130" s="5">
        <v>233</v>
      </c>
      <c r="L130" s="5">
        <v>24</v>
      </c>
      <c r="M130" s="5">
        <v>3</v>
      </c>
      <c r="N130" s="5" t="s">
        <v>6</v>
      </c>
      <c r="O130" s="5">
        <v>2</v>
      </c>
      <c r="P130" s="5">
        <f>ROUND(Source!EV105,O130)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06">
      <c r="A131" s="5">
        <v>50</v>
      </c>
      <c r="B131" s="5">
        <v>0</v>
      </c>
      <c r="C131" s="5">
        <v>0</v>
      </c>
      <c r="D131" s="5">
        <v>1</v>
      </c>
      <c r="E131" s="5">
        <v>210</v>
      </c>
      <c r="F131" s="5">
        <f>ROUND(Source!X105,O131)</f>
        <v>5809.59</v>
      </c>
      <c r="G131" s="5" t="s">
        <v>97</v>
      </c>
      <c r="H131" s="5" t="s">
        <v>98</v>
      </c>
      <c r="I131" s="5"/>
      <c r="J131" s="5"/>
      <c r="K131" s="5">
        <v>210</v>
      </c>
      <c r="L131" s="5">
        <v>25</v>
      </c>
      <c r="M131" s="5">
        <v>3</v>
      </c>
      <c r="N131" s="5" t="s">
        <v>6</v>
      </c>
      <c r="O131" s="5">
        <v>2</v>
      </c>
      <c r="P131" s="5">
        <f>ROUND(Source!DP105,O131)</f>
        <v>253057.67</v>
      </c>
      <c r="Q131" s="5"/>
      <c r="R131" s="5"/>
      <c r="S131" s="5"/>
      <c r="T131" s="5"/>
      <c r="U131" s="5"/>
      <c r="V131" s="5"/>
      <c r="W131" s="5">
        <v>5809.59</v>
      </c>
      <c r="X131" s="5">
        <v>1</v>
      </c>
      <c r="Y131" s="5">
        <v>5809.59</v>
      </c>
      <c r="Z131" s="5">
        <v>253057.67</v>
      </c>
      <c r="AA131" s="5">
        <v>1</v>
      </c>
      <c r="AB131" s="5">
        <v>253057.67</v>
      </c>
    </row>
    <row r="132" spans="1:206">
      <c r="A132" s="5">
        <v>50</v>
      </c>
      <c r="B132" s="5">
        <v>0</v>
      </c>
      <c r="C132" s="5">
        <v>0</v>
      </c>
      <c r="D132" s="5">
        <v>1</v>
      </c>
      <c r="E132" s="5">
        <v>211</v>
      </c>
      <c r="F132" s="5">
        <f>ROUND(Source!Y105,O132)</f>
        <v>5422.28</v>
      </c>
      <c r="G132" s="5" t="s">
        <v>99</v>
      </c>
      <c r="H132" s="5" t="s">
        <v>100</v>
      </c>
      <c r="I132" s="5"/>
      <c r="J132" s="5"/>
      <c r="K132" s="5">
        <v>211</v>
      </c>
      <c r="L132" s="5">
        <v>26</v>
      </c>
      <c r="M132" s="5">
        <v>3</v>
      </c>
      <c r="N132" s="5" t="s">
        <v>6</v>
      </c>
      <c r="O132" s="5">
        <v>2</v>
      </c>
      <c r="P132" s="5">
        <f>ROUND(Source!DQ105,O132)</f>
        <v>148219.5</v>
      </c>
      <c r="Q132" s="5"/>
      <c r="R132" s="5"/>
      <c r="S132" s="5"/>
      <c r="T132" s="5"/>
      <c r="U132" s="5"/>
      <c r="V132" s="5"/>
      <c r="W132" s="5">
        <v>5422.28</v>
      </c>
      <c r="X132" s="5">
        <v>1</v>
      </c>
      <c r="Y132" s="5">
        <v>5422.28</v>
      </c>
      <c r="Z132" s="5">
        <v>148219.5</v>
      </c>
      <c r="AA132" s="5">
        <v>1</v>
      </c>
      <c r="AB132" s="5">
        <v>148219.5</v>
      </c>
    </row>
    <row r="133" spans="1:206">
      <c r="A133" s="5">
        <v>50</v>
      </c>
      <c r="B133" s="5">
        <v>0</v>
      </c>
      <c r="C133" s="5">
        <v>0</v>
      </c>
      <c r="D133" s="5">
        <v>1</v>
      </c>
      <c r="E133" s="5">
        <v>224</v>
      </c>
      <c r="F133" s="5">
        <f>ROUND(Source!AR105,O133)</f>
        <v>33312.44</v>
      </c>
      <c r="G133" s="5" t="s">
        <v>101</v>
      </c>
      <c r="H133" s="5" t="s">
        <v>102</v>
      </c>
      <c r="I133" s="5"/>
      <c r="J133" s="5"/>
      <c r="K133" s="5">
        <v>224</v>
      </c>
      <c r="L133" s="5">
        <v>27</v>
      </c>
      <c r="M133" s="5">
        <v>3</v>
      </c>
      <c r="N133" s="5" t="s">
        <v>6</v>
      </c>
      <c r="O133" s="5">
        <v>2</v>
      </c>
      <c r="P133" s="5">
        <f>ROUND(Source!EJ105,O133)</f>
        <v>956226.05</v>
      </c>
      <c r="Q133" s="5"/>
      <c r="R133" s="5"/>
      <c r="S133" s="5"/>
      <c r="T133" s="5"/>
      <c r="U133" s="5"/>
      <c r="V133" s="5"/>
      <c r="W133" s="5">
        <v>33312.44</v>
      </c>
      <c r="X133" s="5">
        <v>1</v>
      </c>
      <c r="Y133" s="5">
        <v>33312.44</v>
      </c>
      <c r="Z133" s="5">
        <v>956226.05</v>
      </c>
      <c r="AA133" s="5">
        <v>1</v>
      </c>
      <c r="AB133" s="5">
        <v>956226.05</v>
      </c>
    </row>
    <row r="135" spans="1:206">
      <c r="A135" s="3">
        <v>51</v>
      </c>
      <c r="B135" s="3">
        <f>B12</f>
        <v>176</v>
      </c>
      <c r="C135" s="3">
        <f>A12</f>
        <v>1</v>
      </c>
      <c r="D135" s="3">
        <f>ROW(A12)</f>
        <v>12</v>
      </c>
      <c r="E135" s="3"/>
      <c r="F135" s="3" t="str">
        <f>IF(F12&lt;&gt;"",F12,"")</f>
        <v>(ТСН-2001 (Мосгосэкспертиза))</v>
      </c>
      <c r="G135" s="3" t="str">
        <f>IF(G12&lt;&gt;"",G12,"")</f>
        <v>09-01-07  ПНР _24.04.25</v>
      </c>
      <c r="H135" s="3">
        <v>0</v>
      </c>
      <c r="I135" s="3"/>
      <c r="J135" s="3"/>
      <c r="K135" s="3"/>
      <c r="L135" s="3"/>
      <c r="M135" s="3"/>
      <c r="N135" s="3"/>
      <c r="O135" s="3">
        <f t="shared" ref="O135:T135" si="76">ROUND(O105,2)</f>
        <v>20905.740000000002</v>
      </c>
      <c r="P135" s="3">
        <f t="shared" si="76"/>
        <v>0</v>
      </c>
      <c r="Q135" s="3">
        <f t="shared" si="76"/>
        <v>13159.63</v>
      </c>
      <c r="R135" s="3">
        <f t="shared" si="76"/>
        <v>671.33</v>
      </c>
      <c r="S135" s="3">
        <f t="shared" si="76"/>
        <v>7746.11</v>
      </c>
      <c r="T135" s="3">
        <f t="shared" si="76"/>
        <v>0</v>
      </c>
      <c r="U135" s="3">
        <f>U105</f>
        <v>496.416</v>
      </c>
      <c r="V135" s="3">
        <f>V105</f>
        <v>0</v>
      </c>
      <c r="W135" s="3">
        <f>ROUND(W105,2)</f>
        <v>0</v>
      </c>
      <c r="X135" s="3">
        <f>ROUND(X105,2)</f>
        <v>5809.59</v>
      </c>
      <c r="Y135" s="3">
        <f>ROUND(Y105,2)</f>
        <v>5422.28</v>
      </c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>
        <f t="shared" ref="AO135:BD135" si="77">ROUND(AO105,2)</f>
        <v>0</v>
      </c>
      <c r="AP135" s="3">
        <f t="shared" si="77"/>
        <v>0</v>
      </c>
      <c r="AQ135" s="3">
        <f t="shared" si="77"/>
        <v>0</v>
      </c>
      <c r="AR135" s="3">
        <f t="shared" si="77"/>
        <v>33312.44</v>
      </c>
      <c r="AS135" s="3">
        <f t="shared" si="77"/>
        <v>14334.46</v>
      </c>
      <c r="AT135" s="3">
        <f t="shared" si="77"/>
        <v>0</v>
      </c>
      <c r="AU135" s="3">
        <f t="shared" si="77"/>
        <v>18977.98</v>
      </c>
      <c r="AV135" s="3">
        <f t="shared" si="77"/>
        <v>0</v>
      </c>
      <c r="AW135" s="3">
        <f t="shared" si="77"/>
        <v>0</v>
      </c>
      <c r="AX135" s="3">
        <f t="shared" si="77"/>
        <v>0</v>
      </c>
      <c r="AY135" s="3">
        <f t="shared" si="77"/>
        <v>0</v>
      </c>
      <c r="AZ135" s="3">
        <f t="shared" si="77"/>
        <v>0</v>
      </c>
      <c r="BA135" s="3">
        <f t="shared" si="77"/>
        <v>0</v>
      </c>
      <c r="BB135" s="3">
        <f t="shared" si="77"/>
        <v>0</v>
      </c>
      <c r="BC135" s="3">
        <f t="shared" si="77"/>
        <v>0</v>
      </c>
      <c r="BD135" s="3">
        <f t="shared" si="77"/>
        <v>0</v>
      </c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4">
        <f t="shared" ref="DG135:DL135" si="78">ROUND(DG105,2)</f>
        <v>504819.33</v>
      </c>
      <c r="DH135" s="4">
        <f t="shared" si="78"/>
        <v>0</v>
      </c>
      <c r="DI135" s="4">
        <f t="shared" si="78"/>
        <v>143308.37</v>
      </c>
      <c r="DJ135" s="4">
        <f t="shared" si="78"/>
        <v>31330.97</v>
      </c>
      <c r="DK135" s="4">
        <f t="shared" si="78"/>
        <v>361510.96</v>
      </c>
      <c r="DL135" s="4">
        <f t="shared" si="78"/>
        <v>0</v>
      </c>
      <c r="DM135" s="4">
        <f>DM105</f>
        <v>496.416</v>
      </c>
      <c r="DN135" s="4">
        <f>DN105</f>
        <v>0</v>
      </c>
      <c r="DO135" s="4">
        <f>ROUND(DO105,2)</f>
        <v>0</v>
      </c>
      <c r="DP135" s="4">
        <f>ROUND(DP105,2)</f>
        <v>253057.67</v>
      </c>
      <c r="DQ135" s="4">
        <f>ROUND(DQ105,2)</f>
        <v>148219.5</v>
      </c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>
        <f t="shared" ref="EG135:EV135" si="79">ROUND(EG105,2)</f>
        <v>0</v>
      </c>
      <c r="EH135" s="4">
        <f t="shared" si="79"/>
        <v>0</v>
      </c>
      <c r="EI135" s="4">
        <f t="shared" si="79"/>
        <v>0</v>
      </c>
      <c r="EJ135" s="4">
        <f t="shared" si="79"/>
        <v>956226.05</v>
      </c>
      <c r="EK135" s="4">
        <f t="shared" si="79"/>
        <v>193437.92</v>
      </c>
      <c r="EL135" s="4">
        <f t="shared" si="79"/>
        <v>0</v>
      </c>
      <c r="EM135" s="4">
        <f t="shared" si="79"/>
        <v>762788.13</v>
      </c>
      <c r="EN135" s="4">
        <f t="shared" si="79"/>
        <v>0</v>
      </c>
      <c r="EO135" s="4">
        <f t="shared" si="79"/>
        <v>0</v>
      </c>
      <c r="EP135" s="4">
        <f t="shared" si="79"/>
        <v>0</v>
      </c>
      <c r="EQ135" s="4">
        <f t="shared" si="79"/>
        <v>0</v>
      </c>
      <c r="ER135" s="4">
        <f t="shared" si="79"/>
        <v>0</v>
      </c>
      <c r="ES135" s="4">
        <f t="shared" si="79"/>
        <v>0</v>
      </c>
      <c r="ET135" s="4">
        <f t="shared" si="79"/>
        <v>0</v>
      </c>
      <c r="EU135" s="4">
        <f t="shared" si="79"/>
        <v>0</v>
      </c>
      <c r="EV135" s="4">
        <f t="shared" si="79"/>
        <v>0</v>
      </c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>
        <v>0</v>
      </c>
    </row>
    <row r="137" spans="1:206">
      <c r="A137" s="5">
        <v>50</v>
      </c>
      <c r="B137" s="5">
        <v>0</v>
      </c>
      <c r="C137" s="5">
        <v>0</v>
      </c>
      <c r="D137" s="5">
        <v>1</v>
      </c>
      <c r="E137" s="5">
        <v>201</v>
      </c>
      <c r="F137" s="5">
        <f>ROUND(Source!O135,O137)</f>
        <v>20905.740000000002</v>
      </c>
      <c r="G137" s="5" t="s">
        <v>49</v>
      </c>
      <c r="H137" s="5" t="s">
        <v>50</v>
      </c>
      <c r="I137" s="5"/>
      <c r="J137" s="5"/>
      <c r="K137" s="5">
        <v>201</v>
      </c>
      <c r="L137" s="5">
        <v>1</v>
      </c>
      <c r="M137" s="5">
        <v>3</v>
      </c>
      <c r="N137" s="5" t="s">
        <v>6</v>
      </c>
      <c r="O137" s="5">
        <v>2</v>
      </c>
      <c r="P137" s="5">
        <f>ROUND(Source!DG135,O137)</f>
        <v>504819.33</v>
      </c>
      <c r="Q137" s="5"/>
      <c r="R137" s="5"/>
      <c r="S137" s="5"/>
      <c r="T137" s="5"/>
      <c r="U137" s="5"/>
      <c r="V137" s="5"/>
      <c r="W137" s="5">
        <v>20905.740000000002</v>
      </c>
      <c r="X137" s="5">
        <v>1</v>
      </c>
      <c r="Y137" s="5">
        <v>20905.740000000002</v>
      </c>
      <c r="Z137" s="5">
        <v>504819.33</v>
      </c>
      <c r="AA137" s="5">
        <v>1</v>
      </c>
      <c r="AB137" s="5">
        <v>504819.33</v>
      </c>
    </row>
    <row r="138" spans="1:206">
      <c r="A138" s="5">
        <v>50</v>
      </c>
      <c r="B138" s="5">
        <v>0</v>
      </c>
      <c r="C138" s="5">
        <v>0</v>
      </c>
      <c r="D138" s="5">
        <v>1</v>
      </c>
      <c r="E138" s="5">
        <v>202</v>
      </c>
      <c r="F138" s="5">
        <f>ROUND(Source!P135,O138)</f>
        <v>0</v>
      </c>
      <c r="G138" s="5" t="s">
        <v>51</v>
      </c>
      <c r="H138" s="5" t="s">
        <v>52</v>
      </c>
      <c r="I138" s="5"/>
      <c r="J138" s="5"/>
      <c r="K138" s="5">
        <v>202</v>
      </c>
      <c r="L138" s="5">
        <v>2</v>
      </c>
      <c r="M138" s="5">
        <v>3</v>
      </c>
      <c r="N138" s="5" t="s">
        <v>6</v>
      </c>
      <c r="O138" s="5">
        <v>2</v>
      </c>
      <c r="P138" s="5">
        <f>ROUND(Source!DH135,O138)</f>
        <v>0</v>
      </c>
      <c r="Q138" s="5"/>
      <c r="R138" s="5"/>
      <c r="S138" s="5"/>
      <c r="T138" s="5"/>
      <c r="U138" s="5"/>
      <c r="V138" s="5"/>
      <c r="W138" s="5">
        <v>0</v>
      </c>
      <c r="X138" s="5">
        <v>1</v>
      </c>
      <c r="Y138" s="5">
        <v>0</v>
      </c>
      <c r="Z138" s="5">
        <v>0</v>
      </c>
      <c r="AA138" s="5">
        <v>1</v>
      </c>
      <c r="AB138" s="5">
        <v>0</v>
      </c>
    </row>
    <row r="139" spans="1:206">
      <c r="A139" s="5">
        <v>50</v>
      </c>
      <c r="B139" s="5">
        <v>0</v>
      </c>
      <c r="C139" s="5">
        <v>0</v>
      </c>
      <c r="D139" s="5">
        <v>1</v>
      </c>
      <c r="E139" s="5">
        <v>222</v>
      </c>
      <c r="F139" s="5">
        <f>ROUND(Source!AO135,O139)</f>
        <v>0</v>
      </c>
      <c r="G139" s="5" t="s">
        <v>53</v>
      </c>
      <c r="H139" s="5" t="s">
        <v>54</v>
      </c>
      <c r="I139" s="5"/>
      <c r="J139" s="5"/>
      <c r="K139" s="5">
        <v>222</v>
      </c>
      <c r="L139" s="5">
        <v>3</v>
      </c>
      <c r="M139" s="5">
        <v>3</v>
      </c>
      <c r="N139" s="5" t="s">
        <v>6</v>
      </c>
      <c r="O139" s="5">
        <v>2</v>
      </c>
      <c r="P139" s="5">
        <f>ROUND(Source!EG135,O139)</f>
        <v>0</v>
      </c>
      <c r="Q139" s="5"/>
      <c r="R139" s="5"/>
      <c r="S139" s="5"/>
      <c r="T139" s="5"/>
      <c r="U139" s="5"/>
      <c r="V139" s="5"/>
      <c r="W139" s="5">
        <v>0</v>
      </c>
      <c r="X139" s="5">
        <v>1</v>
      </c>
      <c r="Y139" s="5">
        <v>0</v>
      </c>
      <c r="Z139" s="5">
        <v>0</v>
      </c>
      <c r="AA139" s="5">
        <v>1</v>
      </c>
      <c r="AB139" s="5">
        <v>0</v>
      </c>
    </row>
    <row r="140" spans="1:206">
      <c r="A140" s="5">
        <v>50</v>
      </c>
      <c r="B140" s="5">
        <v>0</v>
      </c>
      <c r="C140" s="5">
        <v>0</v>
      </c>
      <c r="D140" s="5">
        <v>1</v>
      </c>
      <c r="E140" s="5">
        <v>225</v>
      </c>
      <c r="F140" s="5">
        <f>ROUND(Source!AV135,O140)</f>
        <v>0</v>
      </c>
      <c r="G140" s="5" t="s">
        <v>55</v>
      </c>
      <c r="H140" s="5" t="s">
        <v>56</v>
      </c>
      <c r="I140" s="5"/>
      <c r="J140" s="5"/>
      <c r="K140" s="5">
        <v>225</v>
      </c>
      <c r="L140" s="5">
        <v>4</v>
      </c>
      <c r="M140" s="5">
        <v>3</v>
      </c>
      <c r="N140" s="5" t="s">
        <v>6</v>
      </c>
      <c r="O140" s="5">
        <v>2</v>
      </c>
      <c r="P140" s="5">
        <f>ROUND(Source!EN135,O140)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06">
      <c r="A141" s="5">
        <v>50</v>
      </c>
      <c r="B141" s="5">
        <v>0</v>
      </c>
      <c r="C141" s="5">
        <v>0</v>
      </c>
      <c r="D141" s="5">
        <v>1</v>
      </c>
      <c r="E141" s="5">
        <v>226</v>
      </c>
      <c r="F141" s="5">
        <f>ROUND(Source!AW135,O141)</f>
        <v>0</v>
      </c>
      <c r="G141" s="5" t="s">
        <v>57</v>
      </c>
      <c r="H141" s="5" t="s">
        <v>58</v>
      </c>
      <c r="I141" s="5"/>
      <c r="J141" s="5"/>
      <c r="K141" s="5">
        <v>226</v>
      </c>
      <c r="L141" s="5">
        <v>5</v>
      </c>
      <c r="M141" s="5">
        <v>3</v>
      </c>
      <c r="N141" s="5" t="s">
        <v>6</v>
      </c>
      <c r="O141" s="5">
        <v>2</v>
      </c>
      <c r="P141" s="5">
        <f>ROUND(Source!EO135,O141)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06">
      <c r="A142" s="5">
        <v>50</v>
      </c>
      <c r="B142" s="5">
        <v>0</v>
      </c>
      <c r="C142" s="5">
        <v>0</v>
      </c>
      <c r="D142" s="5">
        <v>1</v>
      </c>
      <c r="E142" s="5">
        <v>227</v>
      </c>
      <c r="F142" s="5">
        <f>ROUND(Source!AX135,O142)</f>
        <v>0</v>
      </c>
      <c r="G142" s="5" t="s">
        <v>59</v>
      </c>
      <c r="H142" s="5" t="s">
        <v>60</v>
      </c>
      <c r="I142" s="5"/>
      <c r="J142" s="5"/>
      <c r="K142" s="5">
        <v>227</v>
      </c>
      <c r="L142" s="5">
        <v>6</v>
      </c>
      <c r="M142" s="5">
        <v>3</v>
      </c>
      <c r="N142" s="5" t="s">
        <v>6</v>
      </c>
      <c r="O142" s="5">
        <v>2</v>
      </c>
      <c r="P142" s="5">
        <f>ROUND(Source!EP135,O142)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06">
      <c r="A143" s="5">
        <v>50</v>
      </c>
      <c r="B143" s="5">
        <v>0</v>
      </c>
      <c r="C143" s="5">
        <v>0</v>
      </c>
      <c r="D143" s="5">
        <v>1</v>
      </c>
      <c r="E143" s="5">
        <v>228</v>
      </c>
      <c r="F143" s="5">
        <f>ROUND(Source!AY135,O143)</f>
        <v>0</v>
      </c>
      <c r="G143" s="5" t="s">
        <v>61</v>
      </c>
      <c r="H143" s="5" t="s">
        <v>62</v>
      </c>
      <c r="I143" s="5"/>
      <c r="J143" s="5"/>
      <c r="K143" s="5">
        <v>228</v>
      </c>
      <c r="L143" s="5">
        <v>7</v>
      </c>
      <c r="M143" s="5">
        <v>3</v>
      </c>
      <c r="N143" s="5" t="s">
        <v>6</v>
      </c>
      <c r="O143" s="5">
        <v>2</v>
      </c>
      <c r="P143" s="5">
        <f>ROUND(Source!EQ135,O143)</f>
        <v>0</v>
      </c>
      <c r="Q143" s="5"/>
      <c r="R143" s="5"/>
      <c r="S143" s="5"/>
      <c r="T143" s="5"/>
      <c r="U143" s="5"/>
      <c r="V143" s="5"/>
      <c r="W143" s="5">
        <v>0</v>
      </c>
      <c r="X143" s="5">
        <v>1</v>
      </c>
      <c r="Y143" s="5">
        <v>0</v>
      </c>
      <c r="Z143" s="5">
        <v>0</v>
      </c>
      <c r="AA143" s="5">
        <v>1</v>
      </c>
      <c r="AB143" s="5">
        <v>0</v>
      </c>
    </row>
    <row r="144" spans="1:206">
      <c r="A144" s="5">
        <v>50</v>
      </c>
      <c r="B144" s="5">
        <v>0</v>
      </c>
      <c r="C144" s="5">
        <v>0</v>
      </c>
      <c r="D144" s="5">
        <v>1</v>
      </c>
      <c r="E144" s="5">
        <v>216</v>
      </c>
      <c r="F144" s="5">
        <f>ROUND(Source!AP135,O144)</f>
        <v>0</v>
      </c>
      <c r="G144" s="5" t="s">
        <v>63</v>
      </c>
      <c r="H144" s="5" t="s">
        <v>64</v>
      </c>
      <c r="I144" s="5"/>
      <c r="J144" s="5"/>
      <c r="K144" s="5">
        <v>216</v>
      </c>
      <c r="L144" s="5">
        <v>8</v>
      </c>
      <c r="M144" s="5">
        <v>3</v>
      </c>
      <c r="N144" s="5" t="s">
        <v>6</v>
      </c>
      <c r="O144" s="5">
        <v>2</v>
      </c>
      <c r="P144" s="5">
        <f>ROUND(Source!EH135,O144)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8">
      <c r="A145" s="5">
        <v>50</v>
      </c>
      <c r="B145" s="5">
        <v>0</v>
      </c>
      <c r="C145" s="5">
        <v>0</v>
      </c>
      <c r="D145" s="5">
        <v>1</v>
      </c>
      <c r="E145" s="5">
        <v>223</v>
      </c>
      <c r="F145" s="5">
        <f>ROUND(Source!AQ135,O145)</f>
        <v>0</v>
      </c>
      <c r="G145" s="5" t="s">
        <v>65</v>
      </c>
      <c r="H145" s="5" t="s">
        <v>66</v>
      </c>
      <c r="I145" s="5"/>
      <c r="J145" s="5"/>
      <c r="K145" s="5">
        <v>223</v>
      </c>
      <c r="L145" s="5">
        <v>9</v>
      </c>
      <c r="M145" s="5">
        <v>3</v>
      </c>
      <c r="N145" s="5" t="s">
        <v>6</v>
      </c>
      <c r="O145" s="5">
        <v>2</v>
      </c>
      <c r="P145" s="5">
        <f>ROUND(Source!EI135,O145)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8">
      <c r="A146" s="5">
        <v>50</v>
      </c>
      <c r="B146" s="5">
        <v>0</v>
      </c>
      <c r="C146" s="5">
        <v>0</v>
      </c>
      <c r="D146" s="5">
        <v>1</v>
      </c>
      <c r="E146" s="5">
        <v>229</v>
      </c>
      <c r="F146" s="5">
        <f>ROUND(Source!AZ135,O146)</f>
        <v>0</v>
      </c>
      <c r="G146" s="5" t="s">
        <v>67</v>
      </c>
      <c r="H146" s="5" t="s">
        <v>68</v>
      </c>
      <c r="I146" s="5"/>
      <c r="J146" s="5"/>
      <c r="K146" s="5">
        <v>229</v>
      </c>
      <c r="L146" s="5">
        <v>10</v>
      </c>
      <c r="M146" s="5">
        <v>3</v>
      </c>
      <c r="N146" s="5" t="s">
        <v>6</v>
      </c>
      <c r="O146" s="5">
        <v>2</v>
      </c>
      <c r="P146" s="5">
        <f>ROUND(Source!ER135,O146)</f>
        <v>0</v>
      </c>
      <c r="Q146" s="5"/>
      <c r="R146" s="5"/>
      <c r="S146" s="5"/>
      <c r="T146" s="5"/>
      <c r="U146" s="5"/>
      <c r="V146" s="5"/>
      <c r="W146" s="5">
        <v>0</v>
      </c>
      <c r="X146" s="5">
        <v>1</v>
      </c>
      <c r="Y146" s="5">
        <v>0</v>
      </c>
      <c r="Z146" s="5">
        <v>0</v>
      </c>
      <c r="AA146" s="5">
        <v>1</v>
      </c>
      <c r="AB146" s="5">
        <v>0</v>
      </c>
    </row>
    <row r="147" spans="1:28">
      <c r="A147" s="5">
        <v>50</v>
      </c>
      <c r="B147" s="5">
        <v>0</v>
      </c>
      <c r="C147" s="5">
        <v>0</v>
      </c>
      <c r="D147" s="5">
        <v>1</v>
      </c>
      <c r="E147" s="5">
        <v>203</v>
      </c>
      <c r="F147" s="5">
        <f>ROUND(Source!Q135,O147)</f>
        <v>13159.63</v>
      </c>
      <c r="G147" s="5" t="s">
        <v>69</v>
      </c>
      <c r="H147" s="5" t="s">
        <v>70</v>
      </c>
      <c r="I147" s="5"/>
      <c r="J147" s="5"/>
      <c r="K147" s="5">
        <v>203</v>
      </c>
      <c r="L147" s="5">
        <v>11</v>
      </c>
      <c r="M147" s="5">
        <v>3</v>
      </c>
      <c r="N147" s="5" t="s">
        <v>6</v>
      </c>
      <c r="O147" s="5">
        <v>2</v>
      </c>
      <c r="P147" s="5">
        <f>ROUND(Source!DI135,O147)</f>
        <v>143308.37</v>
      </c>
      <c r="Q147" s="5"/>
      <c r="R147" s="5"/>
      <c r="S147" s="5"/>
      <c r="T147" s="5"/>
      <c r="U147" s="5"/>
      <c r="V147" s="5"/>
      <c r="W147" s="5">
        <v>13159.63</v>
      </c>
      <c r="X147" s="5">
        <v>1</v>
      </c>
      <c r="Y147" s="5">
        <v>13159.63</v>
      </c>
      <c r="Z147" s="5">
        <v>143308.37</v>
      </c>
      <c r="AA147" s="5">
        <v>1</v>
      </c>
      <c r="AB147" s="5">
        <v>143308.37</v>
      </c>
    </row>
    <row r="148" spans="1:28">
      <c r="A148" s="5">
        <v>50</v>
      </c>
      <c r="B148" s="5">
        <v>0</v>
      </c>
      <c r="C148" s="5">
        <v>0</v>
      </c>
      <c r="D148" s="5">
        <v>1</v>
      </c>
      <c r="E148" s="5">
        <v>231</v>
      </c>
      <c r="F148" s="5">
        <f>ROUND(Source!BB135,O148)</f>
        <v>0</v>
      </c>
      <c r="G148" s="5" t="s">
        <v>71</v>
      </c>
      <c r="H148" s="5" t="s">
        <v>72</v>
      </c>
      <c r="I148" s="5"/>
      <c r="J148" s="5"/>
      <c r="K148" s="5">
        <v>231</v>
      </c>
      <c r="L148" s="5">
        <v>12</v>
      </c>
      <c r="M148" s="5">
        <v>3</v>
      </c>
      <c r="N148" s="5" t="s">
        <v>6</v>
      </c>
      <c r="O148" s="5">
        <v>2</v>
      </c>
      <c r="P148" s="5">
        <f>ROUND(Source!ET135,O148)</f>
        <v>0</v>
      </c>
      <c r="Q148" s="5"/>
      <c r="R148" s="5"/>
      <c r="S148" s="5"/>
      <c r="T148" s="5"/>
      <c r="U148" s="5"/>
      <c r="V148" s="5"/>
      <c r="W148" s="5">
        <v>0</v>
      </c>
      <c r="X148" s="5">
        <v>1</v>
      </c>
      <c r="Y148" s="5">
        <v>0</v>
      </c>
      <c r="Z148" s="5">
        <v>0</v>
      </c>
      <c r="AA148" s="5">
        <v>1</v>
      </c>
      <c r="AB148" s="5">
        <v>0</v>
      </c>
    </row>
    <row r="149" spans="1:28">
      <c r="A149" s="5">
        <v>50</v>
      </c>
      <c r="B149" s="5">
        <v>0</v>
      </c>
      <c r="C149" s="5">
        <v>0</v>
      </c>
      <c r="D149" s="5">
        <v>1</v>
      </c>
      <c r="E149" s="5">
        <v>204</v>
      </c>
      <c r="F149" s="5">
        <f>ROUND(Source!R135,O149)</f>
        <v>671.33</v>
      </c>
      <c r="G149" s="5" t="s">
        <v>73</v>
      </c>
      <c r="H149" s="5" t="s">
        <v>74</v>
      </c>
      <c r="I149" s="5"/>
      <c r="J149" s="5"/>
      <c r="K149" s="5">
        <v>204</v>
      </c>
      <c r="L149" s="5">
        <v>13</v>
      </c>
      <c r="M149" s="5">
        <v>3</v>
      </c>
      <c r="N149" s="5" t="s">
        <v>6</v>
      </c>
      <c r="O149" s="5">
        <v>2</v>
      </c>
      <c r="P149" s="5">
        <f>ROUND(Source!DJ135,O149)</f>
        <v>31330.97</v>
      </c>
      <c r="Q149" s="5"/>
      <c r="R149" s="5"/>
      <c r="S149" s="5"/>
      <c r="T149" s="5"/>
      <c r="U149" s="5"/>
      <c r="V149" s="5"/>
      <c r="W149" s="5">
        <v>671.33</v>
      </c>
      <c r="X149" s="5">
        <v>1</v>
      </c>
      <c r="Y149" s="5">
        <v>671.33</v>
      </c>
      <c r="Z149" s="5">
        <v>31330.97</v>
      </c>
      <c r="AA149" s="5">
        <v>1</v>
      </c>
      <c r="AB149" s="5">
        <v>31330.97</v>
      </c>
    </row>
    <row r="150" spans="1:28">
      <c r="A150" s="5">
        <v>50</v>
      </c>
      <c r="B150" s="5">
        <v>0</v>
      </c>
      <c r="C150" s="5">
        <v>0</v>
      </c>
      <c r="D150" s="5">
        <v>1</v>
      </c>
      <c r="E150" s="5">
        <v>205</v>
      </c>
      <c r="F150" s="5">
        <f>ROUND(Source!S135,O150)</f>
        <v>7746.11</v>
      </c>
      <c r="G150" s="5" t="s">
        <v>75</v>
      </c>
      <c r="H150" s="5" t="s">
        <v>76</v>
      </c>
      <c r="I150" s="5"/>
      <c r="J150" s="5"/>
      <c r="K150" s="5">
        <v>205</v>
      </c>
      <c r="L150" s="5">
        <v>14</v>
      </c>
      <c r="M150" s="5">
        <v>3</v>
      </c>
      <c r="N150" s="5" t="s">
        <v>6</v>
      </c>
      <c r="O150" s="5">
        <v>2</v>
      </c>
      <c r="P150" s="5">
        <f>ROUND(Source!DK135,O150)</f>
        <v>361510.96</v>
      </c>
      <c r="Q150" s="5"/>
      <c r="R150" s="5"/>
      <c r="S150" s="5"/>
      <c r="T150" s="5"/>
      <c r="U150" s="5"/>
      <c r="V150" s="5"/>
      <c r="W150" s="5">
        <v>7746.11</v>
      </c>
      <c r="X150" s="5">
        <v>1</v>
      </c>
      <c r="Y150" s="5">
        <v>7746.11</v>
      </c>
      <c r="Z150" s="5">
        <v>361510.96</v>
      </c>
      <c r="AA150" s="5">
        <v>1</v>
      </c>
      <c r="AB150" s="5">
        <v>361510.96</v>
      </c>
    </row>
    <row r="151" spans="1:28">
      <c r="A151" s="5">
        <v>50</v>
      </c>
      <c r="B151" s="5">
        <v>0</v>
      </c>
      <c r="C151" s="5">
        <v>0</v>
      </c>
      <c r="D151" s="5">
        <v>1</v>
      </c>
      <c r="E151" s="5">
        <v>232</v>
      </c>
      <c r="F151" s="5">
        <f>ROUND(Source!BC135,O151)</f>
        <v>0</v>
      </c>
      <c r="G151" s="5" t="s">
        <v>77</v>
      </c>
      <c r="H151" s="5" t="s">
        <v>78</v>
      </c>
      <c r="I151" s="5"/>
      <c r="J151" s="5"/>
      <c r="K151" s="5">
        <v>232</v>
      </c>
      <c r="L151" s="5">
        <v>15</v>
      </c>
      <c r="M151" s="5">
        <v>3</v>
      </c>
      <c r="N151" s="5" t="s">
        <v>6</v>
      </c>
      <c r="O151" s="5">
        <v>2</v>
      </c>
      <c r="P151" s="5">
        <f>ROUND(Source!EU135,O151)</f>
        <v>0</v>
      </c>
      <c r="Q151" s="5"/>
      <c r="R151" s="5"/>
      <c r="S151" s="5"/>
      <c r="T151" s="5"/>
      <c r="U151" s="5"/>
      <c r="V151" s="5"/>
      <c r="W151" s="5">
        <v>0</v>
      </c>
      <c r="X151" s="5">
        <v>1</v>
      </c>
      <c r="Y151" s="5">
        <v>0</v>
      </c>
      <c r="Z151" s="5">
        <v>0</v>
      </c>
      <c r="AA151" s="5">
        <v>1</v>
      </c>
      <c r="AB151" s="5">
        <v>0</v>
      </c>
    </row>
    <row r="152" spans="1:28">
      <c r="A152" s="5">
        <v>50</v>
      </c>
      <c r="B152" s="5">
        <v>0</v>
      </c>
      <c r="C152" s="5">
        <v>0</v>
      </c>
      <c r="D152" s="5">
        <v>1</v>
      </c>
      <c r="E152" s="5">
        <v>214</v>
      </c>
      <c r="F152" s="5">
        <f>ROUND(Source!AS135,O152)</f>
        <v>14334.46</v>
      </c>
      <c r="G152" s="5" t="s">
        <v>79</v>
      </c>
      <c r="H152" s="5" t="s">
        <v>80</v>
      </c>
      <c r="I152" s="5"/>
      <c r="J152" s="5"/>
      <c r="K152" s="5">
        <v>214</v>
      </c>
      <c r="L152" s="5">
        <v>16</v>
      </c>
      <c r="M152" s="5">
        <v>3</v>
      </c>
      <c r="N152" s="5" t="s">
        <v>6</v>
      </c>
      <c r="O152" s="5">
        <v>2</v>
      </c>
      <c r="P152" s="5">
        <f>ROUND(Source!EK135,O152)</f>
        <v>193437.92</v>
      </c>
      <c r="Q152" s="5"/>
      <c r="R152" s="5"/>
      <c r="S152" s="5"/>
      <c r="T152" s="5"/>
      <c r="U152" s="5"/>
      <c r="V152" s="5"/>
      <c r="W152" s="5">
        <v>14334.46</v>
      </c>
      <c r="X152" s="5">
        <v>1</v>
      </c>
      <c r="Y152" s="5">
        <v>14334.46</v>
      </c>
      <c r="Z152" s="5">
        <v>193437.92</v>
      </c>
      <c r="AA152" s="5">
        <v>1</v>
      </c>
      <c r="AB152" s="5">
        <v>193437.92</v>
      </c>
    </row>
    <row r="153" spans="1:28">
      <c r="A153" s="5">
        <v>50</v>
      </c>
      <c r="B153" s="5">
        <v>0</v>
      </c>
      <c r="C153" s="5">
        <v>0</v>
      </c>
      <c r="D153" s="5">
        <v>1</v>
      </c>
      <c r="E153" s="5">
        <v>215</v>
      </c>
      <c r="F153" s="5">
        <f>ROUND(Source!AT135,O153)</f>
        <v>0</v>
      </c>
      <c r="G153" s="5" t="s">
        <v>81</v>
      </c>
      <c r="H153" s="5" t="s">
        <v>82</v>
      </c>
      <c r="I153" s="5"/>
      <c r="J153" s="5"/>
      <c r="K153" s="5">
        <v>215</v>
      </c>
      <c r="L153" s="5">
        <v>17</v>
      </c>
      <c r="M153" s="5">
        <v>3</v>
      </c>
      <c r="N153" s="5" t="s">
        <v>6</v>
      </c>
      <c r="O153" s="5">
        <v>2</v>
      </c>
      <c r="P153" s="5">
        <f>ROUND(Source!EL135,O153)</f>
        <v>0</v>
      </c>
      <c r="Q153" s="5"/>
      <c r="R153" s="5"/>
      <c r="S153" s="5"/>
      <c r="T153" s="5"/>
      <c r="U153" s="5"/>
      <c r="V153" s="5"/>
      <c r="W153" s="5">
        <v>0</v>
      </c>
      <c r="X153" s="5">
        <v>1</v>
      </c>
      <c r="Y153" s="5">
        <v>0</v>
      </c>
      <c r="Z153" s="5">
        <v>0</v>
      </c>
      <c r="AA153" s="5">
        <v>1</v>
      </c>
      <c r="AB153" s="5">
        <v>0</v>
      </c>
    </row>
    <row r="154" spans="1:28">
      <c r="A154" s="5">
        <v>50</v>
      </c>
      <c r="B154" s="5">
        <v>0</v>
      </c>
      <c r="C154" s="5">
        <v>0</v>
      </c>
      <c r="D154" s="5">
        <v>1</v>
      </c>
      <c r="E154" s="5">
        <v>217</v>
      </c>
      <c r="F154" s="5">
        <f>ROUND(Source!AU135,O154)</f>
        <v>18977.98</v>
      </c>
      <c r="G154" s="5" t="s">
        <v>83</v>
      </c>
      <c r="H154" s="5" t="s">
        <v>84</v>
      </c>
      <c r="I154" s="5"/>
      <c r="J154" s="5"/>
      <c r="K154" s="5">
        <v>217</v>
      </c>
      <c r="L154" s="5">
        <v>18</v>
      </c>
      <c r="M154" s="5">
        <v>3</v>
      </c>
      <c r="N154" s="5" t="s">
        <v>6</v>
      </c>
      <c r="O154" s="5">
        <v>2</v>
      </c>
      <c r="P154" s="5">
        <f>ROUND(Source!EM135,O154)</f>
        <v>762788.13</v>
      </c>
      <c r="Q154" s="5"/>
      <c r="R154" s="5"/>
      <c r="S154" s="5"/>
      <c r="T154" s="5"/>
      <c r="U154" s="5"/>
      <c r="V154" s="5"/>
      <c r="W154" s="5">
        <v>18977.98</v>
      </c>
      <c r="X154" s="5">
        <v>1</v>
      </c>
      <c r="Y154" s="5">
        <v>18977.98</v>
      </c>
      <c r="Z154" s="5">
        <v>762788.13</v>
      </c>
      <c r="AA154" s="5">
        <v>1</v>
      </c>
      <c r="AB154" s="5">
        <v>762788.13</v>
      </c>
    </row>
    <row r="155" spans="1:28">
      <c r="A155" s="5">
        <v>50</v>
      </c>
      <c r="B155" s="5">
        <v>0</v>
      </c>
      <c r="C155" s="5">
        <v>0</v>
      </c>
      <c r="D155" s="5">
        <v>1</v>
      </c>
      <c r="E155" s="5">
        <v>230</v>
      </c>
      <c r="F155" s="5">
        <f>ROUND(Source!BA135,O155)</f>
        <v>0</v>
      </c>
      <c r="G155" s="5" t="s">
        <v>85</v>
      </c>
      <c r="H155" s="5" t="s">
        <v>86</v>
      </c>
      <c r="I155" s="5"/>
      <c r="J155" s="5"/>
      <c r="K155" s="5">
        <v>230</v>
      </c>
      <c r="L155" s="5">
        <v>19</v>
      </c>
      <c r="M155" s="5">
        <v>3</v>
      </c>
      <c r="N155" s="5" t="s">
        <v>6</v>
      </c>
      <c r="O155" s="5">
        <v>2</v>
      </c>
      <c r="P155" s="5">
        <f>ROUND(Source!ES135,O155)</f>
        <v>0</v>
      </c>
      <c r="Q155" s="5"/>
      <c r="R155" s="5"/>
      <c r="S155" s="5"/>
      <c r="T155" s="5"/>
      <c r="U155" s="5"/>
      <c r="V155" s="5"/>
      <c r="W155" s="5">
        <v>0</v>
      </c>
      <c r="X155" s="5">
        <v>1</v>
      </c>
      <c r="Y155" s="5">
        <v>0</v>
      </c>
      <c r="Z155" s="5">
        <v>0</v>
      </c>
      <c r="AA155" s="5">
        <v>1</v>
      </c>
      <c r="AB155" s="5">
        <v>0</v>
      </c>
    </row>
    <row r="156" spans="1:28">
      <c r="A156" s="5">
        <v>50</v>
      </c>
      <c r="B156" s="5">
        <v>0</v>
      </c>
      <c r="C156" s="5">
        <v>0</v>
      </c>
      <c r="D156" s="5">
        <v>1</v>
      </c>
      <c r="E156" s="5">
        <v>206</v>
      </c>
      <c r="F156" s="5">
        <f>ROUND(Source!T135,O156)</f>
        <v>0</v>
      </c>
      <c r="G156" s="5" t="s">
        <v>87</v>
      </c>
      <c r="H156" s="5" t="s">
        <v>88</v>
      </c>
      <c r="I156" s="5"/>
      <c r="J156" s="5"/>
      <c r="K156" s="5">
        <v>206</v>
      </c>
      <c r="L156" s="5">
        <v>20</v>
      </c>
      <c r="M156" s="5">
        <v>3</v>
      </c>
      <c r="N156" s="5" t="s">
        <v>6</v>
      </c>
      <c r="O156" s="5">
        <v>2</v>
      </c>
      <c r="P156" s="5">
        <f>ROUND(Source!DL135,O156)</f>
        <v>0</v>
      </c>
      <c r="Q156" s="5"/>
      <c r="R156" s="5"/>
      <c r="S156" s="5"/>
      <c r="T156" s="5"/>
      <c r="U156" s="5"/>
      <c r="V156" s="5"/>
      <c r="W156" s="5">
        <v>0</v>
      </c>
      <c r="X156" s="5">
        <v>1</v>
      </c>
      <c r="Y156" s="5">
        <v>0</v>
      </c>
      <c r="Z156" s="5">
        <v>0</v>
      </c>
      <c r="AA156" s="5">
        <v>1</v>
      </c>
      <c r="AB156" s="5">
        <v>0</v>
      </c>
    </row>
    <row r="157" spans="1:28">
      <c r="A157" s="5">
        <v>50</v>
      </c>
      <c r="B157" s="5">
        <v>0</v>
      </c>
      <c r="C157" s="5">
        <v>0</v>
      </c>
      <c r="D157" s="5">
        <v>1</v>
      </c>
      <c r="E157" s="5">
        <v>207</v>
      </c>
      <c r="F157" s="5">
        <f>Source!U135</f>
        <v>496.416</v>
      </c>
      <c r="G157" s="5" t="s">
        <v>89</v>
      </c>
      <c r="H157" s="5" t="s">
        <v>90</v>
      </c>
      <c r="I157" s="5"/>
      <c r="J157" s="5"/>
      <c r="K157" s="5">
        <v>207</v>
      </c>
      <c r="L157" s="5">
        <v>21</v>
      </c>
      <c r="M157" s="5">
        <v>3</v>
      </c>
      <c r="N157" s="5" t="s">
        <v>6</v>
      </c>
      <c r="O157" s="5">
        <v>-1</v>
      </c>
      <c r="P157" s="5">
        <f>Source!DM135</f>
        <v>496.416</v>
      </c>
      <c r="Q157" s="5"/>
      <c r="R157" s="5"/>
      <c r="S157" s="5"/>
      <c r="T157" s="5"/>
      <c r="U157" s="5"/>
      <c r="V157" s="5"/>
      <c r="W157" s="5">
        <v>496.41599999999994</v>
      </c>
      <c r="X157" s="5">
        <v>1</v>
      </c>
      <c r="Y157" s="5">
        <v>496.41599999999994</v>
      </c>
      <c r="Z157" s="5">
        <v>496.41599999999994</v>
      </c>
      <c r="AA157" s="5">
        <v>1</v>
      </c>
      <c r="AB157" s="5">
        <v>496.41599999999994</v>
      </c>
    </row>
    <row r="158" spans="1:28">
      <c r="A158" s="5">
        <v>50</v>
      </c>
      <c r="B158" s="5">
        <v>0</v>
      </c>
      <c r="C158" s="5">
        <v>0</v>
      </c>
      <c r="D158" s="5">
        <v>1</v>
      </c>
      <c r="E158" s="5">
        <v>208</v>
      </c>
      <c r="F158" s="5">
        <f>Source!V135</f>
        <v>0</v>
      </c>
      <c r="G158" s="5" t="s">
        <v>91</v>
      </c>
      <c r="H158" s="5" t="s">
        <v>92</v>
      </c>
      <c r="I158" s="5"/>
      <c r="J158" s="5"/>
      <c r="K158" s="5">
        <v>208</v>
      </c>
      <c r="L158" s="5">
        <v>22</v>
      </c>
      <c r="M158" s="5">
        <v>3</v>
      </c>
      <c r="N158" s="5" t="s">
        <v>6</v>
      </c>
      <c r="O158" s="5">
        <v>-1</v>
      </c>
      <c r="P158" s="5">
        <f>Source!DN135</f>
        <v>0</v>
      </c>
      <c r="Q158" s="5"/>
      <c r="R158" s="5"/>
      <c r="S158" s="5"/>
      <c r="T158" s="5"/>
      <c r="U158" s="5"/>
      <c r="V158" s="5"/>
      <c r="W158" s="5">
        <v>0</v>
      </c>
      <c r="X158" s="5">
        <v>1</v>
      </c>
      <c r="Y158" s="5">
        <v>0</v>
      </c>
      <c r="Z158" s="5">
        <v>0</v>
      </c>
      <c r="AA158" s="5">
        <v>1</v>
      </c>
      <c r="AB158" s="5">
        <v>0</v>
      </c>
    </row>
    <row r="159" spans="1:28">
      <c r="A159" s="5">
        <v>50</v>
      </c>
      <c r="B159" s="5">
        <v>0</v>
      </c>
      <c r="C159" s="5">
        <v>0</v>
      </c>
      <c r="D159" s="5">
        <v>1</v>
      </c>
      <c r="E159" s="5">
        <v>209</v>
      </c>
      <c r="F159" s="5">
        <f>ROUND(Source!W135,O159)</f>
        <v>0</v>
      </c>
      <c r="G159" s="5" t="s">
        <v>93</v>
      </c>
      <c r="H159" s="5" t="s">
        <v>94</v>
      </c>
      <c r="I159" s="5"/>
      <c r="J159" s="5"/>
      <c r="K159" s="5">
        <v>209</v>
      </c>
      <c r="L159" s="5">
        <v>23</v>
      </c>
      <c r="M159" s="5">
        <v>3</v>
      </c>
      <c r="N159" s="5" t="s">
        <v>6</v>
      </c>
      <c r="O159" s="5">
        <v>2</v>
      </c>
      <c r="P159" s="5">
        <f>ROUND(Source!DO135,O159)</f>
        <v>0</v>
      </c>
      <c r="Q159" s="5"/>
      <c r="R159" s="5"/>
      <c r="S159" s="5"/>
      <c r="T159" s="5"/>
      <c r="U159" s="5"/>
      <c r="V159" s="5"/>
      <c r="W159" s="5">
        <v>0</v>
      </c>
      <c r="X159" s="5">
        <v>1</v>
      </c>
      <c r="Y159" s="5">
        <v>0</v>
      </c>
      <c r="Z159" s="5">
        <v>0</v>
      </c>
      <c r="AA159" s="5">
        <v>1</v>
      </c>
      <c r="AB159" s="5">
        <v>0</v>
      </c>
    </row>
    <row r="160" spans="1:28">
      <c r="A160" s="5">
        <v>50</v>
      </c>
      <c r="B160" s="5">
        <v>0</v>
      </c>
      <c r="C160" s="5">
        <v>0</v>
      </c>
      <c r="D160" s="5">
        <v>1</v>
      </c>
      <c r="E160" s="5">
        <v>233</v>
      </c>
      <c r="F160" s="5">
        <f>ROUND(Source!BD135,O160)</f>
        <v>0</v>
      </c>
      <c r="G160" s="5" t="s">
        <v>95</v>
      </c>
      <c r="H160" s="5" t="s">
        <v>96</v>
      </c>
      <c r="I160" s="5"/>
      <c r="J160" s="5"/>
      <c r="K160" s="5">
        <v>233</v>
      </c>
      <c r="L160" s="5">
        <v>24</v>
      </c>
      <c r="M160" s="5">
        <v>3</v>
      </c>
      <c r="N160" s="5" t="s">
        <v>6</v>
      </c>
      <c r="O160" s="5">
        <v>2</v>
      </c>
      <c r="P160" s="5">
        <f>ROUND(Source!EV135,O160)</f>
        <v>0</v>
      </c>
      <c r="Q160" s="5"/>
      <c r="R160" s="5"/>
      <c r="S160" s="5"/>
      <c r="T160" s="5"/>
      <c r="U160" s="5"/>
      <c r="V160" s="5"/>
      <c r="W160" s="5">
        <v>0</v>
      </c>
      <c r="X160" s="5">
        <v>1</v>
      </c>
      <c r="Y160" s="5">
        <v>0</v>
      </c>
      <c r="Z160" s="5">
        <v>0</v>
      </c>
      <c r="AA160" s="5">
        <v>1</v>
      </c>
      <c r="AB160" s="5">
        <v>0</v>
      </c>
    </row>
    <row r="161" spans="1:28">
      <c r="A161" s="5">
        <v>50</v>
      </c>
      <c r="B161" s="5">
        <v>0</v>
      </c>
      <c r="C161" s="5">
        <v>0</v>
      </c>
      <c r="D161" s="5">
        <v>1</v>
      </c>
      <c r="E161" s="5">
        <v>210</v>
      </c>
      <c r="F161" s="5">
        <f>ROUND(Source!X135,O161)</f>
        <v>5809.59</v>
      </c>
      <c r="G161" s="5" t="s">
        <v>97</v>
      </c>
      <c r="H161" s="5" t="s">
        <v>98</v>
      </c>
      <c r="I161" s="5"/>
      <c r="J161" s="5"/>
      <c r="K161" s="5">
        <v>210</v>
      </c>
      <c r="L161" s="5">
        <v>25</v>
      </c>
      <c r="M161" s="5">
        <v>3</v>
      </c>
      <c r="N161" s="5" t="s">
        <v>6</v>
      </c>
      <c r="O161" s="5">
        <v>2</v>
      </c>
      <c r="P161" s="5">
        <f>ROUND(Source!DP135,O161)</f>
        <v>253057.67</v>
      </c>
      <c r="Q161" s="5"/>
      <c r="R161" s="5"/>
      <c r="S161" s="5"/>
      <c r="T161" s="5"/>
      <c r="U161" s="5"/>
      <c r="V161" s="5"/>
      <c r="W161" s="5">
        <v>5809.59</v>
      </c>
      <c r="X161" s="5">
        <v>1</v>
      </c>
      <c r="Y161" s="5">
        <v>5809.59</v>
      </c>
      <c r="Z161" s="5">
        <v>253057.67</v>
      </c>
      <c r="AA161" s="5">
        <v>1</v>
      </c>
      <c r="AB161" s="5">
        <v>253057.67</v>
      </c>
    </row>
    <row r="162" spans="1:28">
      <c r="A162" s="5">
        <v>50</v>
      </c>
      <c r="B162" s="5">
        <v>0</v>
      </c>
      <c r="C162" s="5">
        <v>0</v>
      </c>
      <c r="D162" s="5">
        <v>1</v>
      </c>
      <c r="E162" s="5">
        <v>211</v>
      </c>
      <c r="F162" s="5">
        <f>ROUND(Source!Y135,O162)</f>
        <v>5422.28</v>
      </c>
      <c r="G162" s="5" t="s">
        <v>99</v>
      </c>
      <c r="H162" s="5" t="s">
        <v>100</v>
      </c>
      <c r="I162" s="5"/>
      <c r="J162" s="5"/>
      <c r="K162" s="5">
        <v>211</v>
      </c>
      <c r="L162" s="5">
        <v>26</v>
      </c>
      <c r="M162" s="5">
        <v>3</v>
      </c>
      <c r="N162" s="5" t="s">
        <v>6</v>
      </c>
      <c r="O162" s="5">
        <v>2</v>
      </c>
      <c r="P162" s="5">
        <f>ROUND(Source!DQ135,O162)</f>
        <v>148219.5</v>
      </c>
      <c r="Q162" s="5"/>
      <c r="R162" s="5"/>
      <c r="S162" s="5"/>
      <c r="T162" s="5"/>
      <c r="U162" s="5"/>
      <c r="V162" s="5"/>
      <c r="W162" s="5">
        <v>5422.28</v>
      </c>
      <c r="X162" s="5">
        <v>1</v>
      </c>
      <c r="Y162" s="5">
        <v>5422.28</v>
      </c>
      <c r="Z162" s="5">
        <v>148219.5</v>
      </c>
      <c r="AA162" s="5">
        <v>1</v>
      </c>
      <c r="AB162" s="5">
        <v>148219.5</v>
      </c>
    </row>
    <row r="163" spans="1:28">
      <c r="A163" s="5">
        <v>50</v>
      </c>
      <c r="B163" s="5">
        <v>0</v>
      </c>
      <c r="C163" s="5">
        <v>0</v>
      </c>
      <c r="D163" s="5">
        <v>1</v>
      </c>
      <c r="E163" s="5">
        <v>224</v>
      </c>
      <c r="F163" s="5">
        <f>ROUND(Source!AR135,O163)</f>
        <v>33312.44</v>
      </c>
      <c r="G163" s="5" t="s">
        <v>101</v>
      </c>
      <c r="H163" s="5" t="s">
        <v>102</v>
      </c>
      <c r="I163" s="5"/>
      <c r="J163" s="5"/>
      <c r="K163" s="5">
        <v>224</v>
      </c>
      <c r="L163" s="5">
        <v>27</v>
      </c>
      <c r="M163" s="5">
        <v>3</v>
      </c>
      <c r="N163" s="5" t="s">
        <v>6</v>
      </c>
      <c r="O163" s="5">
        <v>2</v>
      </c>
      <c r="P163" s="5">
        <f>ROUND(Source!EJ135,O163)</f>
        <v>956226.05</v>
      </c>
      <c r="Q163" s="5"/>
      <c r="R163" s="5"/>
      <c r="S163" s="5"/>
      <c r="T163" s="5"/>
      <c r="U163" s="5"/>
      <c r="V163" s="5"/>
      <c r="W163" s="5">
        <v>33312.44</v>
      </c>
      <c r="X163" s="5">
        <v>1</v>
      </c>
      <c r="Y163" s="5">
        <v>33312.44</v>
      </c>
      <c r="Z163" s="5">
        <v>956226.05</v>
      </c>
      <c r="AA163" s="5">
        <v>1</v>
      </c>
      <c r="AB163" s="5">
        <v>956226.05</v>
      </c>
    </row>
    <row r="164" spans="1:28">
      <c r="A164" s="5">
        <v>50</v>
      </c>
      <c r="B164" s="5">
        <v>1</v>
      </c>
      <c r="C164" s="5">
        <v>0</v>
      </c>
      <c r="D164" s="5">
        <v>2</v>
      </c>
      <c r="E164" s="5">
        <v>0</v>
      </c>
      <c r="F164" s="5">
        <f>F163-F165-F166</f>
        <v>14334.460000000003</v>
      </c>
      <c r="G164" s="5" t="s">
        <v>113</v>
      </c>
      <c r="H164" s="5" t="s">
        <v>114</v>
      </c>
      <c r="I164" s="5"/>
      <c r="J164" s="5"/>
      <c r="K164" s="5">
        <v>212</v>
      </c>
      <c r="L164" s="5">
        <v>28</v>
      </c>
      <c r="M164" s="5">
        <v>0</v>
      </c>
      <c r="N164" s="5" t="s">
        <v>6</v>
      </c>
      <c r="O164" s="5">
        <v>-1</v>
      </c>
      <c r="P164" s="5">
        <f>P163-P165-P166</f>
        <v>193437.92000000004</v>
      </c>
      <c r="Q164" s="5"/>
      <c r="R164" s="5"/>
      <c r="S164" s="5"/>
      <c r="T164" s="5"/>
      <c r="U164" s="5"/>
      <c r="V164" s="5"/>
      <c r="W164" s="5">
        <v>14334.46</v>
      </c>
      <c r="X164" s="5">
        <v>1</v>
      </c>
      <c r="Y164" s="5">
        <v>14334.46</v>
      </c>
      <c r="Z164" s="5">
        <v>193437.92</v>
      </c>
      <c r="AA164" s="5">
        <v>1</v>
      </c>
      <c r="AB164" s="5">
        <v>193437.92</v>
      </c>
    </row>
    <row r="165" spans="1:28">
      <c r="A165" s="5">
        <v>50</v>
      </c>
      <c r="B165" s="5">
        <v>1</v>
      </c>
      <c r="C165" s="5">
        <v>0</v>
      </c>
      <c r="D165" s="5">
        <v>2</v>
      </c>
      <c r="E165" s="5">
        <v>0</v>
      </c>
      <c r="F165" s="5">
        <f>ROUND(F123,O165)</f>
        <v>0</v>
      </c>
      <c r="G165" s="5" t="s">
        <v>115</v>
      </c>
      <c r="H165" s="5" t="s">
        <v>116</v>
      </c>
      <c r="I165" s="5"/>
      <c r="J165" s="5"/>
      <c r="K165" s="5">
        <v>212</v>
      </c>
      <c r="L165" s="5">
        <v>29</v>
      </c>
      <c r="M165" s="5">
        <v>0</v>
      </c>
      <c r="N165" s="5" t="s">
        <v>6</v>
      </c>
      <c r="O165" s="5">
        <v>2</v>
      </c>
      <c r="P165" s="5">
        <f>ROUND(P123,O165)</f>
        <v>0</v>
      </c>
      <c r="Q165" s="5"/>
      <c r="R165" s="5"/>
      <c r="S165" s="5"/>
      <c r="T165" s="5"/>
      <c r="U165" s="5"/>
      <c r="V165" s="5"/>
      <c r="W165" s="5">
        <v>0</v>
      </c>
      <c r="X165" s="5">
        <v>1</v>
      </c>
      <c r="Y165" s="5">
        <v>0</v>
      </c>
      <c r="Z165" s="5">
        <v>0</v>
      </c>
      <c r="AA165" s="5">
        <v>1</v>
      </c>
      <c r="AB165" s="5">
        <v>0</v>
      </c>
    </row>
    <row r="166" spans="1:28">
      <c r="A166" s="5">
        <v>50</v>
      </c>
      <c r="B166" s="5">
        <v>1</v>
      </c>
      <c r="C166" s="5">
        <v>0</v>
      </c>
      <c r="D166" s="5">
        <v>2</v>
      </c>
      <c r="E166" s="5">
        <v>0</v>
      </c>
      <c r="F166" s="5">
        <f>ROUND(F124,O166)</f>
        <v>18977.98</v>
      </c>
      <c r="G166" s="5" t="s">
        <v>117</v>
      </c>
      <c r="H166" s="5" t="s">
        <v>118</v>
      </c>
      <c r="I166" s="5"/>
      <c r="J166" s="5"/>
      <c r="K166" s="5">
        <v>212</v>
      </c>
      <c r="L166" s="5">
        <v>30</v>
      </c>
      <c r="M166" s="5">
        <v>0</v>
      </c>
      <c r="N166" s="5" t="s">
        <v>6</v>
      </c>
      <c r="O166" s="5">
        <v>2</v>
      </c>
      <c r="P166" s="5">
        <f>ROUND(P124,O166)</f>
        <v>762788.13</v>
      </c>
      <c r="Q166" s="5"/>
      <c r="R166" s="5"/>
      <c r="S166" s="5"/>
      <c r="T166" s="5"/>
      <c r="U166" s="5"/>
      <c r="V166" s="5"/>
      <c r="W166" s="5">
        <v>18977.98</v>
      </c>
      <c r="X166" s="5">
        <v>1</v>
      </c>
      <c r="Y166" s="5">
        <v>18977.98</v>
      </c>
      <c r="Z166" s="5">
        <v>762788.13</v>
      </c>
      <c r="AA166" s="5">
        <v>1</v>
      </c>
      <c r="AB166" s="5">
        <v>762788.13</v>
      </c>
    </row>
    <row r="168" spans="1:28">
      <c r="A168">
        <v>71</v>
      </c>
      <c r="B168">
        <v>1</v>
      </c>
      <c r="D168">
        <v>388</v>
      </c>
      <c r="E168">
        <v>51841035</v>
      </c>
      <c r="F168" t="s">
        <v>6</v>
      </c>
      <c r="G168" t="s">
        <v>6</v>
      </c>
      <c r="H168">
        <v>-1</v>
      </c>
      <c r="I168">
        <v>-1</v>
      </c>
    </row>
    <row r="171" spans="1:28">
      <c r="A171">
        <v>70</v>
      </c>
      <c r="B171">
        <v>1</v>
      </c>
      <c r="D171">
        <v>1</v>
      </c>
      <c r="E171" t="s">
        <v>119</v>
      </c>
      <c r="F171" t="s">
        <v>120</v>
      </c>
      <c r="G171">
        <v>0</v>
      </c>
      <c r="H171">
        <v>0</v>
      </c>
      <c r="I171" t="s">
        <v>6</v>
      </c>
      <c r="J171">
        <v>1</v>
      </c>
      <c r="K171">
        <v>0</v>
      </c>
      <c r="L171" t="s">
        <v>6</v>
      </c>
      <c r="M171" t="s">
        <v>6</v>
      </c>
      <c r="N171">
        <v>0</v>
      </c>
      <c r="O171">
        <v>0</v>
      </c>
      <c r="P171" t="s">
        <v>6</v>
      </c>
    </row>
    <row r="172" spans="1:28">
      <c r="A172">
        <v>70</v>
      </c>
      <c r="B172">
        <v>1</v>
      </c>
      <c r="D172">
        <v>2</v>
      </c>
      <c r="E172" t="s">
        <v>121</v>
      </c>
      <c r="F172" t="s">
        <v>122</v>
      </c>
      <c r="G172">
        <v>1</v>
      </c>
      <c r="H172">
        <v>0</v>
      </c>
      <c r="I172" t="s">
        <v>6</v>
      </c>
      <c r="J172">
        <v>1</v>
      </c>
      <c r="K172">
        <v>0</v>
      </c>
      <c r="L172" t="s">
        <v>6</v>
      </c>
      <c r="M172" t="s">
        <v>6</v>
      </c>
      <c r="N172">
        <v>0</v>
      </c>
      <c r="O172">
        <v>1</v>
      </c>
      <c r="P172" t="s">
        <v>6</v>
      </c>
    </row>
    <row r="174" spans="1:28">
      <c r="A174">
        <v>-1</v>
      </c>
    </row>
    <row r="176" spans="1:28">
      <c r="A176" s="4">
        <v>75</v>
      </c>
      <c r="B176" s="4" t="s">
        <v>123</v>
      </c>
      <c r="C176" s="4">
        <v>2025</v>
      </c>
      <c r="D176" s="4">
        <v>0</v>
      </c>
      <c r="E176" s="4">
        <v>1</v>
      </c>
      <c r="F176" s="4"/>
      <c r="G176" s="4">
        <v>0</v>
      </c>
      <c r="H176" s="4">
        <v>2</v>
      </c>
      <c r="I176" s="4">
        <v>1</v>
      </c>
      <c r="J176" s="4">
        <v>1</v>
      </c>
      <c r="K176" s="4">
        <v>95</v>
      </c>
      <c r="L176" s="4">
        <v>65</v>
      </c>
      <c r="M176" s="4">
        <v>1</v>
      </c>
      <c r="N176" s="4">
        <v>70323475</v>
      </c>
      <c r="O176" s="4">
        <v>1</v>
      </c>
    </row>
    <row r="177" spans="1:50">
      <c r="A177" s="6">
        <v>1</v>
      </c>
      <c r="B177" s="6" t="s">
        <v>124</v>
      </c>
      <c r="C177" s="6" t="s">
        <v>125</v>
      </c>
      <c r="D177" s="6">
        <v>2025</v>
      </c>
      <c r="E177" s="6">
        <v>1</v>
      </c>
      <c r="F177" s="6">
        <v>1</v>
      </c>
      <c r="G177" s="6">
        <v>1</v>
      </c>
      <c r="H177" s="6">
        <v>0</v>
      </c>
      <c r="I177" s="6">
        <v>2</v>
      </c>
      <c r="J177" s="6">
        <v>1</v>
      </c>
      <c r="K177" s="6">
        <v>1</v>
      </c>
      <c r="L177" s="6">
        <v>1</v>
      </c>
      <c r="M177" s="6">
        <v>1</v>
      </c>
      <c r="N177" s="6">
        <v>1</v>
      </c>
      <c r="O177" s="6">
        <v>1</v>
      </c>
      <c r="P177" s="6">
        <v>1</v>
      </c>
      <c r="Q177" s="6">
        <v>1</v>
      </c>
      <c r="R177" s="6" t="s">
        <v>6</v>
      </c>
      <c r="S177" s="6" t="s">
        <v>6</v>
      </c>
      <c r="T177" s="6" t="s">
        <v>6</v>
      </c>
      <c r="U177" s="6" t="s">
        <v>6</v>
      </c>
      <c r="V177" s="6" t="s">
        <v>6</v>
      </c>
      <c r="W177" s="6" t="s">
        <v>6</v>
      </c>
      <c r="X177" s="6" t="s">
        <v>6</v>
      </c>
      <c r="Y177" s="6" t="s">
        <v>6</v>
      </c>
      <c r="Z177" s="6" t="s">
        <v>6</v>
      </c>
      <c r="AA177" s="6" t="s">
        <v>126</v>
      </c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>
        <v>70323476</v>
      </c>
      <c r="AO177" s="6"/>
      <c r="AP177" s="6"/>
      <c r="AQ177" s="6"/>
      <c r="AR177" s="6"/>
      <c r="AS177" s="6"/>
      <c r="AT177" s="6"/>
      <c r="AU177" s="6"/>
      <c r="AV177" s="6"/>
      <c r="AW177" s="6"/>
      <c r="AX177" s="6"/>
    </row>
    <row r="178" spans="1:50">
      <c r="A178" s="6">
        <v>1</v>
      </c>
      <c r="B178" s="6" t="s">
        <v>124</v>
      </c>
      <c r="C178" s="6" t="s">
        <v>127</v>
      </c>
      <c r="D178" s="6">
        <v>2025</v>
      </c>
      <c r="E178" s="6">
        <v>1</v>
      </c>
      <c r="F178" s="6">
        <v>1</v>
      </c>
      <c r="G178" s="6">
        <v>1</v>
      </c>
      <c r="H178" s="6">
        <v>0</v>
      </c>
      <c r="I178" s="6">
        <v>2</v>
      </c>
      <c r="J178" s="6">
        <v>1</v>
      </c>
      <c r="K178" s="6">
        <v>1</v>
      </c>
      <c r="L178" s="6">
        <v>1</v>
      </c>
      <c r="M178" s="6">
        <v>1</v>
      </c>
      <c r="N178" s="6">
        <v>1</v>
      </c>
      <c r="O178" s="6">
        <v>1</v>
      </c>
      <c r="P178" s="6">
        <v>1</v>
      </c>
      <c r="Q178" s="6">
        <v>1</v>
      </c>
      <c r="R178" s="6" t="s">
        <v>6</v>
      </c>
      <c r="S178" s="6" t="s">
        <v>6</v>
      </c>
      <c r="T178" s="6" t="s">
        <v>6</v>
      </c>
      <c r="U178" s="6" t="s">
        <v>6</v>
      </c>
      <c r="V178" s="6" t="s">
        <v>6</v>
      </c>
      <c r="W178" s="6" t="s">
        <v>6</v>
      </c>
      <c r="X178" s="6" t="s">
        <v>6</v>
      </c>
      <c r="Y178" s="6" t="s">
        <v>6</v>
      </c>
      <c r="Z178" s="6" t="s">
        <v>6</v>
      </c>
      <c r="AA178" s="6" t="s">
        <v>128</v>
      </c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>
        <v>70323477</v>
      </c>
      <c r="AO178" s="6"/>
      <c r="AP178" s="6"/>
      <c r="AQ178" s="6"/>
      <c r="AR178" s="6"/>
      <c r="AS178" s="6"/>
      <c r="AT178" s="6"/>
      <c r="AU178" s="6"/>
      <c r="AV178" s="6"/>
      <c r="AW178" s="6"/>
      <c r="AX178" s="6"/>
    </row>
    <row r="179" spans="1:50">
      <c r="A179" s="4">
        <v>75</v>
      </c>
      <c r="B179" s="4" t="s">
        <v>129</v>
      </c>
      <c r="C179" s="4">
        <v>2000</v>
      </c>
      <c r="D179" s="4">
        <v>0</v>
      </c>
      <c r="E179" s="4">
        <v>1</v>
      </c>
      <c r="F179" s="4">
        <v>0</v>
      </c>
      <c r="G179" s="4">
        <v>0</v>
      </c>
      <c r="H179" s="4">
        <v>1</v>
      </c>
      <c r="I179" s="4">
        <v>0</v>
      </c>
      <c r="J179" s="4">
        <v>1</v>
      </c>
      <c r="K179" s="4">
        <v>98</v>
      </c>
      <c r="L179" s="4">
        <v>77</v>
      </c>
      <c r="M179" s="4">
        <v>0</v>
      </c>
      <c r="N179" s="4">
        <v>70323474</v>
      </c>
      <c r="O179" s="4">
        <v>2</v>
      </c>
    </row>
    <row r="183" spans="1:50">
      <c r="A183">
        <v>65</v>
      </c>
      <c r="C183">
        <v>1</v>
      </c>
      <c r="D183">
        <v>0</v>
      </c>
      <c r="E18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130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70323475</v>
      </c>
      <c r="E14" s="1">
        <v>70323474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15</v>
      </c>
      <c r="D16" s="7" t="s">
        <v>16</v>
      </c>
      <c r="E16" s="8">
        <f>ROUND((Source!P122)/1000,2)</f>
        <v>193.44</v>
      </c>
      <c r="F16" s="8">
        <f>ROUND((Source!P123)/1000,2)</f>
        <v>0</v>
      </c>
      <c r="G16" s="8">
        <f>ROUND((Source!P114)/1000,2)</f>
        <v>0</v>
      </c>
      <c r="H16" s="8">
        <f>ROUND((Source!P124)/1000+(Source!P125)/1000,2)</f>
        <v>762.79</v>
      </c>
      <c r="I16" s="8">
        <f>E16+F16+G16+H16</f>
        <v>956.23</v>
      </c>
      <c r="J16" s="8">
        <f>ROUND((Source!P120+Source!P119)/1000,2)</f>
        <v>392.84</v>
      </c>
      <c r="T16" s="9">
        <f>ROUND((Source!F122)/1000,2)</f>
        <v>14.33</v>
      </c>
      <c r="U16" s="9">
        <f>ROUND((Source!F123)/1000,2)</f>
        <v>0</v>
      </c>
      <c r="V16" s="9">
        <f>ROUND((Source!F114)/1000,2)</f>
        <v>0</v>
      </c>
      <c r="W16" s="9">
        <f>ROUND((Source!F124)/1000+(Source!F125)/1000,2)</f>
        <v>18.98</v>
      </c>
      <c r="X16" s="9">
        <f>T16+U16+V16+W16</f>
        <v>33.31</v>
      </c>
      <c r="Y16" s="9">
        <f>ROUND((Source!F120+Source!F119)/1000,2)</f>
        <v>8.42</v>
      </c>
      <c r="AI16" s="7">
        <v>0</v>
      </c>
      <c r="AJ16" s="7">
        <v>-1</v>
      </c>
      <c r="AK16" s="7" t="s">
        <v>18</v>
      </c>
      <c r="AL16" s="7" t="s">
        <v>6</v>
      </c>
      <c r="AM16" s="7" t="s">
        <v>6</v>
      </c>
      <c r="AN16" s="7">
        <v>0</v>
      </c>
      <c r="AO16" s="7" t="s">
        <v>6</v>
      </c>
      <c r="AP16" s="7" t="s">
        <v>6</v>
      </c>
      <c r="AT16" s="8">
        <v>504819.33</v>
      </c>
      <c r="AU16" s="8">
        <v>0</v>
      </c>
      <c r="AV16" s="8">
        <v>0</v>
      </c>
      <c r="AW16" s="8">
        <v>0</v>
      </c>
      <c r="AX16" s="8">
        <v>0</v>
      </c>
      <c r="AY16" s="8">
        <v>143308.37</v>
      </c>
      <c r="AZ16" s="8">
        <v>31330.97</v>
      </c>
      <c r="BA16" s="8">
        <v>361510.96</v>
      </c>
      <c r="BB16" s="8">
        <v>193437.92</v>
      </c>
      <c r="BC16" s="8">
        <v>0</v>
      </c>
      <c r="BD16" s="8">
        <v>762788.13</v>
      </c>
      <c r="BE16" s="8">
        <v>0</v>
      </c>
      <c r="BF16" s="8">
        <v>496.41599999999994</v>
      </c>
      <c r="BG16" s="8">
        <v>0</v>
      </c>
      <c r="BH16" s="8">
        <v>0</v>
      </c>
      <c r="BI16" s="8">
        <v>253057.67</v>
      </c>
      <c r="BJ16" s="8">
        <v>148219.5</v>
      </c>
      <c r="BK16" s="8">
        <v>956226.05</v>
      </c>
      <c r="BR16" s="9">
        <v>20905.740000000002</v>
      </c>
      <c r="BS16" s="9">
        <v>0</v>
      </c>
      <c r="BT16" s="9">
        <v>0</v>
      </c>
      <c r="BU16" s="9">
        <v>0</v>
      </c>
      <c r="BV16" s="9">
        <v>0</v>
      </c>
      <c r="BW16" s="9">
        <v>13159.63</v>
      </c>
      <c r="BX16" s="9">
        <v>671.33</v>
      </c>
      <c r="BY16" s="9">
        <v>7746.11</v>
      </c>
      <c r="BZ16" s="9">
        <v>14334.46</v>
      </c>
      <c r="CA16" s="9">
        <v>0</v>
      </c>
      <c r="CB16" s="9">
        <v>18977.98</v>
      </c>
      <c r="CC16" s="9">
        <v>0</v>
      </c>
      <c r="CD16" s="9">
        <v>496.41599999999994</v>
      </c>
      <c r="CE16" s="9">
        <v>0</v>
      </c>
      <c r="CF16" s="9">
        <v>0</v>
      </c>
      <c r="CG16" s="9">
        <v>5809.59</v>
      </c>
      <c r="CH16" s="9">
        <v>5422.28</v>
      </c>
      <c r="CI16" s="9">
        <v>33312.44</v>
      </c>
    </row>
    <row r="18" spans="1:40">
      <c r="A18">
        <v>51</v>
      </c>
      <c r="E18" s="10">
        <f>SUMIF(A16:A17,3,E16:E17)</f>
        <v>193.44</v>
      </c>
      <c r="F18" s="10">
        <f>SUMIF(A16:A17,3,F16:F17)</f>
        <v>0</v>
      </c>
      <c r="G18" s="10">
        <f>SUMIF(A16:A17,3,G16:G17)</f>
        <v>0</v>
      </c>
      <c r="H18" s="10">
        <f>SUMIF(A16:A17,3,H16:H17)</f>
        <v>762.79</v>
      </c>
      <c r="I18" s="10">
        <f>SUMIF(A16:A17,3,I16:I17)</f>
        <v>956.23</v>
      </c>
      <c r="J18" s="10">
        <f>SUMIF(A16:A17,3,J16:J17)</f>
        <v>392.84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14.33</v>
      </c>
      <c r="U18" s="3">
        <f>SUMIF(A16:A17,3,U16:U17)</f>
        <v>0</v>
      </c>
      <c r="V18" s="3">
        <f>SUMIF(A16:A17,3,V16:V17)</f>
        <v>0</v>
      </c>
      <c r="W18" s="3">
        <f>SUMIF(A16:A17,3,W16:W17)</f>
        <v>18.98</v>
      </c>
      <c r="X18" s="3">
        <f>SUMIF(A16:A17,3,X16:X17)</f>
        <v>33.31</v>
      </c>
      <c r="Y18" s="3">
        <f>SUMIF(A16:A17,3,Y16:Y17)</f>
        <v>8.42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504819.33</v>
      </c>
      <c r="G20" s="5" t="s">
        <v>49</v>
      </c>
      <c r="H20" s="5" t="s">
        <v>50</v>
      </c>
      <c r="I20" s="5"/>
      <c r="J20" s="5"/>
      <c r="K20" s="5">
        <v>201</v>
      </c>
      <c r="L20" s="5">
        <v>1</v>
      </c>
      <c r="M20" s="5">
        <v>3</v>
      </c>
      <c r="N20" s="5" t="s">
        <v>6</v>
      </c>
      <c r="O20" s="5">
        <v>2</v>
      </c>
      <c r="P20" s="5">
        <v>20905.740000000002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0</v>
      </c>
      <c r="G21" s="5" t="s">
        <v>51</v>
      </c>
      <c r="H21" s="5" t="s">
        <v>52</v>
      </c>
      <c r="I21" s="5"/>
      <c r="J21" s="5"/>
      <c r="K21" s="5">
        <v>202</v>
      </c>
      <c r="L21" s="5">
        <v>2</v>
      </c>
      <c r="M21" s="5">
        <v>3</v>
      </c>
      <c r="N21" s="5" t="s">
        <v>6</v>
      </c>
      <c r="O21" s="5">
        <v>2</v>
      </c>
      <c r="P21" s="5">
        <v>0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53</v>
      </c>
      <c r="H22" s="5" t="s">
        <v>54</v>
      </c>
      <c r="I22" s="5"/>
      <c r="J22" s="5"/>
      <c r="K22" s="5">
        <v>222</v>
      </c>
      <c r="L22" s="5">
        <v>3</v>
      </c>
      <c r="M22" s="5">
        <v>3</v>
      </c>
      <c r="N22" s="5" t="s">
        <v>6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0</v>
      </c>
      <c r="G23" s="5" t="s">
        <v>55</v>
      </c>
      <c r="H23" s="5" t="s">
        <v>56</v>
      </c>
      <c r="I23" s="5"/>
      <c r="J23" s="5"/>
      <c r="K23" s="5">
        <v>225</v>
      </c>
      <c r="L23" s="5">
        <v>4</v>
      </c>
      <c r="M23" s="5">
        <v>3</v>
      </c>
      <c r="N23" s="5" t="s">
        <v>6</v>
      </c>
      <c r="O23" s="5">
        <v>2</v>
      </c>
      <c r="P23" s="5">
        <v>0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0</v>
      </c>
      <c r="G24" s="5" t="s">
        <v>57</v>
      </c>
      <c r="H24" s="5" t="s">
        <v>58</v>
      </c>
      <c r="I24" s="5"/>
      <c r="J24" s="5"/>
      <c r="K24" s="5">
        <v>226</v>
      </c>
      <c r="L24" s="5">
        <v>5</v>
      </c>
      <c r="M24" s="5">
        <v>3</v>
      </c>
      <c r="N24" s="5" t="s">
        <v>6</v>
      </c>
      <c r="O24" s="5">
        <v>2</v>
      </c>
      <c r="P24" s="5">
        <v>0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59</v>
      </c>
      <c r="H25" s="5" t="s">
        <v>60</v>
      </c>
      <c r="I25" s="5"/>
      <c r="J25" s="5"/>
      <c r="K25" s="5">
        <v>227</v>
      </c>
      <c r="L25" s="5">
        <v>6</v>
      </c>
      <c r="M25" s="5">
        <v>3</v>
      </c>
      <c r="N25" s="5" t="s">
        <v>6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0</v>
      </c>
      <c r="G26" s="5" t="s">
        <v>61</v>
      </c>
      <c r="H26" s="5" t="s">
        <v>62</v>
      </c>
      <c r="I26" s="5"/>
      <c r="J26" s="5"/>
      <c r="K26" s="5">
        <v>228</v>
      </c>
      <c r="L26" s="5">
        <v>7</v>
      </c>
      <c r="M26" s="5">
        <v>3</v>
      </c>
      <c r="N26" s="5" t="s">
        <v>6</v>
      </c>
      <c r="O26" s="5">
        <v>2</v>
      </c>
      <c r="P26" s="5">
        <v>0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63</v>
      </c>
      <c r="H27" s="5" t="s">
        <v>64</v>
      </c>
      <c r="I27" s="5"/>
      <c r="J27" s="5"/>
      <c r="K27" s="5">
        <v>216</v>
      </c>
      <c r="L27" s="5">
        <v>8</v>
      </c>
      <c r="M27" s="5">
        <v>3</v>
      </c>
      <c r="N27" s="5" t="s">
        <v>6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65</v>
      </c>
      <c r="H28" s="5" t="s">
        <v>66</v>
      </c>
      <c r="I28" s="5"/>
      <c r="J28" s="5"/>
      <c r="K28" s="5">
        <v>223</v>
      </c>
      <c r="L28" s="5">
        <v>9</v>
      </c>
      <c r="M28" s="5">
        <v>3</v>
      </c>
      <c r="N28" s="5" t="s">
        <v>6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67</v>
      </c>
      <c r="H29" s="5" t="s">
        <v>68</v>
      </c>
      <c r="I29" s="5"/>
      <c r="J29" s="5"/>
      <c r="K29" s="5">
        <v>229</v>
      </c>
      <c r="L29" s="5">
        <v>10</v>
      </c>
      <c r="M29" s="5">
        <v>3</v>
      </c>
      <c r="N29" s="5" t="s">
        <v>6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143308.37</v>
      </c>
      <c r="G30" s="5" t="s">
        <v>69</v>
      </c>
      <c r="H30" s="5" t="s">
        <v>70</v>
      </c>
      <c r="I30" s="5"/>
      <c r="J30" s="5"/>
      <c r="K30" s="5">
        <v>203</v>
      </c>
      <c r="L30" s="5">
        <v>11</v>
      </c>
      <c r="M30" s="5">
        <v>3</v>
      </c>
      <c r="N30" s="5" t="s">
        <v>6</v>
      </c>
      <c r="O30" s="5">
        <v>2</v>
      </c>
      <c r="P30" s="5">
        <v>13159.63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71</v>
      </c>
      <c r="H31" s="5" t="s">
        <v>72</v>
      </c>
      <c r="I31" s="5"/>
      <c r="J31" s="5"/>
      <c r="K31" s="5">
        <v>231</v>
      </c>
      <c r="L31" s="5">
        <v>12</v>
      </c>
      <c r="M31" s="5">
        <v>3</v>
      </c>
      <c r="N31" s="5" t="s">
        <v>6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31330.97</v>
      </c>
      <c r="G32" s="5" t="s">
        <v>73</v>
      </c>
      <c r="H32" s="5" t="s">
        <v>74</v>
      </c>
      <c r="I32" s="5"/>
      <c r="J32" s="5"/>
      <c r="K32" s="5">
        <v>204</v>
      </c>
      <c r="L32" s="5">
        <v>13</v>
      </c>
      <c r="M32" s="5">
        <v>3</v>
      </c>
      <c r="N32" s="5" t="s">
        <v>6</v>
      </c>
      <c r="O32" s="5">
        <v>2</v>
      </c>
      <c r="P32" s="5">
        <v>671.33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361510.96</v>
      </c>
      <c r="G33" s="5" t="s">
        <v>75</v>
      </c>
      <c r="H33" s="5" t="s">
        <v>76</v>
      </c>
      <c r="I33" s="5"/>
      <c r="J33" s="5"/>
      <c r="K33" s="5">
        <v>205</v>
      </c>
      <c r="L33" s="5">
        <v>14</v>
      </c>
      <c r="M33" s="5">
        <v>3</v>
      </c>
      <c r="N33" s="5" t="s">
        <v>6</v>
      </c>
      <c r="O33" s="5">
        <v>2</v>
      </c>
      <c r="P33" s="5">
        <v>7746.11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77</v>
      </c>
      <c r="H34" s="5" t="s">
        <v>78</v>
      </c>
      <c r="I34" s="5"/>
      <c r="J34" s="5"/>
      <c r="K34" s="5">
        <v>232</v>
      </c>
      <c r="L34" s="5">
        <v>15</v>
      </c>
      <c r="M34" s="5">
        <v>3</v>
      </c>
      <c r="N34" s="5" t="s">
        <v>6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193437.92</v>
      </c>
      <c r="G35" s="5" t="s">
        <v>79</v>
      </c>
      <c r="H35" s="5" t="s">
        <v>80</v>
      </c>
      <c r="I35" s="5"/>
      <c r="J35" s="5"/>
      <c r="K35" s="5">
        <v>214</v>
      </c>
      <c r="L35" s="5">
        <v>16</v>
      </c>
      <c r="M35" s="5">
        <v>3</v>
      </c>
      <c r="N35" s="5" t="s">
        <v>6</v>
      </c>
      <c r="O35" s="5">
        <v>2</v>
      </c>
      <c r="P35" s="5">
        <v>14334.46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81</v>
      </c>
      <c r="H36" s="5" t="s">
        <v>82</v>
      </c>
      <c r="I36" s="5"/>
      <c r="J36" s="5"/>
      <c r="K36" s="5">
        <v>215</v>
      </c>
      <c r="L36" s="5">
        <v>17</v>
      </c>
      <c r="M36" s="5">
        <v>3</v>
      </c>
      <c r="N36" s="5" t="s">
        <v>6</v>
      </c>
      <c r="O36" s="5">
        <v>2</v>
      </c>
      <c r="P36" s="5">
        <v>0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762788.13</v>
      </c>
      <c r="G37" s="5" t="s">
        <v>83</v>
      </c>
      <c r="H37" s="5" t="s">
        <v>84</v>
      </c>
      <c r="I37" s="5"/>
      <c r="J37" s="5"/>
      <c r="K37" s="5">
        <v>217</v>
      </c>
      <c r="L37" s="5">
        <v>18</v>
      </c>
      <c r="M37" s="5">
        <v>3</v>
      </c>
      <c r="N37" s="5" t="s">
        <v>6</v>
      </c>
      <c r="O37" s="5">
        <v>2</v>
      </c>
      <c r="P37" s="5">
        <v>18977.98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85</v>
      </c>
      <c r="H38" s="5" t="s">
        <v>86</v>
      </c>
      <c r="I38" s="5"/>
      <c r="J38" s="5"/>
      <c r="K38" s="5">
        <v>230</v>
      </c>
      <c r="L38" s="5">
        <v>19</v>
      </c>
      <c r="M38" s="5">
        <v>3</v>
      </c>
      <c r="N38" s="5" t="s">
        <v>6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87</v>
      </c>
      <c r="H39" s="5" t="s">
        <v>88</v>
      </c>
      <c r="I39" s="5"/>
      <c r="J39" s="5"/>
      <c r="K39" s="5">
        <v>206</v>
      </c>
      <c r="L39" s="5">
        <v>20</v>
      </c>
      <c r="M39" s="5">
        <v>3</v>
      </c>
      <c r="N39" s="5" t="s">
        <v>6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496.41599999999994</v>
      </c>
      <c r="G40" s="5" t="s">
        <v>89</v>
      </c>
      <c r="H40" s="5" t="s">
        <v>90</v>
      </c>
      <c r="I40" s="5"/>
      <c r="J40" s="5"/>
      <c r="K40" s="5">
        <v>207</v>
      </c>
      <c r="L40" s="5">
        <v>21</v>
      </c>
      <c r="M40" s="5">
        <v>3</v>
      </c>
      <c r="N40" s="5" t="s">
        <v>6</v>
      </c>
      <c r="O40" s="5">
        <v>-1</v>
      </c>
      <c r="P40" s="5">
        <v>496.41599999999994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91</v>
      </c>
      <c r="H41" s="5" t="s">
        <v>92</v>
      </c>
      <c r="I41" s="5"/>
      <c r="J41" s="5"/>
      <c r="K41" s="5">
        <v>208</v>
      </c>
      <c r="L41" s="5">
        <v>22</v>
      </c>
      <c r="M41" s="5">
        <v>3</v>
      </c>
      <c r="N41" s="5" t="s">
        <v>6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93</v>
      </c>
      <c r="H42" s="5" t="s">
        <v>94</v>
      </c>
      <c r="I42" s="5"/>
      <c r="J42" s="5"/>
      <c r="K42" s="5">
        <v>209</v>
      </c>
      <c r="L42" s="5">
        <v>23</v>
      </c>
      <c r="M42" s="5">
        <v>3</v>
      </c>
      <c r="N42" s="5" t="s">
        <v>6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95</v>
      </c>
      <c r="H43" s="5" t="s">
        <v>96</v>
      </c>
      <c r="I43" s="5"/>
      <c r="J43" s="5"/>
      <c r="K43" s="5">
        <v>233</v>
      </c>
      <c r="L43" s="5">
        <v>24</v>
      </c>
      <c r="M43" s="5">
        <v>3</v>
      </c>
      <c r="N43" s="5" t="s">
        <v>6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253057.67</v>
      </c>
      <c r="G44" s="5" t="s">
        <v>97</v>
      </c>
      <c r="H44" s="5" t="s">
        <v>98</v>
      </c>
      <c r="I44" s="5"/>
      <c r="J44" s="5"/>
      <c r="K44" s="5">
        <v>210</v>
      </c>
      <c r="L44" s="5">
        <v>25</v>
      </c>
      <c r="M44" s="5">
        <v>3</v>
      </c>
      <c r="N44" s="5" t="s">
        <v>6</v>
      </c>
      <c r="O44" s="5">
        <v>2</v>
      </c>
      <c r="P44" s="5">
        <v>5809.59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148219.5</v>
      </c>
      <c r="G45" s="5" t="s">
        <v>99</v>
      </c>
      <c r="H45" s="5" t="s">
        <v>100</v>
      </c>
      <c r="I45" s="5"/>
      <c r="J45" s="5"/>
      <c r="K45" s="5">
        <v>211</v>
      </c>
      <c r="L45" s="5">
        <v>26</v>
      </c>
      <c r="M45" s="5">
        <v>3</v>
      </c>
      <c r="N45" s="5" t="s">
        <v>6</v>
      </c>
      <c r="O45" s="5">
        <v>2</v>
      </c>
      <c r="P45" s="5">
        <v>5422.28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956226.05</v>
      </c>
      <c r="G46" s="5" t="s">
        <v>101</v>
      </c>
      <c r="H46" s="5" t="s">
        <v>102</v>
      </c>
      <c r="I46" s="5"/>
      <c r="J46" s="5"/>
      <c r="K46" s="5">
        <v>224</v>
      </c>
      <c r="L46" s="5">
        <v>27</v>
      </c>
      <c r="M46" s="5">
        <v>3</v>
      </c>
      <c r="N46" s="5" t="s">
        <v>6</v>
      </c>
      <c r="O46" s="5">
        <v>2</v>
      </c>
      <c r="P46" s="5">
        <v>33312.44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193437.92</v>
      </c>
      <c r="G47" s="5" t="s">
        <v>113</v>
      </c>
      <c r="H47" s="5" t="s">
        <v>114</v>
      </c>
      <c r="I47" s="5"/>
      <c r="J47" s="5"/>
      <c r="K47" s="5">
        <v>212</v>
      </c>
      <c r="L47" s="5">
        <v>28</v>
      </c>
      <c r="M47" s="5">
        <v>0</v>
      </c>
      <c r="N47" s="5" t="s">
        <v>6</v>
      </c>
      <c r="O47" s="5">
        <v>-1</v>
      </c>
      <c r="P47" s="5">
        <v>14334.46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0</v>
      </c>
      <c r="G48" s="5" t="s">
        <v>115</v>
      </c>
      <c r="H48" s="5" t="s">
        <v>116</v>
      </c>
      <c r="I48" s="5"/>
      <c r="J48" s="5"/>
      <c r="K48" s="5">
        <v>212</v>
      </c>
      <c r="L48" s="5">
        <v>29</v>
      </c>
      <c r="M48" s="5">
        <v>0</v>
      </c>
      <c r="N48" s="5" t="s">
        <v>6</v>
      </c>
      <c r="O48" s="5">
        <v>2</v>
      </c>
      <c r="P48" s="5">
        <v>0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762788.13</v>
      </c>
      <c r="G49" s="5" t="s">
        <v>117</v>
      </c>
      <c r="H49" s="5" t="s">
        <v>118</v>
      </c>
      <c r="I49" s="5"/>
      <c r="J49" s="5"/>
      <c r="K49" s="5">
        <v>212</v>
      </c>
      <c r="L49" s="5">
        <v>30</v>
      </c>
      <c r="M49" s="5">
        <v>0</v>
      </c>
      <c r="N49" s="5" t="s">
        <v>6</v>
      </c>
      <c r="O49" s="5">
        <v>2</v>
      </c>
      <c r="P49" s="5">
        <v>18977.98</v>
      </c>
    </row>
    <row r="51" spans="1:50">
      <c r="A51">
        <v>-1</v>
      </c>
    </row>
    <row r="54" spans="1:50">
      <c r="A54" s="4">
        <v>75</v>
      </c>
      <c r="B54" s="4" t="s">
        <v>123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70323475</v>
      </c>
      <c r="O54" s="4">
        <v>1</v>
      </c>
    </row>
    <row r="55" spans="1:50">
      <c r="A55" s="6">
        <v>1</v>
      </c>
      <c r="B55" s="6" t="s">
        <v>124</v>
      </c>
      <c r="C55" s="6" t="s">
        <v>125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6</v>
      </c>
      <c r="S55" s="6" t="s">
        <v>6</v>
      </c>
      <c r="T55" s="6" t="s">
        <v>6</v>
      </c>
      <c r="U55" s="6" t="s">
        <v>6</v>
      </c>
      <c r="V55" s="6" t="s">
        <v>6</v>
      </c>
      <c r="W55" s="6" t="s">
        <v>6</v>
      </c>
      <c r="X55" s="6" t="s">
        <v>6</v>
      </c>
      <c r="Y55" s="6" t="s">
        <v>6</v>
      </c>
      <c r="Z55" s="6" t="s">
        <v>6</v>
      </c>
      <c r="AA55" s="6" t="s">
        <v>126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70323476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124</v>
      </c>
      <c r="C56" s="6" t="s">
        <v>127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6</v>
      </c>
      <c r="S56" s="6" t="s">
        <v>6</v>
      </c>
      <c r="T56" s="6" t="s">
        <v>6</v>
      </c>
      <c r="U56" s="6" t="s">
        <v>6</v>
      </c>
      <c r="V56" s="6" t="s">
        <v>6</v>
      </c>
      <c r="W56" s="6" t="s">
        <v>6</v>
      </c>
      <c r="X56" s="6" t="s">
        <v>6</v>
      </c>
      <c r="Y56" s="6" t="s">
        <v>6</v>
      </c>
      <c r="Z56" s="6" t="s">
        <v>6</v>
      </c>
      <c r="AA56" s="6" t="s">
        <v>128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70323477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129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70323474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I168"/>
  <sheetViews>
    <sheetView workbookViewId="0"/>
  </sheetViews>
  <sheetFormatPr defaultColWidth="9.140625" defaultRowHeight="12.75"/>
  <cols>
    <col min="1" max="256" width="9.140625" customWidth="1"/>
  </cols>
  <sheetData>
    <row r="168" spans="9:9">
      <c r="I16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U4"/>
  <sheetViews>
    <sheetView workbookViewId="0"/>
  </sheetViews>
  <sheetFormatPr defaultColWidth="9.140625" defaultRowHeight="12.75"/>
  <cols>
    <col min="1" max="256" width="9.140625" customWidth="1"/>
  </cols>
  <sheetData>
    <row r="1" spans="1:21">
      <c r="A1">
        <v>72</v>
      </c>
      <c r="B1">
        <v>1</v>
      </c>
      <c r="C1" t="s">
        <v>6</v>
      </c>
      <c r="D1" t="s">
        <v>110</v>
      </c>
      <c r="E1" t="s">
        <v>110</v>
      </c>
      <c r="F1" t="s">
        <v>110</v>
      </c>
      <c r="G1" t="s">
        <v>110</v>
      </c>
      <c r="H1" t="s">
        <v>6</v>
      </c>
      <c r="I1" t="s">
        <v>110</v>
      </c>
      <c r="J1" t="s">
        <v>110</v>
      </c>
      <c r="K1" t="s">
        <v>6</v>
      </c>
      <c r="L1" t="s">
        <v>6</v>
      </c>
      <c r="M1" t="s">
        <v>6</v>
      </c>
      <c r="N1" t="s">
        <v>110</v>
      </c>
      <c r="O1" t="s">
        <v>110</v>
      </c>
      <c r="P1" t="s">
        <v>110</v>
      </c>
      <c r="Q1" t="s">
        <v>110</v>
      </c>
      <c r="R1" t="s">
        <v>6</v>
      </c>
      <c r="S1" t="s">
        <v>6</v>
      </c>
      <c r="T1" t="s">
        <v>6</v>
      </c>
    </row>
    <row r="2" spans="1:21">
      <c r="A2">
        <v>72</v>
      </c>
      <c r="B2">
        <v>1</v>
      </c>
      <c r="C2" t="s">
        <v>6</v>
      </c>
      <c r="D2" t="s">
        <v>6</v>
      </c>
      <c r="E2" t="s">
        <v>6</v>
      </c>
      <c r="F2" t="s">
        <v>6</v>
      </c>
      <c r="G2" t="s">
        <v>131</v>
      </c>
      <c r="H2" t="s">
        <v>6</v>
      </c>
      <c r="I2" t="s">
        <v>131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t="s">
        <v>6</v>
      </c>
      <c r="S2" t="s">
        <v>132</v>
      </c>
      <c r="T2" t="s">
        <v>133</v>
      </c>
      <c r="U2" t="s">
        <v>134</v>
      </c>
    </row>
    <row r="3" spans="1:21">
      <c r="A3">
        <v>73</v>
      </c>
      <c r="B3">
        <v>1</v>
      </c>
      <c r="C3" t="s">
        <v>6</v>
      </c>
      <c r="D3" t="s">
        <v>110</v>
      </c>
      <c r="E3" t="s">
        <v>110</v>
      </c>
      <c r="F3" t="s">
        <v>110</v>
      </c>
      <c r="G3" t="s">
        <v>110</v>
      </c>
      <c r="H3" t="s">
        <v>6</v>
      </c>
      <c r="I3" t="s">
        <v>110</v>
      </c>
      <c r="J3" t="s">
        <v>110</v>
      </c>
      <c r="K3" t="s">
        <v>6</v>
      </c>
      <c r="L3" t="s">
        <v>6</v>
      </c>
      <c r="M3" t="s">
        <v>6</v>
      </c>
      <c r="N3" t="s">
        <v>110</v>
      </c>
      <c r="O3" t="s">
        <v>110</v>
      </c>
      <c r="P3" t="s">
        <v>110</v>
      </c>
      <c r="Q3" t="s">
        <v>110</v>
      </c>
      <c r="R3" t="s">
        <v>6</v>
      </c>
      <c r="S3" t="s">
        <v>6</v>
      </c>
      <c r="T3" t="s">
        <v>6</v>
      </c>
    </row>
    <row r="4" spans="1:21">
      <c r="A4">
        <v>73</v>
      </c>
      <c r="B4">
        <v>1</v>
      </c>
      <c r="C4" t="s">
        <v>6</v>
      </c>
      <c r="D4" t="s">
        <v>6</v>
      </c>
      <c r="E4" t="s">
        <v>6</v>
      </c>
      <c r="F4" t="s">
        <v>6</v>
      </c>
      <c r="G4" t="s">
        <v>131</v>
      </c>
      <c r="H4" t="s">
        <v>6</v>
      </c>
      <c r="I4" t="s">
        <v>131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132</v>
      </c>
      <c r="T4" t="s">
        <v>133</v>
      </c>
      <c r="U4" t="s">
        <v>134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>(ТСН-2001 (Мосгосэкспертиза))</v>
      </c>
      <c r="G12" t="str">
        <f>Source!G12</f>
        <v>09-01-07  ПНР _24.04.25</v>
      </c>
      <c r="AB12" t="s">
        <v>6</v>
      </c>
      <c r="AC12" t="s">
        <v>6</v>
      </c>
      <c r="AD12" t="s">
        <v>6</v>
      </c>
      <c r="AE12" t="s">
        <v>6</v>
      </c>
      <c r="AH12" t="s">
        <v>6</v>
      </c>
      <c r="AI12" t="s">
        <v>6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2025-04-25T08:30:03Z</dcterms:created>
  <dcterms:modified xsi:type="dcterms:W3CDTF">2025-04-25T10:40:12Z</dcterms:modified>
</cp:coreProperties>
</file>