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80" windowHeight="1170"/>
  </bookViews>
  <sheets>
    <sheet name="Смета по ТСН-2001(с доп.67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ТСН-2001(с доп.67'!$26:$26</definedName>
    <definedName name="_xlnm.Print_Area" localSheetId="0">'Смета по ТСН-2001(с доп.67'!$A$1:$K$446</definedName>
  </definedNames>
  <calcPr calcId="125725"/>
</workbook>
</file>

<file path=xl/calcChain.xml><?xml version="1.0" encoding="utf-8"?>
<calcChain xmlns="http://schemas.openxmlformats.org/spreadsheetml/2006/main">
  <c r="I192" i="1"/>
  <c r="I191"/>
  <c r="I209" l="1"/>
  <c r="I208"/>
  <c r="I194"/>
  <c r="I193"/>
  <c r="A7" i="7" l="1"/>
  <c r="A2"/>
  <c r="J21"/>
  <c r="I21"/>
  <c r="H444"/>
  <c r="J444"/>
  <c r="H443"/>
  <c r="J443"/>
  <c r="A442"/>
  <c r="H440"/>
  <c r="J440"/>
  <c r="H439"/>
  <c r="J439"/>
  <c r="A438"/>
  <c r="H436"/>
  <c r="J436"/>
  <c r="H435"/>
  <c r="J435"/>
  <c r="A434"/>
  <c r="AA431"/>
  <c r="Z431"/>
  <c r="X431"/>
  <c r="O431"/>
  <c r="K430"/>
  <c r="P431" s="1"/>
  <c r="J430"/>
  <c r="I430"/>
  <c r="Y431" s="1"/>
  <c r="H430"/>
  <c r="G430"/>
  <c r="F430"/>
  <c r="V430"/>
  <c r="T430"/>
  <c r="R430"/>
  <c r="U430"/>
  <c r="S430"/>
  <c r="Q430"/>
  <c r="E430"/>
  <c r="D430"/>
  <c r="B430"/>
  <c r="AA428"/>
  <c r="Z428"/>
  <c r="X428"/>
  <c r="H427"/>
  <c r="J427"/>
  <c r="H425"/>
  <c r="G425"/>
  <c r="E425"/>
  <c r="J424"/>
  <c r="E424"/>
  <c r="J423"/>
  <c r="E423"/>
  <c r="J422"/>
  <c r="I422"/>
  <c r="H422"/>
  <c r="G422"/>
  <c r="F422"/>
  <c r="J421"/>
  <c r="I421"/>
  <c r="W421" s="1"/>
  <c r="H421"/>
  <c r="G421"/>
  <c r="F421"/>
  <c r="C420"/>
  <c r="V419"/>
  <c r="U419"/>
  <c r="S419"/>
  <c r="I424" s="1"/>
  <c r="Q419"/>
  <c r="I423" s="1"/>
  <c r="E419"/>
  <c r="D419"/>
  <c r="B419"/>
  <c r="AA417"/>
  <c r="Z417"/>
  <c r="X417"/>
  <c r="C416"/>
  <c r="K415"/>
  <c r="J417" s="1"/>
  <c r="J415"/>
  <c r="I415"/>
  <c r="H417" s="1"/>
  <c r="H415"/>
  <c r="G415"/>
  <c r="F415"/>
  <c r="V415"/>
  <c r="T415"/>
  <c r="R415"/>
  <c r="U415"/>
  <c r="S415"/>
  <c r="Q415"/>
  <c r="E415"/>
  <c r="D415"/>
  <c r="B415"/>
  <c r="AA413"/>
  <c r="Z413"/>
  <c r="X413"/>
  <c r="H412"/>
  <c r="J412"/>
  <c r="I410"/>
  <c r="AB410" s="1"/>
  <c r="H410"/>
  <c r="G410"/>
  <c r="E410"/>
  <c r="J409"/>
  <c r="E409"/>
  <c r="J408"/>
  <c r="E408"/>
  <c r="J407"/>
  <c r="E407"/>
  <c r="K406"/>
  <c r="J406"/>
  <c r="I406"/>
  <c r="H406"/>
  <c r="G406"/>
  <c r="F406"/>
  <c r="K405"/>
  <c r="J405"/>
  <c r="I405"/>
  <c r="W405" s="1"/>
  <c r="H405"/>
  <c r="G405"/>
  <c r="F405"/>
  <c r="K404"/>
  <c r="J404"/>
  <c r="I404"/>
  <c r="H404"/>
  <c r="G404"/>
  <c r="F404"/>
  <c r="K403"/>
  <c r="J403"/>
  <c r="W403"/>
  <c r="I403"/>
  <c r="H403"/>
  <c r="G403"/>
  <c r="F403"/>
  <c r="C402"/>
  <c r="V401"/>
  <c r="K409" s="1"/>
  <c r="T401"/>
  <c r="K408" s="1"/>
  <c r="R401"/>
  <c r="K407" s="1"/>
  <c r="U401"/>
  <c r="I409" s="1"/>
  <c r="S401"/>
  <c r="I408" s="1"/>
  <c r="Q401"/>
  <c r="I407" s="1"/>
  <c r="E401"/>
  <c r="D401"/>
  <c r="B401"/>
  <c r="B400"/>
  <c r="AA397"/>
  <c r="Z397"/>
  <c r="X397"/>
  <c r="H396"/>
  <c r="J396"/>
  <c r="I394"/>
  <c r="AB394" s="1"/>
  <c r="H394"/>
  <c r="G394"/>
  <c r="E394"/>
  <c r="K393"/>
  <c r="J393"/>
  <c r="E393"/>
  <c r="J392"/>
  <c r="E392"/>
  <c r="J391"/>
  <c r="E391"/>
  <c r="K390"/>
  <c r="J390"/>
  <c r="I390"/>
  <c r="H390"/>
  <c r="G390"/>
  <c r="F390"/>
  <c r="K389"/>
  <c r="J389"/>
  <c r="I389"/>
  <c r="W389" s="1"/>
  <c r="H389"/>
  <c r="G389"/>
  <c r="F389"/>
  <c r="K388"/>
  <c r="J388"/>
  <c r="I388"/>
  <c r="H388"/>
  <c r="G388"/>
  <c r="F388"/>
  <c r="K387"/>
  <c r="J387"/>
  <c r="W387"/>
  <c r="I387"/>
  <c r="H387"/>
  <c r="G387"/>
  <c r="F387"/>
  <c r="V386"/>
  <c r="T386"/>
  <c r="K392" s="1"/>
  <c r="R386"/>
  <c r="K391" s="1"/>
  <c r="U386"/>
  <c r="I393" s="1"/>
  <c r="S386"/>
  <c r="I392" s="1"/>
  <c r="Q386"/>
  <c r="I391" s="1"/>
  <c r="E386"/>
  <c r="D386"/>
  <c r="B386"/>
  <c r="AA384"/>
  <c r="Z384"/>
  <c r="X384"/>
  <c r="H383"/>
  <c r="J383"/>
  <c r="I381"/>
  <c r="AB381" s="1"/>
  <c r="H381"/>
  <c r="G381"/>
  <c r="E381"/>
  <c r="J380"/>
  <c r="E380"/>
  <c r="J379"/>
  <c r="E379"/>
  <c r="J378"/>
  <c r="E378"/>
  <c r="K377"/>
  <c r="J377"/>
  <c r="I377"/>
  <c r="H377"/>
  <c r="G377"/>
  <c r="F377"/>
  <c r="K376"/>
  <c r="J376"/>
  <c r="I376"/>
  <c r="W376" s="1"/>
  <c r="H376"/>
  <c r="G376"/>
  <c r="F376"/>
  <c r="K375"/>
  <c r="J375"/>
  <c r="I375"/>
  <c r="H375"/>
  <c r="G375"/>
  <c r="F375"/>
  <c r="K374"/>
  <c r="J374"/>
  <c r="I374"/>
  <c r="W374" s="1"/>
  <c r="H374"/>
  <c r="G374"/>
  <c r="F374"/>
  <c r="C373"/>
  <c r="V372"/>
  <c r="K380" s="1"/>
  <c r="T372"/>
  <c r="K379" s="1"/>
  <c r="R372"/>
  <c r="K378" s="1"/>
  <c r="U372"/>
  <c r="I380" s="1"/>
  <c r="S372"/>
  <c r="I379" s="1"/>
  <c r="Q372"/>
  <c r="I378" s="1"/>
  <c r="E372"/>
  <c r="D372"/>
  <c r="B372"/>
  <c r="AA370"/>
  <c r="Z370"/>
  <c r="X370"/>
  <c r="J369"/>
  <c r="I369"/>
  <c r="O370" s="1"/>
  <c r="H369"/>
  <c r="G369"/>
  <c r="F369"/>
  <c r="V369"/>
  <c r="U369"/>
  <c r="S369"/>
  <c r="Q369"/>
  <c r="E369"/>
  <c r="D369"/>
  <c r="B369"/>
  <c r="AA367"/>
  <c r="Z367"/>
  <c r="X367"/>
  <c r="H366"/>
  <c r="J366"/>
  <c r="H364"/>
  <c r="G364"/>
  <c r="E364"/>
  <c r="J363"/>
  <c r="E363"/>
  <c r="J362"/>
  <c r="E362"/>
  <c r="J361"/>
  <c r="E361"/>
  <c r="J360"/>
  <c r="I360"/>
  <c r="H360"/>
  <c r="G360"/>
  <c r="F360"/>
  <c r="J359"/>
  <c r="I359"/>
  <c r="W359" s="1"/>
  <c r="H359"/>
  <c r="G359"/>
  <c r="F359"/>
  <c r="J358"/>
  <c r="I358"/>
  <c r="H358"/>
  <c r="G358"/>
  <c r="F358"/>
  <c r="J357"/>
  <c r="I357"/>
  <c r="W357" s="1"/>
  <c r="H357"/>
  <c r="G357"/>
  <c r="F357"/>
  <c r="C356"/>
  <c r="V355"/>
  <c r="K363" s="1"/>
  <c r="U355"/>
  <c r="I363" s="1"/>
  <c r="S355"/>
  <c r="I362" s="1"/>
  <c r="Q355"/>
  <c r="I361" s="1"/>
  <c r="E355"/>
  <c r="D355"/>
  <c r="B355"/>
  <c r="AA353"/>
  <c r="Z353"/>
  <c r="X353"/>
  <c r="J353"/>
  <c r="C352"/>
  <c r="K351"/>
  <c r="P353" s="1"/>
  <c r="J351"/>
  <c r="I351"/>
  <c r="Y353" s="1"/>
  <c r="H351"/>
  <c r="G351"/>
  <c r="F351"/>
  <c r="V351"/>
  <c r="T351"/>
  <c r="R351"/>
  <c r="U351"/>
  <c r="S351"/>
  <c r="Q351"/>
  <c r="E351"/>
  <c r="D351"/>
  <c r="B351"/>
  <c r="AA349"/>
  <c r="Z349"/>
  <c r="X349"/>
  <c r="H348"/>
  <c r="J348"/>
  <c r="I346"/>
  <c r="AB346" s="1"/>
  <c r="H346"/>
  <c r="G346"/>
  <c r="E346"/>
  <c r="J345"/>
  <c r="E345"/>
  <c r="J344"/>
  <c r="E344"/>
  <c r="J343"/>
  <c r="E343"/>
  <c r="K342"/>
  <c r="J342"/>
  <c r="I342"/>
  <c r="H342"/>
  <c r="G342"/>
  <c r="F342"/>
  <c r="K341"/>
  <c r="J341"/>
  <c r="W341"/>
  <c r="I341"/>
  <c r="H341"/>
  <c r="G341"/>
  <c r="F341"/>
  <c r="K340"/>
  <c r="J340"/>
  <c r="I340"/>
  <c r="H340"/>
  <c r="G340"/>
  <c r="F340"/>
  <c r="K339"/>
  <c r="J339"/>
  <c r="I339"/>
  <c r="W339" s="1"/>
  <c r="H339"/>
  <c r="G339"/>
  <c r="F339"/>
  <c r="C338"/>
  <c r="V337"/>
  <c r="K345" s="1"/>
  <c r="T337"/>
  <c r="K344" s="1"/>
  <c r="R337"/>
  <c r="K343" s="1"/>
  <c r="U337"/>
  <c r="I345" s="1"/>
  <c r="S337"/>
  <c r="I344" s="1"/>
  <c r="Q337"/>
  <c r="I343" s="1"/>
  <c r="E337"/>
  <c r="D337"/>
  <c r="B337"/>
  <c r="AA335"/>
  <c r="Z335"/>
  <c r="Y335"/>
  <c r="O335"/>
  <c r="C334"/>
  <c r="K333"/>
  <c r="J335" s="1"/>
  <c r="J333"/>
  <c r="I333"/>
  <c r="X335" s="1"/>
  <c r="H333"/>
  <c r="G333"/>
  <c r="F333"/>
  <c r="V333"/>
  <c r="T333"/>
  <c r="R333"/>
  <c r="U333"/>
  <c r="S333"/>
  <c r="Q333"/>
  <c r="E333"/>
  <c r="D333"/>
  <c r="B333"/>
  <c r="AA331"/>
  <c r="Z331"/>
  <c r="X331"/>
  <c r="H330"/>
  <c r="J330"/>
  <c r="I328"/>
  <c r="AB328" s="1"/>
  <c r="H328"/>
  <c r="G328"/>
  <c r="E328"/>
  <c r="J327"/>
  <c r="E327"/>
  <c r="J326"/>
  <c r="E326"/>
  <c r="J325"/>
  <c r="E325"/>
  <c r="K324"/>
  <c r="J324"/>
  <c r="I324"/>
  <c r="W324" s="1"/>
  <c r="H324"/>
  <c r="G324"/>
  <c r="F324"/>
  <c r="K323"/>
  <c r="J323"/>
  <c r="I323"/>
  <c r="H323"/>
  <c r="G323"/>
  <c r="F323"/>
  <c r="K322"/>
  <c r="J322"/>
  <c r="W322"/>
  <c r="I322"/>
  <c r="H322"/>
  <c r="G322"/>
  <c r="F322"/>
  <c r="V321"/>
  <c r="K327" s="1"/>
  <c r="T321"/>
  <c r="K326" s="1"/>
  <c r="R321"/>
  <c r="K325" s="1"/>
  <c r="U321"/>
  <c r="I327" s="1"/>
  <c r="S321"/>
  <c r="I326" s="1"/>
  <c r="Q321"/>
  <c r="I325" s="1"/>
  <c r="E321"/>
  <c r="D321"/>
  <c r="B321"/>
  <c r="AA319"/>
  <c r="Z319"/>
  <c r="X319"/>
  <c r="H318"/>
  <c r="J318"/>
  <c r="I316"/>
  <c r="AB316" s="1"/>
  <c r="H316"/>
  <c r="G316"/>
  <c r="E316"/>
  <c r="J315"/>
  <c r="E315"/>
  <c r="J314"/>
  <c r="E314"/>
  <c r="J313"/>
  <c r="E313"/>
  <c r="K312"/>
  <c r="J312"/>
  <c r="I312"/>
  <c r="W312" s="1"/>
  <c r="H312"/>
  <c r="G312"/>
  <c r="F312"/>
  <c r="K311"/>
  <c r="J311"/>
  <c r="I311"/>
  <c r="H311"/>
  <c r="G311"/>
  <c r="F311"/>
  <c r="K310"/>
  <c r="J310"/>
  <c r="W310"/>
  <c r="I310"/>
  <c r="H310"/>
  <c r="G310"/>
  <c r="F310"/>
  <c r="C309"/>
  <c r="V308"/>
  <c r="K315" s="1"/>
  <c r="T308"/>
  <c r="K314" s="1"/>
  <c r="R308"/>
  <c r="K313" s="1"/>
  <c r="U308"/>
  <c r="I315" s="1"/>
  <c r="S308"/>
  <c r="I314" s="1"/>
  <c r="Q308"/>
  <c r="I313" s="1"/>
  <c r="E308"/>
  <c r="D308"/>
  <c r="B308"/>
  <c r="B307"/>
  <c r="AA304"/>
  <c r="Z304"/>
  <c r="X304"/>
  <c r="P304"/>
  <c r="C303"/>
  <c r="K302"/>
  <c r="J304" s="1"/>
  <c r="J302"/>
  <c r="I302"/>
  <c r="H304" s="1"/>
  <c r="H302"/>
  <c r="G302"/>
  <c r="F302"/>
  <c r="V302"/>
  <c r="T302"/>
  <c r="R302"/>
  <c r="U302"/>
  <c r="S302"/>
  <c r="Q302"/>
  <c r="E302"/>
  <c r="D302"/>
  <c r="B302"/>
  <c r="AA300"/>
  <c r="Z300"/>
  <c r="X300"/>
  <c r="H299"/>
  <c r="J299"/>
  <c r="AB297"/>
  <c r="I297"/>
  <c r="H297"/>
  <c r="G297"/>
  <c r="E297"/>
  <c r="J296"/>
  <c r="E296"/>
  <c r="J295"/>
  <c r="E295"/>
  <c r="J294"/>
  <c r="E294"/>
  <c r="K293"/>
  <c r="J293"/>
  <c r="I293"/>
  <c r="H293"/>
  <c r="G293"/>
  <c r="F293"/>
  <c r="K292"/>
  <c r="J292"/>
  <c r="I292"/>
  <c r="W292" s="1"/>
  <c r="H292"/>
  <c r="G292"/>
  <c r="F292"/>
  <c r="K291"/>
  <c r="J291"/>
  <c r="I291"/>
  <c r="H291"/>
  <c r="G291"/>
  <c r="F291"/>
  <c r="K290"/>
  <c r="J290"/>
  <c r="W290"/>
  <c r="I290"/>
  <c r="H290"/>
  <c r="G290"/>
  <c r="F290"/>
  <c r="C289"/>
  <c r="V288"/>
  <c r="K296" s="1"/>
  <c r="T288"/>
  <c r="K295" s="1"/>
  <c r="R288"/>
  <c r="K294" s="1"/>
  <c r="U288"/>
  <c r="I296" s="1"/>
  <c r="S288"/>
  <c r="I295" s="1"/>
  <c r="Q288"/>
  <c r="I294" s="1"/>
  <c r="E288"/>
  <c r="D288"/>
  <c r="B288"/>
  <c r="AA286"/>
  <c r="Z286"/>
  <c r="X286"/>
  <c r="P286"/>
  <c r="J286"/>
  <c r="C285"/>
  <c r="K284"/>
  <c r="J284"/>
  <c r="I284"/>
  <c r="Y286" s="1"/>
  <c r="H284"/>
  <c r="G284"/>
  <c r="F284"/>
  <c r="V284"/>
  <c r="T284"/>
  <c r="R284"/>
  <c r="U284"/>
  <c r="S284"/>
  <c r="Q284"/>
  <c r="E284"/>
  <c r="D284"/>
  <c r="B284"/>
  <c r="AA282"/>
  <c r="Z282"/>
  <c r="X282"/>
  <c r="H281"/>
  <c r="J281"/>
  <c r="I279"/>
  <c r="AB279" s="1"/>
  <c r="H279"/>
  <c r="G279"/>
  <c r="E279"/>
  <c r="J278"/>
  <c r="E278"/>
  <c r="J277"/>
  <c r="E277"/>
  <c r="J276"/>
  <c r="E276"/>
  <c r="K275"/>
  <c r="J275"/>
  <c r="I275"/>
  <c r="H275"/>
  <c r="G275"/>
  <c r="F275"/>
  <c r="K274"/>
  <c r="J274"/>
  <c r="I274"/>
  <c r="W274" s="1"/>
  <c r="H274"/>
  <c r="G274"/>
  <c r="F274"/>
  <c r="K273"/>
  <c r="J273"/>
  <c r="I273"/>
  <c r="H273"/>
  <c r="G273"/>
  <c r="F273"/>
  <c r="K272"/>
  <c r="J272"/>
  <c r="I272"/>
  <c r="W272" s="1"/>
  <c r="H272"/>
  <c r="G272"/>
  <c r="F272"/>
  <c r="C271"/>
  <c r="V270"/>
  <c r="K278" s="1"/>
  <c r="T270"/>
  <c r="K277" s="1"/>
  <c r="R270"/>
  <c r="K276" s="1"/>
  <c r="U270"/>
  <c r="I278" s="1"/>
  <c r="S270"/>
  <c r="I277" s="1"/>
  <c r="Q270"/>
  <c r="I276" s="1"/>
  <c r="E270"/>
  <c r="D270"/>
  <c r="B270"/>
  <c r="B269"/>
  <c r="AA266"/>
  <c r="Z266"/>
  <c r="X266"/>
  <c r="C265"/>
  <c r="K264"/>
  <c r="J266" s="1"/>
  <c r="J264"/>
  <c r="I264"/>
  <c r="Y266" s="1"/>
  <c r="H264"/>
  <c r="G264"/>
  <c r="F264"/>
  <c r="V264"/>
  <c r="T264"/>
  <c r="R264"/>
  <c r="U264"/>
  <c r="S264"/>
  <c r="Q264"/>
  <c r="E264"/>
  <c r="D264"/>
  <c r="B264"/>
  <c r="AA262"/>
  <c r="Z262"/>
  <c r="X262"/>
  <c r="H261"/>
  <c r="J261"/>
  <c r="I259"/>
  <c r="AB259" s="1"/>
  <c r="H259"/>
  <c r="G259"/>
  <c r="E259"/>
  <c r="J258"/>
  <c r="E258"/>
  <c r="J257"/>
  <c r="E257"/>
  <c r="J256"/>
  <c r="E256"/>
  <c r="K255"/>
  <c r="J255"/>
  <c r="I255"/>
  <c r="H255"/>
  <c r="G255"/>
  <c r="F255"/>
  <c r="K254"/>
  <c r="J254"/>
  <c r="W254"/>
  <c r="I254"/>
  <c r="H254"/>
  <c r="G254"/>
  <c r="F254"/>
  <c r="K253"/>
  <c r="J253"/>
  <c r="I253"/>
  <c r="H253"/>
  <c r="G253"/>
  <c r="F253"/>
  <c r="K252"/>
  <c r="J252"/>
  <c r="I252"/>
  <c r="H252"/>
  <c r="G252"/>
  <c r="F252"/>
  <c r="C251"/>
  <c r="V250"/>
  <c r="K258" s="1"/>
  <c r="T250"/>
  <c r="K257" s="1"/>
  <c r="R250"/>
  <c r="K256" s="1"/>
  <c r="U250"/>
  <c r="I258" s="1"/>
  <c r="S250"/>
  <c r="I257" s="1"/>
  <c r="Q250"/>
  <c r="I256" s="1"/>
  <c r="E250"/>
  <c r="D250"/>
  <c r="B250"/>
  <c r="AA248"/>
  <c r="Z248"/>
  <c r="X248"/>
  <c r="O248"/>
  <c r="P248"/>
  <c r="C247"/>
  <c r="K246"/>
  <c r="J248" s="1"/>
  <c r="J246"/>
  <c r="I246"/>
  <c r="Y248" s="1"/>
  <c r="H246"/>
  <c r="G246"/>
  <c r="F246"/>
  <c r="V246"/>
  <c r="T246"/>
  <c r="R246"/>
  <c r="U246"/>
  <c r="S246"/>
  <c r="Q246"/>
  <c r="E246"/>
  <c r="D246"/>
  <c r="B246"/>
  <c r="AA244"/>
  <c r="Z244"/>
  <c r="X244"/>
  <c r="H243"/>
  <c r="J243"/>
  <c r="I241"/>
  <c r="AB241" s="1"/>
  <c r="H241"/>
  <c r="G241"/>
  <c r="E241"/>
  <c r="J240"/>
  <c r="E240"/>
  <c r="J239"/>
  <c r="E239"/>
  <c r="J238"/>
  <c r="E238"/>
  <c r="K237"/>
  <c r="J237"/>
  <c r="I237"/>
  <c r="H237"/>
  <c r="G237"/>
  <c r="F237"/>
  <c r="K236"/>
  <c r="J236"/>
  <c r="I236"/>
  <c r="W236" s="1"/>
  <c r="H236"/>
  <c r="G236"/>
  <c r="F236"/>
  <c r="K235"/>
  <c r="J235"/>
  <c r="I235"/>
  <c r="H235"/>
  <c r="G235"/>
  <c r="F235"/>
  <c r="K234"/>
  <c r="J234"/>
  <c r="I234"/>
  <c r="W234" s="1"/>
  <c r="H234"/>
  <c r="G234"/>
  <c r="F234"/>
  <c r="C233"/>
  <c r="V232"/>
  <c r="K240" s="1"/>
  <c r="T232"/>
  <c r="K239" s="1"/>
  <c r="R232"/>
  <c r="K238" s="1"/>
  <c r="U232"/>
  <c r="I240" s="1"/>
  <c r="S232"/>
  <c r="I239" s="1"/>
  <c r="Q232"/>
  <c r="I238" s="1"/>
  <c r="E232"/>
  <c r="D232"/>
  <c r="B232"/>
  <c r="B231"/>
  <c r="A229"/>
  <c r="A227"/>
  <c r="H225"/>
  <c r="J225"/>
  <c r="H224"/>
  <c r="J224"/>
  <c r="A223"/>
  <c r="AA220"/>
  <c r="Z220"/>
  <c r="Y220"/>
  <c r="H219"/>
  <c r="J219"/>
  <c r="I217"/>
  <c r="AB217" s="1"/>
  <c r="H217"/>
  <c r="G217"/>
  <c r="E217"/>
  <c r="J216"/>
  <c r="E216"/>
  <c r="J215"/>
  <c r="E215"/>
  <c r="J214"/>
  <c r="E214"/>
  <c r="K213"/>
  <c r="J213"/>
  <c r="H213"/>
  <c r="AA213"/>
  <c r="Z213"/>
  <c r="Y213"/>
  <c r="I213"/>
  <c r="X213" s="1"/>
  <c r="F213"/>
  <c r="V213"/>
  <c r="T213"/>
  <c r="R213"/>
  <c r="U213"/>
  <c r="S213"/>
  <c r="Q213"/>
  <c r="E213"/>
  <c r="D213"/>
  <c r="B213"/>
  <c r="K212"/>
  <c r="J212"/>
  <c r="I212"/>
  <c r="H212"/>
  <c r="G212"/>
  <c r="F212"/>
  <c r="K211"/>
  <c r="J211"/>
  <c r="I211"/>
  <c r="W211" s="1"/>
  <c r="H211"/>
  <c r="G211"/>
  <c r="F211"/>
  <c r="K210"/>
  <c r="J210"/>
  <c r="I210"/>
  <c r="H210"/>
  <c r="G210"/>
  <c r="F210"/>
  <c r="K209"/>
  <c r="J209"/>
  <c r="I209"/>
  <c r="H209"/>
  <c r="G209"/>
  <c r="F209"/>
  <c r="C208"/>
  <c r="V207"/>
  <c r="K216" s="1"/>
  <c r="T207"/>
  <c r="K215" s="1"/>
  <c r="R207"/>
  <c r="U207"/>
  <c r="I216" s="1"/>
  <c r="S207"/>
  <c r="I215" s="1"/>
  <c r="Q207"/>
  <c r="I214" s="1"/>
  <c r="E207"/>
  <c r="D207"/>
  <c r="B207"/>
  <c r="AA205"/>
  <c r="Z205"/>
  <c r="Y205"/>
  <c r="H204"/>
  <c r="J204"/>
  <c r="I202"/>
  <c r="AB202" s="1"/>
  <c r="H202"/>
  <c r="G202"/>
  <c r="E202"/>
  <c r="J201"/>
  <c r="E201"/>
  <c r="J200"/>
  <c r="E200"/>
  <c r="K199"/>
  <c r="J199"/>
  <c r="I199"/>
  <c r="H199"/>
  <c r="G199"/>
  <c r="F199"/>
  <c r="K198"/>
  <c r="J198"/>
  <c r="I198"/>
  <c r="H198"/>
  <c r="G198"/>
  <c r="F198"/>
  <c r="K197"/>
  <c r="J197"/>
  <c r="I197"/>
  <c r="W197" s="1"/>
  <c r="H197"/>
  <c r="G197"/>
  <c r="F197"/>
  <c r="C196"/>
  <c r="V195"/>
  <c r="T195"/>
  <c r="K201" s="1"/>
  <c r="R195"/>
  <c r="K200" s="1"/>
  <c r="U195"/>
  <c r="S195"/>
  <c r="I201" s="1"/>
  <c r="Q195"/>
  <c r="I200" s="1"/>
  <c r="E195"/>
  <c r="D195"/>
  <c r="B195"/>
  <c r="AA193"/>
  <c r="Z193"/>
  <c r="Y193"/>
  <c r="P193"/>
  <c r="J193"/>
  <c r="K192"/>
  <c r="J192"/>
  <c r="I192"/>
  <c r="H193" s="1"/>
  <c r="H192"/>
  <c r="G192"/>
  <c r="F192"/>
  <c r="V192"/>
  <c r="T192"/>
  <c r="R192"/>
  <c r="U192"/>
  <c r="S192"/>
  <c r="Q192"/>
  <c r="E192"/>
  <c r="D192"/>
  <c r="B192"/>
  <c r="AA190"/>
  <c r="Z190"/>
  <c r="Y190"/>
  <c r="H189"/>
  <c r="J189"/>
  <c r="I187"/>
  <c r="AB187" s="1"/>
  <c r="H187"/>
  <c r="G187"/>
  <c r="E187"/>
  <c r="J186"/>
  <c r="E186"/>
  <c r="J185"/>
  <c r="E185"/>
  <c r="J184"/>
  <c r="E184"/>
  <c r="K183"/>
  <c r="J183"/>
  <c r="H183"/>
  <c r="AA183"/>
  <c r="Z183"/>
  <c r="Y183"/>
  <c r="I183"/>
  <c r="X183" s="1"/>
  <c r="F183"/>
  <c r="V183"/>
  <c r="T183"/>
  <c r="R183"/>
  <c r="U183"/>
  <c r="S183"/>
  <c r="Q183"/>
  <c r="E183"/>
  <c r="D183"/>
  <c r="B183"/>
  <c r="K182"/>
  <c r="J182"/>
  <c r="I182"/>
  <c r="W182" s="1"/>
  <c r="H182"/>
  <c r="G182"/>
  <c r="F182"/>
  <c r="K181"/>
  <c r="J181"/>
  <c r="I181"/>
  <c r="H181"/>
  <c r="G181"/>
  <c r="F181"/>
  <c r="K180"/>
  <c r="J180"/>
  <c r="W180"/>
  <c r="I180"/>
  <c r="H180"/>
  <c r="G180"/>
  <c r="F180"/>
  <c r="C179"/>
  <c r="V178"/>
  <c r="K186" s="1"/>
  <c r="T178"/>
  <c r="K185" s="1"/>
  <c r="R178"/>
  <c r="K184" s="1"/>
  <c r="U178"/>
  <c r="I186" s="1"/>
  <c r="S178"/>
  <c r="I185" s="1"/>
  <c r="Q178"/>
  <c r="I184" s="1"/>
  <c r="E178"/>
  <c r="D178"/>
  <c r="B178"/>
  <c r="AA176"/>
  <c r="Z176"/>
  <c r="Y176"/>
  <c r="H175"/>
  <c r="J175"/>
  <c r="I173"/>
  <c r="AB173" s="1"/>
  <c r="H173"/>
  <c r="G173"/>
  <c r="E173"/>
  <c r="J172"/>
  <c r="E172"/>
  <c r="J171"/>
  <c r="E171"/>
  <c r="J170"/>
  <c r="E170"/>
  <c r="K169"/>
  <c r="J169"/>
  <c r="H169"/>
  <c r="AA169"/>
  <c r="Z169"/>
  <c r="Y169"/>
  <c r="X169"/>
  <c r="I169"/>
  <c r="F169"/>
  <c r="V169"/>
  <c r="T169"/>
  <c r="R169"/>
  <c r="U169"/>
  <c r="S169"/>
  <c r="Q169"/>
  <c r="E169"/>
  <c r="D169"/>
  <c r="B169"/>
  <c r="K168"/>
  <c r="J168"/>
  <c r="I168"/>
  <c r="W168" s="1"/>
  <c r="H168"/>
  <c r="G168"/>
  <c r="F168"/>
  <c r="K167"/>
  <c r="J167"/>
  <c r="I167"/>
  <c r="H167"/>
  <c r="G167"/>
  <c r="F167"/>
  <c r="K166"/>
  <c r="J166"/>
  <c r="I166"/>
  <c r="W166" s="1"/>
  <c r="H166"/>
  <c r="G166"/>
  <c r="F166"/>
  <c r="C165"/>
  <c r="V164"/>
  <c r="K172" s="1"/>
  <c r="T164"/>
  <c r="K171" s="1"/>
  <c r="R164"/>
  <c r="K170" s="1"/>
  <c r="U164"/>
  <c r="I172" s="1"/>
  <c r="S164"/>
  <c r="I171" s="1"/>
  <c r="Q164"/>
  <c r="I170" s="1"/>
  <c r="E164"/>
  <c r="D164"/>
  <c r="B164"/>
  <c r="AA162"/>
  <c r="Z162"/>
  <c r="Y162"/>
  <c r="H161"/>
  <c r="J161"/>
  <c r="I159"/>
  <c r="AB159" s="1"/>
  <c r="H159"/>
  <c r="G159"/>
  <c r="E159"/>
  <c r="J158"/>
  <c r="E158"/>
  <c r="J157"/>
  <c r="E157"/>
  <c r="J156"/>
  <c r="E156"/>
  <c r="K155"/>
  <c r="J155"/>
  <c r="H155"/>
  <c r="AA155"/>
  <c r="Z155"/>
  <c r="Y155"/>
  <c r="I155"/>
  <c r="X155" s="1"/>
  <c r="F155"/>
  <c r="V155"/>
  <c r="T155"/>
  <c r="R155"/>
  <c r="U155"/>
  <c r="S155"/>
  <c r="Q155"/>
  <c r="E155"/>
  <c r="D155"/>
  <c r="B155"/>
  <c r="K154"/>
  <c r="J154"/>
  <c r="H154"/>
  <c r="AA154"/>
  <c r="Z154"/>
  <c r="Y154"/>
  <c r="I154"/>
  <c r="X154" s="1"/>
  <c r="F154"/>
  <c r="V154"/>
  <c r="T154"/>
  <c r="R154"/>
  <c r="U154"/>
  <c r="S154"/>
  <c r="Q154"/>
  <c r="E154"/>
  <c r="D154"/>
  <c r="B154"/>
  <c r="K153"/>
  <c r="J153"/>
  <c r="I153"/>
  <c r="H153"/>
  <c r="G153"/>
  <c r="F153"/>
  <c r="K152"/>
  <c r="J152"/>
  <c r="I152"/>
  <c r="W152" s="1"/>
  <c r="H152"/>
  <c r="G152"/>
  <c r="F152"/>
  <c r="K151"/>
  <c r="J151"/>
  <c r="I151"/>
  <c r="H151"/>
  <c r="G151"/>
  <c r="F151"/>
  <c r="K150"/>
  <c r="J150"/>
  <c r="I150"/>
  <c r="H150"/>
  <c r="G150"/>
  <c r="F150"/>
  <c r="C149"/>
  <c r="V148"/>
  <c r="K158" s="1"/>
  <c r="T148"/>
  <c r="K157" s="1"/>
  <c r="R148"/>
  <c r="U148"/>
  <c r="I158" s="1"/>
  <c r="S148"/>
  <c r="I157" s="1"/>
  <c r="Q148"/>
  <c r="I156" s="1"/>
  <c r="E148"/>
  <c r="D148"/>
  <c r="B148"/>
  <c r="AA146"/>
  <c r="Z146"/>
  <c r="Y146"/>
  <c r="H145"/>
  <c r="J145"/>
  <c r="I143"/>
  <c r="AB143" s="1"/>
  <c r="H143"/>
  <c r="G143"/>
  <c r="E143"/>
  <c r="J142"/>
  <c r="E142"/>
  <c r="J141"/>
  <c r="E141"/>
  <c r="K140"/>
  <c r="J140"/>
  <c r="H140"/>
  <c r="AA140"/>
  <c r="Z140"/>
  <c r="Y140"/>
  <c r="I140"/>
  <c r="X140" s="1"/>
  <c r="F140"/>
  <c r="V140"/>
  <c r="T140"/>
  <c r="R140"/>
  <c r="U140"/>
  <c r="S140"/>
  <c r="Q140"/>
  <c r="E140"/>
  <c r="D140"/>
  <c r="B140"/>
  <c r="K139"/>
  <c r="J139"/>
  <c r="I139"/>
  <c r="H139"/>
  <c r="G139"/>
  <c r="F139"/>
  <c r="K138"/>
  <c r="J138"/>
  <c r="I138"/>
  <c r="W138" s="1"/>
  <c r="H138"/>
  <c r="G138"/>
  <c r="F138"/>
  <c r="C137"/>
  <c r="V136"/>
  <c r="T136"/>
  <c r="K142" s="1"/>
  <c r="R136"/>
  <c r="U136"/>
  <c r="S136"/>
  <c r="I142" s="1"/>
  <c r="Q136"/>
  <c r="E136"/>
  <c r="D136"/>
  <c r="B136"/>
  <c r="AA134"/>
  <c r="Z134"/>
  <c r="Y134"/>
  <c r="H133"/>
  <c r="J133"/>
  <c r="I131"/>
  <c r="AB131" s="1"/>
  <c r="H131"/>
  <c r="G131"/>
  <c r="E131"/>
  <c r="J130"/>
  <c r="E130"/>
  <c r="J129"/>
  <c r="E129"/>
  <c r="K128"/>
  <c r="J128"/>
  <c r="H128"/>
  <c r="AA128"/>
  <c r="Z128"/>
  <c r="Y128"/>
  <c r="I128"/>
  <c r="X128" s="1"/>
  <c r="F128"/>
  <c r="V128"/>
  <c r="T128"/>
  <c r="R128"/>
  <c r="U128"/>
  <c r="S128"/>
  <c r="Q128"/>
  <c r="E128"/>
  <c r="D128"/>
  <c r="B128"/>
  <c r="K127"/>
  <c r="J127"/>
  <c r="H127"/>
  <c r="AA127"/>
  <c r="Z127"/>
  <c r="Y127"/>
  <c r="I127"/>
  <c r="X127" s="1"/>
  <c r="F127"/>
  <c r="V127"/>
  <c r="T127"/>
  <c r="R127"/>
  <c r="U127"/>
  <c r="S127"/>
  <c r="Q127"/>
  <c r="E127"/>
  <c r="D127"/>
  <c r="B127"/>
  <c r="K126"/>
  <c r="J126"/>
  <c r="I126"/>
  <c r="H126"/>
  <c r="G126"/>
  <c r="F126"/>
  <c r="K125"/>
  <c r="J125"/>
  <c r="I125"/>
  <c r="W125" s="1"/>
  <c r="H125"/>
  <c r="G125"/>
  <c r="F125"/>
  <c r="C124"/>
  <c r="V123"/>
  <c r="T123"/>
  <c r="K130" s="1"/>
  <c r="R123"/>
  <c r="U123"/>
  <c r="S123"/>
  <c r="I130" s="1"/>
  <c r="Q123"/>
  <c r="I129" s="1"/>
  <c r="E123"/>
  <c r="D123"/>
  <c r="B123"/>
  <c r="AA121"/>
  <c r="Z121"/>
  <c r="Y121"/>
  <c r="H120"/>
  <c r="J120"/>
  <c r="I118"/>
  <c r="AB118" s="1"/>
  <c r="H118"/>
  <c r="G118"/>
  <c r="E118"/>
  <c r="J117"/>
  <c r="E117"/>
  <c r="J116"/>
  <c r="E116"/>
  <c r="J115"/>
  <c r="E115"/>
  <c r="K114"/>
  <c r="J114"/>
  <c r="I114"/>
  <c r="W114" s="1"/>
  <c r="H114"/>
  <c r="G114"/>
  <c r="F114"/>
  <c r="K113"/>
  <c r="J113"/>
  <c r="I113"/>
  <c r="H113"/>
  <c r="G113"/>
  <c r="F113"/>
  <c r="K112"/>
  <c r="J112"/>
  <c r="W112"/>
  <c r="I112"/>
  <c r="H112"/>
  <c r="G112"/>
  <c r="F112"/>
  <c r="C111"/>
  <c r="V110"/>
  <c r="K117" s="1"/>
  <c r="T110"/>
  <c r="K116" s="1"/>
  <c r="R110"/>
  <c r="K115" s="1"/>
  <c r="U110"/>
  <c r="I117" s="1"/>
  <c r="S110"/>
  <c r="I116" s="1"/>
  <c r="Q110"/>
  <c r="I115" s="1"/>
  <c r="E110"/>
  <c r="D110"/>
  <c r="B110"/>
  <c r="B109"/>
  <c r="A107"/>
  <c r="H105"/>
  <c r="J105"/>
  <c r="H104"/>
  <c r="J104"/>
  <c r="A103"/>
  <c r="AA100"/>
  <c r="Z100"/>
  <c r="Y100"/>
  <c r="H99"/>
  <c r="J99"/>
  <c r="I97"/>
  <c r="AB97" s="1"/>
  <c r="H97"/>
  <c r="G97"/>
  <c r="E97"/>
  <c r="J96"/>
  <c r="E96"/>
  <c r="J95"/>
  <c r="E95"/>
  <c r="J94"/>
  <c r="E94"/>
  <c r="K93"/>
  <c r="J93"/>
  <c r="I93"/>
  <c r="W93" s="1"/>
  <c r="H93"/>
  <c r="G93"/>
  <c r="F93"/>
  <c r="K92"/>
  <c r="J92"/>
  <c r="I92"/>
  <c r="H92"/>
  <c r="G92"/>
  <c r="F92"/>
  <c r="K91"/>
  <c r="J91"/>
  <c r="I91"/>
  <c r="W91" s="1"/>
  <c r="H91"/>
  <c r="G91"/>
  <c r="F91"/>
  <c r="V90"/>
  <c r="K96" s="1"/>
  <c r="T90"/>
  <c r="K95" s="1"/>
  <c r="R90"/>
  <c r="K94" s="1"/>
  <c r="U90"/>
  <c r="I96" s="1"/>
  <c r="S90"/>
  <c r="I95" s="1"/>
  <c r="Q90"/>
  <c r="I94" s="1"/>
  <c r="E90"/>
  <c r="D90"/>
  <c r="B90"/>
  <c r="AA88"/>
  <c r="Z88"/>
  <c r="Y88"/>
  <c r="P88"/>
  <c r="J88"/>
  <c r="C87"/>
  <c r="K86"/>
  <c r="J86"/>
  <c r="I86"/>
  <c r="H88" s="1"/>
  <c r="H86"/>
  <c r="G86"/>
  <c r="F86"/>
  <c r="V86"/>
  <c r="T86"/>
  <c r="R86"/>
  <c r="U86"/>
  <c r="S86"/>
  <c r="Q86"/>
  <c r="E86"/>
  <c r="D86"/>
  <c r="B86"/>
  <c r="AA84"/>
  <c r="Z84"/>
  <c r="Y84"/>
  <c r="H83"/>
  <c r="J83"/>
  <c r="I81"/>
  <c r="AB81" s="1"/>
  <c r="H81"/>
  <c r="G81"/>
  <c r="E81"/>
  <c r="J80"/>
  <c r="E80"/>
  <c r="J79"/>
  <c r="E79"/>
  <c r="K78"/>
  <c r="J78"/>
  <c r="I78"/>
  <c r="W78" s="1"/>
  <c r="H78"/>
  <c r="G78"/>
  <c r="F78"/>
  <c r="C77"/>
  <c r="V76"/>
  <c r="T76"/>
  <c r="K80" s="1"/>
  <c r="R76"/>
  <c r="K79" s="1"/>
  <c r="U76"/>
  <c r="S76"/>
  <c r="I80" s="1"/>
  <c r="Q76"/>
  <c r="I79" s="1"/>
  <c r="E76"/>
  <c r="D76"/>
  <c r="B76"/>
  <c r="AA74"/>
  <c r="Z74"/>
  <c r="Y74"/>
  <c r="H73"/>
  <c r="J73"/>
  <c r="J71"/>
  <c r="E71"/>
  <c r="K70"/>
  <c r="J70"/>
  <c r="I70"/>
  <c r="W70" s="1"/>
  <c r="H70"/>
  <c r="G70"/>
  <c r="F70"/>
  <c r="K69"/>
  <c r="J69"/>
  <c r="I69"/>
  <c r="H69"/>
  <c r="G69"/>
  <c r="F69"/>
  <c r="C68"/>
  <c r="V67"/>
  <c r="K71" s="1"/>
  <c r="T67"/>
  <c r="R67"/>
  <c r="U67"/>
  <c r="I71" s="1"/>
  <c r="S67"/>
  <c r="Q67"/>
  <c r="E67"/>
  <c r="D67"/>
  <c r="B67"/>
  <c r="AA65"/>
  <c r="Z65"/>
  <c r="Y65"/>
  <c r="H64"/>
  <c r="J64"/>
  <c r="I62"/>
  <c r="AB62" s="1"/>
  <c r="H62"/>
  <c r="G62"/>
  <c r="E62"/>
  <c r="K61"/>
  <c r="J61"/>
  <c r="E61"/>
  <c r="J60"/>
  <c r="I60"/>
  <c r="E60"/>
  <c r="K59"/>
  <c r="J59"/>
  <c r="I59"/>
  <c r="H59"/>
  <c r="G59"/>
  <c r="F59"/>
  <c r="C58"/>
  <c r="V57"/>
  <c r="T57"/>
  <c r="R57"/>
  <c r="K60" s="1"/>
  <c r="U57"/>
  <c r="S57"/>
  <c r="I61" s="1"/>
  <c r="Q57"/>
  <c r="E57"/>
  <c r="D57"/>
  <c r="B57"/>
  <c r="AA55"/>
  <c r="Z55"/>
  <c r="Y55"/>
  <c r="H54"/>
  <c r="J54"/>
  <c r="I52"/>
  <c r="AB52" s="1"/>
  <c r="H52"/>
  <c r="G52"/>
  <c r="E52"/>
  <c r="J51"/>
  <c r="E51"/>
  <c r="K50"/>
  <c r="J50"/>
  <c r="E50"/>
  <c r="J49"/>
  <c r="E49"/>
  <c r="K48"/>
  <c r="J48"/>
  <c r="I48"/>
  <c r="W48" s="1"/>
  <c r="H48"/>
  <c r="G48"/>
  <c r="F48"/>
  <c r="K47"/>
  <c r="J47"/>
  <c r="I47"/>
  <c r="H47"/>
  <c r="G47"/>
  <c r="F47"/>
  <c r="K46"/>
  <c r="J46"/>
  <c r="W46"/>
  <c r="I46"/>
  <c r="H46"/>
  <c r="G46"/>
  <c r="F46"/>
  <c r="C45"/>
  <c r="V44"/>
  <c r="K51" s="1"/>
  <c r="T44"/>
  <c r="R44"/>
  <c r="K49" s="1"/>
  <c r="U44"/>
  <c r="I51" s="1"/>
  <c r="S44"/>
  <c r="I50" s="1"/>
  <c r="Q44"/>
  <c r="I49" s="1"/>
  <c r="E44"/>
  <c r="D44"/>
  <c r="AA42"/>
  <c r="I17" s="1"/>
  <c r="Z42"/>
  <c r="I16" s="1"/>
  <c r="Y42"/>
  <c r="H41"/>
  <c r="J41"/>
  <c r="I39"/>
  <c r="AB39" s="1"/>
  <c r="H39"/>
  <c r="G39"/>
  <c r="E39"/>
  <c r="J38"/>
  <c r="E38"/>
  <c r="K37"/>
  <c r="J37"/>
  <c r="E37"/>
  <c r="J36"/>
  <c r="E36"/>
  <c r="K35"/>
  <c r="J35"/>
  <c r="I35"/>
  <c r="W35" s="1"/>
  <c r="H35"/>
  <c r="G35"/>
  <c r="F35"/>
  <c r="K34"/>
  <c r="J34"/>
  <c r="I34"/>
  <c r="H34"/>
  <c r="G34"/>
  <c r="F34"/>
  <c r="K33"/>
  <c r="J33"/>
  <c r="I33"/>
  <c r="H33"/>
  <c r="G33"/>
  <c r="F33"/>
  <c r="C32"/>
  <c r="V31"/>
  <c r="K38" s="1"/>
  <c r="T31"/>
  <c r="R31"/>
  <c r="K36" s="1"/>
  <c r="U31"/>
  <c r="I38" s="1"/>
  <c r="S31"/>
  <c r="I37" s="1"/>
  <c r="Q31"/>
  <c r="I36" s="1"/>
  <c r="E31"/>
  <c r="D31"/>
  <c r="B31"/>
  <c r="A30"/>
  <c r="A28"/>
  <c r="A10"/>
  <c r="A1" i="4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1" i="3"/>
  <c r="Y1"/>
  <c r="CY1"/>
  <c r="CZ1"/>
  <c r="DB1" s="1"/>
  <c r="DA1"/>
  <c r="DC1"/>
  <c r="A2"/>
  <c r="Y2"/>
  <c r="CY2"/>
  <c r="CZ2"/>
  <c r="DA2"/>
  <c r="DB2"/>
  <c r="DC2"/>
  <c r="A3"/>
  <c r="Y3"/>
  <c r="CY3"/>
  <c r="CZ3"/>
  <c r="DB3" s="1"/>
  <c r="DA3"/>
  <c r="DC3"/>
  <c r="A4"/>
  <c r="Y4"/>
  <c r="CY4"/>
  <c r="CZ4"/>
  <c r="DB4" s="1"/>
  <c r="DA4"/>
  <c r="DC4"/>
  <c r="A5"/>
  <c r="Y5"/>
  <c r="CY5"/>
  <c r="CZ5"/>
  <c r="DA5"/>
  <c r="DB5"/>
  <c r="DC5"/>
  <c r="A6"/>
  <c r="Y6"/>
  <c r="CY6"/>
  <c r="CZ6"/>
  <c r="DB6" s="1"/>
  <c r="DA6"/>
  <c r="DC6"/>
  <c r="A7"/>
  <c r="Y7"/>
  <c r="CY7"/>
  <c r="CZ7"/>
  <c r="DA7"/>
  <c r="DB7"/>
  <c r="DC7"/>
  <c r="A8"/>
  <c r="Y8"/>
  <c r="CY8"/>
  <c r="CZ8"/>
  <c r="DB8" s="1"/>
  <c r="DA8"/>
  <c r="DC8"/>
  <c r="A9"/>
  <c r="Y9"/>
  <c r="CY9"/>
  <c r="CZ9"/>
  <c r="DB9" s="1"/>
  <c r="DA9"/>
  <c r="DC9"/>
  <c r="A10"/>
  <c r="Y10"/>
  <c r="CY10"/>
  <c r="CZ10"/>
  <c r="DA10"/>
  <c r="DB10"/>
  <c r="DC10"/>
  <c r="A11"/>
  <c r="Y11"/>
  <c r="CY11"/>
  <c r="CZ11"/>
  <c r="DA11"/>
  <c r="DB11"/>
  <c r="DC11"/>
  <c r="A12"/>
  <c r="Y12"/>
  <c r="CY12"/>
  <c r="CZ12"/>
  <c r="DB12" s="1"/>
  <c r="DA12"/>
  <c r="DC12"/>
  <c r="A13"/>
  <c r="Y13"/>
  <c r="CY13"/>
  <c r="CZ13"/>
  <c r="DA13"/>
  <c r="DB13"/>
  <c r="DC13"/>
  <c r="A14"/>
  <c r="Y14"/>
  <c r="CY14"/>
  <c r="CZ14"/>
  <c r="DB14" s="1"/>
  <c r="DA14"/>
  <c r="DC14"/>
  <c r="A15"/>
  <c r="Y15"/>
  <c r="CY15"/>
  <c r="CZ15"/>
  <c r="DB15" s="1"/>
  <c r="DA15"/>
  <c r="DC15"/>
  <c r="A16"/>
  <c r="Y16"/>
  <c r="CY16"/>
  <c r="CZ16"/>
  <c r="DA16"/>
  <c r="DB16"/>
  <c r="DC16"/>
  <c r="A17"/>
  <c r="Y17"/>
  <c r="CY17"/>
  <c r="CZ17"/>
  <c r="DA17"/>
  <c r="DB17"/>
  <c r="DC17"/>
  <c r="A18"/>
  <c r="Y18"/>
  <c r="CY18"/>
  <c r="CZ18"/>
  <c r="DB18" s="1"/>
  <c r="DA18"/>
  <c r="DC18"/>
  <c r="A19"/>
  <c r="Y19"/>
  <c r="CY19"/>
  <c r="CZ19"/>
  <c r="DA19"/>
  <c r="DB19"/>
  <c r="DC19"/>
  <c r="A20"/>
  <c r="Y20"/>
  <c r="CY20"/>
  <c r="CZ20"/>
  <c r="DB20" s="1"/>
  <c r="DA20"/>
  <c r="DC20"/>
  <c r="A21"/>
  <c r="Y21"/>
  <c r="CY21"/>
  <c r="CZ21"/>
  <c r="DB21" s="1"/>
  <c r="DA21"/>
  <c r="DC21"/>
  <c r="A22"/>
  <c r="Y22"/>
  <c r="CY22"/>
  <c r="CZ22"/>
  <c r="DA22"/>
  <c r="DB22"/>
  <c r="DC22"/>
  <c r="A23"/>
  <c r="Y23"/>
  <c r="CY23"/>
  <c r="CZ23"/>
  <c r="DA23"/>
  <c r="DB23"/>
  <c r="DC23"/>
  <c r="A24"/>
  <c r="Y24"/>
  <c r="CY24"/>
  <c r="CZ24"/>
  <c r="DB24" s="1"/>
  <c r="DA24"/>
  <c r="DC24"/>
  <c r="A25"/>
  <c r="Y25"/>
  <c r="CY25"/>
  <c r="CZ25"/>
  <c r="DA25"/>
  <c r="DB25"/>
  <c r="DC25"/>
  <c r="A26"/>
  <c r="Y26"/>
  <c r="CY26"/>
  <c r="CZ26"/>
  <c r="DB26" s="1"/>
  <c r="DA26"/>
  <c r="DC26"/>
  <c r="A27"/>
  <c r="Y27"/>
  <c r="CY27"/>
  <c r="CZ27"/>
  <c r="DB27" s="1"/>
  <c r="DA27"/>
  <c r="DC27"/>
  <c r="A28"/>
  <c r="Y28"/>
  <c r="CY28"/>
  <c r="CZ28"/>
  <c r="DA28"/>
  <c r="DB28"/>
  <c r="DC28"/>
  <c r="A29"/>
  <c r="Y29"/>
  <c r="CY29"/>
  <c r="CZ29"/>
  <c r="DA29"/>
  <c r="DB29"/>
  <c r="DC29"/>
  <c r="A30"/>
  <c r="Y30"/>
  <c r="CY30"/>
  <c r="CZ30"/>
  <c r="DB30" s="1"/>
  <c r="DA30"/>
  <c r="DC30"/>
  <c r="A31"/>
  <c r="Y31"/>
  <c r="CY31"/>
  <c r="CZ31"/>
  <c r="DA31"/>
  <c r="DB31"/>
  <c r="DC31"/>
  <c r="A32"/>
  <c r="Y32"/>
  <c r="CY32"/>
  <c r="CZ32"/>
  <c r="DB32" s="1"/>
  <c r="DA32"/>
  <c r="DC32"/>
  <c r="A33"/>
  <c r="Y33"/>
  <c r="CY33"/>
  <c r="CZ33"/>
  <c r="DB33" s="1"/>
  <c r="DA33"/>
  <c r="DC33"/>
  <c r="A34"/>
  <c r="Y34"/>
  <c r="CY34"/>
  <c r="CZ34"/>
  <c r="DA34"/>
  <c r="DB34"/>
  <c r="DC34"/>
  <c r="A35"/>
  <c r="Y35"/>
  <c r="CY35"/>
  <c r="CZ35"/>
  <c r="DA35"/>
  <c r="DB35"/>
  <c r="DC35"/>
  <c r="A36"/>
  <c r="Y36"/>
  <c r="CY36"/>
  <c r="CZ36"/>
  <c r="DB36" s="1"/>
  <c r="DA36"/>
  <c r="DC36"/>
  <c r="A37"/>
  <c r="Y37"/>
  <c r="CY37"/>
  <c r="CZ37"/>
  <c r="DA37"/>
  <c r="DB37"/>
  <c r="DC37"/>
  <c r="A38"/>
  <c r="Y38"/>
  <c r="CY38"/>
  <c r="CZ38"/>
  <c r="DB38" s="1"/>
  <c r="DA38"/>
  <c r="DC38"/>
  <c r="A39"/>
  <c r="Y39"/>
  <c r="CY39"/>
  <c r="CZ39"/>
  <c r="DB39" s="1"/>
  <c r="DA39"/>
  <c r="DC39"/>
  <c r="A40"/>
  <c r="Y40"/>
  <c r="CY40"/>
  <c r="CZ40"/>
  <c r="DA40"/>
  <c r="DB40"/>
  <c r="DC40"/>
  <c r="A41"/>
  <c r="Y41"/>
  <c r="CY41"/>
  <c r="CZ41"/>
  <c r="DA41"/>
  <c r="DB41"/>
  <c r="DC41"/>
  <c r="A42"/>
  <c r="Y42"/>
  <c r="CY42"/>
  <c r="CZ42"/>
  <c r="DB42" s="1"/>
  <c r="DA42"/>
  <c r="DC42"/>
  <c r="A43"/>
  <c r="Y43"/>
  <c r="CY43"/>
  <c r="CZ43"/>
  <c r="DA43"/>
  <c r="DB43"/>
  <c r="DC43"/>
  <c r="A44"/>
  <c r="Y44"/>
  <c r="CY44"/>
  <c r="CZ44"/>
  <c r="DB44" s="1"/>
  <c r="DA44"/>
  <c r="DC44"/>
  <c r="A45"/>
  <c r="Y45"/>
  <c r="CY45"/>
  <c r="CZ45"/>
  <c r="DA45"/>
  <c r="DB45"/>
  <c r="DC45"/>
  <c r="A46"/>
  <c r="Y46"/>
  <c r="CY46"/>
  <c r="CZ46"/>
  <c r="DB46" s="1"/>
  <c r="DA46"/>
  <c r="DC46"/>
  <c r="A47"/>
  <c r="Y47"/>
  <c r="CY47"/>
  <c r="CZ47"/>
  <c r="DB47" s="1"/>
  <c r="DA47"/>
  <c r="DC47"/>
  <c r="A48"/>
  <c r="Y48"/>
  <c r="CY48"/>
  <c r="CZ48"/>
  <c r="DA48"/>
  <c r="DB48"/>
  <c r="DC48"/>
  <c r="A49"/>
  <c r="Y49"/>
  <c r="CY49"/>
  <c r="CZ49"/>
  <c r="DA49"/>
  <c r="DB49"/>
  <c r="DC49"/>
  <c r="A50"/>
  <c r="Y50"/>
  <c r="CY50"/>
  <c r="CZ50"/>
  <c r="DA50"/>
  <c r="DB50"/>
  <c r="DC50"/>
  <c r="A51"/>
  <c r="Y51"/>
  <c r="CY51"/>
  <c r="CZ51"/>
  <c r="DB51" s="1"/>
  <c r="DA51"/>
  <c r="DC51"/>
  <c r="A52"/>
  <c r="Y52"/>
  <c r="CY52"/>
  <c r="CZ52"/>
  <c r="DA52"/>
  <c r="DB52"/>
  <c r="DC52"/>
  <c r="A53"/>
  <c r="Y53"/>
  <c r="CY53"/>
  <c r="CZ53"/>
  <c r="DA53"/>
  <c r="DB53"/>
  <c r="DC53"/>
  <c r="A54"/>
  <c r="Y54"/>
  <c r="CY54"/>
  <c r="CZ54"/>
  <c r="DB54" s="1"/>
  <c r="DA54"/>
  <c r="DC54"/>
  <c r="A55"/>
  <c r="Y55"/>
  <c r="CY55"/>
  <c r="CZ55"/>
  <c r="DB55" s="1"/>
  <c r="DA55"/>
  <c r="DC55"/>
  <c r="A56"/>
  <c r="Y56"/>
  <c r="CY56"/>
  <c r="CZ56"/>
  <c r="DA56"/>
  <c r="DB56"/>
  <c r="DC56"/>
  <c r="A57"/>
  <c r="Y57"/>
  <c r="CY57"/>
  <c r="CZ57"/>
  <c r="DB57" s="1"/>
  <c r="DA57"/>
  <c r="DC57"/>
  <c r="A58"/>
  <c r="Y58"/>
  <c r="CY58"/>
  <c r="CZ58"/>
  <c r="DA58"/>
  <c r="DB58"/>
  <c r="DC58"/>
  <c r="A59"/>
  <c r="Y59"/>
  <c r="CY59"/>
  <c r="CZ59"/>
  <c r="DB59" s="1"/>
  <c r="DA59"/>
  <c r="DC59"/>
  <c r="A60"/>
  <c r="Y60"/>
  <c r="CY60"/>
  <c r="CZ60"/>
  <c r="DA60"/>
  <c r="DB60"/>
  <c r="DC60"/>
  <c r="A61"/>
  <c r="Y61"/>
  <c r="CY61"/>
  <c r="CZ61"/>
  <c r="DB61" s="1"/>
  <c r="DA61"/>
  <c r="DC61"/>
  <c r="A62"/>
  <c r="Y62"/>
  <c r="CY62"/>
  <c r="CZ62"/>
  <c r="DA62"/>
  <c r="DB62"/>
  <c r="DC62"/>
  <c r="A63"/>
  <c r="Y63"/>
  <c r="CY63"/>
  <c r="CZ63"/>
  <c r="DB63" s="1"/>
  <c r="DA63"/>
  <c r="DC63"/>
  <c r="A64"/>
  <c r="Y64"/>
  <c r="CY64"/>
  <c r="CZ64"/>
  <c r="DA64"/>
  <c r="DB64"/>
  <c r="DC64"/>
  <c r="A65"/>
  <c r="Y65"/>
  <c r="CY65"/>
  <c r="CZ65"/>
  <c r="DB65" s="1"/>
  <c r="DA65"/>
  <c r="DC65"/>
  <c r="A66"/>
  <c r="Y66"/>
  <c r="CY66"/>
  <c r="CZ66"/>
  <c r="DA66"/>
  <c r="DB66"/>
  <c r="DC66"/>
  <c r="A67"/>
  <c r="Y67"/>
  <c r="CY67"/>
  <c r="CZ67"/>
  <c r="DB67" s="1"/>
  <c r="DA67"/>
  <c r="DC67"/>
  <c r="A68"/>
  <c r="Y68"/>
  <c r="CY68"/>
  <c r="CZ68"/>
  <c r="DA68"/>
  <c r="DB68"/>
  <c r="DC68"/>
  <c r="A69"/>
  <c r="Y69"/>
  <c r="CY69"/>
  <c r="CZ69"/>
  <c r="DB69" s="1"/>
  <c r="DA69"/>
  <c r="DC69"/>
  <c r="A70"/>
  <c r="Y70"/>
  <c r="CY70"/>
  <c r="CZ70"/>
  <c r="DA70"/>
  <c r="DB70"/>
  <c r="DC70"/>
  <c r="A71"/>
  <c r="Y71"/>
  <c r="CY71"/>
  <c r="CZ71"/>
  <c r="DB71" s="1"/>
  <c r="DA71"/>
  <c r="DC71"/>
  <c r="A72"/>
  <c r="Y72"/>
  <c r="CY72"/>
  <c r="CZ72"/>
  <c r="DA72"/>
  <c r="DB72"/>
  <c r="DC72"/>
  <c r="A73"/>
  <c r="Y73"/>
  <c r="CY73"/>
  <c r="CZ73"/>
  <c r="DB73" s="1"/>
  <c r="DA73"/>
  <c r="DC73"/>
  <c r="A74"/>
  <c r="Y74"/>
  <c r="CY74"/>
  <c r="CZ74"/>
  <c r="DA74"/>
  <c r="DB74"/>
  <c r="DC74"/>
  <c r="A75"/>
  <c r="Y75"/>
  <c r="CY75"/>
  <c r="CZ75"/>
  <c r="DB75" s="1"/>
  <c r="DA75"/>
  <c r="DC75"/>
  <c r="A76"/>
  <c r="Y76"/>
  <c r="CY76"/>
  <c r="CZ76"/>
  <c r="DA76"/>
  <c r="DB76"/>
  <c r="DC76"/>
  <c r="A77"/>
  <c r="Y77"/>
  <c r="CY77"/>
  <c r="CZ77"/>
  <c r="DB77" s="1"/>
  <c r="DA77"/>
  <c r="DC77"/>
  <c r="A78"/>
  <c r="Y78"/>
  <c r="CY78"/>
  <c r="CZ78"/>
  <c r="DA78"/>
  <c r="DB78"/>
  <c r="DC78"/>
  <c r="A79"/>
  <c r="Y79"/>
  <c r="CY79"/>
  <c r="CZ79"/>
  <c r="DB79" s="1"/>
  <c r="DA79"/>
  <c r="DC79"/>
  <c r="A80"/>
  <c r="Y80"/>
  <c r="CY80"/>
  <c r="CZ80"/>
  <c r="DA80"/>
  <c r="DB80"/>
  <c r="DC80"/>
  <c r="A81"/>
  <c r="Y81"/>
  <c r="CY81"/>
  <c r="CZ81"/>
  <c r="DB81" s="1"/>
  <c r="DA81"/>
  <c r="DC81"/>
  <c r="A82"/>
  <c r="Y82"/>
  <c r="CY82"/>
  <c r="CZ82"/>
  <c r="DB82" s="1"/>
  <c r="DA82"/>
  <c r="DC82"/>
  <c r="A83"/>
  <c r="Y83"/>
  <c r="CY83"/>
  <c r="CZ83"/>
  <c r="DB83" s="1"/>
  <c r="DA83"/>
  <c r="DC83"/>
  <c r="A84"/>
  <c r="Y84"/>
  <c r="CY84"/>
  <c r="CZ84"/>
  <c r="DA84"/>
  <c r="DB84"/>
  <c r="DC84"/>
  <c r="A85"/>
  <c r="Y85"/>
  <c r="CY85"/>
  <c r="CZ85"/>
  <c r="DA85"/>
  <c r="DB85"/>
  <c r="DC85"/>
  <c r="A86"/>
  <c r="Y86"/>
  <c r="CY86"/>
  <c r="CZ86"/>
  <c r="DB86" s="1"/>
  <c r="DA86"/>
  <c r="DC86"/>
  <c r="A87"/>
  <c r="Y87"/>
  <c r="CY87"/>
  <c r="CZ87"/>
  <c r="DB87" s="1"/>
  <c r="DA87"/>
  <c r="DC87"/>
  <c r="A88"/>
  <c r="Y88"/>
  <c r="CY88"/>
  <c r="CZ88"/>
  <c r="DA88"/>
  <c r="DB88"/>
  <c r="DC88"/>
  <c r="A89"/>
  <c r="Y89"/>
  <c r="CY89"/>
  <c r="CZ89"/>
  <c r="DB89" s="1"/>
  <c r="DA89"/>
  <c r="DC89"/>
  <c r="A90"/>
  <c r="Y90"/>
  <c r="CY90"/>
  <c r="CZ90"/>
  <c r="DA90"/>
  <c r="DB90"/>
  <c r="DC90"/>
  <c r="A91"/>
  <c r="Y91"/>
  <c r="CY91"/>
  <c r="CZ91"/>
  <c r="DB91" s="1"/>
  <c r="DA91"/>
  <c r="DC91"/>
  <c r="A92"/>
  <c r="Y92"/>
  <c r="CY92"/>
  <c r="CZ92"/>
  <c r="DA92"/>
  <c r="DB92"/>
  <c r="DC92"/>
  <c r="A93"/>
  <c r="Y93"/>
  <c r="CY93"/>
  <c r="CZ93"/>
  <c r="DB93" s="1"/>
  <c r="DA93"/>
  <c r="DC93"/>
  <c r="A94"/>
  <c r="Y94"/>
  <c r="CY94"/>
  <c r="CZ94"/>
  <c r="DA94"/>
  <c r="DB94"/>
  <c r="DC94"/>
  <c r="A95"/>
  <c r="Y95"/>
  <c r="CY95"/>
  <c r="CZ95"/>
  <c r="DB95" s="1"/>
  <c r="DA95"/>
  <c r="DC95"/>
  <c r="A96"/>
  <c r="Y96"/>
  <c r="CY96"/>
  <c r="CZ96"/>
  <c r="DA96"/>
  <c r="DB96"/>
  <c r="DC96"/>
  <c r="A97"/>
  <c r="Y97"/>
  <c r="CY97"/>
  <c r="CZ97"/>
  <c r="DB97" s="1"/>
  <c r="DA97"/>
  <c r="DC97"/>
  <c r="A98"/>
  <c r="Y98"/>
  <c r="CY98"/>
  <c r="CZ98"/>
  <c r="DA98"/>
  <c r="DB98"/>
  <c r="DC98"/>
  <c r="A99"/>
  <c r="Y99"/>
  <c r="CY99"/>
  <c r="CZ99"/>
  <c r="DB99" s="1"/>
  <c r="DA99"/>
  <c r="DC99"/>
  <c r="A100"/>
  <c r="Y100"/>
  <c r="CY100"/>
  <c r="CZ100"/>
  <c r="DA100"/>
  <c r="DB100"/>
  <c r="DC100"/>
  <c r="A101"/>
  <c r="Y101"/>
  <c r="CY101"/>
  <c r="CZ101"/>
  <c r="DB101" s="1"/>
  <c r="DA101"/>
  <c r="DC101"/>
  <c r="A102"/>
  <c r="Y102"/>
  <c r="CY102"/>
  <c r="CZ102"/>
  <c r="DA102"/>
  <c r="DB102"/>
  <c r="DC102"/>
  <c r="A103"/>
  <c r="Y103"/>
  <c r="CY103"/>
  <c r="CZ103"/>
  <c r="DB103" s="1"/>
  <c r="DA103"/>
  <c r="DC103"/>
  <c r="A104"/>
  <c r="Y104"/>
  <c r="CY104"/>
  <c r="CZ104"/>
  <c r="DA104"/>
  <c r="DB104"/>
  <c r="DC104"/>
  <c r="A105"/>
  <c r="Y105"/>
  <c r="CY105"/>
  <c r="CZ105"/>
  <c r="DB105" s="1"/>
  <c r="DA105"/>
  <c r="DC105"/>
  <c r="A106"/>
  <c r="Y106"/>
  <c r="CY106"/>
  <c r="CZ106"/>
  <c r="DA106"/>
  <c r="DB106"/>
  <c r="DC106"/>
  <c r="A107"/>
  <c r="Y107"/>
  <c r="CY107"/>
  <c r="CZ107"/>
  <c r="DA107"/>
  <c r="DB107"/>
  <c r="DC107"/>
  <c r="A108"/>
  <c r="Y108"/>
  <c r="CY108"/>
  <c r="CZ108"/>
  <c r="DB108" s="1"/>
  <c r="DA108"/>
  <c r="DC108"/>
  <c r="A109"/>
  <c r="Y109"/>
  <c r="CY109"/>
  <c r="CZ109"/>
  <c r="DB109" s="1"/>
  <c r="DA109"/>
  <c r="DC109"/>
  <c r="A110"/>
  <c r="Y110"/>
  <c r="CY110"/>
  <c r="CZ110"/>
  <c r="DA110"/>
  <c r="DB110"/>
  <c r="DC110"/>
  <c r="D12" i="1"/>
  <c r="E18"/>
  <c r="Z18"/>
  <c r="AA18"/>
  <c r="AB18"/>
  <c r="AC18"/>
  <c r="AD18"/>
  <c r="AE18"/>
  <c r="AF18"/>
  <c r="AG18"/>
  <c r="AH18"/>
  <c r="AI18"/>
  <c r="AJ18"/>
  <c r="AK18"/>
  <c r="AL18"/>
  <c r="AM18"/>
  <c r="AN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R18"/>
  <c r="DS18"/>
  <c r="DT18"/>
  <c r="DU18"/>
  <c r="DV18"/>
  <c r="DW18"/>
  <c r="DX18"/>
  <c r="DY18"/>
  <c r="DZ18"/>
  <c r="EA18"/>
  <c r="EB18"/>
  <c r="EC18"/>
  <c r="ED18"/>
  <c r="EE18"/>
  <c r="EF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D20"/>
  <c r="E22"/>
  <c r="Z22"/>
  <c r="AA22"/>
  <c r="AB22"/>
  <c r="AC22"/>
  <c r="AD22"/>
  <c r="AE22"/>
  <c r="AF22"/>
  <c r="AG22"/>
  <c r="AH22"/>
  <c r="AI22"/>
  <c r="AJ22"/>
  <c r="AK22"/>
  <c r="AL22"/>
  <c r="AM22"/>
  <c r="AN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R22"/>
  <c r="DS22"/>
  <c r="DT22"/>
  <c r="DU22"/>
  <c r="DV22"/>
  <c r="DW22"/>
  <c r="DX22"/>
  <c r="DY22"/>
  <c r="DZ22"/>
  <c r="EA22"/>
  <c r="EB22"/>
  <c r="EC22"/>
  <c r="ED22"/>
  <c r="EE22"/>
  <c r="EF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D24"/>
  <c r="E26"/>
  <c r="Z26"/>
  <c r="AA26"/>
  <c r="AM26"/>
  <c r="AN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R26"/>
  <c r="DS26"/>
  <c r="EE26"/>
  <c r="EF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D28"/>
  <c r="I28"/>
  <c r="K28"/>
  <c r="P28"/>
  <c r="AC28"/>
  <c r="AD28"/>
  <c r="AB28" s="1"/>
  <c r="AE28"/>
  <c r="R28" s="1"/>
  <c r="AF28"/>
  <c r="S28" s="1"/>
  <c r="AG28"/>
  <c r="AH28"/>
  <c r="CV28" s="1"/>
  <c r="U28" s="1"/>
  <c r="AI28"/>
  <c r="AJ28"/>
  <c r="CX28" s="1"/>
  <c r="W28" s="1"/>
  <c r="CQ28"/>
  <c r="CR28"/>
  <c r="CS28"/>
  <c r="CU28"/>
  <c r="T28" s="1"/>
  <c r="CW28"/>
  <c r="V28" s="1"/>
  <c r="FR28"/>
  <c r="GL28"/>
  <c r="GO28"/>
  <c r="GP28"/>
  <c r="GV28"/>
  <c r="HC28" s="1"/>
  <c r="GX28" s="1"/>
  <c r="D29"/>
  <c r="I29"/>
  <c r="I39" s="1"/>
  <c r="K29"/>
  <c r="P29"/>
  <c r="R29"/>
  <c r="GK29" s="1"/>
  <c r="AC29"/>
  <c r="AD29"/>
  <c r="AB29" s="1"/>
  <c r="AE29"/>
  <c r="Q29" s="1"/>
  <c r="AF29"/>
  <c r="S29" s="1"/>
  <c r="AG29"/>
  <c r="AH29"/>
  <c r="CV29" s="1"/>
  <c r="U29" s="1"/>
  <c r="AI29"/>
  <c r="AJ29"/>
  <c r="CX29" s="1"/>
  <c r="W29" s="1"/>
  <c r="CQ29"/>
  <c r="CR29"/>
  <c r="CS29"/>
  <c r="CU29"/>
  <c r="T29" s="1"/>
  <c r="CW29"/>
  <c r="V29" s="1"/>
  <c r="FR29"/>
  <c r="GL29"/>
  <c r="GO29"/>
  <c r="GP29"/>
  <c r="GV29"/>
  <c r="HC29" s="1"/>
  <c r="GX29" s="1"/>
  <c r="D30"/>
  <c r="I30"/>
  <c r="K30"/>
  <c r="P30"/>
  <c r="R30"/>
  <c r="GK30" s="1"/>
  <c r="AC30"/>
  <c r="AD30"/>
  <c r="AE30"/>
  <c r="Q30" s="1"/>
  <c r="AF30"/>
  <c r="AB30" s="1"/>
  <c r="AG30"/>
  <c r="AH30"/>
  <c r="AI30"/>
  <c r="AJ30"/>
  <c r="CX30" s="1"/>
  <c r="W30" s="1"/>
  <c r="CQ30"/>
  <c r="CR30"/>
  <c r="CS30"/>
  <c r="CU30"/>
  <c r="T30" s="1"/>
  <c r="CV30"/>
  <c r="U30" s="1"/>
  <c r="CW30"/>
  <c r="V30" s="1"/>
  <c r="FR30"/>
  <c r="GL30"/>
  <c r="GO30"/>
  <c r="GP30"/>
  <c r="GV30"/>
  <c r="HC30" s="1"/>
  <c r="GX30" s="1"/>
  <c r="D31"/>
  <c r="I31"/>
  <c r="K31"/>
  <c r="P31"/>
  <c r="R31"/>
  <c r="GK31" s="1"/>
  <c r="AC31"/>
  <c r="AE31"/>
  <c r="Q31" s="1"/>
  <c r="AF31"/>
  <c r="S31" s="1"/>
  <c r="AG31"/>
  <c r="AH31"/>
  <c r="AI31"/>
  <c r="AJ31"/>
  <c r="CX31" s="1"/>
  <c r="W31" s="1"/>
  <c r="CQ31"/>
  <c r="CR31"/>
  <c r="CS31"/>
  <c r="CU31"/>
  <c r="T31" s="1"/>
  <c r="CV31"/>
  <c r="U31" s="1"/>
  <c r="CW31"/>
  <c r="V31" s="1"/>
  <c r="FR31"/>
  <c r="GL31"/>
  <c r="GO31"/>
  <c r="GP31"/>
  <c r="GV31"/>
  <c r="HC31" s="1"/>
  <c r="GX31" s="1"/>
  <c r="D32"/>
  <c r="I32"/>
  <c r="P32" s="1"/>
  <c r="K32"/>
  <c r="R32"/>
  <c r="GK32" s="1"/>
  <c r="AC32"/>
  <c r="AE32"/>
  <c r="Q32" s="1"/>
  <c r="AF32"/>
  <c r="S32" s="1"/>
  <c r="AG32"/>
  <c r="AH32"/>
  <c r="AI32"/>
  <c r="AJ32"/>
  <c r="CX32" s="1"/>
  <c r="W32" s="1"/>
  <c r="CQ32"/>
  <c r="CR32"/>
  <c r="CS32"/>
  <c r="CU32"/>
  <c r="T32" s="1"/>
  <c r="CV32"/>
  <c r="U32" s="1"/>
  <c r="CW32"/>
  <c r="V32" s="1"/>
  <c r="FR32"/>
  <c r="GL32"/>
  <c r="GO32"/>
  <c r="GP32"/>
  <c r="GV32"/>
  <c r="HC32" s="1"/>
  <c r="GX32" s="1"/>
  <c r="D33"/>
  <c r="I33"/>
  <c r="P33" s="1"/>
  <c r="K33"/>
  <c r="R33"/>
  <c r="GK33" s="1"/>
  <c r="AC33"/>
  <c r="AE33"/>
  <c r="Q33" s="1"/>
  <c r="AF33"/>
  <c r="S33" s="1"/>
  <c r="AG33"/>
  <c r="AH33"/>
  <c r="AI33"/>
  <c r="AJ33"/>
  <c r="CX33" s="1"/>
  <c r="W33" s="1"/>
  <c r="CQ33"/>
  <c r="CR33"/>
  <c r="CS33"/>
  <c r="CU33"/>
  <c r="T33" s="1"/>
  <c r="CV33"/>
  <c r="U33" s="1"/>
  <c r="CW33"/>
  <c r="V33" s="1"/>
  <c r="FR33"/>
  <c r="GL33"/>
  <c r="GO33"/>
  <c r="GP33"/>
  <c r="GV33"/>
  <c r="HC33" s="1"/>
  <c r="GX33" s="1"/>
  <c r="D34"/>
  <c r="I34"/>
  <c r="P34" s="1"/>
  <c r="K34"/>
  <c r="R34"/>
  <c r="GK34" s="1"/>
  <c r="AC34"/>
  <c r="AE34"/>
  <c r="Q34" s="1"/>
  <c r="AF34"/>
  <c r="S34" s="1"/>
  <c r="AG34"/>
  <c r="AH34"/>
  <c r="AI34"/>
  <c r="AJ34"/>
  <c r="CX34" s="1"/>
  <c r="W34" s="1"/>
  <c r="CQ34"/>
  <c r="CR34"/>
  <c r="CS34"/>
  <c r="CU34"/>
  <c r="T34" s="1"/>
  <c r="CV34"/>
  <c r="U34" s="1"/>
  <c r="CW34"/>
  <c r="V34" s="1"/>
  <c r="FR34"/>
  <c r="GL34"/>
  <c r="GO34"/>
  <c r="GP34"/>
  <c r="GV34"/>
  <c r="HC34" s="1"/>
  <c r="GX34" s="1"/>
  <c r="D35"/>
  <c r="I35"/>
  <c r="P35" s="1"/>
  <c r="K35"/>
  <c r="R35"/>
  <c r="GK35" s="1"/>
  <c r="AC35"/>
  <c r="AE35"/>
  <c r="Q35" s="1"/>
  <c r="AF35"/>
  <c r="S35" s="1"/>
  <c r="AG35"/>
  <c r="AH35"/>
  <c r="AI35"/>
  <c r="AJ35"/>
  <c r="CX35" s="1"/>
  <c r="W35" s="1"/>
  <c r="CQ35"/>
  <c r="CR35"/>
  <c r="CS35"/>
  <c r="CU35"/>
  <c r="T35" s="1"/>
  <c r="CV35"/>
  <c r="U35" s="1"/>
  <c r="CW35"/>
  <c r="V35" s="1"/>
  <c r="FR35"/>
  <c r="GL35"/>
  <c r="GO35"/>
  <c r="GP35"/>
  <c r="GV35"/>
  <c r="HC35" s="1"/>
  <c r="GX35" s="1"/>
  <c r="D36"/>
  <c r="I36"/>
  <c r="P36" s="1"/>
  <c r="K36"/>
  <c r="R36"/>
  <c r="GK36" s="1"/>
  <c r="AC36"/>
  <c r="AE36"/>
  <c r="Q36" s="1"/>
  <c r="AF36"/>
  <c r="S36" s="1"/>
  <c r="AG36"/>
  <c r="AH36"/>
  <c r="AI36"/>
  <c r="AJ36"/>
  <c r="CX36" s="1"/>
  <c r="W36" s="1"/>
  <c r="CQ36"/>
  <c r="CR36"/>
  <c r="CS36"/>
  <c r="CU36"/>
  <c r="T36" s="1"/>
  <c r="CV36"/>
  <c r="U36" s="1"/>
  <c r="CW36"/>
  <c r="V36" s="1"/>
  <c r="FR36"/>
  <c r="GL36"/>
  <c r="GO36"/>
  <c r="GP36"/>
  <c r="GV36"/>
  <c r="HC36" s="1"/>
  <c r="GX36" s="1"/>
  <c r="D37"/>
  <c r="I37"/>
  <c r="P37" s="1"/>
  <c r="K37"/>
  <c r="R37"/>
  <c r="GK37" s="1"/>
  <c r="AC37"/>
  <c r="AE37"/>
  <c r="Q37" s="1"/>
  <c r="AF37"/>
  <c r="S37" s="1"/>
  <c r="AG37"/>
  <c r="AH37"/>
  <c r="AI37"/>
  <c r="AJ37"/>
  <c r="CX37" s="1"/>
  <c r="W37" s="1"/>
  <c r="CQ37"/>
  <c r="CR37"/>
  <c r="CS37"/>
  <c r="CU37"/>
  <c r="T37" s="1"/>
  <c r="CV37"/>
  <c r="U37" s="1"/>
  <c r="CW37"/>
  <c r="V37" s="1"/>
  <c r="FR37"/>
  <c r="GL37"/>
  <c r="GO37"/>
  <c r="GP37"/>
  <c r="GV37"/>
  <c r="HC37" s="1"/>
  <c r="GX37" s="1"/>
  <c r="I38"/>
  <c r="K38"/>
  <c r="R38"/>
  <c r="S38"/>
  <c r="CZ38" s="1"/>
  <c r="Y38" s="1"/>
  <c r="AC38"/>
  <c r="AE38"/>
  <c r="Q38" s="1"/>
  <c r="AF38"/>
  <c r="AG38"/>
  <c r="CU38" s="1"/>
  <c r="T38" s="1"/>
  <c r="AH38"/>
  <c r="AI38"/>
  <c r="AJ38"/>
  <c r="CR38"/>
  <c r="CS38"/>
  <c r="CT38"/>
  <c r="CV38"/>
  <c r="U38" s="1"/>
  <c r="CW38"/>
  <c r="V38" s="1"/>
  <c r="CX38"/>
  <c r="W38" s="1"/>
  <c r="FR38"/>
  <c r="GK38"/>
  <c r="GL38"/>
  <c r="GO38"/>
  <c r="GP38"/>
  <c r="GV38"/>
  <c r="HC38"/>
  <c r="GX38" s="1"/>
  <c r="K39"/>
  <c r="AC39"/>
  <c r="AB39" s="1"/>
  <c r="AD39"/>
  <c r="AE39"/>
  <c r="AF39"/>
  <c r="AG39"/>
  <c r="AH39"/>
  <c r="CV39" s="1"/>
  <c r="U39" s="1"/>
  <c r="AI39"/>
  <c r="AJ39"/>
  <c r="CQ39"/>
  <c r="CR39"/>
  <c r="CS39"/>
  <c r="CT39"/>
  <c r="CU39"/>
  <c r="T39" s="1"/>
  <c r="CW39"/>
  <c r="V39" s="1"/>
  <c r="CX39"/>
  <c r="W39" s="1"/>
  <c r="FR39"/>
  <c r="GL39"/>
  <c r="GO39"/>
  <c r="GP39"/>
  <c r="GV39"/>
  <c r="HC39"/>
  <c r="GX39" s="1"/>
  <c r="D40"/>
  <c r="K40"/>
  <c r="AC40"/>
  <c r="AB40" s="1"/>
  <c r="AD40"/>
  <c r="AE40"/>
  <c r="AF40"/>
  <c r="AG40"/>
  <c r="AH40"/>
  <c r="CV40" s="1"/>
  <c r="AI40"/>
  <c r="AJ40"/>
  <c r="CQ40"/>
  <c r="CR40"/>
  <c r="CS40"/>
  <c r="CT40"/>
  <c r="CU40"/>
  <c r="CW40"/>
  <c r="CX40"/>
  <c r="FR40"/>
  <c r="GL40"/>
  <c r="BZ43" s="1"/>
  <c r="GO40"/>
  <c r="GP40"/>
  <c r="CD43" s="1"/>
  <c r="GV40"/>
  <c r="HC40"/>
  <c r="D41"/>
  <c r="K41"/>
  <c r="AC41"/>
  <c r="AB41" s="1"/>
  <c r="AD41"/>
  <c r="AE41"/>
  <c r="AF41"/>
  <c r="AG41"/>
  <c r="AH41"/>
  <c r="CV41" s="1"/>
  <c r="AI41"/>
  <c r="AJ41"/>
  <c r="CQ41"/>
  <c r="CR41"/>
  <c r="CS41"/>
  <c r="CT41"/>
  <c r="CU41"/>
  <c r="CW41"/>
  <c r="CX41"/>
  <c r="FR41"/>
  <c r="GL41"/>
  <c r="GO41"/>
  <c r="GP41"/>
  <c r="GV41"/>
  <c r="HC41"/>
  <c r="B43"/>
  <c r="B26" s="1"/>
  <c r="C43"/>
  <c r="C26" s="1"/>
  <c r="D43"/>
  <c r="D26" s="1"/>
  <c r="F43"/>
  <c r="F26" s="1"/>
  <c r="G43"/>
  <c r="G26" s="1"/>
  <c r="BX43"/>
  <c r="BX26" s="1"/>
  <c r="BY43"/>
  <c r="BY26" s="1"/>
  <c r="CC43"/>
  <c r="CC26" s="1"/>
  <c r="CK43"/>
  <c r="CK26" s="1"/>
  <c r="CL43"/>
  <c r="CL26" s="1"/>
  <c r="CM43"/>
  <c r="CM26" s="1"/>
  <c r="FP43"/>
  <c r="FP26" s="1"/>
  <c r="FQ43"/>
  <c r="FQ26" s="1"/>
  <c r="FR43"/>
  <c r="EI43" s="1"/>
  <c r="FU43"/>
  <c r="FU26" s="1"/>
  <c r="FV43"/>
  <c r="EM43" s="1"/>
  <c r="GA43"/>
  <c r="ER43" s="1"/>
  <c r="GC43"/>
  <c r="GC26" s="1"/>
  <c r="GD43"/>
  <c r="EU43" s="1"/>
  <c r="GE43"/>
  <c r="EV43" s="1"/>
  <c r="D73"/>
  <c r="E75"/>
  <c r="Z75"/>
  <c r="AA75"/>
  <c r="AM75"/>
  <c r="AN75"/>
  <c r="BE75"/>
  <c r="BF75"/>
  <c r="BG75"/>
  <c r="BH75"/>
  <c r="BI75"/>
  <c r="BJ75"/>
  <c r="BK75"/>
  <c r="BL75"/>
  <c r="BM75"/>
  <c r="BN75"/>
  <c r="BO75"/>
  <c r="BP75"/>
  <c r="BQ75"/>
  <c r="BR75"/>
  <c r="BS75"/>
  <c r="BT75"/>
  <c r="BU75"/>
  <c r="BV75"/>
  <c r="BW75"/>
  <c r="CN75"/>
  <c r="CO75"/>
  <c r="CP75"/>
  <c r="CQ75"/>
  <c r="CR75"/>
  <c r="CS75"/>
  <c r="CT75"/>
  <c r="CU75"/>
  <c r="CV75"/>
  <c r="CW75"/>
  <c r="CX75"/>
  <c r="CY75"/>
  <c r="CZ75"/>
  <c r="DA75"/>
  <c r="DB75"/>
  <c r="DC75"/>
  <c r="DD75"/>
  <c r="DE75"/>
  <c r="DF75"/>
  <c r="DR75"/>
  <c r="DS75"/>
  <c r="EE75"/>
  <c r="EF75"/>
  <c r="EW75"/>
  <c r="EX75"/>
  <c r="EY75"/>
  <c r="EZ75"/>
  <c r="FA75"/>
  <c r="FB75"/>
  <c r="FC75"/>
  <c r="FD75"/>
  <c r="FE75"/>
  <c r="FF75"/>
  <c r="FG75"/>
  <c r="FH75"/>
  <c r="FI75"/>
  <c r="FJ75"/>
  <c r="FK75"/>
  <c r="FL75"/>
  <c r="FM75"/>
  <c r="FN75"/>
  <c r="FO75"/>
  <c r="GF75"/>
  <c r="GG75"/>
  <c r="GH75"/>
  <c r="GI75"/>
  <c r="GJ75"/>
  <c r="GK75"/>
  <c r="GL75"/>
  <c r="GM75"/>
  <c r="GN75"/>
  <c r="GO75"/>
  <c r="GP75"/>
  <c r="GQ75"/>
  <c r="GR75"/>
  <c r="GS75"/>
  <c r="GT75"/>
  <c r="GU75"/>
  <c r="GV75"/>
  <c r="GW75"/>
  <c r="GX75"/>
  <c r="C78"/>
  <c r="D78"/>
  <c r="I78"/>
  <c r="S78" s="1"/>
  <c r="K78"/>
  <c r="P78"/>
  <c r="AC78"/>
  <c r="AB78" s="1"/>
  <c r="AD78"/>
  <c r="AE78"/>
  <c r="Q78" s="1"/>
  <c r="AF78"/>
  <c r="AG78"/>
  <c r="AH78"/>
  <c r="AI78"/>
  <c r="CW78" s="1"/>
  <c r="V78" s="1"/>
  <c r="AJ78"/>
  <c r="CQ78"/>
  <c r="CR78"/>
  <c r="CT78"/>
  <c r="CU78"/>
  <c r="T78" s="1"/>
  <c r="CV78"/>
  <c r="U78" s="1"/>
  <c r="CX78"/>
  <c r="W78" s="1"/>
  <c r="FR78"/>
  <c r="GL78"/>
  <c r="GO78"/>
  <c r="GP78"/>
  <c r="GV78"/>
  <c r="HC78" s="1"/>
  <c r="GX78" s="1"/>
  <c r="C79"/>
  <c r="D79"/>
  <c r="I79"/>
  <c r="K79"/>
  <c r="R79"/>
  <c r="S79"/>
  <c r="CY79" s="1"/>
  <c r="X79" s="1"/>
  <c r="AC79"/>
  <c r="P79" s="1"/>
  <c r="AD79"/>
  <c r="AE79"/>
  <c r="Q79" s="1"/>
  <c r="AF79"/>
  <c r="AG79"/>
  <c r="CU79" s="1"/>
  <c r="T79" s="1"/>
  <c r="AH79"/>
  <c r="CV79" s="1"/>
  <c r="U79" s="1"/>
  <c r="AI79"/>
  <c r="AJ79"/>
  <c r="CR79"/>
  <c r="CS79"/>
  <c r="CT79"/>
  <c r="CW79"/>
  <c r="V79" s="1"/>
  <c r="CX79"/>
  <c r="W79" s="1"/>
  <c r="FR79"/>
  <c r="GK79"/>
  <c r="GL79"/>
  <c r="GO79"/>
  <c r="GP79"/>
  <c r="GV79"/>
  <c r="HC79"/>
  <c r="GX79" s="1"/>
  <c r="C80"/>
  <c r="D80"/>
  <c r="I80"/>
  <c r="K80"/>
  <c r="R80"/>
  <c r="GK80" s="1"/>
  <c r="AC80"/>
  <c r="P80" s="1"/>
  <c r="CP80" s="1"/>
  <c r="O80" s="1"/>
  <c r="AE80"/>
  <c r="Q80" s="1"/>
  <c r="AF80"/>
  <c r="S80" s="1"/>
  <c r="AG80"/>
  <c r="CU80" s="1"/>
  <c r="T80" s="1"/>
  <c r="AH80"/>
  <c r="AI80"/>
  <c r="AJ80"/>
  <c r="CX80" s="1"/>
  <c r="W80" s="1"/>
  <c r="CR80"/>
  <c r="CS80"/>
  <c r="CV80"/>
  <c r="U80" s="1"/>
  <c r="CW80"/>
  <c r="V80" s="1"/>
  <c r="FR80"/>
  <c r="GL80"/>
  <c r="GO80"/>
  <c r="GP80"/>
  <c r="GV80"/>
  <c r="GX80"/>
  <c r="HC80"/>
  <c r="C81"/>
  <c r="D81"/>
  <c r="I81"/>
  <c r="P81" s="1"/>
  <c r="K81"/>
  <c r="AC81"/>
  <c r="AE81"/>
  <c r="R81" s="1"/>
  <c r="GK81" s="1"/>
  <c r="AF81"/>
  <c r="S81" s="1"/>
  <c r="AG81"/>
  <c r="AH81"/>
  <c r="AI81"/>
  <c r="CW81" s="1"/>
  <c r="V81" s="1"/>
  <c r="AJ81"/>
  <c r="CX81" s="1"/>
  <c r="W81" s="1"/>
  <c r="CQ81"/>
  <c r="CR81"/>
  <c r="CU81"/>
  <c r="T81" s="1"/>
  <c r="CV81"/>
  <c r="U81" s="1"/>
  <c r="FR81"/>
  <c r="GL81"/>
  <c r="GO81"/>
  <c r="GP81"/>
  <c r="GV81"/>
  <c r="HC81" s="1"/>
  <c r="GX81" s="1"/>
  <c r="I82"/>
  <c r="Q82" s="1"/>
  <c r="R82"/>
  <c r="S82"/>
  <c r="CY82" s="1"/>
  <c r="X82" s="1"/>
  <c r="AC82"/>
  <c r="P82" s="1"/>
  <c r="CP82" s="1"/>
  <c r="O82" s="1"/>
  <c r="AD82"/>
  <c r="AE82"/>
  <c r="AF82"/>
  <c r="AG82"/>
  <c r="CU82" s="1"/>
  <c r="T82" s="1"/>
  <c r="AH82"/>
  <c r="CV82" s="1"/>
  <c r="U82" s="1"/>
  <c r="AI82"/>
  <c r="AJ82"/>
  <c r="CR82"/>
  <c r="CS82"/>
  <c r="CT82"/>
  <c r="CW82"/>
  <c r="V82" s="1"/>
  <c r="CX82"/>
  <c r="W82" s="1"/>
  <c r="FR82"/>
  <c r="GK82"/>
  <c r="GL82"/>
  <c r="GO82"/>
  <c r="GP82"/>
  <c r="GV82"/>
  <c r="HC82"/>
  <c r="GX82" s="1"/>
  <c r="I83"/>
  <c r="P83" s="1"/>
  <c r="AC83"/>
  <c r="AE83"/>
  <c r="R83" s="1"/>
  <c r="GK83" s="1"/>
  <c r="AF83"/>
  <c r="S83" s="1"/>
  <c r="AG83"/>
  <c r="AH83"/>
  <c r="AI83"/>
  <c r="CW83" s="1"/>
  <c r="V83" s="1"/>
  <c r="AJ83"/>
  <c r="CX83" s="1"/>
  <c r="W83" s="1"/>
  <c r="CQ83"/>
  <c r="CR83"/>
  <c r="CU83"/>
  <c r="T83" s="1"/>
  <c r="CV83"/>
  <c r="U83" s="1"/>
  <c r="FR83"/>
  <c r="GL83"/>
  <c r="GO83"/>
  <c r="GP83"/>
  <c r="GV83"/>
  <c r="HC83" s="1"/>
  <c r="GX83" s="1"/>
  <c r="I84"/>
  <c r="Q84" s="1"/>
  <c r="R84"/>
  <c r="S84"/>
  <c r="CY84" s="1"/>
  <c r="X84" s="1"/>
  <c r="AC84"/>
  <c r="P84" s="1"/>
  <c r="CP84" s="1"/>
  <c r="O84" s="1"/>
  <c r="AD84"/>
  <c r="AE84"/>
  <c r="AF84"/>
  <c r="AG84"/>
  <c r="CU84" s="1"/>
  <c r="T84" s="1"/>
  <c r="AH84"/>
  <c r="CV84" s="1"/>
  <c r="U84" s="1"/>
  <c r="AI84"/>
  <c r="AJ84"/>
  <c r="CR84"/>
  <c r="CS84"/>
  <c r="CT84"/>
  <c r="CW84"/>
  <c r="V84" s="1"/>
  <c r="CX84"/>
  <c r="W84" s="1"/>
  <c r="FR84"/>
  <c r="GK84"/>
  <c r="GL84"/>
  <c r="GO84"/>
  <c r="GP84"/>
  <c r="GV84"/>
  <c r="HC84"/>
  <c r="GX84" s="1"/>
  <c r="I85"/>
  <c r="P85" s="1"/>
  <c r="AC85"/>
  <c r="AE85"/>
  <c r="R85" s="1"/>
  <c r="GK85" s="1"/>
  <c r="AF85"/>
  <c r="S85" s="1"/>
  <c r="AG85"/>
  <c r="AH85"/>
  <c r="AI85"/>
  <c r="CW85" s="1"/>
  <c r="V85" s="1"/>
  <c r="AJ85"/>
  <c r="CX85" s="1"/>
  <c r="W85" s="1"/>
  <c r="CQ85"/>
  <c r="CR85"/>
  <c r="CU85"/>
  <c r="T85" s="1"/>
  <c r="CV85"/>
  <c r="U85" s="1"/>
  <c r="FR85"/>
  <c r="GL85"/>
  <c r="GO85"/>
  <c r="GP85"/>
  <c r="GV85"/>
  <c r="HC85" s="1"/>
  <c r="GX85" s="1"/>
  <c r="C86"/>
  <c r="D86"/>
  <c r="I86"/>
  <c r="S86" s="1"/>
  <c r="K86"/>
  <c r="P86"/>
  <c r="AC86"/>
  <c r="AB86" s="1"/>
  <c r="AD86"/>
  <c r="AE86"/>
  <c r="Q86" s="1"/>
  <c r="AF86"/>
  <c r="AG86"/>
  <c r="AH86"/>
  <c r="CV86" s="1"/>
  <c r="U86" s="1"/>
  <c r="AI86"/>
  <c r="CW86" s="1"/>
  <c r="V86" s="1"/>
  <c r="AJ86"/>
  <c r="CQ86"/>
  <c r="CR86"/>
  <c r="CT86"/>
  <c r="CU86"/>
  <c r="T86" s="1"/>
  <c r="CX86"/>
  <c r="W86" s="1"/>
  <c r="FR86"/>
  <c r="GL86"/>
  <c r="GO86"/>
  <c r="GP86"/>
  <c r="GV86"/>
  <c r="HC86" s="1"/>
  <c r="GX86" s="1"/>
  <c r="C87"/>
  <c r="D87"/>
  <c r="I87"/>
  <c r="K87"/>
  <c r="R87"/>
  <c r="S87"/>
  <c r="W87"/>
  <c r="AC87"/>
  <c r="AD87"/>
  <c r="AE87"/>
  <c r="Q87" s="1"/>
  <c r="AF87"/>
  <c r="AG87"/>
  <c r="CU87" s="1"/>
  <c r="T87" s="1"/>
  <c r="AH87"/>
  <c r="CV87" s="1"/>
  <c r="U87" s="1"/>
  <c r="AI87"/>
  <c r="AJ87"/>
  <c r="CR87"/>
  <c r="CS87"/>
  <c r="CT87"/>
  <c r="CW87"/>
  <c r="V87" s="1"/>
  <c r="CX87"/>
  <c r="FR87"/>
  <c r="GK87"/>
  <c r="GL87"/>
  <c r="GO87"/>
  <c r="GP87"/>
  <c r="GV87"/>
  <c r="HC87"/>
  <c r="GX87" s="1"/>
  <c r="I88"/>
  <c r="P88" s="1"/>
  <c r="AC88"/>
  <c r="AE88"/>
  <c r="AF88"/>
  <c r="S88" s="1"/>
  <c r="CY88" s="1"/>
  <c r="X88" s="1"/>
  <c r="AG88"/>
  <c r="AH88"/>
  <c r="AI88"/>
  <c r="CW88" s="1"/>
  <c r="V88" s="1"/>
  <c r="AJ88"/>
  <c r="CX88" s="1"/>
  <c r="W88" s="1"/>
  <c r="CQ88"/>
  <c r="CU88"/>
  <c r="T88" s="1"/>
  <c r="CV88"/>
  <c r="U88" s="1"/>
  <c r="FR88"/>
  <c r="GL88"/>
  <c r="GO88"/>
  <c r="GP88"/>
  <c r="GV88"/>
  <c r="HC88" s="1"/>
  <c r="GX88" s="1"/>
  <c r="I89"/>
  <c r="Q89" s="1"/>
  <c r="R89"/>
  <c r="S89"/>
  <c r="W89"/>
  <c r="AC89"/>
  <c r="AD89"/>
  <c r="AE89"/>
  <c r="AF89"/>
  <c r="AG89"/>
  <c r="CU89" s="1"/>
  <c r="T89" s="1"/>
  <c r="AH89"/>
  <c r="CV89" s="1"/>
  <c r="U89" s="1"/>
  <c r="AI89"/>
  <c r="AJ89"/>
  <c r="CR89"/>
  <c r="CS89"/>
  <c r="CT89"/>
  <c r="CW89"/>
  <c r="V89" s="1"/>
  <c r="CX89"/>
  <c r="FR89"/>
  <c r="GK89"/>
  <c r="GL89"/>
  <c r="GO89"/>
  <c r="GP89"/>
  <c r="GV89"/>
  <c r="HC89"/>
  <c r="GX89" s="1"/>
  <c r="I90"/>
  <c r="P90" s="1"/>
  <c r="AC90"/>
  <c r="AE90"/>
  <c r="AF90"/>
  <c r="S90" s="1"/>
  <c r="CY90" s="1"/>
  <c r="X90" s="1"/>
  <c r="AG90"/>
  <c r="AH90"/>
  <c r="AI90"/>
  <c r="CW90" s="1"/>
  <c r="V90" s="1"/>
  <c r="AJ90"/>
  <c r="CX90" s="1"/>
  <c r="W90" s="1"/>
  <c r="CQ90"/>
  <c r="CU90"/>
  <c r="T90" s="1"/>
  <c r="CV90"/>
  <c r="U90" s="1"/>
  <c r="FR90"/>
  <c r="GL90"/>
  <c r="GO90"/>
  <c r="GP90"/>
  <c r="GV90"/>
  <c r="HC90" s="1"/>
  <c r="GX90" s="1"/>
  <c r="I91"/>
  <c r="Q91" s="1"/>
  <c r="R91"/>
  <c r="S91"/>
  <c r="CZ91" s="1"/>
  <c r="Y91" s="1"/>
  <c r="AC91"/>
  <c r="AB91" s="1"/>
  <c r="AD91"/>
  <c r="AE91"/>
  <c r="AF91"/>
  <c r="AG91"/>
  <c r="CU91" s="1"/>
  <c r="T91" s="1"/>
  <c r="AH91"/>
  <c r="CV91" s="1"/>
  <c r="U91" s="1"/>
  <c r="AI91"/>
  <c r="AJ91"/>
  <c r="CR91"/>
  <c r="CS91"/>
  <c r="CT91"/>
  <c r="CW91"/>
  <c r="V91" s="1"/>
  <c r="CX91"/>
  <c r="W91" s="1"/>
  <c r="CY91"/>
  <c r="X91" s="1"/>
  <c r="FR91"/>
  <c r="GK91"/>
  <c r="GL91"/>
  <c r="GO91"/>
  <c r="GP91"/>
  <c r="GV91"/>
  <c r="HC91"/>
  <c r="GX91" s="1"/>
  <c r="C92"/>
  <c r="D92"/>
  <c r="I92"/>
  <c r="K92"/>
  <c r="R92"/>
  <c r="V92"/>
  <c r="AC92"/>
  <c r="AE92"/>
  <c r="Q92" s="1"/>
  <c r="AF92"/>
  <c r="S92" s="1"/>
  <c r="AG92"/>
  <c r="CU92" s="1"/>
  <c r="T92" s="1"/>
  <c r="AH92"/>
  <c r="AI92"/>
  <c r="AJ92"/>
  <c r="CX92" s="1"/>
  <c r="W92" s="1"/>
  <c r="CR92"/>
  <c r="CS92"/>
  <c r="CT92"/>
  <c r="CV92"/>
  <c r="U92" s="1"/>
  <c r="CW92"/>
  <c r="FR92"/>
  <c r="GK92"/>
  <c r="GL92"/>
  <c r="GO92"/>
  <c r="GP92"/>
  <c r="GV92"/>
  <c r="HC92"/>
  <c r="GX92" s="1"/>
  <c r="C93"/>
  <c r="D93"/>
  <c r="I93"/>
  <c r="K93"/>
  <c r="U93"/>
  <c r="AC93"/>
  <c r="AE93"/>
  <c r="AD93" s="1"/>
  <c r="AB93" s="1"/>
  <c r="AF93"/>
  <c r="AG93"/>
  <c r="AH93"/>
  <c r="AI93"/>
  <c r="CW93" s="1"/>
  <c r="V93" s="1"/>
  <c r="AJ93"/>
  <c r="CX93" s="1"/>
  <c r="W93" s="1"/>
  <c r="CQ93"/>
  <c r="CS93"/>
  <c r="CU93"/>
  <c r="T93" s="1"/>
  <c r="CV93"/>
  <c r="FR93"/>
  <c r="GL93"/>
  <c r="GO93"/>
  <c r="GP93"/>
  <c r="GV93"/>
  <c r="HC93" s="1"/>
  <c r="GX93" s="1"/>
  <c r="I94"/>
  <c r="Q94" s="1"/>
  <c r="R94"/>
  <c r="GK94" s="1"/>
  <c r="V94"/>
  <c r="W94"/>
  <c r="AC94"/>
  <c r="CQ94" s="1"/>
  <c r="AD94"/>
  <c r="AE94"/>
  <c r="AF94"/>
  <c r="S94" s="1"/>
  <c r="AG94"/>
  <c r="CU94" s="1"/>
  <c r="T94" s="1"/>
  <c r="AH94"/>
  <c r="CV94" s="1"/>
  <c r="U94" s="1"/>
  <c r="AI94"/>
  <c r="AJ94"/>
  <c r="CR94"/>
  <c r="CS94"/>
  <c r="CT94"/>
  <c r="CW94"/>
  <c r="CX94"/>
  <c r="FR94"/>
  <c r="GL94"/>
  <c r="GO94"/>
  <c r="GP94"/>
  <c r="GV94"/>
  <c r="GX94"/>
  <c r="HC94"/>
  <c r="AC95"/>
  <c r="AD95"/>
  <c r="AB95" s="1"/>
  <c r="AE95"/>
  <c r="AF95"/>
  <c r="AG95"/>
  <c r="AH95"/>
  <c r="AI95"/>
  <c r="AJ95"/>
  <c r="CX95" s="1"/>
  <c r="CQ95"/>
  <c r="CR95"/>
  <c r="CS95"/>
  <c r="CU95"/>
  <c r="CV95"/>
  <c r="CW95"/>
  <c r="FR95"/>
  <c r="GL95"/>
  <c r="GO95"/>
  <c r="GP95"/>
  <c r="GV95"/>
  <c r="HC95" s="1"/>
  <c r="C96"/>
  <c r="D96"/>
  <c r="I96"/>
  <c r="K96"/>
  <c r="S96"/>
  <c r="T96"/>
  <c r="U96"/>
  <c r="Y96"/>
  <c r="AC96"/>
  <c r="AE96"/>
  <c r="AF96"/>
  <c r="AG96"/>
  <c r="AH96"/>
  <c r="AI96"/>
  <c r="CW96" s="1"/>
  <c r="V96" s="1"/>
  <c r="AJ96"/>
  <c r="CR96"/>
  <c r="CT96"/>
  <c r="CU96"/>
  <c r="CV96"/>
  <c r="CX96"/>
  <c r="W96" s="1"/>
  <c r="CY96"/>
  <c r="X96" s="1"/>
  <c r="CZ96"/>
  <c r="FR96"/>
  <c r="GL96"/>
  <c r="GO96"/>
  <c r="GP96"/>
  <c r="GV96"/>
  <c r="HC96" s="1"/>
  <c r="GX96" s="1"/>
  <c r="C97"/>
  <c r="D97"/>
  <c r="I97"/>
  <c r="K97"/>
  <c r="R97"/>
  <c r="GK97" s="1"/>
  <c r="S97"/>
  <c r="CZ97" s="1"/>
  <c r="Y97" s="1"/>
  <c r="W97"/>
  <c r="AC97"/>
  <c r="AB97" s="1"/>
  <c r="AD97"/>
  <c r="AE97"/>
  <c r="Q97" s="1"/>
  <c r="AF97"/>
  <c r="AG97"/>
  <c r="AH97"/>
  <c r="CV97" s="1"/>
  <c r="U97" s="1"/>
  <c r="AI97"/>
  <c r="AJ97"/>
  <c r="CQ97"/>
  <c r="CR97"/>
  <c r="CS97"/>
  <c r="CT97"/>
  <c r="CU97"/>
  <c r="T97" s="1"/>
  <c r="CW97"/>
  <c r="V97" s="1"/>
  <c r="CX97"/>
  <c r="FR97"/>
  <c r="GL97"/>
  <c r="GO97"/>
  <c r="GP97"/>
  <c r="GV97"/>
  <c r="HC97"/>
  <c r="GX97" s="1"/>
  <c r="I98"/>
  <c r="P98" s="1"/>
  <c r="R98"/>
  <c r="T98"/>
  <c r="AC98"/>
  <c r="AD98"/>
  <c r="AB98" s="1"/>
  <c r="AE98"/>
  <c r="AF98"/>
  <c r="AG98"/>
  <c r="AH98"/>
  <c r="CV98" s="1"/>
  <c r="U98" s="1"/>
  <c r="AI98"/>
  <c r="AJ98"/>
  <c r="CX98" s="1"/>
  <c r="CQ98"/>
  <c r="CR98"/>
  <c r="CS98"/>
  <c r="CU98"/>
  <c r="CW98"/>
  <c r="V98" s="1"/>
  <c r="FR98"/>
  <c r="GK98"/>
  <c r="GL98"/>
  <c r="GO98"/>
  <c r="GP98"/>
  <c r="GV98"/>
  <c r="HC98"/>
  <c r="GX98" s="1"/>
  <c r="I99"/>
  <c r="P99" s="1"/>
  <c r="AC99"/>
  <c r="AE99"/>
  <c r="R99" s="1"/>
  <c r="GK99" s="1"/>
  <c r="AF99"/>
  <c r="S99" s="1"/>
  <c r="AG99"/>
  <c r="AH99"/>
  <c r="AI99"/>
  <c r="CW99" s="1"/>
  <c r="V99" s="1"/>
  <c r="AJ99"/>
  <c r="CX99" s="1"/>
  <c r="W99" s="1"/>
  <c r="CQ99"/>
  <c r="CR99"/>
  <c r="CU99"/>
  <c r="T99" s="1"/>
  <c r="CV99"/>
  <c r="U99" s="1"/>
  <c r="FR99"/>
  <c r="GL99"/>
  <c r="GO99"/>
  <c r="GP99"/>
  <c r="GV99"/>
  <c r="HC99" s="1"/>
  <c r="GX99" s="1"/>
  <c r="I100"/>
  <c r="Q100" s="1"/>
  <c r="R100"/>
  <c r="S100"/>
  <c r="CZ100" s="1"/>
  <c r="Y100" s="1"/>
  <c r="AC100"/>
  <c r="P100" s="1"/>
  <c r="AD100"/>
  <c r="AE100"/>
  <c r="AF100"/>
  <c r="AG100"/>
  <c r="CU100" s="1"/>
  <c r="T100" s="1"/>
  <c r="AH100"/>
  <c r="CV100" s="1"/>
  <c r="U100" s="1"/>
  <c r="AI100"/>
  <c r="AJ100"/>
  <c r="CR100"/>
  <c r="CS100"/>
  <c r="CT100"/>
  <c r="CW100"/>
  <c r="V100" s="1"/>
  <c r="CX100"/>
  <c r="W100" s="1"/>
  <c r="FR100"/>
  <c r="GK100"/>
  <c r="GL100"/>
  <c r="GO100"/>
  <c r="GP100"/>
  <c r="GV100"/>
  <c r="HC100"/>
  <c r="GX100" s="1"/>
  <c r="I101"/>
  <c r="P101" s="1"/>
  <c r="AC101"/>
  <c r="AE101"/>
  <c r="R101" s="1"/>
  <c r="GK101" s="1"/>
  <c r="AF101"/>
  <c r="S101" s="1"/>
  <c r="AG101"/>
  <c r="AH101"/>
  <c r="AI101"/>
  <c r="CW101" s="1"/>
  <c r="V101" s="1"/>
  <c r="AJ101"/>
  <c r="CX101" s="1"/>
  <c r="W101" s="1"/>
  <c r="CQ101"/>
  <c r="CR101"/>
  <c r="CU101"/>
  <c r="T101" s="1"/>
  <c r="CV101"/>
  <c r="U101" s="1"/>
  <c r="FR101"/>
  <c r="GL101"/>
  <c r="GO101"/>
  <c r="GP101"/>
  <c r="GV101"/>
  <c r="HC101" s="1"/>
  <c r="GX101" s="1"/>
  <c r="C102"/>
  <c r="D102"/>
  <c r="I102"/>
  <c r="S102" s="1"/>
  <c r="K102"/>
  <c r="P102"/>
  <c r="AC102"/>
  <c r="AB102" s="1"/>
  <c r="AD102"/>
  <c r="AE102"/>
  <c r="R102" s="1"/>
  <c r="GK102" s="1"/>
  <c r="AF102"/>
  <c r="AG102"/>
  <c r="AH102"/>
  <c r="CV102" s="1"/>
  <c r="U102" s="1"/>
  <c r="AI102"/>
  <c r="CW102" s="1"/>
  <c r="V102" s="1"/>
  <c r="AJ102"/>
  <c r="CQ102"/>
  <c r="CR102"/>
  <c r="CT102"/>
  <c r="CU102"/>
  <c r="T102" s="1"/>
  <c r="CX102"/>
  <c r="W102" s="1"/>
  <c r="FR102"/>
  <c r="GL102"/>
  <c r="GO102"/>
  <c r="GP102"/>
  <c r="GV102"/>
  <c r="HC102" s="1"/>
  <c r="GX102" s="1"/>
  <c r="C103"/>
  <c r="D103"/>
  <c r="I103"/>
  <c r="K103"/>
  <c r="R103"/>
  <c r="S103"/>
  <c r="CZ103" s="1"/>
  <c r="Y103" s="1"/>
  <c r="AC103"/>
  <c r="P103" s="1"/>
  <c r="CP103" s="1"/>
  <c r="O103" s="1"/>
  <c r="AD103"/>
  <c r="AE103"/>
  <c r="Q103" s="1"/>
  <c r="AF103"/>
  <c r="AG103"/>
  <c r="CU103" s="1"/>
  <c r="T103" s="1"/>
  <c r="AH103"/>
  <c r="CV103" s="1"/>
  <c r="U103" s="1"/>
  <c r="AI103"/>
  <c r="AJ103"/>
  <c r="CR103"/>
  <c r="CS103"/>
  <c r="CT103"/>
  <c r="CW103"/>
  <c r="V103" s="1"/>
  <c r="CX103"/>
  <c r="W103" s="1"/>
  <c r="FR103"/>
  <c r="GK103"/>
  <c r="GL103"/>
  <c r="GO103"/>
  <c r="GP103"/>
  <c r="GV103"/>
  <c r="HC103"/>
  <c r="GX103" s="1"/>
  <c r="I104"/>
  <c r="P104" s="1"/>
  <c r="AC104"/>
  <c r="AE104"/>
  <c r="R104" s="1"/>
  <c r="GK104" s="1"/>
  <c r="AF104"/>
  <c r="S104" s="1"/>
  <c r="AG104"/>
  <c r="AH104"/>
  <c r="AI104"/>
  <c r="CW104" s="1"/>
  <c r="V104" s="1"/>
  <c r="AJ104"/>
  <c r="CX104" s="1"/>
  <c r="W104" s="1"/>
  <c r="CQ104"/>
  <c r="CR104"/>
  <c r="CU104"/>
  <c r="T104" s="1"/>
  <c r="CV104"/>
  <c r="U104" s="1"/>
  <c r="FR104"/>
  <c r="GL104"/>
  <c r="GO104"/>
  <c r="GP104"/>
  <c r="GV104"/>
  <c r="HC104" s="1"/>
  <c r="GX104" s="1"/>
  <c r="I105"/>
  <c r="Q105" s="1"/>
  <c r="R105"/>
  <c r="S105"/>
  <c r="CZ105" s="1"/>
  <c r="Y105" s="1"/>
  <c r="AC105"/>
  <c r="P105" s="1"/>
  <c r="AD105"/>
  <c r="AE105"/>
  <c r="AF105"/>
  <c r="AG105"/>
  <c r="CU105" s="1"/>
  <c r="T105" s="1"/>
  <c r="AH105"/>
  <c r="CV105" s="1"/>
  <c r="U105" s="1"/>
  <c r="AI105"/>
  <c r="AJ105"/>
  <c r="CR105"/>
  <c r="CS105"/>
  <c r="CT105"/>
  <c r="CW105"/>
  <c r="V105" s="1"/>
  <c r="CX105"/>
  <c r="W105" s="1"/>
  <c r="FR105"/>
  <c r="GK105"/>
  <c r="GL105"/>
  <c r="GO105"/>
  <c r="GP105"/>
  <c r="GV105"/>
  <c r="HC105"/>
  <c r="GX105" s="1"/>
  <c r="C106"/>
  <c r="D106"/>
  <c r="I106"/>
  <c r="K106"/>
  <c r="R106"/>
  <c r="GK106" s="1"/>
  <c r="AC106"/>
  <c r="P106" s="1"/>
  <c r="AE106"/>
  <c r="AD106" s="1"/>
  <c r="AB106" s="1"/>
  <c r="AF106"/>
  <c r="S106" s="1"/>
  <c r="AG106"/>
  <c r="CU106" s="1"/>
  <c r="T106" s="1"/>
  <c r="AH106"/>
  <c r="AI106"/>
  <c r="AJ106"/>
  <c r="CX106" s="1"/>
  <c r="W106" s="1"/>
  <c r="CR106"/>
  <c r="CS106"/>
  <c r="CV106"/>
  <c r="U106" s="1"/>
  <c r="CW106"/>
  <c r="V106" s="1"/>
  <c r="FR106"/>
  <c r="GL106"/>
  <c r="GO106"/>
  <c r="GP106"/>
  <c r="GV106"/>
  <c r="GX106"/>
  <c r="HC106"/>
  <c r="C107"/>
  <c r="D107"/>
  <c r="I107"/>
  <c r="P107" s="1"/>
  <c r="K107"/>
  <c r="AC107"/>
  <c r="AE107"/>
  <c r="R107" s="1"/>
  <c r="GK107" s="1"/>
  <c r="AF107"/>
  <c r="S107" s="1"/>
  <c r="AG107"/>
  <c r="AH107"/>
  <c r="AI107"/>
  <c r="CW107" s="1"/>
  <c r="V107" s="1"/>
  <c r="AJ107"/>
  <c r="CX107" s="1"/>
  <c r="W107" s="1"/>
  <c r="CQ107"/>
  <c r="CR107"/>
  <c r="CU107"/>
  <c r="T107" s="1"/>
  <c r="CV107"/>
  <c r="U107" s="1"/>
  <c r="FR107"/>
  <c r="GL107"/>
  <c r="GO107"/>
  <c r="GP107"/>
  <c r="GV107"/>
  <c r="HC107" s="1"/>
  <c r="GX107" s="1"/>
  <c r="I108"/>
  <c r="Q108" s="1"/>
  <c r="R108"/>
  <c r="S108"/>
  <c r="CZ108" s="1"/>
  <c r="Y108" s="1"/>
  <c r="AC108"/>
  <c r="P108" s="1"/>
  <c r="AD108"/>
  <c r="AE108"/>
  <c r="AF108"/>
  <c r="AG108"/>
  <c r="CU108" s="1"/>
  <c r="T108" s="1"/>
  <c r="AH108"/>
  <c r="CV108" s="1"/>
  <c r="U108" s="1"/>
  <c r="AI108"/>
  <c r="AJ108"/>
  <c r="CR108"/>
  <c r="CS108"/>
  <c r="CT108"/>
  <c r="CW108"/>
  <c r="V108" s="1"/>
  <c r="CX108"/>
  <c r="W108" s="1"/>
  <c r="FR108"/>
  <c r="GK108"/>
  <c r="GL108"/>
  <c r="GO108"/>
  <c r="GP108"/>
  <c r="GV108"/>
  <c r="HC108"/>
  <c r="GX108" s="1"/>
  <c r="AC109"/>
  <c r="AE109"/>
  <c r="AF109"/>
  <c r="AG109"/>
  <c r="AH109"/>
  <c r="AI109"/>
  <c r="CW109" s="1"/>
  <c r="AJ109"/>
  <c r="CX109" s="1"/>
  <c r="CQ109"/>
  <c r="CR109"/>
  <c r="CU109"/>
  <c r="CV109"/>
  <c r="FR109"/>
  <c r="GL109"/>
  <c r="GO109"/>
  <c r="GP109"/>
  <c r="GV109"/>
  <c r="HC109" s="1"/>
  <c r="P110"/>
  <c r="S110"/>
  <c r="AC110"/>
  <c r="AB110" s="1"/>
  <c r="AD110"/>
  <c r="AE110"/>
  <c r="R110" s="1"/>
  <c r="GK110" s="1"/>
  <c r="AF110"/>
  <c r="AG110"/>
  <c r="AH110"/>
  <c r="CV110" s="1"/>
  <c r="U110" s="1"/>
  <c r="AI110"/>
  <c r="CW110" s="1"/>
  <c r="V110" s="1"/>
  <c r="AJ110"/>
  <c r="CQ110"/>
  <c r="CR110"/>
  <c r="CT110"/>
  <c r="CU110"/>
  <c r="T110" s="1"/>
  <c r="CX110"/>
  <c r="W110" s="1"/>
  <c r="CY110"/>
  <c r="X110" s="1"/>
  <c r="CZ110"/>
  <c r="Y110" s="1"/>
  <c r="FR110"/>
  <c r="GL110"/>
  <c r="GO110"/>
  <c r="GP110"/>
  <c r="GV110"/>
  <c r="HC110" s="1"/>
  <c r="GX110" s="1"/>
  <c r="R111"/>
  <c r="S111"/>
  <c r="CZ111" s="1"/>
  <c r="Y111" s="1"/>
  <c r="AC111"/>
  <c r="P111" s="1"/>
  <c r="AD111"/>
  <c r="AE111"/>
  <c r="Q111" s="1"/>
  <c r="AF111"/>
  <c r="AG111"/>
  <c r="CU111" s="1"/>
  <c r="T111" s="1"/>
  <c r="AH111"/>
  <c r="CV111" s="1"/>
  <c r="U111" s="1"/>
  <c r="AI111"/>
  <c r="AJ111"/>
  <c r="CR111"/>
  <c r="CS111"/>
  <c r="CT111"/>
  <c r="CW111"/>
  <c r="V111" s="1"/>
  <c r="CX111"/>
  <c r="W111" s="1"/>
  <c r="FR111"/>
  <c r="GK111"/>
  <c r="GL111"/>
  <c r="GO111"/>
  <c r="GP111"/>
  <c r="GV111"/>
  <c r="HC111"/>
  <c r="GX111" s="1"/>
  <c r="C112"/>
  <c r="D112"/>
  <c r="I112"/>
  <c r="K112"/>
  <c r="R112"/>
  <c r="GK112" s="1"/>
  <c r="AC112"/>
  <c r="P112" s="1"/>
  <c r="AE112"/>
  <c r="AD112" s="1"/>
  <c r="AB112" s="1"/>
  <c r="AF112"/>
  <c r="S112" s="1"/>
  <c r="AG112"/>
  <c r="CU112" s="1"/>
  <c r="T112" s="1"/>
  <c r="AH112"/>
  <c r="AI112"/>
  <c r="AJ112"/>
  <c r="CX112" s="1"/>
  <c r="W112" s="1"/>
  <c r="CR112"/>
  <c r="CS112"/>
  <c r="CV112"/>
  <c r="U112" s="1"/>
  <c r="CW112"/>
  <c r="V112" s="1"/>
  <c r="FR112"/>
  <c r="GL112"/>
  <c r="GO112"/>
  <c r="GP112"/>
  <c r="GV112"/>
  <c r="GX112"/>
  <c r="HC112"/>
  <c r="C113"/>
  <c r="D113"/>
  <c r="AC113"/>
  <c r="AE113"/>
  <c r="AF113"/>
  <c r="AG113"/>
  <c r="AH113"/>
  <c r="AI113"/>
  <c r="CW113" s="1"/>
  <c r="AJ113"/>
  <c r="CX113" s="1"/>
  <c r="CQ113"/>
  <c r="CR113"/>
  <c r="CU113"/>
  <c r="CV113"/>
  <c r="FR113"/>
  <c r="GL113"/>
  <c r="GO113"/>
  <c r="GP113"/>
  <c r="GV113"/>
  <c r="HC113" s="1"/>
  <c r="C114"/>
  <c r="D114"/>
  <c r="I114"/>
  <c r="S114" s="1"/>
  <c r="K114"/>
  <c r="P114"/>
  <c r="AC114"/>
  <c r="AB114" s="1"/>
  <c r="AD114"/>
  <c r="AE114"/>
  <c r="R114" s="1"/>
  <c r="GK114" s="1"/>
  <c r="AF114"/>
  <c r="AG114"/>
  <c r="AH114"/>
  <c r="CV114" s="1"/>
  <c r="U114" s="1"/>
  <c r="AI114"/>
  <c r="CW114" s="1"/>
  <c r="V114" s="1"/>
  <c r="AJ114"/>
  <c r="CQ114"/>
  <c r="CR114"/>
  <c r="CT114"/>
  <c r="CU114"/>
  <c r="T114" s="1"/>
  <c r="CX114"/>
  <c r="W114" s="1"/>
  <c r="FR114"/>
  <c r="GL114"/>
  <c r="GO114"/>
  <c r="GP114"/>
  <c r="GV114"/>
  <c r="HC114" s="1"/>
  <c r="GX114" s="1"/>
  <c r="C115"/>
  <c r="D115"/>
  <c r="I115"/>
  <c r="CX88" i="3" s="1"/>
  <c r="K115" i="1"/>
  <c r="R115"/>
  <c r="S115"/>
  <c r="CZ115" s="1"/>
  <c r="Y115" s="1"/>
  <c r="AC115"/>
  <c r="P115" s="1"/>
  <c r="CP115" s="1"/>
  <c r="O115" s="1"/>
  <c r="AD115"/>
  <c r="AE115"/>
  <c r="Q115" s="1"/>
  <c r="AF115"/>
  <c r="AG115"/>
  <c r="CU115" s="1"/>
  <c r="T115" s="1"/>
  <c r="AH115"/>
  <c r="CV115" s="1"/>
  <c r="U115" s="1"/>
  <c r="AI115"/>
  <c r="AJ115"/>
  <c r="CR115"/>
  <c r="CS115"/>
  <c r="CT115"/>
  <c r="CW115"/>
  <c r="V115" s="1"/>
  <c r="CX115"/>
  <c r="W115" s="1"/>
  <c r="FR115"/>
  <c r="GK115"/>
  <c r="GL115"/>
  <c r="GO115"/>
  <c r="GP115"/>
  <c r="GV115"/>
  <c r="HC115"/>
  <c r="GX115" s="1"/>
  <c r="I116"/>
  <c r="P116" s="1"/>
  <c r="AC116"/>
  <c r="AE116"/>
  <c r="R116" s="1"/>
  <c r="GK116" s="1"/>
  <c r="AF116"/>
  <c r="S116" s="1"/>
  <c r="AG116"/>
  <c r="AH116"/>
  <c r="AI116"/>
  <c r="CW116" s="1"/>
  <c r="V116" s="1"/>
  <c r="AJ116"/>
  <c r="CX116" s="1"/>
  <c r="W116" s="1"/>
  <c r="CQ116"/>
  <c r="CR116"/>
  <c r="CU116"/>
  <c r="T116" s="1"/>
  <c r="CV116"/>
  <c r="U116" s="1"/>
  <c r="FR116"/>
  <c r="GL116"/>
  <c r="GO116"/>
  <c r="GP116"/>
  <c r="GV116"/>
  <c r="HC116" s="1"/>
  <c r="GX116" s="1"/>
  <c r="I117"/>
  <c r="Q117" s="1"/>
  <c r="R117"/>
  <c r="S117"/>
  <c r="CZ117" s="1"/>
  <c r="Y117" s="1"/>
  <c r="AC117"/>
  <c r="P117" s="1"/>
  <c r="CP117" s="1"/>
  <c r="O117" s="1"/>
  <c r="AD117"/>
  <c r="AE117"/>
  <c r="AF117"/>
  <c r="AG117"/>
  <c r="CU117" s="1"/>
  <c r="T117" s="1"/>
  <c r="AH117"/>
  <c r="CV117" s="1"/>
  <c r="U117" s="1"/>
  <c r="AI117"/>
  <c r="AJ117"/>
  <c r="CR117"/>
  <c r="CS117"/>
  <c r="CT117"/>
  <c r="CW117"/>
  <c r="V117" s="1"/>
  <c r="CX117"/>
  <c r="W117" s="1"/>
  <c r="FR117"/>
  <c r="GK117"/>
  <c r="GL117"/>
  <c r="GO117"/>
  <c r="GP117"/>
  <c r="GV117"/>
  <c r="HC117"/>
  <c r="GX117" s="1"/>
  <c r="I118"/>
  <c r="S118" s="1"/>
  <c r="K118"/>
  <c r="P118"/>
  <c r="AC118"/>
  <c r="AB118" s="1"/>
  <c r="AD118"/>
  <c r="AE118"/>
  <c r="R118" s="1"/>
  <c r="GK118" s="1"/>
  <c r="AF118"/>
  <c r="AG118"/>
  <c r="AH118"/>
  <c r="CV118" s="1"/>
  <c r="U118" s="1"/>
  <c r="AI118"/>
  <c r="CW118" s="1"/>
  <c r="V118" s="1"/>
  <c r="AJ118"/>
  <c r="CQ118"/>
  <c r="CR118"/>
  <c r="CT118"/>
  <c r="CU118"/>
  <c r="T118" s="1"/>
  <c r="CX118"/>
  <c r="W118" s="1"/>
  <c r="FR118"/>
  <c r="GL118"/>
  <c r="GO118"/>
  <c r="GP118"/>
  <c r="GV118"/>
  <c r="HC118" s="1"/>
  <c r="GX118" s="1"/>
  <c r="I119"/>
  <c r="P119" s="1"/>
  <c r="K119"/>
  <c r="AC119"/>
  <c r="AE119"/>
  <c r="R119" s="1"/>
  <c r="GK119" s="1"/>
  <c r="AF119"/>
  <c r="S119" s="1"/>
  <c r="AG119"/>
  <c r="AH119"/>
  <c r="AI119"/>
  <c r="CW119" s="1"/>
  <c r="V119" s="1"/>
  <c r="AJ119"/>
  <c r="CX119" s="1"/>
  <c r="W119" s="1"/>
  <c r="CQ119"/>
  <c r="CR119"/>
  <c r="CU119"/>
  <c r="T119" s="1"/>
  <c r="CV119"/>
  <c r="U119" s="1"/>
  <c r="FR119"/>
  <c r="GL119"/>
  <c r="GO119"/>
  <c r="GP119"/>
  <c r="GV119"/>
  <c r="HC119" s="1"/>
  <c r="GX119" s="1"/>
  <c r="B121"/>
  <c r="B75" s="1"/>
  <c r="C121"/>
  <c r="C75" s="1"/>
  <c r="D121"/>
  <c r="D75" s="1"/>
  <c r="F121"/>
  <c r="F75" s="1"/>
  <c r="G121"/>
  <c r="G75" s="1"/>
  <c r="BX121"/>
  <c r="BX75" s="1"/>
  <c r="BY121"/>
  <c r="BY75" s="1"/>
  <c r="BZ121"/>
  <c r="BZ75" s="1"/>
  <c r="CC121"/>
  <c r="CC75" s="1"/>
  <c r="CD121"/>
  <c r="CD75" s="1"/>
  <c r="CK121"/>
  <c r="CK75" s="1"/>
  <c r="CL121"/>
  <c r="CL75" s="1"/>
  <c r="CM121"/>
  <c r="CM75" s="1"/>
  <c r="FP121"/>
  <c r="FQ121"/>
  <c r="FQ75" s="1"/>
  <c r="FR121"/>
  <c r="FR75" s="1"/>
  <c r="FU121"/>
  <c r="FU75" s="1"/>
  <c r="FV121"/>
  <c r="FV75" s="1"/>
  <c r="GA121"/>
  <c r="GA75" s="1"/>
  <c r="GC121"/>
  <c r="GC75" s="1"/>
  <c r="GD121"/>
  <c r="GD75" s="1"/>
  <c r="GE121"/>
  <c r="GE75" s="1"/>
  <c r="D151"/>
  <c r="E153"/>
  <c r="Z153"/>
  <c r="AA153"/>
  <c r="AM153"/>
  <c r="AN153"/>
  <c r="BE153"/>
  <c r="BF153"/>
  <c r="BG153"/>
  <c r="BH153"/>
  <c r="BI153"/>
  <c r="BJ153"/>
  <c r="BK153"/>
  <c r="BL153"/>
  <c r="BM153"/>
  <c r="BN153"/>
  <c r="BO153"/>
  <c r="BP153"/>
  <c r="BQ153"/>
  <c r="BR153"/>
  <c r="BS153"/>
  <c r="BT153"/>
  <c r="BU153"/>
  <c r="BV153"/>
  <c r="BW153"/>
  <c r="CN153"/>
  <c r="CO153"/>
  <c r="CP153"/>
  <c r="CQ153"/>
  <c r="CR153"/>
  <c r="CS153"/>
  <c r="CT153"/>
  <c r="CU153"/>
  <c r="CV153"/>
  <c r="CW153"/>
  <c r="CX153"/>
  <c r="CY153"/>
  <c r="CZ153"/>
  <c r="DA153"/>
  <c r="DB153"/>
  <c r="DC153"/>
  <c r="DD153"/>
  <c r="DE153"/>
  <c r="DF153"/>
  <c r="DR153"/>
  <c r="DS153"/>
  <c r="EE153"/>
  <c r="EF153"/>
  <c r="EW153"/>
  <c r="EX153"/>
  <c r="EY153"/>
  <c r="EZ153"/>
  <c r="FA153"/>
  <c r="FB153"/>
  <c r="FC153"/>
  <c r="FD153"/>
  <c r="FE153"/>
  <c r="FF153"/>
  <c r="FG153"/>
  <c r="FH153"/>
  <c r="FI153"/>
  <c r="FJ153"/>
  <c r="FK153"/>
  <c r="FL153"/>
  <c r="FM153"/>
  <c r="FN153"/>
  <c r="FO153"/>
  <c r="GF153"/>
  <c r="GG153"/>
  <c r="GH153"/>
  <c r="GI153"/>
  <c r="GJ153"/>
  <c r="GK153"/>
  <c r="GL153"/>
  <c r="GM153"/>
  <c r="GN153"/>
  <c r="GO153"/>
  <c r="GP153"/>
  <c r="GQ153"/>
  <c r="GR153"/>
  <c r="GS153"/>
  <c r="GT153"/>
  <c r="GU153"/>
  <c r="GV153"/>
  <c r="GW153"/>
  <c r="GX153"/>
  <c r="AC155"/>
  <c r="AB155" s="1"/>
  <c r="AD155"/>
  <c r="AE155"/>
  <c r="AF155"/>
  <c r="AG155"/>
  <c r="AH155"/>
  <c r="CV155" s="1"/>
  <c r="AI155"/>
  <c r="CW155" s="1"/>
  <c r="AJ155"/>
  <c r="CQ155"/>
  <c r="CR155"/>
  <c r="CT155"/>
  <c r="CU155"/>
  <c r="CX155"/>
  <c r="FR155"/>
  <c r="GL155"/>
  <c r="GO155"/>
  <c r="GP155"/>
  <c r="GV155"/>
  <c r="HC155" s="1"/>
  <c r="AC156"/>
  <c r="AE156"/>
  <c r="CR156" s="1"/>
  <c r="AF156"/>
  <c r="AG156"/>
  <c r="AH156"/>
  <c r="AI156"/>
  <c r="CW156" s="1"/>
  <c r="AJ156"/>
  <c r="CX156" s="1"/>
  <c r="CQ156"/>
  <c r="CU156"/>
  <c r="CV156"/>
  <c r="FR156"/>
  <c r="GL156"/>
  <c r="GO156"/>
  <c r="GP156"/>
  <c r="GV156"/>
  <c r="HC156" s="1"/>
  <c r="D158"/>
  <c r="E160"/>
  <c r="Z160"/>
  <c r="AA160"/>
  <c r="AM160"/>
  <c r="AN160"/>
  <c r="BE160"/>
  <c r="BF160"/>
  <c r="BG160"/>
  <c r="BH160"/>
  <c r="BI160"/>
  <c r="BJ160"/>
  <c r="BK160"/>
  <c r="BL160"/>
  <c r="BM160"/>
  <c r="BN160"/>
  <c r="BO160"/>
  <c r="BP160"/>
  <c r="BQ160"/>
  <c r="BR160"/>
  <c r="BS160"/>
  <c r="BT160"/>
  <c r="BU160"/>
  <c r="BV160"/>
  <c r="BW160"/>
  <c r="CN160"/>
  <c r="CO160"/>
  <c r="CP160"/>
  <c r="CQ160"/>
  <c r="CR160"/>
  <c r="CS160"/>
  <c r="CT160"/>
  <c r="CU160"/>
  <c r="CV160"/>
  <c r="CW160"/>
  <c r="CX160"/>
  <c r="CY160"/>
  <c r="CZ160"/>
  <c r="DA160"/>
  <c r="DB160"/>
  <c r="DC160"/>
  <c r="DD160"/>
  <c r="DE160"/>
  <c r="DF160"/>
  <c r="DR160"/>
  <c r="DS160"/>
  <c r="EE160"/>
  <c r="EF160"/>
  <c r="EW160"/>
  <c r="EX160"/>
  <c r="EY160"/>
  <c r="EZ160"/>
  <c r="FA160"/>
  <c r="FB160"/>
  <c r="FC160"/>
  <c r="FD160"/>
  <c r="FE160"/>
  <c r="FF160"/>
  <c r="FG160"/>
  <c r="FH160"/>
  <c r="FI160"/>
  <c r="FJ160"/>
  <c r="FK160"/>
  <c r="FL160"/>
  <c r="FM160"/>
  <c r="FN160"/>
  <c r="FO160"/>
  <c r="GF160"/>
  <c r="GG160"/>
  <c r="GH160"/>
  <c r="GI160"/>
  <c r="GJ160"/>
  <c r="GK160"/>
  <c r="GL160"/>
  <c r="GM160"/>
  <c r="GN160"/>
  <c r="GO160"/>
  <c r="GP160"/>
  <c r="GQ160"/>
  <c r="GR160"/>
  <c r="GS160"/>
  <c r="GT160"/>
  <c r="GU160"/>
  <c r="GV160"/>
  <c r="GW160"/>
  <c r="GX160"/>
  <c r="D163"/>
  <c r="I163"/>
  <c r="I165" s="1"/>
  <c r="K163"/>
  <c r="Q163"/>
  <c r="AC163"/>
  <c r="AB163" s="1"/>
  <c r="AE163"/>
  <c r="AD163" s="1"/>
  <c r="AF163"/>
  <c r="S163" s="1"/>
  <c r="AG163"/>
  <c r="CU163" s="1"/>
  <c r="T163" s="1"/>
  <c r="AH163"/>
  <c r="AI163"/>
  <c r="AJ163"/>
  <c r="CX163" s="1"/>
  <c r="W163" s="1"/>
  <c r="CR163"/>
  <c r="CS163"/>
  <c r="CT163"/>
  <c r="CV163"/>
  <c r="U163" s="1"/>
  <c r="CW163"/>
  <c r="V163" s="1"/>
  <c r="FR163"/>
  <c r="GL163"/>
  <c r="GN163"/>
  <c r="GP163"/>
  <c r="GV163"/>
  <c r="HC163"/>
  <c r="GX163" s="1"/>
  <c r="D164"/>
  <c r="I164"/>
  <c r="K166" s="1"/>
  <c r="K164"/>
  <c r="AC164"/>
  <c r="AE164"/>
  <c r="AD164" s="1"/>
  <c r="AF164"/>
  <c r="AB164" s="1"/>
  <c r="AG164"/>
  <c r="CU164" s="1"/>
  <c r="T164" s="1"/>
  <c r="AH164"/>
  <c r="AI164"/>
  <c r="CW164" s="1"/>
  <c r="V164" s="1"/>
  <c r="AJ164"/>
  <c r="CX164" s="1"/>
  <c r="W164" s="1"/>
  <c r="CS164"/>
  <c r="CT164"/>
  <c r="CV164"/>
  <c r="U164" s="1"/>
  <c r="FR164"/>
  <c r="GL164"/>
  <c r="GN164"/>
  <c r="GP164"/>
  <c r="GV164"/>
  <c r="HC164" s="1"/>
  <c r="GX164" s="1"/>
  <c r="K165"/>
  <c r="R165"/>
  <c r="V165"/>
  <c r="AC165"/>
  <c r="P165" s="1"/>
  <c r="AD165"/>
  <c r="AE165"/>
  <c r="AF165"/>
  <c r="S165" s="1"/>
  <c r="AG165"/>
  <c r="CU165" s="1"/>
  <c r="T165" s="1"/>
  <c r="AH165"/>
  <c r="CV165" s="1"/>
  <c r="U165" s="1"/>
  <c r="AI165"/>
  <c r="AJ165"/>
  <c r="CR165"/>
  <c r="CS165"/>
  <c r="CT165"/>
  <c r="CW165"/>
  <c r="CX165"/>
  <c r="W165" s="1"/>
  <c r="FR165"/>
  <c r="GK165"/>
  <c r="GL165"/>
  <c r="GN165"/>
  <c r="GP165"/>
  <c r="GV165"/>
  <c r="GX165"/>
  <c r="HC165"/>
  <c r="I166"/>
  <c r="Q166" s="1"/>
  <c r="U166"/>
  <c r="AC166"/>
  <c r="CQ166" s="1"/>
  <c r="AE166"/>
  <c r="R166" s="1"/>
  <c r="AF166"/>
  <c r="S166" s="1"/>
  <c r="AG166"/>
  <c r="CU166" s="1"/>
  <c r="T166" s="1"/>
  <c r="AH166"/>
  <c r="AI166"/>
  <c r="AJ166"/>
  <c r="CR166"/>
  <c r="CS166"/>
  <c r="CT166"/>
  <c r="CV166"/>
  <c r="CW166"/>
  <c r="V166" s="1"/>
  <c r="CX166"/>
  <c r="W166" s="1"/>
  <c r="FR166"/>
  <c r="GK166"/>
  <c r="GL166"/>
  <c r="GN166"/>
  <c r="GP166"/>
  <c r="GV166"/>
  <c r="HC166"/>
  <c r="GX166" s="1"/>
  <c r="D167"/>
  <c r="I167"/>
  <c r="I169" s="1"/>
  <c r="K167"/>
  <c r="R167"/>
  <c r="AC167"/>
  <c r="AE167"/>
  <c r="Q167" s="1"/>
  <c r="AF167"/>
  <c r="S167" s="1"/>
  <c r="AG167"/>
  <c r="CU167" s="1"/>
  <c r="T167" s="1"/>
  <c r="AH167"/>
  <c r="AI167"/>
  <c r="AJ167"/>
  <c r="CR167"/>
  <c r="CS167"/>
  <c r="CT167"/>
  <c r="CV167"/>
  <c r="U167" s="1"/>
  <c r="CW167"/>
  <c r="V167" s="1"/>
  <c r="CX167"/>
  <c r="W167" s="1"/>
  <c r="FR167"/>
  <c r="GK167"/>
  <c r="GL167"/>
  <c r="GN167"/>
  <c r="GP167"/>
  <c r="GV167"/>
  <c r="HC167"/>
  <c r="GX167" s="1"/>
  <c r="D168"/>
  <c r="I168"/>
  <c r="K170" s="1"/>
  <c r="K168"/>
  <c r="R168"/>
  <c r="AC168"/>
  <c r="P168" s="1"/>
  <c r="AE168"/>
  <c r="Q168" s="1"/>
  <c r="AF168"/>
  <c r="S168" s="1"/>
  <c r="AG168"/>
  <c r="CU168" s="1"/>
  <c r="T168" s="1"/>
  <c r="AH168"/>
  <c r="AI168"/>
  <c r="AJ168"/>
  <c r="CX168" s="1"/>
  <c r="W168" s="1"/>
  <c r="CR168"/>
  <c r="CS168"/>
  <c r="CV168"/>
  <c r="U168" s="1"/>
  <c r="CW168"/>
  <c r="V168" s="1"/>
  <c r="FR168"/>
  <c r="GK168"/>
  <c r="GL168"/>
  <c r="GN168"/>
  <c r="GP168"/>
  <c r="GV168"/>
  <c r="GX168"/>
  <c r="HC168"/>
  <c r="K169"/>
  <c r="AC169"/>
  <c r="AD169"/>
  <c r="AE169"/>
  <c r="AF169"/>
  <c r="AG169"/>
  <c r="CU169" s="1"/>
  <c r="AH169"/>
  <c r="CV169" s="1"/>
  <c r="U169" s="1"/>
  <c r="AI169"/>
  <c r="AJ169"/>
  <c r="CR169"/>
  <c r="CS169"/>
  <c r="CT169"/>
  <c r="CW169"/>
  <c r="CX169"/>
  <c r="FR169"/>
  <c r="GL169"/>
  <c r="GN169"/>
  <c r="GP169"/>
  <c r="GV169"/>
  <c r="HC169"/>
  <c r="I170"/>
  <c r="S170" s="1"/>
  <c r="P170"/>
  <c r="AC170"/>
  <c r="AB170" s="1"/>
  <c r="AD170"/>
  <c r="AE170"/>
  <c r="Q170" s="1"/>
  <c r="AF170"/>
  <c r="AG170"/>
  <c r="AH170"/>
  <c r="CV170" s="1"/>
  <c r="U170" s="1"/>
  <c r="AI170"/>
  <c r="CW170" s="1"/>
  <c r="V170" s="1"/>
  <c r="AJ170"/>
  <c r="CQ170"/>
  <c r="CR170"/>
  <c r="CT170"/>
  <c r="CU170"/>
  <c r="T170" s="1"/>
  <c r="CX170"/>
  <c r="W170" s="1"/>
  <c r="FR170"/>
  <c r="GL170"/>
  <c r="GN170"/>
  <c r="GP170"/>
  <c r="GV170"/>
  <c r="HC170" s="1"/>
  <c r="GX170" s="1"/>
  <c r="D172"/>
  <c r="I172"/>
  <c r="S172" s="1"/>
  <c r="K172"/>
  <c r="P172"/>
  <c r="AC172"/>
  <c r="AB172" s="1"/>
  <c r="AD172"/>
  <c r="AE172"/>
  <c r="Q172" s="1"/>
  <c r="AF172"/>
  <c r="AG172"/>
  <c r="AH172"/>
  <c r="CV172" s="1"/>
  <c r="U172" s="1"/>
  <c r="AI172"/>
  <c r="CW172" s="1"/>
  <c r="V172" s="1"/>
  <c r="AJ172"/>
  <c r="CQ172"/>
  <c r="CR172"/>
  <c r="CT172"/>
  <c r="CU172"/>
  <c r="T172" s="1"/>
  <c r="CX172"/>
  <c r="W172" s="1"/>
  <c r="FR172"/>
  <c r="GL172"/>
  <c r="GN172"/>
  <c r="GP172"/>
  <c r="GV172"/>
  <c r="HC172" s="1"/>
  <c r="GX172" s="1"/>
  <c r="D173"/>
  <c r="I173"/>
  <c r="S173" s="1"/>
  <c r="K173"/>
  <c r="P173"/>
  <c r="AC173"/>
  <c r="AB173" s="1"/>
  <c r="AD173"/>
  <c r="AE173"/>
  <c r="Q173" s="1"/>
  <c r="AF173"/>
  <c r="AG173"/>
  <c r="AH173"/>
  <c r="CV173" s="1"/>
  <c r="U173" s="1"/>
  <c r="AI173"/>
  <c r="CW173" s="1"/>
  <c r="V173" s="1"/>
  <c r="AJ173"/>
  <c r="CQ173"/>
  <c r="CR173"/>
  <c r="CT173"/>
  <c r="CU173"/>
  <c r="T173" s="1"/>
  <c r="CX173"/>
  <c r="W173" s="1"/>
  <c r="FR173"/>
  <c r="GL173"/>
  <c r="GN173"/>
  <c r="GP173"/>
  <c r="GV173"/>
  <c r="HC173" s="1"/>
  <c r="GX173" s="1"/>
  <c r="I174"/>
  <c r="P174" s="1"/>
  <c r="K174"/>
  <c r="AC174"/>
  <c r="AE174"/>
  <c r="R174" s="1"/>
  <c r="GK174" s="1"/>
  <c r="AF174"/>
  <c r="S174" s="1"/>
  <c r="AG174"/>
  <c r="AH174"/>
  <c r="AI174"/>
  <c r="CW174" s="1"/>
  <c r="V174" s="1"/>
  <c r="AJ174"/>
  <c r="CX174" s="1"/>
  <c r="W174" s="1"/>
  <c r="CQ174"/>
  <c r="CR174"/>
  <c r="CU174"/>
  <c r="T174" s="1"/>
  <c r="CV174"/>
  <c r="U174" s="1"/>
  <c r="FR174"/>
  <c r="GL174"/>
  <c r="GN174"/>
  <c r="GP174"/>
  <c r="GV174"/>
  <c r="HC174" s="1"/>
  <c r="GX174" s="1"/>
  <c r="K175"/>
  <c r="AC175"/>
  <c r="AE175"/>
  <c r="AD175" s="1"/>
  <c r="AB175" s="1"/>
  <c r="AF175"/>
  <c r="AG175"/>
  <c r="CU175" s="1"/>
  <c r="AH175"/>
  <c r="AI175"/>
  <c r="AJ175"/>
  <c r="CX175" s="1"/>
  <c r="CR175"/>
  <c r="CS175"/>
  <c r="CV175"/>
  <c r="CW175"/>
  <c r="FR175"/>
  <c r="GL175"/>
  <c r="GN175"/>
  <c r="GP175"/>
  <c r="GV175"/>
  <c r="HC175"/>
  <c r="D176"/>
  <c r="I176"/>
  <c r="I178" s="1"/>
  <c r="K176"/>
  <c r="R176"/>
  <c r="GK176" s="1"/>
  <c r="AC176"/>
  <c r="P176" s="1"/>
  <c r="AE176"/>
  <c r="Q176" s="1"/>
  <c r="AF176"/>
  <c r="S176" s="1"/>
  <c r="AG176"/>
  <c r="CU176" s="1"/>
  <c r="T176" s="1"/>
  <c r="AH176"/>
  <c r="AI176"/>
  <c r="AJ176"/>
  <c r="CX176" s="1"/>
  <c r="W176" s="1"/>
  <c r="CR176"/>
  <c r="CS176"/>
  <c r="CV176"/>
  <c r="U176" s="1"/>
  <c r="CW176"/>
  <c r="V176" s="1"/>
  <c r="FR176"/>
  <c r="GL176"/>
  <c r="GN176"/>
  <c r="GP176"/>
  <c r="GV176"/>
  <c r="GX176"/>
  <c r="HC176"/>
  <c r="D177"/>
  <c r="I177"/>
  <c r="K179" s="1"/>
  <c r="K177"/>
  <c r="R177"/>
  <c r="GK177" s="1"/>
  <c r="AC177"/>
  <c r="P177" s="1"/>
  <c r="CP177" s="1"/>
  <c r="O177" s="1"/>
  <c r="AE177"/>
  <c r="Q177" s="1"/>
  <c r="AF177"/>
  <c r="S177" s="1"/>
  <c r="AG177"/>
  <c r="CU177" s="1"/>
  <c r="T177" s="1"/>
  <c r="AH177"/>
  <c r="AI177"/>
  <c r="AJ177"/>
  <c r="CX177" s="1"/>
  <c r="W177" s="1"/>
  <c r="CR177"/>
  <c r="CS177"/>
  <c r="CV177"/>
  <c r="U177" s="1"/>
  <c r="CW177"/>
  <c r="V177" s="1"/>
  <c r="FR177"/>
  <c r="GL177"/>
  <c r="GN177"/>
  <c r="GP177"/>
  <c r="GV177"/>
  <c r="GX177"/>
  <c r="HC177"/>
  <c r="K178"/>
  <c r="AC178"/>
  <c r="P178" s="1"/>
  <c r="AD178"/>
  <c r="AE178"/>
  <c r="AF178"/>
  <c r="AG178"/>
  <c r="CU178" s="1"/>
  <c r="T178" s="1"/>
  <c r="AH178"/>
  <c r="CV178" s="1"/>
  <c r="U178" s="1"/>
  <c r="AI178"/>
  <c r="AJ178"/>
  <c r="CR178"/>
  <c r="CS178"/>
  <c r="CT178"/>
  <c r="CW178"/>
  <c r="V178" s="1"/>
  <c r="CX178"/>
  <c r="W178" s="1"/>
  <c r="FR178"/>
  <c r="GL178"/>
  <c r="GN178"/>
  <c r="GP178"/>
  <c r="GV178"/>
  <c r="HC178"/>
  <c r="GX178" s="1"/>
  <c r="I179"/>
  <c r="S179" s="1"/>
  <c r="P179"/>
  <c r="AC179"/>
  <c r="AB179" s="1"/>
  <c r="AD179"/>
  <c r="AE179"/>
  <c r="Q179" s="1"/>
  <c r="AF179"/>
  <c r="AG179"/>
  <c r="AH179"/>
  <c r="CV179" s="1"/>
  <c r="U179" s="1"/>
  <c r="AI179"/>
  <c r="CW179" s="1"/>
  <c r="V179" s="1"/>
  <c r="AJ179"/>
  <c r="CQ179"/>
  <c r="CR179"/>
  <c r="CT179"/>
  <c r="CU179"/>
  <c r="T179" s="1"/>
  <c r="CX179"/>
  <c r="W179" s="1"/>
  <c r="FR179"/>
  <c r="GL179"/>
  <c r="GN179"/>
  <c r="GP179"/>
  <c r="GV179"/>
  <c r="HC179" s="1"/>
  <c r="GX179" s="1"/>
  <c r="D181"/>
  <c r="I181"/>
  <c r="S181" s="1"/>
  <c r="K181"/>
  <c r="P181"/>
  <c r="AC181"/>
  <c r="AB181" s="1"/>
  <c r="AD181"/>
  <c r="AE181"/>
  <c r="Q181" s="1"/>
  <c r="AF181"/>
  <c r="AG181"/>
  <c r="AH181"/>
  <c r="CV181" s="1"/>
  <c r="U181" s="1"/>
  <c r="AI181"/>
  <c r="CW181" s="1"/>
  <c r="V181" s="1"/>
  <c r="AJ181"/>
  <c r="CQ181"/>
  <c r="CR181"/>
  <c r="CT181"/>
  <c r="CU181"/>
  <c r="T181" s="1"/>
  <c r="CX181"/>
  <c r="W181" s="1"/>
  <c r="FR181"/>
  <c r="GL181"/>
  <c r="GN181"/>
  <c r="GP181"/>
  <c r="GV181"/>
  <c r="HC181" s="1"/>
  <c r="GX181" s="1"/>
  <c r="D182"/>
  <c r="I182"/>
  <c r="S182" s="1"/>
  <c r="K182"/>
  <c r="P182"/>
  <c r="AC182"/>
  <c r="AB182" s="1"/>
  <c r="AD182"/>
  <c r="AE182"/>
  <c r="Q182" s="1"/>
  <c r="AF182"/>
  <c r="AG182"/>
  <c r="AH182"/>
  <c r="CV182" s="1"/>
  <c r="U182" s="1"/>
  <c r="AI182"/>
  <c r="CW182" s="1"/>
  <c r="V182" s="1"/>
  <c r="AJ182"/>
  <c r="CQ182"/>
  <c r="CR182"/>
  <c r="CT182"/>
  <c r="CU182"/>
  <c r="T182" s="1"/>
  <c r="CX182"/>
  <c r="W182" s="1"/>
  <c r="FR182"/>
  <c r="GL182"/>
  <c r="GN182"/>
  <c r="GP182"/>
  <c r="GV182"/>
  <c r="HC182" s="1"/>
  <c r="GX182" s="1"/>
  <c r="D183"/>
  <c r="I183"/>
  <c r="S183" s="1"/>
  <c r="P183"/>
  <c r="CP183" s="1"/>
  <c r="O183" s="1"/>
  <c r="AC183"/>
  <c r="AB183" s="1"/>
  <c r="AD183"/>
  <c r="AE183"/>
  <c r="Q183" s="1"/>
  <c r="AF183"/>
  <c r="AG183"/>
  <c r="AH183"/>
  <c r="CV183" s="1"/>
  <c r="U183" s="1"/>
  <c r="AI183"/>
  <c r="CW183" s="1"/>
  <c r="V183" s="1"/>
  <c r="AJ183"/>
  <c r="CQ183"/>
  <c r="CR183"/>
  <c r="CT183"/>
  <c r="CU183"/>
  <c r="T183" s="1"/>
  <c r="CX183"/>
  <c r="W183" s="1"/>
  <c r="FR183"/>
  <c r="GL183"/>
  <c r="GN183"/>
  <c r="GP183"/>
  <c r="GV183"/>
  <c r="HC183" s="1"/>
  <c r="GX183" s="1"/>
  <c r="D184"/>
  <c r="I184"/>
  <c r="S184" s="1"/>
  <c r="P184"/>
  <c r="AC184"/>
  <c r="AB184" s="1"/>
  <c r="AD184"/>
  <c r="AE184"/>
  <c r="Q184" s="1"/>
  <c r="AF184"/>
  <c r="AG184"/>
  <c r="AH184"/>
  <c r="CV184" s="1"/>
  <c r="U184" s="1"/>
  <c r="AI184"/>
  <c r="CW184" s="1"/>
  <c r="V184" s="1"/>
  <c r="AJ184"/>
  <c r="CQ184"/>
  <c r="CR184"/>
  <c r="CT184"/>
  <c r="CU184"/>
  <c r="T184" s="1"/>
  <c r="CX184"/>
  <c r="W184" s="1"/>
  <c r="FR184"/>
  <c r="GL184"/>
  <c r="GN184"/>
  <c r="GP184"/>
  <c r="GV184"/>
  <c r="HC184" s="1"/>
  <c r="GX184" s="1"/>
  <c r="I185"/>
  <c r="P185" s="1"/>
  <c r="K185"/>
  <c r="AC185"/>
  <c r="AE185"/>
  <c r="R185" s="1"/>
  <c r="GK185" s="1"/>
  <c r="AF185"/>
  <c r="S185" s="1"/>
  <c r="AG185"/>
  <c r="AH185"/>
  <c r="AI185"/>
  <c r="CW185" s="1"/>
  <c r="V185" s="1"/>
  <c r="AJ185"/>
  <c r="CX185" s="1"/>
  <c r="W185" s="1"/>
  <c r="CQ185"/>
  <c r="CR185"/>
  <c r="CU185"/>
  <c r="T185" s="1"/>
  <c r="CV185"/>
  <c r="U185" s="1"/>
  <c r="FR185"/>
  <c r="GL185"/>
  <c r="GO185"/>
  <c r="GP185"/>
  <c r="GV185"/>
  <c r="HC185" s="1"/>
  <c r="GX185" s="1"/>
  <c r="I186"/>
  <c r="K186"/>
  <c r="R186"/>
  <c r="GK186" s="1"/>
  <c r="AC186"/>
  <c r="P186" s="1"/>
  <c r="AE186"/>
  <c r="Q186" s="1"/>
  <c r="AF186"/>
  <c r="S186" s="1"/>
  <c r="AG186"/>
  <c r="CU186" s="1"/>
  <c r="T186" s="1"/>
  <c r="AH186"/>
  <c r="AI186"/>
  <c r="AJ186"/>
  <c r="CX186" s="1"/>
  <c r="W186" s="1"/>
  <c r="CR186"/>
  <c r="CS186"/>
  <c r="CV186"/>
  <c r="U186" s="1"/>
  <c r="CW186"/>
  <c r="V186" s="1"/>
  <c r="FR186"/>
  <c r="GL186"/>
  <c r="GO186"/>
  <c r="GP186"/>
  <c r="GV186"/>
  <c r="GX186"/>
  <c r="HC186"/>
  <c r="D187"/>
  <c r="I187"/>
  <c r="I189" s="1"/>
  <c r="K187"/>
  <c r="R187"/>
  <c r="GK187" s="1"/>
  <c r="AC187"/>
  <c r="P187" s="1"/>
  <c r="AE187"/>
  <c r="Q187" s="1"/>
  <c r="AF187"/>
  <c r="S187" s="1"/>
  <c r="AG187"/>
  <c r="CU187" s="1"/>
  <c r="T187" s="1"/>
  <c r="AH187"/>
  <c r="AI187"/>
  <c r="AJ187"/>
  <c r="CX187" s="1"/>
  <c r="W187" s="1"/>
  <c r="CR187"/>
  <c r="CS187"/>
  <c r="CV187"/>
  <c r="U187" s="1"/>
  <c r="CW187"/>
  <c r="V187" s="1"/>
  <c r="FR187"/>
  <c r="GL187"/>
  <c r="GN187"/>
  <c r="GP187"/>
  <c r="GV187"/>
  <c r="GX187"/>
  <c r="HC187"/>
  <c r="D188"/>
  <c r="I188"/>
  <c r="K190" s="1"/>
  <c r="K188"/>
  <c r="R188"/>
  <c r="GK188" s="1"/>
  <c r="AC188"/>
  <c r="P188" s="1"/>
  <c r="AE188"/>
  <c r="Q188" s="1"/>
  <c r="AF188"/>
  <c r="S188" s="1"/>
  <c r="AG188"/>
  <c r="CU188" s="1"/>
  <c r="T188" s="1"/>
  <c r="AH188"/>
  <c r="AI188"/>
  <c r="AJ188"/>
  <c r="CX188" s="1"/>
  <c r="W188" s="1"/>
  <c r="CR188"/>
  <c r="CS188"/>
  <c r="CV188"/>
  <c r="U188" s="1"/>
  <c r="CW188"/>
  <c r="V188" s="1"/>
  <c r="FR188"/>
  <c r="GL188"/>
  <c r="GN188"/>
  <c r="GP188"/>
  <c r="GV188"/>
  <c r="HC188" s="1"/>
  <c r="GX188" s="1"/>
  <c r="K189"/>
  <c r="AC189"/>
  <c r="AD189"/>
  <c r="AE189"/>
  <c r="AF189"/>
  <c r="AG189"/>
  <c r="CU189" s="1"/>
  <c r="AH189"/>
  <c r="CV189" s="1"/>
  <c r="AI189"/>
  <c r="AJ189"/>
  <c r="CR189"/>
  <c r="CS189"/>
  <c r="CT189"/>
  <c r="CW189"/>
  <c r="CX189"/>
  <c r="FR189"/>
  <c r="GL189"/>
  <c r="GN189"/>
  <c r="GP189"/>
  <c r="GV189"/>
  <c r="HC189"/>
  <c r="GX189" s="1"/>
  <c r="I190"/>
  <c r="P190"/>
  <c r="S190"/>
  <c r="AC190"/>
  <c r="AB190" s="1"/>
  <c r="AD190"/>
  <c r="AE190"/>
  <c r="Q190" s="1"/>
  <c r="AF190"/>
  <c r="AG190"/>
  <c r="AH190"/>
  <c r="CV190" s="1"/>
  <c r="U190" s="1"/>
  <c r="AI190"/>
  <c r="CW190" s="1"/>
  <c r="V190" s="1"/>
  <c r="AJ190"/>
  <c r="CQ190"/>
  <c r="CR190"/>
  <c r="CT190"/>
  <c r="CU190"/>
  <c r="T190" s="1"/>
  <c r="CX190"/>
  <c r="W190" s="1"/>
  <c r="CY190"/>
  <c r="X190" s="1"/>
  <c r="CZ190"/>
  <c r="Y190" s="1"/>
  <c r="FR190"/>
  <c r="GL190"/>
  <c r="GN190"/>
  <c r="GP190"/>
  <c r="GV190"/>
  <c r="HC190"/>
  <c r="GX190" s="1"/>
  <c r="D191"/>
  <c r="K191"/>
  <c r="P191"/>
  <c r="S191"/>
  <c r="AC191"/>
  <c r="AB191" s="1"/>
  <c r="AD191"/>
  <c r="AE191"/>
  <c r="Q191" s="1"/>
  <c r="AF191"/>
  <c r="AG191"/>
  <c r="AH191"/>
  <c r="CV191" s="1"/>
  <c r="U191" s="1"/>
  <c r="AI191"/>
  <c r="CW191" s="1"/>
  <c r="V191" s="1"/>
  <c r="AJ191"/>
  <c r="CQ191"/>
  <c r="CR191"/>
  <c r="CT191"/>
  <c r="CU191"/>
  <c r="T191" s="1"/>
  <c r="CX191"/>
  <c r="W191" s="1"/>
  <c r="CY191"/>
  <c r="X191" s="1"/>
  <c r="CZ191"/>
  <c r="Y191" s="1"/>
  <c r="FR191"/>
  <c r="GL191"/>
  <c r="GN191"/>
  <c r="GP191"/>
  <c r="GV191"/>
  <c r="HC191"/>
  <c r="GX191" s="1"/>
  <c r="D192"/>
  <c r="K192"/>
  <c r="P192"/>
  <c r="K360" i="7" s="1"/>
  <c r="S192" i="1"/>
  <c r="K357" i="7" s="1"/>
  <c r="AC192" i="1"/>
  <c r="AB192" s="1"/>
  <c r="AD192"/>
  <c r="AE192"/>
  <c r="Q192" s="1"/>
  <c r="K358" i="7" s="1"/>
  <c r="AF192" i="1"/>
  <c r="AG192"/>
  <c r="AH192"/>
  <c r="CV192" s="1"/>
  <c r="U192" s="1"/>
  <c r="I364" i="7" s="1"/>
  <c r="AB364" s="1"/>
  <c r="AI192" i="1"/>
  <c r="CW192" s="1"/>
  <c r="V192" s="1"/>
  <c r="AJ192"/>
  <c r="CQ192"/>
  <c r="CR192"/>
  <c r="CT192"/>
  <c r="CU192"/>
  <c r="T192" s="1"/>
  <c r="CX192"/>
  <c r="W192" s="1"/>
  <c r="CY192"/>
  <c r="X192" s="1"/>
  <c r="R355" i="7" s="1"/>
  <c r="K361" s="1"/>
  <c r="FR192" i="1"/>
  <c r="GL192"/>
  <c r="GN192"/>
  <c r="GP192"/>
  <c r="GV192"/>
  <c r="HC192"/>
  <c r="GX192" s="1"/>
  <c r="R193"/>
  <c r="S193"/>
  <c r="CY193" s="1"/>
  <c r="X193" s="1"/>
  <c r="AC193"/>
  <c r="P193" s="1"/>
  <c r="AD193"/>
  <c r="AE193"/>
  <c r="Q193" s="1"/>
  <c r="AF193"/>
  <c r="AG193"/>
  <c r="CU193" s="1"/>
  <c r="T193" s="1"/>
  <c r="AH193"/>
  <c r="CV193" s="1"/>
  <c r="U193" s="1"/>
  <c r="AI193"/>
  <c r="AJ193"/>
  <c r="CR193"/>
  <c r="CS193"/>
  <c r="CT193"/>
  <c r="CW193"/>
  <c r="V193" s="1"/>
  <c r="CX193"/>
  <c r="W193" s="1"/>
  <c r="FR193"/>
  <c r="GK193"/>
  <c r="GL193"/>
  <c r="GN193"/>
  <c r="GP193"/>
  <c r="GV193"/>
  <c r="HC193"/>
  <c r="GX193" s="1"/>
  <c r="R194"/>
  <c r="GK194" s="1"/>
  <c r="AC194"/>
  <c r="P194" s="1"/>
  <c r="AE194"/>
  <c r="Q194" s="1"/>
  <c r="AF194"/>
  <c r="S194" s="1"/>
  <c r="AG194"/>
  <c r="CU194" s="1"/>
  <c r="T194" s="1"/>
  <c r="AH194"/>
  <c r="AI194"/>
  <c r="AJ194"/>
  <c r="CX194" s="1"/>
  <c r="W194" s="1"/>
  <c r="CR194"/>
  <c r="CS194"/>
  <c r="CV194"/>
  <c r="U194" s="1"/>
  <c r="CW194"/>
  <c r="V194" s="1"/>
  <c r="FR194"/>
  <c r="GL194"/>
  <c r="GN194"/>
  <c r="GP194"/>
  <c r="GV194"/>
  <c r="HC194" s="1"/>
  <c r="GX194" s="1"/>
  <c r="C195"/>
  <c r="D195"/>
  <c r="I195"/>
  <c r="P195" s="1"/>
  <c r="K195"/>
  <c r="AC195"/>
  <c r="AE195"/>
  <c r="R195" s="1"/>
  <c r="GK195" s="1"/>
  <c r="AF195"/>
  <c r="S195" s="1"/>
  <c r="AG195"/>
  <c r="AH195"/>
  <c r="AI195"/>
  <c r="CW195" s="1"/>
  <c r="V195" s="1"/>
  <c r="AJ195"/>
  <c r="CX195" s="1"/>
  <c r="W195" s="1"/>
  <c r="CQ195"/>
  <c r="CR195"/>
  <c r="CU195"/>
  <c r="T195" s="1"/>
  <c r="CV195"/>
  <c r="U195" s="1"/>
  <c r="FR195"/>
  <c r="GL195"/>
  <c r="GN195"/>
  <c r="GP195"/>
  <c r="GV195"/>
  <c r="HC195" s="1"/>
  <c r="GX195" s="1"/>
  <c r="C196"/>
  <c r="D196"/>
  <c r="I196"/>
  <c r="K198" s="1"/>
  <c r="K196"/>
  <c r="P196"/>
  <c r="S196"/>
  <c r="CZ196" s="1"/>
  <c r="Y196" s="1"/>
  <c r="AC196"/>
  <c r="AB196" s="1"/>
  <c r="AD196"/>
  <c r="AE196"/>
  <c r="Q196" s="1"/>
  <c r="AF196"/>
  <c r="AG196"/>
  <c r="AH196"/>
  <c r="CV196" s="1"/>
  <c r="U196" s="1"/>
  <c r="AI196"/>
  <c r="CW196" s="1"/>
  <c r="V196" s="1"/>
  <c r="AJ196"/>
  <c r="CQ196"/>
  <c r="CR196"/>
  <c r="CT196"/>
  <c r="CU196"/>
  <c r="T196" s="1"/>
  <c r="CX196"/>
  <c r="W196" s="1"/>
  <c r="CY196"/>
  <c r="X196" s="1"/>
  <c r="FR196"/>
  <c r="GL196"/>
  <c r="GN196"/>
  <c r="GP196"/>
  <c r="GV196"/>
  <c r="HC196"/>
  <c r="GX196" s="1"/>
  <c r="D197"/>
  <c r="AC197"/>
  <c r="AB197" s="1"/>
  <c r="AD197"/>
  <c r="AE197"/>
  <c r="AF197"/>
  <c r="AG197"/>
  <c r="AH197"/>
  <c r="CV197" s="1"/>
  <c r="AI197"/>
  <c r="CW197" s="1"/>
  <c r="AJ197"/>
  <c r="CQ197"/>
  <c r="CR197"/>
  <c r="CT197"/>
  <c r="CU197"/>
  <c r="CX197"/>
  <c r="FR197"/>
  <c r="GL197"/>
  <c r="GN197"/>
  <c r="GP197"/>
  <c r="GV197"/>
  <c r="HC197"/>
  <c r="D198"/>
  <c r="I198"/>
  <c r="P198"/>
  <c r="S198"/>
  <c r="CZ198" s="1"/>
  <c r="Y198" s="1"/>
  <c r="AC198"/>
  <c r="AB198" s="1"/>
  <c r="AD198"/>
  <c r="AE198"/>
  <c r="Q198" s="1"/>
  <c r="AF198"/>
  <c r="AG198"/>
  <c r="AH198"/>
  <c r="CV198" s="1"/>
  <c r="U198" s="1"/>
  <c r="AI198"/>
  <c r="CW198" s="1"/>
  <c r="V198" s="1"/>
  <c r="AJ198"/>
  <c r="CQ198"/>
  <c r="CR198"/>
  <c r="CT198"/>
  <c r="CU198"/>
  <c r="T198" s="1"/>
  <c r="CX198"/>
  <c r="W198" s="1"/>
  <c r="CY198"/>
  <c r="X198" s="1"/>
  <c r="FR198"/>
  <c r="GL198"/>
  <c r="GN198"/>
  <c r="GP198"/>
  <c r="GV198"/>
  <c r="HC198"/>
  <c r="GX198" s="1"/>
  <c r="C199"/>
  <c r="D199"/>
  <c r="I199"/>
  <c r="K199"/>
  <c r="R199"/>
  <c r="S199"/>
  <c r="CY199" s="1"/>
  <c r="X199" s="1"/>
  <c r="AC199"/>
  <c r="P199" s="1"/>
  <c r="CP199" s="1"/>
  <c r="O199" s="1"/>
  <c r="AD199"/>
  <c r="AE199"/>
  <c r="Q199" s="1"/>
  <c r="AF199"/>
  <c r="AG199"/>
  <c r="CU199" s="1"/>
  <c r="T199" s="1"/>
  <c r="AH199"/>
  <c r="CV199" s="1"/>
  <c r="U199" s="1"/>
  <c r="AI199"/>
  <c r="AJ199"/>
  <c r="CR199"/>
  <c r="CS199"/>
  <c r="CT199"/>
  <c r="CW199"/>
  <c r="V199" s="1"/>
  <c r="CX199"/>
  <c r="W199" s="1"/>
  <c r="FR199"/>
  <c r="GK199"/>
  <c r="GL199"/>
  <c r="GN199"/>
  <c r="GP199"/>
  <c r="GV199"/>
  <c r="HC199"/>
  <c r="GX199" s="1"/>
  <c r="C200"/>
  <c r="D200"/>
  <c r="I200"/>
  <c r="K200"/>
  <c r="R200"/>
  <c r="GK200" s="1"/>
  <c r="AC200"/>
  <c r="P200" s="1"/>
  <c r="AE200"/>
  <c r="Q200" s="1"/>
  <c r="AF200"/>
  <c r="S200" s="1"/>
  <c r="AG200"/>
  <c r="CU200" s="1"/>
  <c r="T200" s="1"/>
  <c r="AH200"/>
  <c r="AI200"/>
  <c r="AJ200"/>
  <c r="CX200" s="1"/>
  <c r="W200" s="1"/>
  <c r="CR200"/>
  <c r="CS200"/>
  <c r="CV200"/>
  <c r="U200" s="1"/>
  <c r="CW200"/>
  <c r="V200" s="1"/>
  <c r="FR200"/>
  <c r="GL200"/>
  <c r="GN200"/>
  <c r="GP200"/>
  <c r="GV200"/>
  <c r="HC200" s="1"/>
  <c r="GX200" s="1"/>
  <c r="I201"/>
  <c r="P201"/>
  <c r="S201"/>
  <c r="CZ201" s="1"/>
  <c r="Y201" s="1"/>
  <c r="T201"/>
  <c r="AC201"/>
  <c r="AB201" s="1"/>
  <c r="AD201"/>
  <c r="AE201"/>
  <c r="Q201" s="1"/>
  <c r="AF201"/>
  <c r="AG201"/>
  <c r="AH201"/>
  <c r="CV201" s="1"/>
  <c r="U201" s="1"/>
  <c r="AI201"/>
  <c r="CW201" s="1"/>
  <c r="V201" s="1"/>
  <c r="AJ201"/>
  <c r="CQ201"/>
  <c r="CR201"/>
  <c r="CT201"/>
  <c r="CU201"/>
  <c r="CX201"/>
  <c r="W201" s="1"/>
  <c r="CY201"/>
  <c r="X201" s="1"/>
  <c r="FR201"/>
  <c r="GL201"/>
  <c r="GN201"/>
  <c r="GP201"/>
  <c r="GV201"/>
  <c r="HC201"/>
  <c r="GX201" s="1"/>
  <c r="I202"/>
  <c r="Q202" s="1"/>
  <c r="AC202"/>
  <c r="P202" s="1"/>
  <c r="AE202"/>
  <c r="AD202" s="1"/>
  <c r="AB202" s="1"/>
  <c r="AF202"/>
  <c r="AG202"/>
  <c r="CU202" s="1"/>
  <c r="AH202"/>
  <c r="AI202"/>
  <c r="AJ202"/>
  <c r="CX202" s="1"/>
  <c r="W202" s="1"/>
  <c r="CR202"/>
  <c r="CS202"/>
  <c r="CV202"/>
  <c r="CW202"/>
  <c r="V202" s="1"/>
  <c r="FR202"/>
  <c r="GL202"/>
  <c r="GN202"/>
  <c r="GP202"/>
  <c r="GV202"/>
  <c r="HC202" s="1"/>
  <c r="GX202"/>
  <c r="D204"/>
  <c r="I204"/>
  <c r="I206" s="1"/>
  <c r="S206" s="1"/>
  <c r="K204"/>
  <c r="R204"/>
  <c r="GK204" s="1"/>
  <c r="AC204"/>
  <c r="P204" s="1"/>
  <c r="AE204"/>
  <c r="Q204" s="1"/>
  <c r="AF204"/>
  <c r="AG204"/>
  <c r="CU204" s="1"/>
  <c r="T204" s="1"/>
  <c r="AH204"/>
  <c r="AI204"/>
  <c r="AJ204"/>
  <c r="CX204" s="1"/>
  <c r="W204" s="1"/>
  <c r="CR204"/>
  <c r="CS204"/>
  <c r="CV204"/>
  <c r="U204" s="1"/>
  <c r="CW204"/>
  <c r="V204" s="1"/>
  <c r="FR204"/>
  <c r="GL204"/>
  <c r="GN204"/>
  <c r="GP204"/>
  <c r="GV204"/>
  <c r="HC204" s="1"/>
  <c r="GX204" s="1"/>
  <c r="D205"/>
  <c r="I205"/>
  <c r="I207" s="1"/>
  <c r="Q207" s="1"/>
  <c r="K205"/>
  <c r="R205"/>
  <c r="GK205" s="1"/>
  <c r="AC205"/>
  <c r="P205" s="1"/>
  <c r="AE205"/>
  <c r="Q205" s="1"/>
  <c r="AF205"/>
  <c r="AG205"/>
  <c r="CU205" s="1"/>
  <c r="T205" s="1"/>
  <c r="AH205"/>
  <c r="AI205"/>
  <c r="AJ205"/>
  <c r="CX205" s="1"/>
  <c r="W205" s="1"/>
  <c r="CR205"/>
  <c r="CS205"/>
  <c r="CV205"/>
  <c r="U205" s="1"/>
  <c r="CW205"/>
  <c r="V205" s="1"/>
  <c r="FR205"/>
  <c r="GL205"/>
  <c r="GN205"/>
  <c r="GP205"/>
  <c r="GV205"/>
  <c r="HC205" s="1"/>
  <c r="GX205"/>
  <c r="K206"/>
  <c r="W206"/>
  <c r="AC206"/>
  <c r="AD206"/>
  <c r="AE206"/>
  <c r="AF206"/>
  <c r="AG206"/>
  <c r="CU206" s="1"/>
  <c r="AH206"/>
  <c r="CV206" s="1"/>
  <c r="U206" s="1"/>
  <c r="AI206"/>
  <c r="AJ206"/>
  <c r="CR206"/>
  <c r="CS206"/>
  <c r="CT206"/>
  <c r="CW206"/>
  <c r="CX206"/>
  <c r="FR206"/>
  <c r="GL206"/>
  <c r="GN206"/>
  <c r="GP206"/>
  <c r="GV206"/>
  <c r="HC206"/>
  <c r="GX206" s="1"/>
  <c r="P207"/>
  <c r="CP207" s="1"/>
  <c r="O207" s="1"/>
  <c r="S207"/>
  <c r="CZ207" s="1"/>
  <c r="Y207" s="1"/>
  <c r="T207"/>
  <c r="X207"/>
  <c r="AC207"/>
  <c r="AD207"/>
  <c r="AE207"/>
  <c r="R207" s="1"/>
  <c r="GK207" s="1"/>
  <c r="AF207"/>
  <c r="AG207"/>
  <c r="AH207"/>
  <c r="CV207" s="1"/>
  <c r="U207" s="1"/>
  <c r="AI207"/>
  <c r="CW207" s="1"/>
  <c r="V207" s="1"/>
  <c r="AJ207"/>
  <c r="CQ207"/>
  <c r="CR207"/>
  <c r="CT207"/>
  <c r="CU207"/>
  <c r="CX207"/>
  <c r="W207" s="1"/>
  <c r="CY207"/>
  <c r="FR207"/>
  <c r="GL207"/>
  <c r="GN207"/>
  <c r="GP207"/>
  <c r="GV207"/>
  <c r="HC207"/>
  <c r="GX207" s="1"/>
  <c r="C208"/>
  <c r="D208"/>
  <c r="K208"/>
  <c r="R208"/>
  <c r="S208"/>
  <c r="W208"/>
  <c r="AC208"/>
  <c r="AB208" s="1"/>
  <c r="AD208"/>
  <c r="AE208"/>
  <c r="Q208" s="1"/>
  <c r="AF208"/>
  <c r="AG208"/>
  <c r="CU208" s="1"/>
  <c r="T208" s="1"/>
  <c r="AH208"/>
  <c r="CV208" s="1"/>
  <c r="U208" s="1"/>
  <c r="AI208"/>
  <c r="AJ208"/>
  <c r="CR208"/>
  <c r="CS208"/>
  <c r="CT208"/>
  <c r="CW208"/>
  <c r="V208" s="1"/>
  <c r="CX208"/>
  <c r="FR208"/>
  <c r="GK208"/>
  <c r="GL208"/>
  <c r="GN208"/>
  <c r="GP208"/>
  <c r="GV208"/>
  <c r="HC208"/>
  <c r="GX208" s="1"/>
  <c r="C209"/>
  <c r="D209"/>
  <c r="Q209"/>
  <c r="K209"/>
  <c r="AC209"/>
  <c r="P209" s="1"/>
  <c r="K422" i="7" s="1"/>
  <c r="AE209" i="1"/>
  <c r="AD209" s="1"/>
  <c r="AB209" s="1"/>
  <c r="AF209"/>
  <c r="AG209"/>
  <c r="CU209" s="1"/>
  <c r="T209" s="1"/>
  <c r="AH209"/>
  <c r="AI209"/>
  <c r="CW209" s="1"/>
  <c r="V209" s="1"/>
  <c r="AJ209"/>
  <c r="CX209" s="1"/>
  <c r="CV209"/>
  <c r="U209" s="1"/>
  <c r="I425" i="7" s="1"/>
  <c r="AB425" s="1"/>
  <c r="FR209" i="1"/>
  <c r="GL209"/>
  <c r="GN209"/>
  <c r="GP209"/>
  <c r="GV209"/>
  <c r="HC209" s="1"/>
  <c r="GX209" s="1"/>
  <c r="I210"/>
  <c r="K210"/>
  <c r="R210"/>
  <c r="S210"/>
  <c r="W210"/>
  <c r="AC210"/>
  <c r="AB210" s="1"/>
  <c r="AD210"/>
  <c r="AE210"/>
  <c r="Q210" s="1"/>
  <c r="AF210"/>
  <c r="AG210"/>
  <c r="CU210" s="1"/>
  <c r="T210" s="1"/>
  <c r="AH210"/>
  <c r="CV210" s="1"/>
  <c r="U210" s="1"/>
  <c r="AI210"/>
  <c r="AJ210"/>
  <c r="CR210"/>
  <c r="CS210"/>
  <c r="CT210"/>
  <c r="CW210"/>
  <c r="V210" s="1"/>
  <c r="CX210"/>
  <c r="FR210"/>
  <c r="GK210"/>
  <c r="GL210"/>
  <c r="GN210"/>
  <c r="GP210"/>
  <c r="GV210"/>
  <c r="HC210"/>
  <c r="GX210" s="1"/>
  <c r="I211"/>
  <c r="K211"/>
  <c r="P211"/>
  <c r="S211"/>
  <c r="T211"/>
  <c r="AC211"/>
  <c r="AD211"/>
  <c r="AE211"/>
  <c r="AF211"/>
  <c r="AG211"/>
  <c r="AH211"/>
  <c r="AI211"/>
  <c r="CW211" s="1"/>
  <c r="V211" s="1"/>
  <c r="AJ211"/>
  <c r="CQ211"/>
  <c r="CR211"/>
  <c r="CT211"/>
  <c r="CU211"/>
  <c r="CV211"/>
  <c r="U211" s="1"/>
  <c r="CX211"/>
  <c r="W211" s="1"/>
  <c r="CY211"/>
  <c r="X211" s="1"/>
  <c r="CZ211"/>
  <c r="Y211" s="1"/>
  <c r="FR211"/>
  <c r="GL211"/>
  <c r="GN211"/>
  <c r="GP211"/>
  <c r="GV211"/>
  <c r="HC211"/>
  <c r="GX211" s="1"/>
  <c r="R212"/>
  <c r="S212"/>
  <c r="CZ212" s="1"/>
  <c r="Y212" s="1"/>
  <c r="V212"/>
  <c r="AC212"/>
  <c r="P212" s="1"/>
  <c r="CP212" s="1"/>
  <c r="O212" s="1"/>
  <c r="GM212" s="1"/>
  <c r="GN212" s="1"/>
  <c r="AD212"/>
  <c r="AE212"/>
  <c r="Q212" s="1"/>
  <c r="AF212"/>
  <c r="AG212"/>
  <c r="CU212" s="1"/>
  <c r="T212" s="1"/>
  <c r="AH212"/>
  <c r="CV212" s="1"/>
  <c r="U212" s="1"/>
  <c r="AI212"/>
  <c r="AJ212"/>
  <c r="CR212"/>
  <c r="CS212"/>
  <c r="CT212"/>
  <c r="CW212"/>
  <c r="CX212"/>
  <c r="W212" s="1"/>
  <c r="CY212"/>
  <c r="X212" s="1"/>
  <c r="FR212"/>
  <c r="GK212"/>
  <c r="GL212"/>
  <c r="GO212"/>
  <c r="GP212"/>
  <c r="GV212"/>
  <c r="GX212"/>
  <c r="HC212"/>
  <c r="AC213"/>
  <c r="AE213"/>
  <c r="AD213" s="1"/>
  <c r="AB213" s="1"/>
  <c r="AF213"/>
  <c r="S213" s="1"/>
  <c r="AG213"/>
  <c r="CU213" s="1"/>
  <c r="T213" s="1"/>
  <c r="AH213"/>
  <c r="AI213"/>
  <c r="CW213" s="1"/>
  <c r="V213" s="1"/>
  <c r="AJ213"/>
  <c r="CS213"/>
  <c r="CT213"/>
  <c r="CV213"/>
  <c r="U213" s="1"/>
  <c r="CX213"/>
  <c r="W213" s="1"/>
  <c r="FR213"/>
  <c r="GL213"/>
  <c r="GO213"/>
  <c r="GP213"/>
  <c r="GV213"/>
  <c r="GX213"/>
  <c r="HC213"/>
  <c r="D214"/>
  <c r="I214"/>
  <c r="K214"/>
  <c r="Q214"/>
  <c r="AC214"/>
  <c r="AB214" s="1"/>
  <c r="AE214"/>
  <c r="AD214" s="1"/>
  <c r="AF214"/>
  <c r="S214" s="1"/>
  <c r="AG214"/>
  <c r="CU214" s="1"/>
  <c r="T214" s="1"/>
  <c r="AH214"/>
  <c r="AI214"/>
  <c r="AJ214"/>
  <c r="CX214" s="1"/>
  <c r="W214" s="1"/>
  <c r="CR214"/>
  <c r="CS214"/>
  <c r="CT214"/>
  <c r="CV214"/>
  <c r="U214" s="1"/>
  <c r="CW214"/>
  <c r="V214" s="1"/>
  <c r="FR214"/>
  <c r="GL214"/>
  <c r="GN214"/>
  <c r="GP214"/>
  <c r="GV214"/>
  <c r="HC214"/>
  <c r="GX214" s="1"/>
  <c r="D215"/>
  <c r="I215"/>
  <c r="Q215" s="1"/>
  <c r="K215"/>
  <c r="AB215"/>
  <c r="AC215"/>
  <c r="AE215"/>
  <c r="AD215" s="1"/>
  <c r="AF215"/>
  <c r="S215" s="1"/>
  <c r="AG215"/>
  <c r="CU215" s="1"/>
  <c r="T215" s="1"/>
  <c r="AH215"/>
  <c r="AI215"/>
  <c r="CW215" s="1"/>
  <c r="V215" s="1"/>
  <c r="AJ215"/>
  <c r="CS215"/>
  <c r="CT215"/>
  <c r="CV215"/>
  <c r="U215" s="1"/>
  <c r="CX215"/>
  <c r="W215" s="1"/>
  <c r="FR215"/>
  <c r="GL215"/>
  <c r="GN215"/>
  <c r="GP215"/>
  <c r="GV215"/>
  <c r="HC215" s="1"/>
  <c r="GX215" s="1"/>
  <c r="C216"/>
  <c r="D216"/>
  <c r="I216"/>
  <c r="CX107" i="3" s="1"/>
  <c r="K216" i="1"/>
  <c r="R216"/>
  <c r="GK216" s="1"/>
  <c r="AC216"/>
  <c r="AD216"/>
  <c r="AB216" s="1"/>
  <c r="AE216"/>
  <c r="AF216"/>
  <c r="AG216"/>
  <c r="AH216"/>
  <c r="CV216" s="1"/>
  <c r="U216" s="1"/>
  <c r="AI216"/>
  <c r="AJ216"/>
  <c r="CX216" s="1"/>
  <c r="CQ216"/>
  <c r="CR216"/>
  <c r="CS216"/>
  <c r="CU216"/>
  <c r="T216" s="1"/>
  <c r="CW216"/>
  <c r="V216" s="1"/>
  <c r="FR216"/>
  <c r="GL216"/>
  <c r="GN216"/>
  <c r="GP216"/>
  <c r="GV216"/>
  <c r="HC216" s="1"/>
  <c r="GX216" s="1"/>
  <c r="C217"/>
  <c r="D217"/>
  <c r="I217"/>
  <c r="T217" s="1"/>
  <c r="K217"/>
  <c r="Q217"/>
  <c r="W217"/>
  <c r="AC217"/>
  <c r="AD217"/>
  <c r="AE217"/>
  <c r="AF217"/>
  <c r="AG217"/>
  <c r="AH217"/>
  <c r="AI217"/>
  <c r="CW217" s="1"/>
  <c r="AJ217"/>
  <c r="CQ217"/>
  <c r="CR217"/>
  <c r="CT217"/>
  <c r="CU217"/>
  <c r="CV217"/>
  <c r="U217" s="1"/>
  <c r="CX217"/>
  <c r="FR217"/>
  <c r="GL217"/>
  <c r="GN217"/>
  <c r="GP217"/>
  <c r="GV217"/>
  <c r="HC217"/>
  <c r="GX217" s="1"/>
  <c r="AC218"/>
  <c r="AE218"/>
  <c r="AD218" s="1"/>
  <c r="AB218" s="1"/>
  <c r="AF218"/>
  <c r="AG218"/>
  <c r="CU218" s="1"/>
  <c r="AH218"/>
  <c r="AI218"/>
  <c r="CW218" s="1"/>
  <c r="AJ218"/>
  <c r="CS218"/>
  <c r="CT218"/>
  <c r="CV218"/>
  <c r="CX218"/>
  <c r="FR218"/>
  <c r="GL218"/>
  <c r="GN218"/>
  <c r="GP218"/>
  <c r="GV218"/>
  <c r="HC218"/>
  <c r="AC219"/>
  <c r="AD219"/>
  <c r="AE219"/>
  <c r="AF219"/>
  <c r="AG219"/>
  <c r="AH219"/>
  <c r="AI219"/>
  <c r="CW219" s="1"/>
  <c r="AJ219"/>
  <c r="CQ219"/>
  <c r="CR219"/>
  <c r="CT219"/>
  <c r="CU219"/>
  <c r="CV219"/>
  <c r="CX219"/>
  <c r="FR219"/>
  <c r="GL219"/>
  <c r="GN219"/>
  <c r="GP219"/>
  <c r="GV219"/>
  <c r="HC219"/>
  <c r="AB220"/>
  <c r="AC220"/>
  <c r="AE220"/>
  <c r="AD220" s="1"/>
  <c r="AF220"/>
  <c r="AG220"/>
  <c r="CU220" s="1"/>
  <c r="AH220"/>
  <c r="AI220"/>
  <c r="CW220" s="1"/>
  <c r="AJ220"/>
  <c r="CS220"/>
  <c r="CT220"/>
  <c r="CV220"/>
  <c r="CX220"/>
  <c r="FR220"/>
  <c r="GL220"/>
  <c r="GN220"/>
  <c r="GP220"/>
  <c r="GV220"/>
  <c r="HC220" s="1"/>
  <c r="AC221"/>
  <c r="AD221"/>
  <c r="AE221"/>
  <c r="AF221"/>
  <c r="AG221"/>
  <c r="AH221"/>
  <c r="AI221"/>
  <c r="CW221" s="1"/>
  <c r="AJ221"/>
  <c r="CQ221"/>
  <c r="CR221"/>
  <c r="CT221"/>
  <c r="CU221"/>
  <c r="CV221"/>
  <c r="CX221"/>
  <c r="FR221"/>
  <c r="GL221"/>
  <c r="GN221"/>
  <c r="GP221"/>
  <c r="GV221"/>
  <c r="HC221"/>
  <c r="B223"/>
  <c r="B160" s="1"/>
  <c r="C223"/>
  <c r="C160" s="1"/>
  <c r="D223"/>
  <c r="D160" s="1"/>
  <c r="F223"/>
  <c r="F160" s="1"/>
  <c r="G223"/>
  <c r="G160" s="1"/>
  <c r="BX223"/>
  <c r="BX160" s="1"/>
  <c r="BY223"/>
  <c r="BZ223"/>
  <c r="BZ160" s="1"/>
  <c r="CD223"/>
  <c r="CD160" s="1"/>
  <c r="CK223"/>
  <c r="CK160" s="1"/>
  <c r="CL223"/>
  <c r="CL160" s="1"/>
  <c r="CM223"/>
  <c r="CM160" s="1"/>
  <c r="EU223"/>
  <c r="EU160" s="1"/>
  <c r="FP223"/>
  <c r="FR223"/>
  <c r="FR160" s="1"/>
  <c r="FV223"/>
  <c r="FV160" s="1"/>
  <c r="GC223"/>
  <c r="GC160" s="1"/>
  <c r="GD223"/>
  <c r="GD160" s="1"/>
  <c r="GE223"/>
  <c r="GE160" s="1"/>
  <c r="P239"/>
  <c r="B253"/>
  <c r="B153" s="1"/>
  <c r="C253"/>
  <c r="C153" s="1"/>
  <c r="D253"/>
  <c r="D153" s="1"/>
  <c r="F253"/>
  <c r="F153" s="1"/>
  <c r="G253"/>
  <c r="G153" s="1"/>
  <c r="AB253"/>
  <c r="AB153" s="1"/>
  <c r="AC253"/>
  <c r="AC153" s="1"/>
  <c r="AD253"/>
  <c r="AD153" s="1"/>
  <c r="AE253"/>
  <c r="AE153" s="1"/>
  <c r="AF253"/>
  <c r="AF153" s="1"/>
  <c r="AG253"/>
  <c r="AG153" s="1"/>
  <c r="AH253"/>
  <c r="AH153" s="1"/>
  <c r="AI253"/>
  <c r="AI153" s="1"/>
  <c r="AJ253"/>
  <c r="AJ153" s="1"/>
  <c r="AK253"/>
  <c r="AK153" s="1"/>
  <c r="AL253"/>
  <c r="AL153" s="1"/>
  <c r="BX253"/>
  <c r="BX153" s="1"/>
  <c r="BY253"/>
  <c r="BY153" s="1"/>
  <c r="BZ253"/>
  <c r="BZ153" s="1"/>
  <c r="CA253"/>
  <c r="CA153" s="1"/>
  <c r="CB253"/>
  <c r="CB153" s="1"/>
  <c r="CC253"/>
  <c r="CC153" s="1"/>
  <c r="CD253"/>
  <c r="CD153" s="1"/>
  <c r="CH253"/>
  <c r="CH153" s="1"/>
  <c r="CJ253"/>
  <c r="CJ153" s="1"/>
  <c r="CK253"/>
  <c r="CK153" s="1"/>
  <c r="CL253"/>
  <c r="CL153" s="1"/>
  <c r="CM253"/>
  <c r="CM153" s="1"/>
  <c r="DT253"/>
  <c r="DT153" s="1"/>
  <c r="DU253"/>
  <c r="DU153" s="1"/>
  <c r="DV253"/>
  <c r="DV153" s="1"/>
  <c r="DW253"/>
  <c r="DW153" s="1"/>
  <c r="DX253"/>
  <c r="DX153" s="1"/>
  <c r="DY253"/>
  <c r="DY153" s="1"/>
  <c r="DZ253"/>
  <c r="DZ153" s="1"/>
  <c r="EA253"/>
  <c r="EA153" s="1"/>
  <c r="EB253"/>
  <c r="EB153" s="1"/>
  <c r="EC253"/>
  <c r="EC153" s="1"/>
  <c r="ED253"/>
  <c r="ED153" s="1"/>
  <c r="FP253"/>
  <c r="FP153" s="1"/>
  <c r="FQ253"/>
  <c r="FQ153" s="1"/>
  <c r="FR253"/>
  <c r="FR153" s="1"/>
  <c r="FS253"/>
  <c r="FS153" s="1"/>
  <c r="FT253"/>
  <c r="FT153" s="1"/>
  <c r="FU253"/>
  <c r="FU153" s="1"/>
  <c r="FV253"/>
  <c r="FV153" s="1"/>
  <c r="FX253"/>
  <c r="FX153" s="1"/>
  <c r="GB253"/>
  <c r="GB153" s="1"/>
  <c r="GC253"/>
  <c r="GC153" s="1"/>
  <c r="GD253"/>
  <c r="GD153" s="1"/>
  <c r="GE253"/>
  <c r="GE153" s="1"/>
  <c r="B283"/>
  <c r="B22" s="1"/>
  <c r="C283"/>
  <c r="C22" s="1"/>
  <c r="D283"/>
  <c r="D22" s="1"/>
  <c r="F283"/>
  <c r="F22" s="1"/>
  <c r="G283"/>
  <c r="G22" s="1"/>
  <c r="B313"/>
  <c r="B18" s="1"/>
  <c r="C313"/>
  <c r="C18" s="1"/>
  <c r="D313"/>
  <c r="D18" s="1"/>
  <c r="F313"/>
  <c r="F18" s="1"/>
  <c r="G313"/>
  <c r="G18" s="1"/>
  <c r="F12" i="6"/>
  <c r="G12"/>
  <c r="CY12"/>
  <c r="CP194" i="1" l="1"/>
  <c r="O194" s="1"/>
  <c r="K369" i="7"/>
  <c r="CP193" i="1"/>
  <c r="O193" s="1"/>
  <c r="CZ192"/>
  <c r="Y192" s="1"/>
  <c r="T355" i="7" s="1"/>
  <c r="K362" s="1"/>
  <c r="J365" s="1"/>
  <c r="J40"/>
  <c r="I19"/>
  <c r="P74"/>
  <c r="K129"/>
  <c r="I141"/>
  <c r="K156"/>
  <c r="X190"/>
  <c r="K214"/>
  <c r="P262"/>
  <c r="H335"/>
  <c r="P417"/>
  <c r="H431"/>
  <c r="P266"/>
  <c r="Y304"/>
  <c r="J431"/>
  <c r="J203"/>
  <c r="K141"/>
  <c r="J144" s="1"/>
  <c r="O65"/>
  <c r="O74"/>
  <c r="J82"/>
  <c r="J98"/>
  <c r="H98"/>
  <c r="P121"/>
  <c r="O121"/>
  <c r="P162"/>
  <c r="J188"/>
  <c r="J218"/>
  <c r="O244"/>
  <c r="J260"/>
  <c r="Y282"/>
  <c r="O367"/>
  <c r="Y384"/>
  <c r="J411"/>
  <c r="O413"/>
  <c r="J280"/>
  <c r="Y319"/>
  <c r="O349"/>
  <c r="P384"/>
  <c r="P55"/>
  <c r="P65"/>
  <c r="J72"/>
  <c r="O134"/>
  <c r="O162"/>
  <c r="X176"/>
  <c r="P190"/>
  <c r="H218"/>
  <c r="Y244"/>
  <c r="Y262"/>
  <c r="P282"/>
  <c r="O300"/>
  <c r="P319"/>
  <c r="O319"/>
  <c r="P331"/>
  <c r="Y331"/>
  <c r="J347"/>
  <c r="J395"/>
  <c r="O397"/>
  <c r="O42"/>
  <c r="P42"/>
  <c r="O55"/>
  <c r="O100"/>
  <c r="X121"/>
  <c r="J132"/>
  <c r="P176"/>
  <c r="H188"/>
  <c r="P244"/>
  <c r="J298"/>
  <c r="Y300"/>
  <c r="Y349"/>
  <c r="J53"/>
  <c r="W59"/>
  <c r="J63"/>
  <c r="H72"/>
  <c r="H82"/>
  <c r="H132"/>
  <c r="H144"/>
  <c r="J160"/>
  <c r="O176"/>
  <c r="H203"/>
  <c r="P220"/>
  <c r="X220"/>
  <c r="H298"/>
  <c r="O331"/>
  <c r="P349"/>
  <c r="H365"/>
  <c r="Y367"/>
  <c r="H370"/>
  <c r="O384"/>
  <c r="H395"/>
  <c r="Y397"/>
  <c r="H411"/>
  <c r="Y413"/>
  <c r="Y417"/>
  <c r="O428"/>
  <c r="W33"/>
  <c r="H40"/>
  <c r="H53"/>
  <c r="H63"/>
  <c r="X74"/>
  <c r="P84"/>
  <c r="X84"/>
  <c r="X88"/>
  <c r="P100"/>
  <c r="X100"/>
  <c r="J119"/>
  <c r="P134"/>
  <c r="X134"/>
  <c r="P146"/>
  <c r="X146"/>
  <c r="H160"/>
  <c r="J174"/>
  <c r="O190"/>
  <c r="X193"/>
  <c r="P205"/>
  <c r="X205"/>
  <c r="O220"/>
  <c r="J242"/>
  <c r="H248"/>
  <c r="W252"/>
  <c r="O262"/>
  <c r="O266"/>
  <c r="O282"/>
  <c r="O286"/>
  <c r="P300"/>
  <c r="J317"/>
  <c r="J329"/>
  <c r="O353"/>
  <c r="P367"/>
  <c r="Y370"/>
  <c r="J382"/>
  <c r="P397"/>
  <c r="P413"/>
  <c r="X42"/>
  <c r="X55"/>
  <c r="X65"/>
  <c r="O84"/>
  <c r="O88"/>
  <c r="H119"/>
  <c r="O146"/>
  <c r="X162"/>
  <c r="H174"/>
  <c r="O193"/>
  <c r="O205"/>
  <c r="H242"/>
  <c r="H266"/>
  <c r="H286"/>
  <c r="O304"/>
  <c r="H317"/>
  <c r="H329"/>
  <c r="P335"/>
  <c r="H353"/>
  <c r="H382"/>
  <c r="O417"/>
  <c r="H426"/>
  <c r="Y428"/>
  <c r="W150"/>
  <c r="W209"/>
  <c r="H260"/>
  <c r="H280"/>
  <c r="H347"/>
  <c r="CY206" i="1"/>
  <c r="X206" s="1"/>
  <c r="CZ206"/>
  <c r="Y206" s="1"/>
  <c r="GX220"/>
  <c r="CP211"/>
  <c r="O211" s="1"/>
  <c r="U221"/>
  <c r="W218"/>
  <c r="GM207"/>
  <c r="GO207" s="1"/>
  <c r="CY214"/>
  <c r="X214" s="1"/>
  <c r="CZ214"/>
  <c r="Y214" s="1"/>
  <c r="V220"/>
  <c r="W220"/>
  <c r="S220"/>
  <c r="CY215"/>
  <c r="X215" s="1"/>
  <c r="CZ215"/>
  <c r="Y215" s="1"/>
  <c r="CY213"/>
  <c r="X213" s="1"/>
  <c r="CZ213"/>
  <c r="Y213" s="1"/>
  <c r="R221"/>
  <c r="GK221" s="1"/>
  <c r="CS221"/>
  <c r="P220"/>
  <c r="CP220" s="1"/>
  <c r="O220" s="1"/>
  <c r="CQ220"/>
  <c r="R217"/>
  <c r="GK217" s="1"/>
  <c r="CS217"/>
  <c r="P215"/>
  <c r="CP215" s="1"/>
  <c r="O215" s="1"/>
  <c r="GM215" s="1"/>
  <c r="GO215" s="1"/>
  <c r="CQ215"/>
  <c r="S209"/>
  <c r="K421" i="7" s="1"/>
  <c r="CT209" i="1"/>
  <c r="P206"/>
  <c r="CP206" s="1"/>
  <c r="O206" s="1"/>
  <c r="CQ206"/>
  <c r="AB206"/>
  <c r="CZ187"/>
  <c r="Y187" s="1"/>
  <c r="CY187"/>
  <c r="X187" s="1"/>
  <c r="CZ182"/>
  <c r="Y182" s="1"/>
  <c r="CY182"/>
  <c r="X182" s="1"/>
  <c r="CZ173"/>
  <c r="Y173" s="1"/>
  <c r="CY173"/>
  <c r="X173" s="1"/>
  <c r="CZ168"/>
  <c r="Y168" s="1"/>
  <c r="CY168"/>
  <c r="X168" s="1"/>
  <c r="CZ167"/>
  <c r="Y167" s="1"/>
  <c r="CY167"/>
  <c r="X167" s="1"/>
  <c r="CZ166"/>
  <c r="Y166" s="1"/>
  <c r="CY166"/>
  <c r="X166" s="1"/>
  <c r="FY253"/>
  <c r="FY153" s="1"/>
  <c r="CI253"/>
  <c r="CI153" s="1"/>
  <c r="CE253"/>
  <c r="CE153" s="1"/>
  <c r="EI223"/>
  <c r="CG223"/>
  <c r="BC223"/>
  <c r="CR220"/>
  <c r="AB219"/>
  <c r="I218"/>
  <c r="V217"/>
  <c r="S217"/>
  <c r="CR215"/>
  <c r="R214"/>
  <c r="GK214" s="1"/>
  <c r="CQ212"/>
  <c r="AB211"/>
  <c r="W209"/>
  <c r="AB207"/>
  <c r="V206"/>
  <c r="T206"/>
  <c r="T202"/>
  <c r="CP200"/>
  <c r="O200" s="1"/>
  <c r="V189"/>
  <c r="CP188"/>
  <c r="O188" s="1"/>
  <c r="CP186"/>
  <c r="O186" s="1"/>
  <c r="CP184"/>
  <c r="O184" s="1"/>
  <c r="CP181"/>
  <c r="O181" s="1"/>
  <c r="CP172"/>
  <c r="O172" s="1"/>
  <c r="GX169"/>
  <c r="S216"/>
  <c r="CT216"/>
  <c r="P210"/>
  <c r="CP210" s="1"/>
  <c r="O210" s="1"/>
  <c r="CQ210"/>
  <c r="CY210"/>
  <c r="X210" s="1"/>
  <c r="CZ210"/>
  <c r="Y210" s="1"/>
  <c r="P208"/>
  <c r="CP208" s="1"/>
  <c r="O208" s="1"/>
  <c r="CQ208"/>
  <c r="CY208"/>
  <c r="X208" s="1"/>
  <c r="CZ208"/>
  <c r="Y208" s="1"/>
  <c r="S205"/>
  <c r="CT205"/>
  <c r="CZ195"/>
  <c r="Y195" s="1"/>
  <c r="CY195"/>
  <c r="X195" s="1"/>
  <c r="CZ194"/>
  <c r="Y194" s="1"/>
  <c r="T369" i="7" s="1"/>
  <c r="CY194" i="1"/>
  <c r="X194" s="1"/>
  <c r="CZ179"/>
  <c r="Y179" s="1"/>
  <c r="CY179"/>
  <c r="X179" s="1"/>
  <c r="CZ177"/>
  <c r="Y177" s="1"/>
  <c r="CY177"/>
  <c r="X177" s="1"/>
  <c r="GM177" s="1"/>
  <c r="GO177" s="1"/>
  <c r="CZ174"/>
  <c r="Y174" s="1"/>
  <c r="CY174"/>
  <c r="X174" s="1"/>
  <c r="CZ170"/>
  <c r="Y170" s="1"/>
  <c r="CY170"/>
  <c r="X170" s="1"/>
  <c r="FZ253"/>
  <c r="FZ153" s="1"/>
  <c r="EU253"/>
  <c r="CF253"/>
  <c r="CF153" s="1"/>
  <c r="AO223"/>
  <c r="R220"/>
  <c r="GK220" s="1"/>
  <c r="T218"/>
  <c r="W216"/>
  <c r="P216"/>
  <c r="R215"/>
  <c r="GK215" s="1"/>
  <c r="CR209"/>
  <c r="R209"/>
  <c r="GK209" s="1"/>
  <c r="CP201"/>
  <c r="O201" s="1"/>
  <c r="CP192"/>
  <c r="O192" s="1"/>
  <c r="CP190"/>
  <c r="O190" s="1"/>
  <c r="W189"/>
  <c r="T189"/>
  <c r="P189"/>
  <c r="CP176"/>
  <c r="O176" s="1"/>
  <c r="V169"/>
  <c r="BY160"/>
  <c r="CI223"/>
  <c r="CS219"/>
  <c r="P218"/>
  <c r="CQ218"/>
  <c r="P213"/>
  <c r="CQ213"/>
  <c r="Q211"/>
  <c r="R211"/>
  <c r="GK211" s="1"/>
  <c r="CS211"/>
  <c r="CX104" i="3"/>
  <c r="CV104"/>
  <c r="CX106"/>
  <c r="CU104"/>
  <c r="S204" i="1"/>
  <c r="CT204"/>
  <c r="CZ200"/>
  <c r="Y200" s="1"/>
  <c r="CY200"/>
  <c r="X200" s="1"/>
  <c r="CZ188"/>
  <c r="Y188" s="1"/>
  <c r="CY188"/>
  <c r="X188" s="1"/>
  <c r="CZ186"/>
  <c r="Y186" s="1"/>
  <c r="CY186"/>
  <c r="X186" s="1"/>
  <c r="CZ183"/>
  <c r="Y183" s="1"/>
  <c r="CY183"/>
  <c r="X183" s="1"/>
  <c r="CZ181"/>
  <c r="Y181" s="1"/>
  <c r="CY181"/>
  <c r="X181" s="1"/>
  <c r="S178"/>
  <c r="R178"/>
  <c r="GK178" s="1"/>
  <c r="Q178"/>
  <c r="CP178" s="1"/>
  <c r="O178" s="1"/>
  <c r="CZ172"/>
  <c r="Y172" s="1"/>
  <c r="CY172"/>
  <c r="X172" s="1"/>
  <c r="CZ165"/>
  <c r="Y165" s="1"/>
  <c r="CY165"/>
  <c r="X165" s="1"/>
  <c r="CY163"/>
  <c r="X163" s="1"/>
  <c r="CZ163"/>
  <c r="Y163" s="1"/>
  <c r="GA253"/>
  <c r="GA153" s="1"/>
  <c r="FW253"/>
  <c r="FW153" s="1"/>
  <c r="CG253"/>
  <c r="CG153" s="1"/>
  <c r="EV223"/>
  <c r="AU223"/>
  <c r="AP223"/>
  <c r="AB221"/>
  <c r="P221"/>
  <c r="I220"/>
  <c r="Q220" s="1"/>
  <c r="CR218"/>
  <c r="AB217"/>
  <c r="P217"/>
  <c r="Q216"/>
  <c r="CR213"/>
  <c r="Q213"/>
  <c r="AB212"/>
  <c r="CS209"/>
  <c r="CP209"/>
  <c r="O209" s="1"/>
  <c r="FQ223"/>
  <c r="U202"/>
  <c r="R202"/>
  <c r="GK202" s="1"/>
  <c r="U189"/>
  <c r="CP187"/>
  <c r="O187" s="1"/>
  <c r="GM187" s="1"/>
  <c r="GO187" s="1"/>
  <c r="CP182"/>
  <c r="O182" s="1"/>
  <c r="GM182" s="1"/>
  <c r="GO182" s="1"/>
  <c r="CP179"/>
  <c r="O179" s="1"/>
  <c r="GM179" s="1"/>
  <c r="GO179" s="1"/>
  <c r="V175"/>
  <c r="EA223" s="1"/>
  <c r="W175"/>
  <c r="S175"/>
  <c r="CP173"/>
  <c r="O173" s="1"/>
  <c r="CP170"/>
  <c r="O170" s="1"/>
  <c r="GM170" s="1"/>
  <c r="GO170" s="1"/>
  <c r="W169"/>
  <c r="T169"/>
  <c r="P169"/>
  <c r="CP168"/>
  <c r="O168" s="1"/>
  <c r="GM168" s="1"/>
  <c r="GO168" s="1"/>
  <c r="AB167"/>
  <c r="FP160"/>
  <c r="FY223"/>
  <c r="CX110" i="3"/>
  <c r="I219" i="1"/>
  <c r="R219" s="1"/>
  <c r="GK219" s="1"/>
  <c r="I221"/>
  <c r="DI107" i="3"/>
  <c r="DH107"/>
  <c r="DG107"/>
  <c r="DF107"/>
  <c r="DJ107" s="1"/>
  <c r="P214" i="1"/>
  <c r="CP214" s="1"/>
  <c r="O214" s="1"/>
  <c r="GM214" s="1"/>
  <c r="GO214" s="1"/>
  <c r="CQ214"/>
  <c r="R206"/>
  <c r="GK206" s="1"/>
  <c r="Q206"/>
  <c r="S202"/>
  <c r="CT202"/>
  <c r="S189"/>
  <c r="R189"/>
  <c r="GK189" s="1"/>
  <c r="Q189"/>
  <c r="CZ185"/>
  <c r="Y185" s="1"/>
  <c r="CY185"/>
  <c r="X185" s="1"/>
  <c r="CZ184"/>
  <c r="Y184" s="1"/>
  <c r="CY184"/>
  <c r="X184" s="1"/>
  <c r="CZ176"/>
  <c r="Y176" s="1"/>
  <c r="CY176"/>
  <c r="X176" s="1"/>
  <c r="S169"/>
  <c r="R169"/>
  <c r="GK169" s="1"/>
  <c r="Q169"/>
  <c r="EM223"/>
  <c r="EG223"/>
  <c r="BB223"/>
  <c r="AQ223"/>
  <c r="GX221"/>
  <c r="T220"/>
  <c r="R218"/>
  <c r="GK218" s="1"/>
  <c r="R213"/>
  <c r="GK213" s="1"/>
  <c r="CP205"/>
  <c r="O205" s="1"/>
  <c r="CP198"/>
  <c r="O198" s="1"/>
  <c r="CP196"/>
  <c r="O196" s="1"/>
  <c r="CP191"/>
  <c r="O191" s="1"/>
  <c r="T175"/>
  <c r="DY223" s="1"/>
  <c r="EB223"/>
  <c r="CU101" i="3"/>
  <c r="CX102"/>
  <c r="CW102"/>
  <c r="CU95"/>
  <c r="CX96"/>
  <c r="CW96"/>
  <c r="P164" i="1"/>
  <c r="CQ164"/>
  <c r="K155"/>
  <c r="Q165"/>
  <c r="I155"/>
  <c r="V155" s="1"/>
  <c r="ET223"/>
  <c r="BD223"/>
  <c r="CQ209"/>
  <c r="CS207"/>
  <c r="K207"/>
  <c r="CQ205"/>
  <c r="AD205"/>
  <c r="AB205" s="1"/>
  <c r="CQ204"/>
  <c r="AD204"/>
  <c r="AB204" s="1"/>
  <c r="CQ202"/>
  <c r="CS201"/>
  <c r="R201"/>
  <c r="GK201" s="1"/>
  <c r="CQ200"/>
  <c r="AD200"/>
  <c r="AB200" s="1"/>
  <c r="CZ199"/>
  <c r="Y199" s="1"/>
  <c r="GM199" s="1"/>
  <c r="GO199" s="1"/>
  <c r="CS198"/>
  <c r="R198"/>
  <c r="GK198" s="1"/>
  <c r="CS197"/>
  <c r="K197"/>
  <c r="CS196"/>
  <c r="R196"/>
  <c r="GK196" s="1"/>
  <c r="CT195"/>
  <c r="CQ194"/>
  <c r="AD194"/>
  <c r="AB194" s="1"/>
  <c r="CZ193"/>
  <c r="Y193" s="1"/>
  <c r="GM193" s="1"/>
  <c r="GO193" s="1"/>
  <c r="CS192"/>
  <c r="R192"/>
  <c r="CS191"/>
  <c r="R191"/>
  <c r="GK191" s="1"/>
  <c r="CS190"/>
  <c r="R190"/>
  <c r="GK190" s="1"/>
  <c r="CQ188"/>
  <c r="AD188"/>
  <c r="AB188" s="1"/>
  <c r="CQ187"/>
  <c r="AD187"/>
  <c r="AB187" s="1"/>
  <c r="CQ186"/>
  <c r="AD186"/>
  <c r="AB186" s="1"/>
  <c r="CT185"/>
  <c r="CS184"/>
  <c r="R184"/>
  <c r="GK184" s="1"/>
  <c r="K184"/>
  <c r="CS183"/>
  <c r="R183"/>
  <c r="GK183" s="1"/>
  <c r="GM183" s="1"/>
  <c r="GO183" s="1"/>
  <c r="K183"/>
  <c r="CS182"/>
  <c r="R182"/>
  <c r="GK182" s="1"/>
  <c r="CS181"/>
  <c r="R181"/>
  <c r="GK181" s="1"/>
  <c r="CS179"/>
  <c r="R179"/>
  <c r="GK179" s="1"/>
  <c r="CQ177"/>
  <c r="AD177"/>
  <c r="AB177" s="1"/>
  <c r="CQ176"/>
  <c r="AD176"/>
  <c r="AB176" s="1"/>
  <c r="CQ175"/>
  <c r="CT174"/>
  <c r="CS173"/>
  <c r="R173"/>
  <c r="GK173" s="1"/>
  <c r="CS172"/>
  <c r="R172"/>
  <c r="GK172" s="1"/>
  <c r="CS170"/>
  <c r="R170"/>
  <c r="GK170" s="1"/>
  <c r="CQ168"/>
  <c r="AD168"/>
  <c r="AB168" s="1"/>
  <c r="CQ167"/>
  <c r="AD167"/>
  <c r="P167"/>
  <c r="CP167" s="1"/>
  <c r="O167" s="1"/>
  <c r="GM167" s="1"/>
  <c r="GO167" s="1"/>
  <c r="AD166"/>
  <c r="CQ165"/>
  <c r="CR164"/>
  <c r="Q164"/>
  <c r="R163"/>
  <c r="GX155"/>
  <c r="R155"/>
  <c r="GK155" s="1"/>
  <c r="CP111"/>
  <c r="O111" s="1"/>
  <c r="CP108"/>
  <c r="O108" s="1"/>
  <c r="CP100"/>
  <c r="O100" s="1"/>
  <c r="CP99"/>
  <c r="O99" s="1"/>
  <c r="AI121"/>
  <c r="CX98" i="3"/>
  <c r="CV98"/>
  <c r="CX100"/>
  <c r="CU98"/>
  <c r="CZ116" i="1"/>
  <c r="Y116" s="1"/>
  <c r="CY116"/>
  <c r="X116" s="1"/>
  <c r="CY106"/>
  <c r="X106" s="1"/>
  <c r="CZ106"/>
  <c r="Y106" s="1"/>
  <c r="CZ104"/>
  <c r="Y104" s="1"/>
  <c r="CY104"/>
  <c r="X104" s="1"/>
  <c r="CZ92"/>
  <c r="Y92" s="1"/>
  <c r="CY92"/>
  <c r="X92" s="1"/>
  <c r="AB199"/>
  <c r="AD195"/>
  <c r="AB195" s="1"/>
  <c r="AB193"/>
  <c r="AB189"/>
  <c r="AD185"/>
  <c r="AB185" s="1"/>
  <c r="AB178"/>
  <c r="I175"/>
  <c r="AD174"/>
  <c r="AB174" s="1"/>
  <c r="AB169"/>
  <c r="K156"/>
  <c r="R164"/>
  <c r="I156"/>
  <c r="V156" s="1"/>
  <c r="V109"/>
  <c r="CJ121"/>
  <c r="CU89" i="3"/>
  <c r="CX90"/>
  <c r="CW90"/>
  <c r="CS156" i="1"/>
  <c r="AD156"/>
  <c r="AB156" s="1"/>
  <c r="CZ118"/>
  <c r="Y118" s="1"/>
  <c r="CY118"/>
  <c r="X118" s="1"/>
  <c r="CZ94"/>
  <c r="Y94" s="1"/>
  <c r="CY94"/>
  <c r="X94" s="1"/>
  <c r="Q195"/>
  <c r="CP195" s="1"/>
  <c r="O195" s="1"/>
  <c r="GM195" s="1"/>
  <c r="GO195" s="1"/>
  <c r="Q185"/>
  <c r="CP185" s="1"/>
  <c r="O185" s="1"/>
  <c r="GM185" s="1"/>
  <c r="GN185" s="1"/>
  <c r="CB223" s="1"/>
  <c r="Q174"/>
  <c r="CP174" s="1"/>
  <c r="O174" s="1"/>
  <c r="GM174" s="1"/>
  <c r="GO174" s="1"/>
  <c r="AB165"/>
  <c r="S164"/>
  <c r="T156"/>
  <c r="W155"/>
  <c r="GM117"/>
  <c r="GN117" s="1"/>
  <c r="CP116"/>
  <c r="O116" s="1"/>
  <c r="GM116" s="1"/>
  <c r="GN116" s="1"/>
  <c r="W109"/>
  <c r="S109"/>
  <c r="CP105"/>
  <c r="O105" s="1"/>
  <c r="GM103"/>
  <c r="GN103" s="1"/>
  <c r="CX92" i="3"/>
  <c r="CV92"/>
  <c r="CX94"/>
  <c r="CU92"/>
  <c r="P163" i="1"/>
  <c r="CQ163"/>
  <c r="FP75"/>
  <c r="FY121"/>
  <c r="CZ119"/>
  <c r="Y119" s="1"/>
  <c r="CY119"/>
  <c r="X119" s="1"/>
  <c r="CZ114"/>
  <c r="Y114" s="1"/>
  <c r="CY114"/>
  <c r="X114" s="1"/>
  <c r="CY112"/>
  <c r="X112" s="1"/>
  <c r="CZ112"/>
  <c r="Y112" s="1"/>
  <c r="CZ107"/>
  <c r="Y107" s="1"/>
  <c r="CY107"/>
  <c r="X107" s="1"/>
  <c r="CZ102"/>
  <c r="Y102" s="1"/>
  <c r="CY102"/>
  <c r="X102" s="1"/>
  <c r="CZ101"/>
  <c r="Y101" s="1"/>
  <c r="CY101"/>
  <c r="X101" s="1"/>
  <c r="CZ99"/>
  <c r="Y99" s="1"/>
  <c r="CY99"/>
  <c r="X99" s="1"/>
  <c r="CT200"/>
  <c r="CQ199"/>
  <c r="I197"/>
  <c r="GX197" s="1"/>
  <c r="CS195"/>
  <c r="CT194"/>
  <c r="CQ193"/>
  <c r="CQ189"/>
  <c r="CT188"/>
  <c r="CT187"/>
  <c r="CT186"/>
  <c r="CS185"/>
  <c r="CQ178"/>
  <c r="CT177"/>
  <c r="CT176"/>
  <c r="CT175"/>
  <c r="CS174"/>
  <c r="CQ169"/>
  <c r="CT168"/>
  <c r="AB166"/>
  <c r="P166"/>
  <c r="CP166" s="1"/>
  <c r="O166" s="1"/>
  <c r="GM166" s="1"/>
  <c r="GO166" s="1"/>
  <c r="W156"/>
  <c r="U155"/>
  <c r="EG121"/>
  <c r="GX109"/>
  <c r="CP106"/>
  <c r="O106" s="1"/>
  <c r="GM106" s="1"/>
  <c r="GN106" s="1"/>
  <c r="AG121"/>
  <c r="AH121"/>
  <c r="CU79" i="3"/>
  <c r="CX80"/>
  <c r="CW80"/>
  <c r="CU67"/>
  <c r="CX68"/>
  <c r="CX70"/>
  <c r="CW68"/>
  <c r="CW70"/>
  <c r="CX72"/>
  <c r="R96" i="1"/>
  <c r="GK96" s="1"/>
  <c r="CS96"/>
  <c r="CT95"/>
  <c r="CX37" i="3"/>
  <c r="CX41"/>
  <c r="CV37"/>
  <c r="CX40"/>
  <c r="CU37"/>
  <c r="CX39"/>
  <c r="P93" i="1"/>
  <c r="R90"/>
  <c r="GK90" s="1"/>
  <c r="CS90"/>
  <c r="AD90"/>
  <c r="AB90" s="1"/>
  <c r="CY89"/>
  <c r="X89" s="1"/>
  <c r="CZ89"/>
  <c r="Y89" s="1"/>
  <c r="R88"/>
  <c r="GK88" s="1"/>
  <c r="CS88"/>
  <c r="AD88"/>
  <c r="AB88" s="1"/>
  <c r="CY87"/>
  <c r="X87" s="1"/>
  <c r="CZ87"/>
  <c r="Y87" s="1"/>
  <c r="CZ78"/>
  <c r="Y78" s="1"/>
  <c r="CY78"/>
  <c r="X78" s="1"/>
  <c r="P54"/>
  <c r="ER26"/>
  <c r="CG43"/>
  <c r="BZ26"/>
  <c r="AQ43"/>
  <c r="CZ37"/>
  <c r="Y37" s="1"/>
  <c r="CY37"/>
  <c r="X37" s="1"/>
  <c r="CZ35"/>
  <c r="Y35" s="1"/>
  <c r="CY35"/>
  <c r="X35" s="1"/>
  <c r="CZ33"/>
  <c r="Y33" s="1"/>
  <c r="CY33"/>
  <c r="X33" s="1"/>
  <c r="CZ31"/>
  <c r="Y31" s="1"/>
  <c r="CY31"/>
  <c r="X31" s="1"/>
  <c r="EV121"/>
  <c r="ER121"/>
  <c r="CG121"/>
  <c r="BB121"/>
  <c r="AT121"/>
  <c r="AP121"/>
  <c r="AD119"/>
  <c r="AB119" s="1"/>
  <c r="AB117"/>
  <c r="AD116"/>
  <c r="AB116" s="1"/>
  <c r="AB115"/>
  <c r="AD113"/>
  <c r="AB113" s="1"/>
  <c r="Q112"/>
  <c r="CP112" s="1"/>
  <c r="O112" s="1"/>
  <c r="GM112" s="1"/>
  <c r="GN112" s="1"/>
  <c r="AB111"/>
  <c r="AD109"/>
  <c r="AB109" s="1"/>
  <c r="AB108"/>
  <c r="AD107"/>
  <c r="AB107" s="1"/>
  <c r="Q106"/>
  <c r="AB105"/>
  <c r="AD104"/>
  <c r="AB104" s="1"/>
  <c r="AB103"/>
  <c r="AD101"/>
  <c r="AB101" s="1"/>
  <c r="AB100"/>
  <c r="AD99"/>
  <c r="AB99" s="1"/>
  <c r="Q98"/>
  <c r="CP98" s="1"/>
  <c r="O98" s="1"/>
  <c r="CY97"/>
  <c r="X97" s="1"/>
  <c r="P97"/>
  <c r="CP97" s="1"/>
  <c r="O97" s="1"/>
  <c r="GM97" s="1"/>
  <c r="GN97" s="1"/>
  <c r="AB94"/>
  <c r="CR93"/>
  <c r="Q90"/>
  <c r="Q88"/>
  <c r="CP79"/>
  <c r="O79" s="1"/>
  <c r="U41"/>
  <c r="DZ43" s="1"/>
  <c r="CP31"/>
  <c r="O31" s="1"/>
  <c r="GM31" s="1"/>
  <c r="GN31" s="1"/>
  <c r="CU73" i="3"/>
  <c r="CX74"/>
  <c r="CX76"/>
  <c r="CW74"/>
  <c r="CW76"/>
  <c r="CX78"/>
  <c r="CZ86" i="1"/>
  <c r="Y86" s="1"/>
  <c r="CY86"/>
  <c r="X86" s="1"/>
  <c r="CZ85"/>
  <c r="Y85" s="1"/>
  <c r="CY85"/>
  <c r="X85" s="1"/>
  <c r="CZ83"/>
  <c r="Y83" s="1"/>
  <c r="CY83"/>
  <c r="X83" s="1"/>
  <c r="CZ81"/>
  <c r="Y81" s="1"/>
  <c r="CY81"/>
  <c r="X81" s="1"/>
  <c r="EI26"/>
  <c r="P53"/>
  <c r="CP32"/>
  <c r="O32" s="1"/>
  <c r="BC121"/>
  <c r="AU121"/>
  <c r="AQ121"/>
  <c r="Q119"/>
  <c r="CP119" s="1"/>
  <c r="O119" s="1"/>
  <c r="GM119" s="1"/>
  <c r="GN119" s="1"/>
  <c r="Q116"/>
  <c r="Q107"/>
  <c r="CP107" s="1"/>
  <c r="O107" s="1"/>
  <c r="GM107" s="1"/>
  <c r="GN107" s="1"/>
  <c r="Q104"/>
  <c r="CP104" s="1"/>
  <c r="O104" s="1"/>
  <c r="GM104" s="1"/>
  <c r="GN104" s="1"/>
  <c r="Q101"/>
  <c r="CP101" s="1"/>
  <c r="O101" s="1"/>
  <c r="GM101" s="1"/>
  <c r="GN101" s="1"/>
  <c r="Q99"/>
  <c r="P94"/>
  <c r="CP94" s="1"/>
  <c r="O94" s="1"/>
  <c r="GM94" s="1"/>
  <c r="GN94" s="1"/>
  <c r="CP81"/>
  <c r="O81" s="1"/>
  <c r="CP36"/>
  <c r="O36" s="1"/>
  <c r="CP34"/>
  <c r="O34" s="1"/>
  <c r="CP29"/>
  <c r="O29" s="1"/>
  <c r="CU57" i="3"/>
  <c r="CX58"/>
  <c r="CX60"/>
  <c r="CW58"/>
  <c r="CW60"/>
  <c r="S93" i="1"/>
  <c r="CT93"/>
  <c r="P89"/>
  <c r="CP89" s="1"/>
  <c r="O89" s="1"/>
  <c r="CQ89"/>
  <c r="AB89"/>
  <c r="P87"/>
  <c r="CQ87"/>
  <c r="AB87"/>
  <c r="EU26"/>
  <c r="P59"/>
  <c r="CD26"/>
  <c r="AU43"/>
  <c r="CZ36"/>
  <c r="Y36" s="1"/>
  <c r="CY36"/>
  <c r="X36" s="1"/>
  <c r="CZ34"/>
  <c r="Y34" s="1"/>
  <c r="CY34"/>
  <c r="X34" s="1"/>
  <c r="CZ32"/>
  <c r="Y32" s="1"/>
  <c r="CY32"/>
  <c r="X32" s="1"/>
  <c r="CZ29"/>
  <c r="Y29" s="1"/>
  <c r="CY29"/>
  <c r="X29" s="1"/>
  <c r="GK28"/>
  <c r="ET121"/>
  <c r="EL121"/>
  <c r="EH121"/>
  <c r="CI121"/>
  <c r="BD121"/>
  <c r="CS119"/>
  <c r="Q118"/>
  <c r="CP118" s="1"/>
  <c r="O118" s="1"/>
  <c r="GM118" s="1"/>
  <c r="GN118" s="1"/>
  <c r="CY117"/>
  <c r="X117" s="1"/>
  <c r="CQ117"/>
  <c r="CS116"/>
  <c r="CY115"/>
  <c r="X115" s="1"/>
  <c r="GM115" s="1"/>
  <c r="GN115" s="1"/>
  <c r="CQ115"/>
  <c r="Q114"/>
  <c r="CP114" s="1"/>
  <c r="O114" s="1"/>
  <c r="GM114" s="1"/>
  <c r="GN114" s="1"/>
  <c r="CS113"/>
  <c r="CT112"/>
  <c r="CY111"/>
  <c r="X111" s="1"/>
  <c r="CQ111"/>
  <c r="Q110"/>
  <c r="CP110" s="1"/>
  <c r="O110" s="1"/>
  <c r="GM110" s="1"/>
  <c r="GN110" s="1"/>
  <c r="CS109"/>
  <c r="I109"/>
  <c r="CY108"/>
  <c r="X108" s="1"/>
  <c r="CQ108"/>
  <c r="CS107"/>
  <c r="CT106"/>
  <c r="CY105"/>
  <c r="X105" s="1"/>
  <c r="CQ105"/>
  <c r="CS104"/>
  <c r="CY103"/>
  <c r="X103" s="1"/>
  <c r="CQ103"/>
  <c r="Q102"/>
  <c r="CP102" s="1"/>
  <c r="O102" s="1"/>
  <c r="GM102" s="1"/>
  <c r="GN102" s="1"/>
  <c r="CS101"/>
  <c r="CY100"/>
  <c r="X100" s="1"/>
  <c r="CQ100"/>
  <c r="CS99"/>
  <c r="P96"/>
  <c r="Q93"/>
  <c r="CQ91"/>
  <c r="CZ90"/>
  <c r="Y90" s="1"/>
  <c r="CZ88"/>
  <c r="Y88" s="1"/>
  <c r="CP85"/>
  <c r="O85" s="1"/>
  <c r="GM85" s="1"/>
  <c r="GN85" s="1"/>
  <c r="CP78"/>
  <c r="O78" s="1"/>
  <c r="DF88" i="3"/>
  <c r="DJ88" s="1"/>
  <c r="DI88"/>
  <c r="DH88"/>
  <c r="DG88"/>
  <c r="CX62"/>
  <c r="CX64"/>
  <c r="CV62"/>
  <c r="CW64"/>
  <c r="CX66"/>
  <c r="CU62"/>
  <c r="S98" i="1"/>
  <c r="AF121" s="1"/>
  <c r="CT98"/>
  <c r="CX43" i="3"/>
  <c r="CX45"/>
  <c r="CX49"/>
  <c r="CV43"/>
  <c r="CW45"/>
  <c r="CX48"/>
  <c r="CU43"/>
  <c r="P92" i="1"/>
  <c r="CQ92"/>
  <c r="CZ80"/>
  <c r="Y80" s="1"/>
  <c r="CY80"/>
  <c r="X80" s="1"/>
  <c r="GM80" s="1"/>
  <c r="GN80" s="1"/>
  <c r="P68"/>
  <c r="EV26"/>
  <c r="P62"/>
  <c r="EM26"/>
  <c r="CP33"/>
  <c r="O33" s="1"/>
  <c r="GM33" s="1"/>
  <c r="GN33" s="1"/>
  <c r="P39"/>
  <c r="S39"/>
  <c r="R39"/>
  <c r="Q39"/>
  <c r="CZ28"/>
  <c r="Y28" s="1"/>
  <c r="CY28"/>
  <c r="X28" s="1"/>
  <c r="CT156"/>
  <c r="CS155"/>
  <c r="EU121"/>
  <c r="EM121"/>
  <c r="EI121"/>
  <c r="AO121"/>
  <c r="CT119"/>
  <c r="CS118"/>
  <c r="CT116"/>
  <c r="CS114"/>
  <c r="CT113"/>
  <c r="CQ112"/>
  <c r="CS110"/>
  <c r="CT109"/>
  <c r="CT107"/>
  <c r="CQ106"/>
  <c r="CT104"/>
  <c r="CS102"/>
  <c r="CT101"/>
  <c r="CT99"/>
  <c r="W98"/>
  <c r="AJ121" s="1"/>
  <c r="CQ96"/>
  <c r="AD96"/>
  <c r="AB96" s="1"/>
  <c r="Q96"/>
  <c r="I95"/>
  <c r="U95" s="1"/>
  <c r="R93"/>
  <c r="P91"/>
  <c r="CP91" s="1"/>
  <c r="O91" s="1"/>
  <c r="GM91" s="1"/>
  <c r="GN91" s="1"/>
  <c r="CR90"/>
  <c r="CP90"/>
  <c r="O90" s="1"/>
  <c r="GM90" s="1"/>
  <c r="GN90" s="1"/>
  <c r="CR88"/>
  <c r="CP88"/>
  <c r="O88" s="1"/>
  <c r="GM88" s="1"/>
  <c r="GN88" s="1"/>
  <c r="CP86"/>
  <c r="O86" s="1"/>
  <c r="GX41"/>
  <c r="GB43" s="1"/>
  <c r="T41"/>
  <c r="DY43" s="1"/>
  <c r="CP37"/>
  <c r="O37" s="1"/>
  <c r="GM37" s="1"/>
  <c r="GN37" s="1"/>
  <c r="CP35"/>
  <c r="O35" s="1"/>
  <c r="CU50" i="3"/>
  <c r="CW51"/>
  <c r="CX53"/>
  <c r="CX52"/>
  <c r="CX56"/>
  <c r="CW52"/>
  <c r="CX55"/>
  <c r="CX25"/>
  <c r="CX29"/>
  <c r="CV25"/>
  <c r="CX28"/>
  <c r="CU25"/>
  <c r="CX27"/>
  <c r="CX4"/>
  <c r="CV4"/>
  <c r="CW6"/>
  <c r="CU4"/>
  <c r="CX5"/>
  <c r="AD92" i="1"/>
  <c r="AB92" s="1"/>
  <c r="CT90"/>
  <c r="CT88"/>
  <c r="CS86"/>
  <c r="R86"/>
  <c r="GK86" s="1"/>
  <c r="CT85"/>
  <c r="CZ84"/>
  <c r="Y84" s="1"/>
  <c r="GM84" s="1"/>
  <c r="GN84" s="1"/>
  <c r="CT83"/>
  <c r="CZ82"/>
  <c r="Y82" s="1"/>
  <c r="GM82" s="1"/>
  <c r="GN82" s="1"/>
  <c r="CT81"/>
  <c r="CQ80"/>
  <c r="AD80"/>
  <c r="AB80" s="1"/>
  <c r="CZ79"/>
  <c r="Y79" s="1"/>
  <c r="CS78"/>
  <c r="R78"/>
  <c r="EG43"/>
  <c r="BC43"/>
  <c r="I41"/>
  <c r="I40"/>
  <c r="CY38"/>
  <c r="X38" s="1"/>
  <c r="CQ38"/>
  <c r="AD38"/>
  <c r="AB38" s="1"/>
  <c r="P38"/>
  <c r="CP38" s="1"/>
  <c r="O38" s="1"/>
  <c r="GM38" s="1"/>
  <c r="GN38" s="1"/>
  <c r="CT37"/>
  <c r="CT36"/>
  <c r="CT35"/>
  <c r="CT34"/>
  <c r="CT33"/>
  <c r="CT32"/>
  <c r="CT31"/>
  <c r="CT30"/>
  <c r="S30"/>
  <c r="CT29"/>
  <c r="CT28"/>
  <c r="GD26"/>
  <c r="FV26"/>
  <c r="FR26"/>
  <c r="CX108" i="3"/>
  <c r="CW105"/>
  <c r="CX97"/>
  <c r="CV89"/>
  <c r="CV79"/>
  <c r="CW71"/>
  <c r="CW63"/>
  <c r="CW44"/>
  <c r="CX36"/>
  <c r="CX33"/>
  <c r="CX20"/>
  <c r="CX12"/>
  <c r="CX9"/>
  <c r="CX31"/>
  <c r="CX35"/>
  <c r="CV31"/>
  <c r="CX34"/>
  <c r="CU31"/>
  <c r="CX7"/>
  <c r="CX11"/>
  <c r="CV7"/>
  <c r="CX10"/>
  <c r="CU7"/>
  <c r="AD85" i="1"/>
  <c r="AB85" s="1"/>
  <c r="AB84"/>
  <c r="AD83"/>
  <c r="AB83" s="1"/>
  <c r="AB82"/>
  <c r="AD81"/>
  <c r="AB81" s="1"/>
  <c r="AB79"/>
  <c r="FY43"/>
  <c r="ET43"/>
  <c r="EL43"/>
  <c r="EH43"/>
  <c r="CI43"/>
  <c r="BD43"/>
  <c r="AD37"/>
  <c r="AB37" s="1"/>
  <c r="AD36"/>
  <c r="AB36" s="1"/>
  <c r="AD35"/>
  <c r="AB35" s="1"/>
  <c r="AD34"/>
  <c r="AB34" s="1"/>
  <c r="AD33"/>
  <c r="AB33" s="1"/>
  <c r="AD32"/>
  <c r="AB32" s="1"/>
  <c r="AD31"/>
  <c r="AB31" s="1"/>
  <c r="GE26"/>
  <c r="GA26"/>
  <c r="CW99" i="3"/>
  <c r="CX91"/>
  <c r="CX81"/>
  <c r="CV73"/>
  <c r="CW65"/>
  <c r="CV57"/>
  <c r="CX46"/>
  <c r="CX38"/>
  <c r="CX30"/>
  <c r="CX14"/>
  <c r="CX6"/>
  <c r="CV1"/>
  <c r="CX13"/>
  <c r="CX17"/>
  <c r="CV13"/>
  <c r="CX16"/>
  <c r="CU13"/>
  <c r="Q85" i="1"/>
  <c r="Q83"/>
  <c r="CP83" s="1"/>
  <c r="O83" s="1"/>
  <c r="GM83" s="1"/>
  <c r="GN83" s="1"/>
  <c r="Q81"/>
  <c r="AO43"/>
  <c r="Q28"/>
  <c r="CP28" s="1"/>
  <c r="O28" s="1"/>
  <c r="CX109" i="3"/>
  <c r="CV101"/>
  <c r="CW93"/>
  <c r="CW75"/>
  <c r="CV67"/>
  <c r="CW59"/>
  <c r="CX54"/>
  <c r="CX51"/>
  <c r="CX32"/>
  <c r="CX24"/>
  <c r="CX8"/>
  <c r="CW5"/>
  <c r="CW3"/>
  <c r="CX19"/>
  <c r="CX23"/>
  <c r="CV19"/>
  <c r="CX22"/>
  <c r="CU19"/>
  <c r="CX21"/>
  <c r="CU1"/>
  <c r="CX2"/>
  <c r="CW2"/>
  <c r="CS85" i="1"/>
  <c r="CQ84"/>
  <c r="CS83"/>
  <c r="CQ82"/>
  <c r="CS81"/>
  <c r="CT80"/>
  <c r="CQ79"/>
  <c r="BB43"/>
  <c r="AT43"/>
  <c r="AP43"/>
  <c r="CX103" i="3"/>
  <c r="CV95"/>
  <c r="CX87"/>
  <c r="CX82"/>
  <c r="CW77"/>
  <c r="CW69"/>
  <c r="CX61"/>
  <c r="CX50"/>
  <c r="CX47"/>
  <c r="CX42"/>
  <c r="CX26"/>
  <c r="CX18"/>
  <c r="CX15"/>
  <c r="CX105"/>
  <c r="CX101"/>
  <c r="CX99"/>
  <c r="CX95"/>
  <c r="CX93"/>
  <c r="CX89"/>
  <c r="CX79"/>
  <c r="CX77"/>
  <c r="CX75"/>
  <c r="CX73"/>
  <c r="CX71"/>
  <c r="CX69"/>
  <c r="CX67"/>
  <c r="CX65"/>
  <c r="CX63"/>
  <c r="CX59"/>
  <c r="CX57"/>
  <c r="CV50"/>
  <c r="CX44"/>
  <c r="CX3"/>
  <c r="CX1"/>
  <c r="GM194" i="1" l="1"/>
  <c r="GO194" s="1"/>
  <c r="R369" i="7"/>
  <c r="P370"/>
  <c r="J370"/>
  <c r="GK192" i="1"/>
  <c r="K359" i="7"/>
  <c r="I15"/>
  <c r="J103"/>
  <c r="I14"/>
  <c r="I13" s="1"/>
  <c r="I18"/>
  <c r="J223"/>
  <c r="H438"/>
  <c r="H434"/>
  <c r="H223"/>
  <c r="H103"/>
  <c r="H442"/>
  <c r="GM28" i="1"/>
  <c r="GB26"/>
  <c r="ES43"/>
  <c r="AJ75"/>
  <c r="W121"/>
  <c r="AF75"/>
  <c r="S121"/>
  <c r="DY26"/>
  <c r="DL43"/>
  <c r="DZ26"/>
  <c r="DM43"/>
  <c r="CB160"/>
  <c r="AS223"/>
  <c r="DG57" i="3"/>
  <c r="DF57"/>
  <c r="DI57"/>
  <c r="DJ57" s="1"/>
  <c r="DH57"/>
  <c r="DG105"/>
  <c r="DJ105" s="1"/>
  <c r="DF105"/>
  <c r="DI105"/>
  <c r="DH105"/>
  <c r="DG87"/>
  <c r="DF87"/>
  <c r="DJ87" s="1"/>
  <c r="DI87"/>
  <c r="DH87"/>
  <c r="DG21"/>
  <c r="DF21"/>
  <c r="DJ21" s="1"/>
  <c r="DI21"/>
  <c r="DH21"/>
  <c r="DH30"/>
  <c r="DG30"/>
  <c r="DF30"/>
  <c r="DJ30" s="1"/>
  <c r="DI30"/>
  <c r="FY26" i="1"/>
  <c r="EP43"/>
  <c r="DF10" i="3"/>
  <c r="DJ10" s="1"/>
  <c r="DI10"/>
  <c r="DH10"/>
  <c r="DG10"/>
  <c r="DG33"/>
  <c r="DF33"/>
  <c r="DJ33" s="1"/>
  <c r="DI33"/>
  <c r="DH33"/>
  <c r="P40" i="1"/>
  <c r="S40"/>
  <c r="R40"/>
  <c r="Q40"/>
  <c r="DF56" i="3"/>
  <c r="DJ56" s="1"/>
  <c r="DI56"/>
  <c r="DH56"/>
  <c r="DG56"/>
  <c r="DI62"/>
  <c r="DJ62" s="1"/>
  <c r="DH62"/>
  <c r="DG62"/>
  <c r="DF62"/>
  <c r="DG65"/>
  <c r="DJ65" s="1"/>
  <c r="DF65"/>
  <c r="DI65"/>
  <c r="DH65"/>
  <c r="DG101"/>
  <c r="DF101"/>
  <c r="DI101"/>
  <c r="DJ101" s="1"/>
  <c r="DH101"/>
  <c r="DG44"/>
  <c r="DJ44" s="1"/>
  <c r="DF44"/>
  <c r="DI44"/>
  <c r="DH44"/>
  <c r="DG71"/>
  <c r="DJ71" s="1"/>
  <c r="DF71"/>
  <c r="DI71"/>
  <c r="DH71"/>
  <c r="DG99"/>
  <c r="DJ99" s="1"/>
  <c r="DF99"/>
  <c r="DI99"/>
  <c r="DH99"/>
  <c r="DF50"/>
  <c r="DI50"/>
  <c r="DJ50" s="1"/>
  <c r="DH50"/>
  <c r="DG50"/>
  <c r="DH103"/>
  <c r="DG103"/>
  <c r="DF103"/>
  <c r="DJ103" s="1"/>
  <c r="DI103"/>
  <c r="DI2"/>
  <c r="DH2"/>
  <c r="DG2"/>
  <c r="DJ2" s="1"/>
  <c r="DF2"/>
  <c r="DF22"/>
  <c r="DJ22" s="1"/>
  <c r="DI22"/>
  <c r="DH22"/>
  <c r="DG22"/>
  <c r="DH32"/>
  <c r="DG32"/>
  <c r="DF32"/>
  <c r="DJ32" s="1"/>
  <c r="DI32"/>
  <c r="DG109"/>
  <c r="DF109"/>
  <c r="DJ109" s="1"/>
  <c r="DI109"/>
  <c r="DH109"/>
  <c r="DH6"/>
  <c r="DG6"/>
  <c r="DJ6" s="1"/>
  <c r="DF6"/>
  <c r="DI6"/>
  <c r="DH81"/>
  <c r="DG81"/>
  <c r="DF81"/>
  <c r="DJ81" s="1"/>
  <c r="DI81"/>
  <c r="P61" i="1"/>
  <c r="EL26"/>
  <c r="BC26"/>
  <c r="F59"/>
  <c r="DF28" i="3"/>
  <c r="DJ28" s="1"/>
  <c r="DI28"/>
  <c r="DH28"/>
  <c r="DG28"/>
  <c r="DI53"/>
  <c r="DH53"/>
  <c r="DG53"/>
  <c r="DF53"/>
  <c r="DJ53" s="1"/>
  <c r="EU75" i="1"/>
  <c r="P137"/>
  <c r="EU283"/>
  <c r="CY39"/>
  <c r="X39" s="1"/>
  <c r="CZ39"/>
  <c r="Y39" s="1"/>
  <c r="EH75"/>
  <c r="P130"/>
  <c r="DI60" i="3"/>
  <c r="DH60"/>
  <c r="DG60"/>
  <c r="DJ60" s="1"/>
  <c r="DF60"/>
  <c r="BB75" i="1"/>
  <c r="F134"/>
  <c r="DG3" i="3"/>
  <c r="DJ3" s="1"/>
  <c r="DF3"/>
  <c r="DI3"/>
  <c r="DH3"/>
  <c r="DG59"/>
  <c r="DJ59" s="1"/>
  <c r="DF59"/>
  <c r="DI59"/>
  <c r="DH59"/>
  <c r="DG69"/>
  <c r="DJ69" s="1"/>
  <c r="DF69"/>
  <c r="DI69"/>
  <c r="DH69"/>
  <c r="DG77"/>
  <c r="DJ77" s="1"/>
  <c r="DF77"/>
  <c r="DI77"/>
  <c r="DH77"/>
  <c r="DG95"/>
  <c r="DF95"/>
  <c r="DI95"/>
  <c r="DJ95" s="1"/>
  <c r="DH95"/>
  <c r="DG15"/>
  <c r="DF15"/>
  <c r="DJ15" s="1"/>
  <c r="DI15"/>
  <c r="DH15"/>
  <c r="DG47"/>
  <c r="DF47"/>
  <c r="DJ47" s="1"/>
  <c r="DI47"/>
  <c r="DH47"/>
  <c r="F56" i="1"/>
  <c r="BB26"/>
  <c r="DI19" i="3"/>
  <c r="DJ19" s="1"/>
  <c r="DH19"/>
  <c r="DG19"/>
  <c r="DF19"/>
  <c r="DH24"/>
  <c r="DG24"/>
  <c r="DF24"/>
  <c r="DJ24" s="1"/>
  <c r="DI24"/>
  <c r="DF16"/>
  <c r="DJ16" s="1"/>
  <c r="DI16"/>
  <c r="DH16"/>
  <c r="DG16"/>
  <c r="DH38"/>
  <c r="DG38"/>
  <c r="DF38"/>
  <c r="DJ38" s="1"/>
  <c r="DI38"/>
  <c r="P52" i="1"/>
  <c r="EH26"/>
  <c r="DF34" i="3"/>
  <c r="DJ34" s="1"/>
  <c r="DI34"/>
  <c r="DH34"/>
  <c r="DG34"/>
  <c r="DG9"/>
  <c r="DF9"/>
  <c r="DJ9" s="1"/>
  <c r="DI9"/>
  <c r="DH9"/>
  <c r="DH36"/>
  <c r="DG36"/>
  <c r="DF36"/>
  <c r="DJ36" s="1"/>
  <c r="DI36"/>
  <c r="DH108"/>
  <c r="DG108"/>
  <c r="DF108"/>
  <c r="DJ108" s="1"/>
  <c r="DI108"/>
  <c r="P41" i="1"/>
  <c r="CP41" s="1"/>
  <c r="O41" s="1"/>
  <c r="S41"/>
  <c r="R41"/>
  <c r="GK41" s="1"/>
  <c r="Q41"/>
  <c r="DV43" s="1"/>
  <c r="DI25" i="3"/>
  <c r="DJ25" s="1"/>
  <c r="DH25"/>
  <c r="DG25"/>
  <c r="DF25"/>
  <c r="DF52"/>
  <c r="DI52"/>
  <c r="DH52"/>
  <c r="DG52"/>
  <c r="DJ52" s="1"/>
  <c r="EM75" i="1"/>
  <c r="P140"/>
  <c r="GK39"/>
  <c r="DW43"/>
  <c r="CP92"/>
  <c r="O92" s="1"/>
  <c r="GM92" s="1"/>
  <c r="GN92" s="1"/>
  <c r="AC121"/>
  <c r="K113"/>
  <c r="Q109"/>
  <c r="I113"/>
  <c r="P109"/>
  <c r="CI75"/>
  <c r="AZ121"/>
  <c r="BC75"/>
  <c r="F137"/>
  <c r="DI76" i="3"/>
  <c r="DH76"/>
  <c r="DG76"/>
  <c r="DJ76" s="1"/>
  <c r="DF76"/>
  <c r="AT75" i="1"/>
  <c r="F139"/>
  <c r="EV75"/>
  <c r="P146"/>
  <c r="DI37" i="3"/>
  <c r="DJ37" s="1"/>
  <c r="DH37"/>
  <c r="DG37"/>
  <c r="DF37"/>
  <c r="DI70"/>
  <c r="DH70"/>
  <c r="DG70"/>
  <c r="DJ70" s="1"/>
  <c r="DF70"/>
  <c r="DI80"/>
  <c r="DH80"/>
  <c r="DG80"/>
  <c r="DJ80" s="1"/>
  <c r="DF80"/>
  <c r="EG75" i="1"/>
  <c r="P125"/>
  <c r="DI90" i="3"/>
  <c r="DH90"/>
  <c r="DG90"/>
  <c r="DJ90" s="1"/>
  <c r="DF90"/>
  <c r="GK164" i="1"/>
  <c r="R175"/>
  <c r="GK175" s="1"/>
  <c r="GX175"/>
  <c r="GB223" s="1"/>
  <c r="Q175"/>
  <c r="BD160"/>
  <c r="F248"/>
  <c r="BD253"/>
  <c r="DI96" i="3"/>
  <c r="DH96"/>
  <c r="DG96"/>
  <c r="DJ96" s="1"/>
  <c r="DF96"/>
  <c r="EG160" i="1"/>
  <c r="EG253"/>
  <c r="P227"/>
  <c r="CY169"/>
  <c r="X169" s="1"/>
  <c r="CZ169"/>
  <c r="Y169" s="1"/>
  <c r="Q221"/>
  <c r="W221"/>
  <c r="T221"/>
  <c r="S221"/>
  <c r="AU160"/>
  <c r="F242"/>
  <c r="AU253"/>
  <c r="EU153"/>
  <c r="P269"/>
  <c r="Q218"/>
  <c r="CP218" s="1"/>
  <c r="O218" s="1"/>
  <c r="GX218"/>
  <c r="GM36"/>
  <c r="GN36" s="1"/>
  <c r="AC43"/>
  <c r="T40"/>
  <c r="AG43" s="1"/>
  <c r="GM35"/>
  <c r="GN35" s="1"/>
  <c r="GM86"/>
  <c r="GN86" s="1"/>
  <c r="CP96"/>
  <c r="O96" s="1"/>
  <c r="GM96" s="1"/>
  <c r="GN96" s="1"/>
  <c r="GM89"/>
  <c r="GN89" s="1"/>
  <c r="GM34"/>
  <c r="GN34" s="1"/>
  <c r="W41"/>
  <c r="EB43" s="1"/>
  <c r="V41"/>
  <c r="EA43" s="1"/>
  <c r="U109"/>
  <c r="T109"/>
  <c r="GM100"/>
  <c r="GN100" s="1"/>
  <c r="GM111"/>
  <c r="GN111" s="1"/>
  <c r="CP169"/>
  <c r="O169" s="1"/>
  <c r="GM169" s="1"/>
  <c r="GO169" s="1"/>
  <c r="GM173"/>
  <c r="GO173" s="1"/>
  <c r="CP217"/>
  <c r="O217" s="1"/>
  <c r="GM176"/>
  <c r="GO176" s="1"/>
  <c r="GM190"/>
  <c r="GO190" s="1"/>
  <c r="GM201"/>
  <c r="GO201" s="1"/>
  <c r="GX219"/>
  <c r="CJ223"/>
  <c r="GM184"/>
  <c r="GO184" s="1"/>
  <c r="R197"/>
  <c r="GK197" s="1"/>
  <c r="V221"/>
  <c r="V218"/>
  <c r="U220"/>
  <c r="S218"/>
  <c r="U218"/>
  <c r="DG93" i="3"/>
  <c r="DJ93" s="1"/>
  <c r="DF93"/>
  <c r="DI93"/>
  <c r="DH93"/>
  <c r="DH54"/>
  <c r="DG54"/>
  <c r="DF54"/>
  <c r="DJ54" s="1"/>
  <c r="DI54"/>
  <c r="GK78" i="1"/>
  <c r="AE121"/>
  <c r="DI29" i="3"/>
  <c r="DH29"/>
  <c r="DG29"/>
  <c r="DF29"/>
  <c r="DJ29" s="1"/>
  <c r="R95" i="1"/>
  <c r="GK95" s="1"/>
  <c r="Q95"/>
  <c r="V95"/>
  <c r="P95"/>
  <c r="GX95"/>
  <c r="EI75"/>
  <c r="P131"/>
  <c r="GM78"/>
  <c r="BD75"/>
  <c r="F146"/>
  <c r="ET75"/>
  <c r="P134"/>
  <c r="F62"/>
  <c r="AU26"/>
  <c r="AU283"/>
  <c r="AU75"/>
  <c r="F140"/>
  <c r="AP75"/>
  <c r="F130"/>
  <c r="ER75"/>
  <c r="P132"/>
  <c r="CG26"/>
  <c r="AX43"/>
  <c r="DG39" i="3"/>
  <c r="DF39"/>
  <c r="DJ39" s="1"/>
  <c r="DI39"/>
  <c r="DH39"/>
  <c r="DI41"/>
  <c r="DH41"/>
  <c r="DG41"/>
  <c r="DF41"/>
  <c r="DJ41" s="1"/>
  <c r="AG75" i="1"/>
  <c r="T121"/>
  <c r="DF94" i="3"/>
  <c r="DJ94" s="1"/>
  <c r="DI94"/>
  <c r="DH94"/>
  <c r="DG94"/>
  <c r="CY164" i="1"/>
  <c r="X164" s="1"/>
  <c r="CZ164"/>
  <c r="Y164" s="1"/>
  <c r="DX223"/>
  <c r="CJ75"/>
  <c r="BA121"/>
  <c r="P156"/>
  <c r="Q156"/>
  <c r="DI98" i="3"/>
  <c r="DJ98" s="1"/>
  <c r="DH98"/>
  <c r="DG98"/>
  <c r="DF98"/>
  <c r="DI102"/>
  <c r="DH102"/>
  <c r="DG102"/>
  <c r="DJ102" s="1"/>
  <c r="DF102"/>
  <c r="DY160" i="1"/>
  <c r="DL223"/>
  <c r="BB160"/>
  <c r="F236"/>
  <c r="BB253"/>
  <c r="CZ202"/>
  <c r="Y202" s="1"/>
  <c r="CY202"/>
  <c r="X202" s="1"/>
  <c r="FY160"/>
  <c r="EP223"/>
  <c r="EA160"/>
  <c r="DN223"/>
  <c r="AP160"/>
  <c r="F232"/>
  <c r="AP253"/>
  <c r="AP283" s="1"/>
  <c r="DF106" i="3"/>
  <c r="DJ106" s="1"/>
  <c r="DI106"/>
  <c r="DH106"/>
  <c r="DG106"/>
  <c r="CI160" i="1"/>
  <c r="AZ223"/>
  <c r="CZ205"/>
  <c r="Y205" s="1"/>
  <c r="CY205"/>
  <c r="X205" s="1"/>
  <c r="EI160"/>
  <c r="P233"/>
  <c r="EI253"/>
  <c r="CY209"/>
  <c r="X209" s="1"/>
  <c r="R419" i="7" s="1"/>
  <c r="K423" s="1"/>
  <c r="J426" s="1"/>
  <c r="CZ209" i="1"/>
  <c r="Y209" s="1"/>
  <c r="T419" i="7" s="1"/>
  <c r="K424" s="1"/>
  <c r="V40" i="1"/>
  <c r="AI43" s="1"/>
  <c r="GM99"/>
  <c r="GN99" s="1"/>
  <c r="DV223"/>
  <c r="GM191"/>
  <c r="GO191" s="1"/>
  <c r="GM198"/>
  <c r="GO198" s="1"/>
  <c r="V219"/>
  <c r="U175"/>
  <c r="DZ223" s="1"/>
  <c r="T197"/>
  <c r="GM208"/>
  <c r="GO208" s="1"/>
  <c r="GM210"/>
  <c r="GO210" s="1"/>
  <c r="U156"/>
  <c r="GM181"/>
  <c r="GO181" s="1"/>
  <c r="GM200"/>
  <c r="GO200" s="1"/>
  <c r="GM211"/>
  <c r="GO211" s="1"/>
  <c r="DG1" i="3"/>
  <c r="DF1"/>
  <c r="DI1"/>
  <c r="DJ1" s="1"/>
  <c r="DH1"/>
  <c r="DG75"/>
  <c r="DJ75" s="1"/>
  <c r="DF75"/>
  <c r="DI75"/>
  <c r="DH75"/>
  <c r="DH8"/>
  <c r="DG8"/>
  <c r="DF8"/>
  <c r="DJ8" s="1"/>
  <c r="DI8"/>
  <c r="AO26" i="1"/>
  <c r="F47"/>
  <c r="DH91" i="3"/>
  <c r="DG91"/>
  <c r="DF91"/>
  <c r="DJ91" s="1"/>
  <c r="DI91"/>
  <c r="DI43"/>
  <c r="DJ43" s="1"/>
  <c r="DH43"/>
  <c r="DG43"/>
  <c r="DF43"/>
  <c r="DG89"/>
  <c r="DF89"/>
  <c r="DI89"/>
  <c r="DJ89" s="1"/>
  <c r="DH89"/>
  <c r="DH61"/>
  <c r="DG61"/>
  <c r="DF61"/>
  <c r="DJ61" s="1"/>
  <c r="DI61"/>
  <c r="F52" i="1"/>
  <c r="AP26"/>
  <c r="DI17" i="3"/>
  <c r="DH17"/>
  <c r="DG17"/>
  <c r="DF17"/>
  <c r="DJ17" s="1"/>
  <c r="DH14"/>
  <c r="DG14"/>
  <c r="DF14"/>
  <c r="DJ14" s="1"/>
  <c r="DI14"/>
  <c r="BD26" i="1"/>
  <c r="F68"/>
  <c r="BD283"/>
  <c r="P56"/>
  <c r="ET26"/>
  <c r="DI7" i="3"/>
  <c r="DJ7" s="1"/>
  <c r="DH7"/>
  <c r="DG7"/>
  <c r="DF7"/>
  <c r="DI35"/>
  <c r="DH35"/>
  <c r="DG35"/>
  <c r="DF35"/>
  <c r="DJ35" s="1"/>
  <c r="DH20"/>
  <c r="DG20"/>
  <c r="DF20"/>
  <c r="DJ20" s="1"/>
  <c r="DI20"/>
  <c r="DH97"/>
  <c r="DG97"/>
  <c r="DF97"/>
  <c r="DJ97" s="1"/>
  <c r="DI97"/>
  <c r="CZ30" i="1"/>
  <c r="Y30" s="1"/>
  <c r="CY30"/>
  <c r="X30" s="1"/>
  <c r="EG26"/>
  <c r="P47"/>
  <c r="EG283"/>
  <c r="DF5" i="3"/>
  <c r="DI5"/>
  <c r="DH5"/>
  <c r="DG5"/>
  <c r="DJ5" s="1"/>
  <c r="DH4"/>
  <c r="DG4"/>
  <c r="DF4"/>
  <c r="DI4"/>
  <c r="DJ4" s="1"/>
  <c r="GK93" i="1"/>
  <c r="AO75"/>
  <c r="F125"/>
  <c r="DF48" i="3"/>
  <c r="DJ48" s="1"/>
  <c r="DI48"/>
  <c r="DH48"/>
  <c r="DG48"/>
  <c r="DI45"/>
  <c r="DH45"/>
  <c r="DG45"/>
  <c r="DJ45" s="1"/>
  <c r="DF45"/>
  <c r="DI64"/>
  <c r="DH64"/>
  <c r="DG64"/>
  <c r="DJ64" s="1"/>
  <c r="DF64"/>
  <c r="EL75" i="1"/>
  <c r="P139"/>
  <c r="CZ93"/>
  <c r="Y93" s="1"/>
  <c r="CY93"/>
  <c r="X93" s="1"/>
  <c r="DI58" i="3"/>
  <c r="DH58"/>
  <c r="DG58"/>
  <c r="DJ58" s="1"/>
  <c r="DF58"/>
  <c r="GM29" i="1"/>
  <c r="AQ75"/>
  <c r="F131"/>
  <c r="CG75"/>
  <c r="AX121"/>
  <c r="AH75"/>
  <c r="U121"/>
  <c r="FY75"/>
  <c r="EP121"/>
  <c r="CZ109"/>
  <c r="Y109" s="1"/>
  <c r="CY109"/>
  <c r="X109" s="1"/>
  <c r="AI75"/>
  <c r="V121"/>
  <c r="GK163"/>
  <c r="Q155"/>
  <c r="S155"/>
  <c r="P155"/>
  <c r="CP164"/>
  <c r="O164" s="1"/>
  <c r="AQ160"/>
  <c r="F233"/>
  <c r="AQ253"/>
  <c r="DF110" i="3"/>
  <c r="DJ110" s="1"/>
  <c r="DI110"/>
  <c r="DH110"/>
  <c r="DG110"/>
  <c r="AO160" i="1"/>
  <c r="AO253"/>
  <c r="AO283" s="1"/>
  <c r="F227"/>
  <c r="CZ217"/>
  <c r="Y217" s="1"/>
  <c r="CY217"/>
  <c r="X217" s="1"/>
  <c r="CG160"/>
  <c r="AX223"/>
  <c r="AD43"/>
  <c r="AF43"/>
  <c r="CP39"/>
  <c r="O39" s="1"/>
  <c r="GM39" s="1"/>
  <c r="GN39" s="1"/>
  <c r="W40"/>
  <c r="AJ43" s="1"/>
  <c r="DX43"/>
  <c r="U40"/>
  <c r="AH43" s="1"/>
  <c r="GM81"/>
  <c r="GN81" s="1"/>
  <c r="GM32"/>
  <c r="GN32" s="1"/>
  <c r="CP30"/>
  <c r="O30" s="1"/>
  <c r="GX40"/>
  <c r="CJ43" s="1"/>
  <c r="AD121"/>
  <c r="W95"/>
  <c r="CP93"/>
  <c r="O93" s="1"/>
  <c r="GM93" s="1"/>
  <c r="GN93" s="1"/>
  <c r="S95"/>
  <c r="S156"/>
  <c r="T95"/>
  <c r="GX156"/>
  <c r="R156"/>
  <c r="GK156" s="1"/>
  <c r="R109"/>
  <c r="GK109" s="1"/>
  <c r="GM108"/>
  <c r="GN108" s="1"/>
  <c r="CP165"/>
  <c r="O165" s="1"/>
  <c r="GM165" s="1"/>
  <c r="GO165" s="1"/>
  <c r="U197"/>
  <c r="AH223" s="1"/>
  <c r="AJ223"/>
  <c r="W197"/>
  <c r="GM209"/>
  <c r="GO209" s="1"/>
  <c r="CP213"/>
  <c r="O213" s="1"/>
  <c r="GM213" s="1"/>
  <c r="GN213" s="1"/>
  <c r="T155"/>
  <c r="P175"/>
  <c r="CP175" s="1"/>
  <c r="O175" s="1"/>
  <c r="GM188"/>
  <c r="GO188" s="1"/>
  <c r="DG67" i="3"/>
  <c r="DF67"/>
  <c r="DI67"/>
  <c r="DJ67" s="1"/>
  <c r="DH67"/>
  <c r="DH42"/>
  <c r="DG42"/>
  <c r="DF42"/>
  <c r="DJ42" s="1"/>
  <c r="DI42"/>
  <c r="AT26" i="1"/>
  <c r="F61"/>
  <c r="DI23" i="3"/>
  <c r="DH23"/>
  <c r="DG23"/>
  <c r="DF23"/>
  <c r="DJ23" s="1"/>
  <c r="DI13"/>
  <c r="DJ13" s="1"/>
  <c r="DH13"/>
  <c r="DG13"/>
  <c r="DF13"/>
  <c r="CI26" i="1"/>
  <c r="AZ43"/>
  <c r="DI31" i="3"/>
  <c r="DJ31" s="1"/>
  <c r="DH31"/>
  <c r="DG31"/>
  <c r="DF31"/>
  <c r="DG27"/>
  <c r="DF27"/>
  <c r="DJ27" s="1"/>
  <c r="DI27"/>
  <c r="DH27"/>
  <c r="DF66"/>
  <c r="DJ66" s="1"/>
  <c r="DI66"/>
  <c r="DH66"/>
  <c r="DG66"/>
  <c r="DG73"/>
  <c r="DF73"/>
  <c r="DI73"/>
  <c r="DJ73" s="1"/>
  <c r="DH73"/>
  <c r="DH26"/>
  <c r="DG26"/>
  <c r="DF26"/>
  <c r="DJ26" s="1"/>
  <c r="DI26"/>
  <c r="DH51"/>
  <c r="DG51"/>
  <c r="DJ51" s="1"/>
  <c r="DF51"/>
  <c r="DI51"/>
  <c r="DG63"/>
  <c r="DJ63" s="1"/>
  <c r="DF63"/>
  <c r="DI63"/>
  <c r="DH63"/>
  <c r="DG79"/>
  <c r="DF79"/>
  <c r="DI79"/>
  <c r="DJ79" s="1"/>
  <c r="DH79"/>
  <c r="DH18"/>
  <c r="DG18"/>
  <c r="DF18"/>
  <c r="DJ18" s="1"/>
  <c r="DI18"/>
  <c r="DG82"/>
  <c r="DF82"/>
  <c r="DJ82" s="1"/>
  <c r="DI82"/>
  <c r="DH82"/>
  <c r="DH46"/>
  <c r="DG46"/>
  <c r="DF46"/>
  <c r="DJ46" s="1"/>
  <c r="DI46"/>
  <c r="DI11"/>
  <c r="DH11"/>
  <c r="DG11"/>
  <c r="DF11"/>
  <c r="DJ11" s="1"/>
  <c r="DH12"/>
  <c r="DG12"/>
  <c r="DF12"/>
  <c r="DJ12" s="1"/>
  <c r="DI12"/>
  <c r="DG55"/>
  <c r="DF55"/>
  <c r="DJ55" s="1"/>
  <c r="DI55"/>
  <c r="DH55"/>
  <c r="DI49"/>
  <c r="DH49"/>
  <c r="DG49"/>
  <c r="DF49"/>
  <c r="DJ49" s="1"/>
  <c r="CZ98" i="1"/>
  <c r="Y98" s="1"/>
  <c r="AL121" s="1"/>
  <c r="CY98"/>
  <c r="X98" s="1"/>
  <c r="GM98" s="1"/>
  <c r="GN98" s="1"/>
  <c r="CP87"/>
  <c r="O87" s="1"/>
  <c r="GM87" s="1"/>
  <c r="GN87" s="1"/>
  <c r="DF78" i="3"/>
  <c r="DJ78" s="1"/>
  <c r="DI78"/>
  <c r="DH78"/>
  <c r="DG78"/>
  <c r="DI74"/>
  <c r="DH74"/>
  <c r="DG74"/>
  <c r="DJ74" s="1"/>
  <c r="DF74"/>
  <c r="GM79" i="1"/>
  <c r="AQ26"/>
  <c r="F53"/>
  <c r="AQ283"/>
  <c r="DF40" i="3"/>
  <c r="DJ40" s="1"/>
  <c r="DI40"/>
  <c r="DH40"/>
  <c r="DG40"/>
  <c r="DF72"/>
  <c r="DJ72" s="1"/>
  <c r="DI72"/>
  <c r="DH72"/>
  <c r="DG72"/>
  <c r="DI68"/>
  <c r="DH68"/>
  <c r="DG68"/>
  <c r="DJ68" s="1"/>
  <c r="DF68"/>
  <c r="Q197" i="1"/>
  <c r="AD223" s="1"/>
  <c r="P197"/>
  <c r="S197"/>
  <c r="AF223" s="1"/>
  <c r="CP163"/>
  <c r="O163" s="1"/>
  <c r="AC223"/>
  <c r="DI92" i="3"/>
  <c r="DJ92" s="1"/>
  <c r="DH92"/>
  <c r="DG92"/>
  <c r="DF92"/>
  <c r="DF100"/>
  <c r="DJ100" s="1"/>
  <c r="DI100"/>
  <c r="DH100"/>
  <c r="DG100"/>
  <c r="ET160" i="1"/>
  <c r="ET253"/>
  <c r="P236"/>
  <c r="EB160"/>
  <c r="DO223"/>
  <c r="EM160"/>
  <c r="EM253"/>
  <c r="P242"/>
  <c r="CY189"/>
  <c r="X189" s="1"/>
  <c r="CZ189"/>
  <c r="Y189" s="1"/>
  <c r="T219"/>
  <c r="S219"/>
  <c r="Q219"/>
  <c r="W219"/>
  <c r="CZ175"/>
  <c r="Y175" s="1"/>
  <c r="CY175"/>
  <c r="X175" s="1"/>
  <c r="FQ160"/>
  <c r="EH223"/>
  <c r="GA223"/>
  <c r="EV160"/>
  <c r="EV253"/>
  <c r="EV283" s="1"/>
  <c r="P248"/>
  <c r="CY178"/>
  <c r="X178" s="1"/>
  <c r="GM178" s="1"/>
  <c r="GO178" s="1"/>
  <c r="CZ178"/>
  <c r="Y178" s="1"/>
  <c r="CZ204"/>
  <c r="Y204" s="1"/>
  <c r="CY204"/>
  <c r="X204" s="1"/>
  <c r="DI104" i="3"/>
  <c r="DJ104" s="1"/>
  <c r="DH104"/>
  <c r="DG104"/>
  <c r="DF104"/>
  <c r="CZ216" i="1"/>
  <c r="Y216" s="1"/>
  <c r="CY216"/>
  <c r="X216" s="1"/>
  <c r="BC160"/>
  <c r="BC253"/>
  <c r="F239"/>
  <c r="CY220"/>
  <c r="X220" s="1"/>
  <c r="GM220" s="1"/>
  <c r="GO220" s="1"/>
  <c r="CZ220"/>
  <c r="Y220" s="1"/>
  <c r="GM105"/>
  <c r="GN105" s="1"/>
  <c r="GM196"/>
  <c r="GO196" s="1"/>
  <c r="GM205"/>
  <c r="GO205" s="1"/>
  <c r="AG223"/>
  <c r="CP221"/>
  <c r="O221" s="1"/>
  <c r="CP189"/>
  <c r="O189" s="1"/>
  <c r="GM189" s="1"/>
  <c r="GO189" s="1"/>
  <c r="GM192"/>
  <c r="GO192" s="1"/>
  <c r="CP202"/>
  <c r="O202" s="1"/>
  <c r="GM202" s="1"/>
  <c r="GO202" s="1"/>
  <c r="CP216"/>
  <c r="O216" s="1"/>
  <c r="GM172"/>
  <c r="GO172" s="1"/>
  <c r="GM186"/>
  <c r="GN186" s="1"/>
  <c r="FT223" s="1"/>
  <c r="V197"/>
  <c r="AI223" s="1"/>
  <c r="CP204"/>
  <c r="O204" s="1"/>
  <c r="P219"/>
  <c r="CP219" s="1"/>
  <c r="O219" s="1"/>
  <c r="GM206"/>
  <c r="GO206" s="1"/>
  <c r="U219"/>
  <c r="P428" i="7" l="1"/>
  <c r="AF160" i="1"/>
  <c r="S223"/>
  <c r="AD160"/>
  <c r="Q223"/>
  <c r="AL75"/>
  <c r="Y121"/>
  <c r="AI160"/>
  <c r="V223"/>
  <c r="EV22"/>
  <c r="P308"/>
  <c r="EV313"/>
  <c r="AO22"/>
  <c r="AO313"/>
  <c r="F287"/>
  <c r="AP22"/>
  <c r="F292"/>
  <c r="V16" i="2" s="1"/>
  <c r="V18" s="1"/>
  <c r="AP313" i="1"/>
  <c r="DV26"/>
  <c r="DI43"/>
  <c r="CY219"/>
  <c r="X219" s="1"/>
  <c r="CZ219"/>
  <c r="Y219" s="1"/>
  <c r="DO160"/>
  <c r="P247"/>
  <c r="DO253"/>
  <c r="BC153"/>
  <c r="F269"/>
  <c r="ET153"/>
  <c r="P266"/>
  <c r="AJ160"/>
  <c r="W223"/>
  <c r="CY156"/>
  <c r="X156" s="1"/>
  <c r="CZ156"/>
  <c r="Y156" s="1"/>
  <c r="AJ26"/>
  <c r="W43"/>
  <c r="EG22"/>
  <c r="P287"/>
  <c r="EG313"/>
  <c r="BD22"/>
  <c r="F308"/>
  <c r="BD313"/>
  <c r="GA160"/>
  <c r="ER223"/>
  <c r="EM153"/>
  <c r="P272"/>
  <c r="GM163"/>
  <c r="AQ22"/>
  <c r="F293"/>
  <c r="AQ313"/>
  <c r="GN79"/>
  <c r="DX26"/>
  <c r="DK43"/>
  <c r="AD26"/>
  <c r="Q43"/>
  <c r="AQ153"/>
  <c r="F263"/>
  <c r="GM164"/>
  <c r="DT223"/>
  <c r="U75"/>
  <c r="F143"/>
  <c r="DN160"/>
  <c r="DN253"/>
  <c r="P246"/>
  <c r="F50"/>
  <c r="AX26"/>
  <c r="EA26"/>
  <c r="DN43"/>
  <c r="AU153"/>
  <c r="F272"/>
  <c r="AC75"/>
  <c r="CF121"/>
  <c r="P121"/>
  <c r="CE121"/>
  <c r="CH121"/>
  <c r="P50"/>
  <c r="EP26"/>
  <c r="CP197"/>
  <c r="O197" s="1"/>
  <c r="AB223" s="1"/>
  <c r="GM204"/>
  <c r="GO204" s="1"/>
  <c r="GM216"/>
  <c r="GO216" s="1"/>
  <c r="DY121"/>
  <c r="AK121"/>
  <c r="GM30"/>
  <c r="GN30" s="1"/>
  <c r="AE223"/>
  <c r="CP156"/>
  <c r="O156" s="1"/>
  <c r="GM156" s="1"/>
  <c r="GN156" s="1"/>
  <c r="ED223"/>
  <c r="AB121"/>
  <c r="CP109"/>
  <c r="O109" s="1"/>
  <c r="GM109" s="1"/>
  <c r="GN109" s="1"/>
  <c r="EM283"/>
  <c r="AG160"/>
  <c r="T223"/>
  <c r="CJ26"/>
  <c r="BA43"/>
  <c r="U43"/>
  <c r="AH26"/>
  <c r="AF26"/>
  <c r="S43"/>
  <c r="GN29"/>
  <c r="AZ160"/>
  <c r="F234"/>
  <c r="AZ253"/>
  <c r="DX160"/>
  <c r="DK223"/>
  <c r="CJ160"/>
  <c r="BA223"/>
  <c r="CZ221"/>
  <c r="Y221" s="1"/>
  <c r="CY221"/>
  <c r="X221" s="1"/>
  <c r="GM221" s="1"/>
  <c r="GO221" s="1"/>
  <c r="EG153"/>
  <c r="P257"/>
  <c r="EU22"/>
  <c r="EU313"/>
  <c r="P299"/>
  <c r="DM26"/>
  <c r="P65"/>
  <c r="P64"/>
  <c r="DL26"/>
  <c r="W75"/>
  <c r="F145"/>
  <c r="GN28"/>
  <c r="GM175"/>
  <c r="GO175" s="1"/>
  <c r="DU223"/>
  <c r="DW223"/>
  <c r="CP40"/>
  <c r="O40" s="1"/>
  <c r="AB43" s="1"/>
  <c r="DU43"/>
  <c r="FT160"/>
  <c r="EK223"/>
  <c r="EV153"/>
  <c r="P278"/>
  <c r="AH160"/>
  <c r="U223"/>
  <c r="CY95"/>
  <c r="X95" s="1"/>
  <c r="CZ95"/>
  <c r="Y95" s="1"/>
  <c r="AD75"/>
  <c r="Q121"/>
  <c r="AO153"/>
  <c r="F257"/>
  <c r="CZ155"/>
  <c r="Y155" s="1"/>
  <c r="CY155"/>
  <c r="X155" s="1"/>
  <c r="V75"/>
  <c r="F144"/>
  <c r="EP75"/>
  <c r="P128"/>
  <c r="AX75"/>
  <c r="F128"/>
  <c r="DV160"/>
  <c r="DI223"/>
  <c r="EI153"/>
  <c r="P263"/>
  <c r="EP160"/>
  <c r="EP253"/>
  <c r="EP283" s="1"/>
  <c r="P230"/>
  <c r="BB153"/>
  <c r="F266"/>
  <c r="T75"/>
  <c r="F142"/>
  <c r="AE75"/>
  <c r="R121"/>
  <c r="AC26"/>
  <c r="CF43"/>
  <c r="P43"/>
  <c r="CE43"/>
  <c r="CH43"/>
  <c r="AZ75"/>
  <c r="F132"/>
  <c r="DW26"/>
  <c r="DJ43"/>
  <c r="CY40"/>
  <c r="X40" s="1"/>
  <c r="AK43" s="1"/>
  <c r="CZ40"/>
  <c r="Y40" s="1"/>
  <c r="AL43" s="1"/>
  <c r="DT43"/>
  <c r="ET283"/>
  <c r="EI283"/>
  <c r="CP95"/>
  <c r="O95" s="1"/>
  <c r="GM41"/>
  <c r="GN41" s="1"/>
  <c r="BB283"/>
  <c r="BC283"/>
  <c r="AC160"/>
  <c r="P223"/>
  <c r="CE223"/>
  <c r="CF223"/>
  <c r="CH223"/>
  <c r="EH160"/>
  <c r="EH253"/>
  <c r="P232"/>
  <c r="CZ197"/>
  <c r="Y197" s="1"/>
  <c r="AL223" s="1"/>
  <c r="CY197"/>
  <c r="X197" s="1"/>
  <c r="AK223" s="1"/>
  <c r="AZ26"/>
  <c r="F54"/>
  <c r="AZ283"/>
  <c r="AX160"/>
  <c r="F230"/>
  <c r="AX253"/>
  <c r="AX283" s="1"/>
  <c r="DZ160"/>
  <c r="DM223"/>
  <c r="V43"/>
  <c r="AI26"/>
  <c r="AP153"/>
  <c r="F262"/>
  <c r="DL160"/>
  <c r="DL253"/>
  <c r="P244"/>
  <c r="BA75"/>
  <c r="F141"/>
  <c r="AU22"/>
  <c r="F302"/>
  <c r="AU313"/>
  <c r="GN78"/>
  <c r="CB121" s="1"/>
  <c r="CA121"/>
  <c r="CY218"/>
  <c r="X218" s="1"/>
  <c r="GM218" s="1"/>
  <c r="GO218" s="1"/>
  <c r="CZ218"/>
  <c r="Y218" s="1"/>
  <c r="EB26"/>
  <c r="DO43"/>
  <c r="AG26"/>
  <c r="T43"/>
  <c r="BD153"/>
  <c r="F278"/>
  <c r="GB160"/>
  <c r="ES223"/>
  <c r="CX83" i="3"/>
  <c r="CV83"/>
  <c r="CX85"/>
  <c r="CU83"/>
  <c r="CX84"/>
  <c r="Q113" i="1"/>
  <c r="DV121" s="1"/>
  <c r="P113"/>
  <c r="GX113"/>
  <c r="GB121" s="1"/>
  <c r="R113"/>
  <c r="GK113" s="1"/>
  <c r="W113"/>
  <c r="V113"/>
  <c r="EA121" s="1"/>
  <c r="U113"/>
  <c r="DZ121" s="1"/>
  <c r="CX86" i="3"/>
  <c r="T113" i="1"/>
  <c r="S113"/>
  <c r="CW84" i="3"/>
  <c r="CY41" i="1"/>
  <c r="X41" s="1"/>
  <c r="EC43" s="1"/>
  <c r="CZ41"/>
  <c r="Y41" s="1"/>
  <c r="ED43" s="1"/>
  <c r="GK40"/>
  <c r="AE43"/>
  <c r="AS160"/>
  <c r="F240"/>
  <c r="AS253"/>
  <c r="S75"/>
  <c r="F136"/>
  <c r="ES26"/>
  <c r="P63"/>
  <c r="GM219"/>
  <c r="GO219" s="1"/>
  <c r="EB121"/>
  <c r="CP155"/>
  <c r="O155" s="1"/>
  <c r="EC223"/>
  <c r="GM217"/>
  <c r="GO217" s="1"/>
  <c r="J442" i="7" l="1"/>
  <c r="J434"/>
  <c r="J438"/>
  <c r="EA75" i="1"/>
  <c r="DN121"/>
  <c r="Y43"/>
  <c r="AL26"/>
  <c r="DZ75"/>
  <c r="DM121"/>
  <c r="EP22"/>
  <c r="EP313"/>
  <c r="P290"/>
  <c r="AB160"/>
  <c r="O223"/>
  <c r="ED26"/>
  <c r="DQ43"/>
  <c r="AB26"/>
  <c r="O43"/>
  <c r="AL160"/>
  <c r="Y223"/>
  <c r="GB75"/>
  <c r="ES121"/>
  <c r="AK160"/>
  <c r="X223"/>
  <c r="DT26"/>
  <c r="DG43"/>
  <c r="Q75"/>
  <c r="F133"/>
  <c r="CB75"/>
  <c r="AS121"/>
  <c r="V26"/>
  <c r="F66"/>
  <c r="AK26"/>
  <c r="X43"/>
  <c r="CF26"/>
  <c r="AW43"/>
  <c r="EB75"/>
  <c r="DO121"/>
  <c r="AS153"/>
  <c r="F270"/>
  <c r="CZ113"/>
  <c r="Y113" s="1"/>
  <c r="CY113"/>
  <c r="X113" s="1"/>
  <c r="CP113"/>
  <c r="O113" s="1"/>
  <c r="DU121"/>
  <c r="DI85" i="3"/>
  <c r="DH85"/>
  <c r="DG85"/>
  <c r="DF85"/>
  <c r="DJ85" s="1"/>
  <c r="F344" i="1"/>
  <c r="AZ22"/>
  <c r="F294"/>
  <c r="AZ313"/>
  <c r="CH160"/>
  <c r="AY223"/>
  <c r="GM95"/>
  <c r="DT121"/>
  <c r="CE26"/>
  <c r="AV43"/>
  <c r="R75"/>
  <c r="F135"/>
  <c r="T160"/>
  <c r="F244"/>
  <c r="T253"/>
  <c r="AE160"/>
  <c r="R223"/>
  <c r="P75"/>
  <c r="F124"/>
  <c r="GO164"/>
  <c r="FU223" s="1"/>
  <c r="FS223"/>
  <c r="ER160"/>
  <c r="ER253"/>
  <c r="P234"/>
  <c r="W26"/>
  <c r="F67"/>
  <c r="W160"/>
  <c r="W253"/>
  <c r="W283" s="1"/>
  <c r="F247"/>
  <c r="V160"/>
  <c r="F246"/>
  <c r="V253"/>
  <c r="V283" s="1"/>
  <c r="GM155"/>
  <c r="GN155" s="1"/>
  <c r="FS43"/>
  <c r="DX121"/>
  <c r="ES160"/>
  <c r="ES253"/>
  <c r="P243"/>
  <c r="CH26"/>
  <c r="AY43"/>
  <c r="DI160"/>
  <c r="P235"/>
  <c r="DI253"/>
  <c r="EK160"/>
  <c r="EK253"/>
  <c r="P240"/>
  <c r="DW160"/>
  <c r="DJ223"/>
  <c r="EU18"/>
  <c r="P329"/>
  <c r="DK160"/>
  <c r="DK253"/>
  <c r="P238"/>
  <c r="EM22"/>
  <c r="EM313"/>
  <c r="P302"/>
  <c r="DY75"/>
  <c r="DL121"/>
  <c r="CE75"/>
  <c r="AV121"/>
  <c r="AX22"/>
  <c r="F290"/>
  <c r="AX313"/>
  <c r="DN153"/>
  <c r="P276"/>
  <c r="DT160"/>
  <c r="DG223"/>
  <c r="Q26"/>
  <c r="F55"/>
  <c r="AP18"/>
  <c r="F322"/>
  <c r="AO18"/>
  <c r="F317"/>
  <c r="S160"/>
  <c r="F238"/>
  <c r="S253"/>
  <c r="S283" s="1"/>
  <c r="EC160"/>
  <c r="DP223"/>
  <c r="P160"/>
  <c r="F226"/>
  <c r="P253"/>
  <c r="P57"/>
  <c r="DJ26"/>
  <c r="EP153"/>
  <c r="P260"/>
  <c r="U160"/>
  <c r="U253"/>
  <c r="U283" s="1"/>
  <c r="F245"/>
  <c r="EC26"/>
  <c r="DP43"/>
  <c r="DF84" i="3"/>
  <c r="DI84"/>
  <c r="DH84"/>
  <c r="DG84"/>
  <c r="DJ84" s="1"/>
  <c r="EH153" i="1"/>
  <c r="P262"/>
  <c r="EH283"/>
  <c r="DU160"/>
  <c r="DH223"/>
  <c r="FZ223"/>
  <c r="FX223"/>
  <c r="FW223"/>
  <c r="F58"/>
  <c r="S26"/>
  <c r="BA26"/>
  <c r="F63"/>
  <c r="ED160"/>
  <c r="DQ223"/>
  <c r="AK75"/>
  <c r="X121"/>
  <c r="CH75"/>
  <c r="AY121"/>
  <c r="BD18"/>
  <c r="F338"/>
  <c r="DO153"/>
  <c r="P277"/>
  <c r="Y75"/>
  <c r="F148"/>
  <c r="GM197"/>
  <c r="GO197" s="1"/>
  <c r="AE26"/>
  <c r="R43"/>
  <c r="F64"/>
  <c r="T26"/>
  <c r="T283"/>
  <c r="AU18"/>
  <c r="F332"/>
  <c r="DM160"/>
  <c r="P245"/>
  <c r="DM253"/>
  <c r="DH86" i="3"/>
  <c r="DG86"/>
  <c r="DF86"/>
  <c r="DJ86" s="1"/>
  <c r="DI86"/>
  <c r="DH83"/>
  <c r="DG83"/>
  <c r="DF83"/>
  <c r="DI83"/>
  <c r="DJ83" s="1"/>
  <c r="CE160" i="1"/>
  <c r="AV223"/>
  <c r="BB22"/>
  <c r="F296"/>
  <c r="BB313"/>
  <c r="ET22"/>
  <c r="P296"/>
  <c r="ET313"/>
  <c r="DV75"/>
  <c r="DI121"/>
  <c r="DO26"/>
  <c r="P67"/>
  <c r="DO283"/>
  <c r="CA75"/>
  <c r="AR121"/>
  <c r="DL153"/>
  <c r="P274"/>
  <c r="AX153"/>
  <c r="F260"/>
  <c r="CF160"/>
  <c r="AW223"/>
  <c r="BC22"/>
  <c r="F299"/>
  <c r="BC313"/>
  <c r="EI22"/>
  <c r="P293"/>
  <c r="EI313"/>
  <c r="P26"/>
  <c r="F46"/>
  <c r="DU26"/>
  <c r="DH43"/>
  <c r="FW43"/>
  <c r="FZ43"/>
  <c r="FX43"/>
  <c r="BA160"/>
  <c r="BA253"/>
  <c r="BA283" s="1"/>
  <c r="F243"/>
  <c r="AZ153"/>
  <c r="F264"/>
  <c r="U26"/>
  <c r="F65"/>
  <c r="AB75"/>
  <c r="O121"/>
  <c r="CF75"/>
  <c r="AW121"/>
  <c r="P66"/>
  <c r="DN26"/>
  <c r="DN283"/>
  <c r="P58"/>
  <c r="DK26"/>
  <c r="AQ18"/>
  <c r="F323"/>
  <c r="GO163"/>
  <c r="CC223" s="1"/>
  <c r="CA223"/>
  <c r="EG18"/>
  <c r="P317"/>
  <c r="DI26"/>
  <c r="P55"/>
  <c r="DI283"/>
  <c r="EV18"/>
  <c r="P338"/>
  <c r="Q160"/>
  <c r="Q253"/>
  <c r="Q283" s="1"/>
  <c r="F235"/>
  <c r="EC121"/>
  <c r="GM40"/>
  <c r="ED121"/>
  <c r="DW121"/>
  <c r="FT43"/>
  <c r="V22" l="1"/>
  <c r="F306"/>
  <c r="V313"/>
  <c r="BA22"/>
  <c r="BA313"/>
  <c r="F303"/>
  <c r="W16" i="2" s="1"/>
  <c r="W18" s="1"/>
  <c r="U22" i="1"/>
  <c r="U313"/>
  <c r="F305"/>
  <c r="CA160"/>
  <c r="AR223"/>
  <c r="DO22"/>
  <c r="DO313"/>
  <c r="P307"/>
  <c r="FZ160"/>
  <c r="EQ223"/>
  <c r="Q22"/>
  <c r="Q313"/>
  <c r="F295"/>
  <c r="ED75"/>
  <c r="DQ121"/>
  <c r="DI22"/>
  <c r="P295"/>
  <c r="DI313"/>
  <c r="DN22"/>
  <c r="DN313"/>
  <c r="P306"/>
  <c r="DW75"/>
  <c r="DJ121"/>
  <c r="AW75"/>
  <c r="F127"/>
  <c r="FX26"/>
  <c r="EO43"/>
  <c r="EI18"/>
  <c r="P323"/>
  <c r="AR75"/>
  <c r="F149"/>
  <c r="T22"/>
  <c r="F304"/>
  <c r="T313"/>
  <c r="AY75"/>
  <c r="F129"/>
  <c r="DQ160"/>
  <c r="P250"/>
  <c r="DQ253"/>
  <c r="FW160"/>
  <c r="EN223"/>
  <c r="DP26"/>
  <c r="P69"/>
  <c r="AV75"/>
  <c r="F126"/>
  <c r="P344"/>
  <c r="DK153"/>
  <c r="P268"/>
  <c r="DJ160"/>
  <c r="P237"/>
  <c r="DJ253"/>
  <c r="AY26"/>
  <c r="F51"/>
  <c r="AV26"/>
  <c r="F48"/>
  <c r="AY160"/>
  <c r="AY253"/>
  <c r="AY283" s="1"/>
  <c r="F231"/>
  <c r="X160"/>
  <c r="F249"/>
  <c r="X253"/>
  <c r="Y160"/>
  <c r="F250"/>
  <c r="Y253"/>
  <c r="DQ26"/>
  <c r="P70"/>
  <c r="DQ283"/>
  <c r="GM113"/>
  <c r="GN113" s="1"/>
  <c r="GN40"/>
  <c r="CB43" s="1"/>
  <c r="CA43"/>
  <c r="EC75"/>
  <c r="DP121"/>
  <c r="CC160"/>
  <c r="AT223"/>
  <c r="P46"/>
  <c r="DH26"/>
  <c r="BC18"/>
  <c r="F329"/>
  <c r="ET18"/>
  <c r="P326"/>
  <c r="DM153"/>
  <c r="P275"/>
  <c r="R26"/>
  <c r="F57"/>
  <c r="DH160"/>
  <c r="DH253"/>
  <c r="P226"/>
  <c r="U153"/>
  <c r="F275"/>
  <c r="S153"/>
  <c r="F268"/>
  <c r="EK153"/>
  <c r="P270"/>
  <c r="ES153"/>
  <c r="P273"/>
  <c r="EJ43"/>
  <c r="FS26"/>
  <c r="W22"/>
  <c r="F307"/>
  <c r="W313"/>
  <c r="ER153"/>
  <c r="P264"/>
  <c r="ER283"/>
  <c r="T153"/>
  <c r="F274"/>
  <c r="GN95"/>
  <c r="FT121" s="1"/>
  <c r="FS121"/>
  <c r="DU75"/>
  <c r="FZ121"/>
  <c r="DH121"/>
  <c r="FW121"/>
  <c r="FX121"/>
  <c r="AW26"/>
  <c r="F49"/>
  <c r="DM75"/>
  <c r="P143"/>
  <c r="DM283"/>
  <c r="DN75"/>
  <c r="P144"/>
  <c r="O75"/>
  <c r="F123"/>
  <c r="EN43"/>
  <c r="FW26"/>
  <c r="DT75"/>
  <c r="DG121"/>
  <c r="DG26"/>
  <c r="P45"/>
  <c r="ES75"/>
  <c r="P141"/>
  <c r="ES283"/>
  <c r="O26"/>
  <c r="F45"/>
  <c r="O160"/>
  <c r="F225"/>
  <c r="O253"/>
  <c r="O283" s="1"/>
  <c r="Y26"/>
  <c r="F70"/>
  <c r="Y283"/>
  <c r="FT26"/>
  <c r="EK43"/>
  <c r="BA153"/>
  <c r="F273"/>
  <c r="AW160"/>
  <c r="AW253"/>
  <c r="F229"/>
  <c r="BB18"/>
  <c r="F326"/>
  <c r="X75"/>
  <c r="F147"/>
  <c r="P153"/>
  <c r="F256"/>
  <c r="DL75"/>
  <c r="P142"/>
  <c r="DL283"/>
  <c r="FU160"/>
  <c r="EL223"/>
  <c r="AZ18"/>
  <c r="F324"/>
  <c r="AS75"/>
  <c r="F138"/>
  <c r="Q153"/>
  <c r="F265"/>
  <c r="EQ43"/>
  <c r="FZ26"/>
  <c r="DI75"/>
  <c r="P133"/>
  <c r="AV160"/>
  <c r="F228"/>
  <c r="AV253"/>
  <c r="AV283" s="1"/>
  <c r="S22"/>
  <c r="F298"/>
  <c r="S313"/>
  <c r="FX160"/>
  <c r="EO223"/>
  <c r="EH22"/>
  <c r="EH313"/>
  <c r="P292"/>
  <c r="G16" i="2" s="1"/>
  <c r="G18" s="1"/>
  <c r="DP160" i="1"/>
  <c r="DP253"/>
  <c r="P249"/>
  <c r="DG160"/>
  <c r="P225"/>
  <c r="DG253"/>
  <c r="AX18"/>
  <c r="F320"/>
  <c r="EM18"/>
  <c r="P332"/>
  <c r="DI153"/>
  <c r="P265"/>
  <c r="DX75"/>
  <c r="DK121"/>
  <c r="V153"/>
  <c r="F276"/>
  <c r="W153"/>
  <c r="F277"/>
  <c r="FS160"/>
  <c r="EJ223"/>
  <c r="R160"/>
  <c r="R253"/>
  <c r="F237"/>
  <c r="DO75"/>
  <c r="P145"/>
  <c r="X26"/>
  <c r="F69"/>
  <c r="X283"/>
  <c r="EP18"/>
  <c r="P320"/>
  <c r="P283"/>
  <c r="DG283" l="1"/>
  <c r="DG22" s="1"/>
  <c r="O22"/>
  <c r="O313"/>
  <c r="F285"/>
  <c r="AV22"/>
  <c r="F288"/>
  <c r="AV313"/>
  <c r="DG313"/>
  <c r="P285"/>
  <c r="DK75"/>
  <c r="P136"/>
  <c r="DK283"/>
  <c r="EQ26"/>
  <c r="P51"/>
  <c r="EH18"/>
  <c r="P322"/>
  <c r="J16" i="7" s="1"/>
  <c r="S18" i="1"/>
  <c r="F328"/>
  <c r="EK26"/>
  <c r="P60"/>
  <c r="EO160"/>
  <c r="EO253"/>
  <c r="P229"/>
  <c r="DL22"/>
  <c r="P304"/>
  <c r="DL313"/>
  <c r="Y22"/>
  <c r="F310"/>
  <c r="Y313"/>
  <c r="FZ75"/>
  <c r="EQ121"/>
  <c r="DQ22"/>
  <c r="DQ313"/>
  <c r="P310"/>
  <c r="DQ153"/>
  <c r="P280"/>
  <c r="EO26"/>
  <c r="P49"/>
  <c r="DJ75"/>
  <c r="P135"/>
  <c r="DJ283"/>
  <c r="DQ75"/>
  <c r="P148"/>
  <c r="DO18"/>
  <c r="P337"/>
  <c r="BA18"/>
  <c r="F333"/>
  <c r="O153"/>
  <c r="F255"/>
  <c r="DG75"/>
  <c r="P123"/>
  <c r="DM22"/>
  <c r="P305"/>
  <c r="DM313"/>
  <c r="DH75"/>
  <c r="P124"/>
  <c r="FT75"/>
  <c r="EK121"/>
  <c r="DH153"/>
  <c r="P256"/>
  <c r="DP75"/>
  <c r="P147"/>
  <c r="Y153"/>
  <c r="F280"/>
  <c r="AY22"/>
  <c r="F291"/>
  <c r="AY313"/>
  <c r="DN18"/>
  <c r="P336"/>
  <c r="Q18"/>
  <c r="F325"/>
  <c r="DP283"/>
  <c r="R153"/>
  <c r="F267"/>
  <c r="DG153"/>
  <c r="P255"/>
  <c r="P22"/>
  <c r="F286"/>
  <c r="P313"/>
  <c r="AW153"/>
  <c r="F259"/>
  <c r="P48"/>
  <c r="EN26"/>
  <c r="FW75"/>
  <c r="EN121"/>
  <c r="FS75"/>
  <c r="EJ121"/>
  <c r="ER22"/>
  <c r="ER313"/>
  <c r="P294"/>
  <c r="CB26"/>
  <c r="AS43"/>
  <c r="X153"/>
  <c r="F279"/>
  <c r="AY153"/>
  <c r="F261"/>
  <c r="DJ153"/>
  <c r="P267"/>
  <c r="EN160"/>
  <c r="EN253"/>
  <c r="P228"/>
  <c r="AR160"/>
  <c r="F251"/>
  <c r="AR253"/>
  <c r="V18"/>
  <c r="F336"/>
  <c r="AW283"/>
  <c r="DH283"/>
  <c r="DP153"/>
  <c r="P279"/>
  <c r="EL160"/>
  <c r="P241"/>
  <c r="EL253"/>
  <c r="X22"/>
  <c r="F309"/>
  <c r="X313"/>
  <c r="EJ160"/>
  <c r="EJ253"/>
  <c r="P251"/>
  <c r="AV153"/>
  <c r="F258"/>
  <c r="ES22"/>
  <c r="ES313"/>
  <c r="P303"/>
  <c r="H16" i="2" s="1"/>
  <c r="H18" s="1"/>
  <c r="FX75" i="1"/>
  <c r="EO121"/>
  <c r="EO283" s="1"/>
  <c r="W18"/>
  <c r="F337"/>
  <c r="EJ26"/>
  <c r="P71"/>
  <c r="AT160"/>
  <c r="AT253"/>
  <c r="F241"/>
  <c r="CA26"/>
  <c r="AR43"/>
  <c r="T18"/>
  <c r="F334"/>
  <c r="DI18"/>
  <c r="P325"/>
  <c r="EQ160"/>
  <c r="P231"/>
  <c r="EQ253"/>
  <c r="U18"/>
  <c r="F335"/>
  <c r="R283"/>
  <c r="EO22" l="1"/>
  <c r="P289"/>
  <c r="EO313"/>
  <c r="X18"/>
  <c r="F339"/>
  <c r="DH22"/>
  <c r="P286"/>
  <c r="DH313"/>
  <c r="AR153"/>
  <c r="F281"/>
  <c r="EN153"/>
  <c r="P258"/>
  <c r="AS26"/>
  <c r="F60"/>
  <c r="AS283"/>
  <c r="EK75"/>
  <c r="P138"/>
  <c r="DM18"/>
  <c r="P335"/>
  <c r="EQ75"/>
  <c r="P129"/>
  <c r="EL153"/>
  <c r="P271"/>
  <c r="EL283"/>
  <c r="ER18"/>
  <c r="P324"/>
  <c r="EN75"/>
  <c r="P126"/>
  <c r="AY18"/>
  <c r="F321"/>
  <c r="AV18"/>
  <c r="F318"/>
  <c r="O18"/>
  <c r="F315"/>
  <c r="EK283"/>
  <c r="R22"/>
  <c r="R313"/>
  <c r="F297"/>
  <c r="Y16" i="2" s="1"/>
  <c r="Y18" s="1"/>
  <c r="EO75" i="1"/>
  <c r="P127"/>
  <c r="EJ153"/>
  <c r="P281"/>
  <c r="P18"/>
  <c r="F316"/>
  <c r="DQ18"/>
  <c r="P340"/>
  <c r="Y18"/>
  <c r="F340"/>
  <c r="EQ283"/>
  <c r="AR26"/>
  <c r="F71"/>
  <c r="AR283"/>
  <c r="AT153"/>
  <c r="F271"/>
  <c r="AT283"/>
  <c r="EQ153"/>
  <c r="P261"/>
  <c r="ES18"/>
  <c r="P333"/>
  <c r="J17" i="7" s="1"/>
  <c r="AW22" i="1"/>
  <c r="AW313"/>
  <c r="F289"/>
  <c r="EJ75"/>
  <c r="P149"/>
  <c r="DP22"/>
  <c r="P309"/>
  <c r="DP313"/>
  <c r="DJ22"/>
  <c r="P297"/>
  <c r="DJ313"/>
  <c r="DL18"/>
  <c r="P334"/>
  <c r="EO153"/>
  <c r="P259"/>
  <c r="DK22"/>
  <c r="DK313"/>
  <c r="P298"/>
  <c r="J16" i="2" s="1"/>
  <c r="J18" s="1"/>
  <c r="DG18" i="1"/>
  <c r="P315"/>
  <c r="EJ283"/>
  <c r="EN283"/>
  <c r="AW18" l="1"/>
  <c r="F319"/>
  <c r="EQ22"/>
  <c r="P291"/>
  <c r="EQ313"/>
  <c r="R18"/>
  <c r="F327"/>
  <c r="DJ18"/>
  <c r="P327"/>
  <c r="DP18"/>
  <c r="P339"/>
  <c r="AT22"/>
  <c r="AT313"/>
  <c r="F301"/>
  <c r="EK22"/>
  <c r="EK313"/>
  <c r="P300"/>
  <c r="E16" i="2" s="1"/>
  <c r="AS22" i="1"/>
  <c r="F300"/>
  <c r="T16" i="2" s="1"/>
  <c r="AS313" i="1"/>
  <c r="EO18"/>
  <c r="P319"/>
  <c r="EN22"/>
  <c r="P288"/>
  <c r="EN313"/>
  <c r="EJ22"/>
  <c r="P311"/>
  <c r="EJ313"/>
  <c r="DK18"/>
  <c r="P328"/>
  <c r="J18" i="7" s="1"/>
  <c r="AR22" i="1"/>
  <c r="AR313"/>
  <c r="F311"/>
  <c r="EL22"/>
  <c r="EL313"/>
  <c r="P301"/>
  <c r="DH18"/>
  <c r="P316"/>
  <c r="E18" i="2" l="1"/>
  <c r="AT18" i="1"/>
  <c r="F331"/>
  <c r="EQ18"/>
  <c r="P321"/>
  <c r="F343"/>
  <c r="U16" i="2"/>
  <c r="U18" s="1"/>
  <c r="EL18" i="1"/>
  <c r="P331"/>
  <c r="J15" i="7" s="1"/>
  <c r="T18" i="2"/>
  <c r="EN18" i="1"/>
  <c r="P318"/>
  <c r="P343"/>
  <c r="F16" i="2"/>
  <c r="F18" s="1"/>
  <c r="AR18" i="1"/>
  <c r="F341"/>
  <c r="F342" s="1"/>
  <c r="EJ18"/>
  <c r="P341"/>
  <c r="AS18"/>
  <c r="F330"/>
  <c r="EK18"/>
  <c r="P330"/>
  <c r="J14" i="7" s="1"/>
  <c r="X16" i="2" l="1"/>
  <c r="X18" s="1"/>
  <c r="J13" i="7"/>
  <c r="I16" i="2"/>
  <c r="I18" s="1"/>
  <c r="P342" i="1"/>
</calcChain>
</file>

<file path=xl/sharedStrings.xml><?xml version="1.0" encoding="utf-8"?>
<sst xmlns="http://schemas.openxmlformats.org/spreadsheetml/2006/main" count="10222" uniqueCount="568">
  <si>
    <t>Smeta.RU  (495) 974-1589</t>
  </si>
  <si>
    <t>_PS_</t>
  </si>
  <si>
    <t>Smeta.RU</t>
  </si>
  <si>
    <t>АО "СПКБРР"  Доп. раб. место  MCCS-0021997</t>
  </si>
  <si>
    <t/>
  </si>
  <si>
    <t>02-01-01  2  КЛ 10 кВ _24.04.25.</t>
  </si>
  <si>
    <t>Сметные нормы списания</t>
  </si>
  <si>
    <t>Коды ОКП для ТСН-2001 МГЭ Дополнение 75</t>
  </si>
  <si>
    <t>ТСН-2001 (МГЭ) Доп 75 - Новое строительство</t>
  </si>
  <si>
    <t>Типовой расчет для ТСН-2001 МГЭ, Новая методика с выпуска доп. 43 (Строительство), Доп 75</t>
  </si>
  <si>
    <t>Территориальные сметные нормативы для Москвы ТСН-2001 (МГЭ), дополнение 75</t>
  </si>
  <si>
    <t>Поправки для ТСН-2001 от 25.12.2024 г. доп.75</t>
  </si>
  <si>
    <t>Территориальные сметные нормативы для Москвы (ТСН-2001)</t>
  </si>
  <si>
    <t>ТЕР</t>
  </si>
  <si>
    <t>02-002-03</t>
  </si>
  <si>
    <t>Кабельная линия 10 кВ.</t>
  </si>
  <si>
    <t>ДУ.ЭТ-2025-02-04-КЛ10.ЭС</t>
  </si>
  <si>
    <t>Новый раздел</t>
  </si>
  <si>
    <t>Земляные работы</t>
  </si>
  <si>
    <t>1</t>
  </si>
  <si>
    <t>3.1-7-2</t>
  </si>
  <si>
    <t>Разработка грунта с погрузкой на автомобили-самосвалы экскаваторами с ковшом вместимостью 0,25 м3 группа грунтов 1-3</t>
  </si>
  <si>
    <t>100 м3 грунта</t>
  </si>
  <si>
    <t>ТСН-2001.3 Доп. 70, Сб. 1, т. 7, поз. 2</t>
  </si>
  <si>
    <t>Строительные работы</t>
  </si>
  <si>
    <t>ТСН-2001.3-1. 1-1...1-7</t>
  </si>
  <si>
    <t>ТСН-2001.3-1-1</t>
  </si>
  <si>
    <t>2</t>
  </si>
  <si>
    <t>3.1-3-2</t>
  </si>
  <si>
    <t>Разработка грунта в отвал экскаваторами с ковшом вместимостью 0,25 м3 группа грунтов 1-3</t>
  </si>
  <si>
    <t>ТСН-2001.3 Доп. 68, Сб. 1, т. 3, поз. 2</t>
  </si>
  <si>
    <t>)*1,2</t>
  </si>
  <si>
    <t>Поправка: ТСН-2001.3-1. р3. тб3. п.3. 4</t>
  </si>
  <si>
    <t>3</t>
  </si>
  <si>
    <t>3.1-51-1</t>
  </si>
  <si>
    <t>Разработка грунта вручную в траншеях глубиной до 2 м без креплений с откосами группа грунтов 1-3</t>
  </si>
  <si>
    <t>ТСН-2001.3. Доп. 1-42. Сб. 1, т. 51, поз. 1</t>
  </si>
  <si>
    <t>ТСН-2001.3-1. 1-49...1-55</t>
  </si>
  <si>
    <t>ТСН-2001.3-1-15</t>
  </si>
  <si>
    <t>4</t>
  </si>
  <si>
    <t>3.1-15-1</t>
  </si>
  <si>
    <t>Засыпка траншей и котлованов бульдозерами мощностью 92 (130) кВт (л.с.) при перемещении грунта до 5 м группа грунтов 1-3</t>
  </si>
  <si>
    <t>ТСН-2001.3 Доп. 68, Сб. 1, т. 15, поз. 1</t>
  </si>
  <si>
    <t>ТСН-2001.3-1. 1-11...1-17</t>
  </si>
  <si>
    <t>ТСН-2001.3-1-4</t>
  </si>
  <si>
    <t>5</t>
  </si>
  <si>
    <t>3.1-53-1</t>
  </si>
  <si>
    <t>Засыпка вручную траншей, пазух котлованов и ям группа грунтов 1-3</t>
  </si>
  <si>
    <t>ТСН-2001.3. Доп. 1-42. Сб. 1, т. 53, поз. 1</t>
  </si>
  <si>
    <t>6</t>
  </si>
  <si>
    <t>1.1-1-766</t>
  </si>
  <si>
    <t>Песок для строительных работ, рядовой (карьерный)</t>
  </si>
  <si>
    <t>м3</t>
  </si>
  <si>
    <t>ТСН-2001.1 Доп. 69, Р. 1, о. 1, поз. 766</t>
  </si>
  <si>
    <t>Материалы строительные</t>
  </si>
  <si>
    <t>ТСН-2001.1 Материалы строительные</t>
  </si>
  <si>
    <t>ТСН-2001.1-1</t>
  </si>
  <si>
    <t>7</t>
  </si>
  <si>
    <t>3.1-29-1</t>
  </si>
  <si>
    <t>Уплотнение грунта пневматическими трамбовками группа грунтов 1,2</t>
  </si>
  <si>
    <t>100 м3 уплотненного грунта</t>
  </si>
  <si>
    <t>ТСН-2001.3 Доп. 69, Сб. 1, т. 29, поз. 1</t>
  </si>
  <si>
    <t>ТСН-2001.3-1. 1-29...1-33</t>
  </si>
  <si>
    <t>ТСН-2001.3-1-9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</si>
  <si>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</si>
  <si>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</si>
  <si>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</si>
  <si>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</si>
  <si>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</si>
  <si>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</si>
  <si>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</si>
  <si>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</si>
  <si>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</si>
  <si>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</si>
  <si>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</si>
  <si>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</si>
  <si>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</si>
  <si>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</si>
  <si>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</si>
  <si>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</si>
  <si>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</si>
  <si>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</si>
  <si>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</si>
  <si>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</si>
  <si>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</si>
  <si>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</si>
  <si>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</si>
  <si>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</si>
  <si>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</si>
  <si>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</si>
  <si>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</si>
  <si>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</si>
  <si>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</si>
  <si>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</si>
  <si>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</si>
  <si>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</si>
  <si>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</si>
  <si>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</si>
  <si>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</si>
  <si>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</si>
  <si>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</si>
  <si>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</si>
  <si>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</si>
  <si>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</si>
  <si>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</si>
  <si>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</si>
  <si>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</si>
  <si>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</si>
  <si>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</si>
  <si>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</si>
  <si>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</si>
  <si>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</si>
  <si>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</si>
  <si>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</si>
  <si>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</si>
  <si>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</si>
  <si>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</si>
  <si>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</si>
  <si>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от РТП 27044 до ТП 27616</t>
  </si>
  <si>
    <t>8</t>
  </si>
  <si>
    <t>6.69-2-4</t>
  </si>
  <si>
    <t>Пробивка отбойным молотком сквозных отверстий в бетонных стенах и фундаментах толщиной 0,4 м для трубопроводов диаметром 200 мм</t>
  </si>
  <si>
    <t>100 отверстий</t>
  </si>
  <si>
    <t>ТСН-2001.6 Доп. 68, Сб. 69, т. 2, поз. 4</t>
  </si>
  <si>
    <t>Ремонтно-строительные работы</t>
  </si>
  <si>
    <t>ТСН-2001.6-69. 69-1...69-49</t>
  </si>
  <si>
    <t>ТСН-2001.6-69-1</t>
  </si>
  <si>
    <t>3.34-17-1</t>
  </si>
  <si>
    <t>Устройство трубопроводов из асбестоцементных труб с соединением манжетами стальными до 2-х отверстий</t>
  </si>
  <si>
    <t>1 канало-километр трубопровода</t>
  </si>
  <si>
    <t>ТСН-2001.3 Доп. 74, Сб. 34, т. 17, поз. 1</t>
  </si>
  <si>
    <t>ТСН-2001.3-34. 34-17...34-28</t>
  </si>
  <si>
    <t>ТСН-2001.3-34-6</t>
  </si>
  <si>
    <t>1.12-3-25</t>
  </si>
  <si>
    <t>Трубы хризотилцементные безнапорные, марка БНТ, диаметр условного прохода 100 мм, внутренний диаметр 100 мм</t>
  </si>
  <si>
    <t>м</t>
  </si>
  <si>
    <t>ТСН-2001.1 Доп. 70, Р. 12, о. 3, поз. 25</t>
  </si>
  <si>
    <t>1.12-3-26</t>
  </si>
  <si>
    <t>Трубы хризотилцементные безнапорные, марка БНТ, диаметр условного прохода 150 мм, внутренний диаметр 141 мм</t>
  </si>
  <si>
    <t>ТСН-2001.1 Доп. 70, Р. 12, о. 3, поз. 26</t>
  </si>
  <si>
    <t>9</t>
  </si>
  <si>
    <t>3.34-17-2</t>
  </si>
  <si>
    <t>Устройство трубопроводов из асбестоцементных труб с соединением манжетами стальными более 2-х отверстий</t>
  </si>
  <si>
    <t>ТСН-2001.3 Доп. 74, Сб. 34, т. 17, поз. 2</t>
  </si>
  <si>
    <t>9,1</t>
  </si>
  <si>
    <t>9,2</t>
  </si>
  <si>
    <t>10</t>
  </si>
  <si>
    <t>6.69-9-3</t>
  </si>
  <si>
    <t>Заделка отверстий в бетонных перекрытиях в местах прохода трубопроводов</t>
  </si>
  <si>
    <t>ТСН-2001.6. Доп. 1-42. Сб. 69, т. 9, поз. 3</t>
  </si>
  <si>
    <t>10,1</t>
  </si>
  <si>
    <t>1.3-1-34</t>
  </si>
  <si>
    <t>Смесь бетонная тяжелого бетона БСТ на гранитном щебне, крупность заполнителя от 5 до 20 мм, класс прочности В3,5 (М50)</t>
  </si>
  <si>
    <t>ТСН-2001.1 Доп. 67, Р. 3, о. 1, поз. 34</t>
  </si>
  <si>
    <t>11</t>
  </si>
  <si>
    <t>3.8-2-5</t>
  </si>
  <si>
    <t>Гидроизоляция стен, фундаментов боковая оклеечная по выравненной поверхности бутовой кладки, кирпичу и бетону в 2 слоя</t>
  </si>
  <si>
    <t>100 м2 изолируемой поверхности</t>
  </si>
  <si>
    <t>ТСН-2001.3 Доп. 71, Сб. 8, т. 2, поз. 5</t>
  </si>
  <si>
    <t>ТСН-2001.3-8. 8-2-2,3,5...7</t>
  </si>
  <si>
    <t>ТСН-2001.3-8-2</t>
  </si>
  <si>
    <t>11,1</t>
  </si>
  <si>
    <t>1.1-1-294</t>
  </si>
  <si>
    <t>Материал рулонный, кровельный, гидроизоляционный, битумно-полимерный, типа ЭКП 5,0, гибкость до -15°С, разрывная сила в продольном/поперечном направлении не менее 600/600 Н, для устройства верхнего слоя кровельного ковра</t>
  </si>
  <si>
    <t>м2</t>
  </si>
  <si>
    <t>ТСН-2001.1 Доп. 70, Р. 1, о. 1, поз. 294</t>
  </si>
  <si>
    <t>11,2</t>
  </si>
  <si>
    <t>1.1-1-613</t>
  </si>
  <si>
    <t>т</t>
  </si>
  <si>
    <t>ТСН-2001.1 Доп. 70, Р. 1, о. 1, поз. 613</t>
  </si>
  <si>
    <t>12</t>
  </si>
  <si>
    <t>3.34-55-5</t>
  </si>
  <si>
    <t>Устройство кабельной канализации из полиэтиленовых труб диаметром 160 мм, первая труба</t>
  </si>
  <si>
    <t>1 км трубопровода</t>
  </si>
  <si>
    <t>ТСН-2001.3 Доп. 68, Сб. 34, т. 55, поз. 5</t>
  </si>
  <si>
    <t>ТСН-2001.3-34. 34-55-1...34-55-10 (доп. 68)</t>
  </si>
  <si>
    <t>ТСН-2001.3-34-20</t>
  </si>
  <si>
    <t>12,1</t>
  </si>
  <si>
    <t>1.12-5-1011</t>
  </si>
  <si>
    <t>ТСН-2001.1 Доп. 67, Р. 12, о. 5, поз. 1011</t>
  </si>
  <si>
    <t>13</t>
  </si>
  <si>
    <t>3.34-55-6</t>
  </si>
  <si>
    <t>Добавлять на каждую последующую трубу к позиции 3.34-55-5</t>
  </si>
  <si>
    <t>ТСН-2001.3 Доп. 68, Сб. 34, т. 55, поз. 6</t>
  </si>
  <si>
    <t>13,1</t>
  </si>
  <si>
    <t>14</t>
  </si>
  <si>
    <t>1.12-5-723</t>
  </si>
  <si>
    <t>Заглушка (пробка) из полиэтилена, диаметр до 200 мм</t>
  </si>
  <si>
    <t>шт.</t>
  </si>
  <si>
    <t>ТСН-2001.1 Доп. 67, Р. 12, о. 5, поз. 723</t>
  </si>
  <si>
    <t>15</t>
  </si>
  <si>
    <t>3.22-73-2</t>
  </si>
  <si>
    <t>Сварка полиэтиленовых труб номинальным наружным диаметром 140 мм - 160 мм</t>
  </si>
  <si>
    <t>1 стык</t>
  </si>
  <si>
    <t>ТСН-2001.3 Доп. 68, Сб. 22, т. 73, поз. 2</t>
  </si>
  <si>
    <t>ТСН-2001.3-22. 22-73-1...22-73-16 (доп. 60)</t>
  </si>
  <si>
    <t>ТСН-2001.3-22-9</t>
  </si>
  <si>
    <t>16</t>
  </si>
  <si>
    <t>3.13-30-1</t>
  </si>
  <si>
    <t>Огнезащитное покрытие терморасширяющимися составами электрических кабелей с применением окрасочного безвоздушного агрегата</t>
  </si>
  <si>
    <t>100 м2 покрытия</t>
  </si>
  <si>
    <t>ТСН-2001.3 Доп. 71, Сб. 13, т. 30, поз. 1</t>
  </si>
  <si>
    <t>ТСН-2001.3-13. 13-17-6, 13-17-7, 13-18...13-38</t>
  </si>
  <si>
    <t>ТСН-2001.3-13-3</t>
  </si>
  <si>
    <t>16,1</t>
  </si>
  <si>
    <t>1.1-1-1971</t>
  </si>
  <si>
    <t>ТСН-2001.1 Доп. 66, Р. 1, о. 1, поз. 1971</t>
  </si>
  <si>
    <t>Монтажные работы</t>
  </si>
  <si>
    <t>кабель</t>
  </si>
  <si>
    <t>км</t>
  </si>
  <si>
    <t>Материалы</t>
  </si>
  <si>
    <t>Материалы, изделия и конструкции</t>
  </si>
  <si>
    <t>Новый подраздел</t>
  </si>
  <si>
    <t>в ГНБ</t>
  </si>
  <si>
    <t>17</t>
  </si>
  <si>
    <t>4.8-309-1</t>
  </si>
  <si>
    <t>Кабели одножильные с изоляцией из сшитого полиэтилена напряжением до 35 кВ с укладкой в треугольник по установленным конструкциям (прим. Рекомендовано МГЭ)</t>
  </si>
  <si>
    <t>100 м</t>
  </si>
  <si>
    <t>ТСН-2001.4 Доп. 69, Сб. 8, т. 309, поз. 1</t>
  </si>
  <si>
    <t>Монтаж оборудования</t>
  </si>
  <si>
    <t>ТСН-2001.4-8. 8-301…8-309 (доп. 30)</t>
  </si>
  <si>
    <t>ТСН-2001.4-8-34</t>
  </si>
  <si>
    <t>18</t>
  </si>
  <si>
    <t>1.23-7-397</t>
  </si>
  <si>
    <t>Кабель силовой с алюминиевой многопроволочной жилой, с изоляцией из сшитого полиэтилена, с медным экраном, с водоблокирующей лентой под металлическим экраном, марка АПвПуг, напряжение 10000 В, число жил, сечение жилы, экран 1х240/50 мм2</t>
  </si>
  <si>
    <t>ТСН-2001.1 Доп. 73, Р. 23, о. 7, поз. 397</t>
  </si>
  <si>
    <t>Материалы монтажные</t>
  </si>
  <si>
    <t>ТСН-2001.1 Материалы монтажные</t>
  </si>
  <si>
    <t>ТСН-2001.1-2</t>
  </si>
  <si>
    <t>19</t>
  </si>
  <si>
    <t>4.8-301-1</t>
  </si>
  <si>
    <t>Монтаж уплотнителя кабельного прохода термоусаживаемого</t>
  </si>
  <si>
    <t>100 компл.</t>
  </si>
  <si>
    <t>ТСН-2001.4 Доп. 68, Сб. 8, т. 301, поз. 1</t>
  </si>
  <si>
    <t>20</t>
  </si>
  <si>
    <t>1.21-5-1069</t>
  </si>
  <si>
    <t>Уплотнитель кабельных проходов, типа УКПТ</t>
  </si>
  <si>
    <t>КОМПЛЕКТ</t>
  </si>
  <si>
    <t>ТСН-2001.1 Доп. 73, Р. 21, о. 5, поз. 1069</t>
  </si>
  <si>
    <t>в трубе</t>
  </si>
  <si>
    <t>21</t>
  </si>
  <si>
    <t>22</t>
  </si>
  <si>
    <t>23</t>
  </si>
  <si>
    <t>24</t>
  </si>
  <si>
    <t>в земле</t>
  </si>
  <si>
    <t>25</t>
  </si>
  <si>
    <t>4.8-74-1</t>
  </si>
  <si>
    <t>Устройство постели при одном кабеле в траншее</t>
  </si>
  <si>
    <t>100 М КАБЕЛЯ</t>
  </si>
  <si>
    <t>ТСН-2001.4 Доп. 68, Сб. 8, т. 74, поз. 1</t>
  </si>
  <si>
    <t>ТСН-2001.4-8. 8-73...8-80</t>
  </si>
  <si>
    <t>ТСН-2001.4-8-3</t>
  </si>
  <si>
    <t>26</t>
  </si>
  <si>
    <t>4.8-74-2</t>
  </si>
  <si>
    <t>Добавлять на каждый последующий кабель при устройстве постели (к норме и расценке 4.8-74-1)</t>
  </si>
  <si>
    <t>ТСН-2001.4 Доп. 68, Сб. 8, т. 74, поз. 2</t>
  </si>
  <si>
    <t>27</t>
  </si>
  <si>
    <t>28</t>
  </si>
  <si>
    <t>4.8-308-1</t>
  </si>
  <si>
    <t>Прокладка одножильного кабеля с изоляцией из сшитого полиэтилена напряжением до 35 кВ с укладкой в треугольник в готовых траншеях</t>
  </si>
  <si>
    <t>ТСН-2001.4 Доп. 69, Сб. 8, т. 308, поз. 1</t>
  </si>
  <si>
    <t>29</t>
  </si>
  <si>
    <t>30</t>
  </si>
  <si>
    <t>4.8-304-2</t>
  </si>
  <si>
    <t>Муфты соединительные для одножильного экранированного кабеля с изоляцией из сшитого полиэтилена, напряжением до 35 кВ, сечением одной жилы более 400 мм2 до 500 мм2</t>
  </si>
  <si>
    <t>1 комплект</t>
  </si>
  <si>
    <t>ТСН-2001.4 Доп. 70, Сб. 8, т. 304, поз. 2</t>
  </si>
  <si>
    <t>31</t>
  </si>
  <si>
    <t>1.21-5-1165</t>
  </si>
  <si>
    <t>Муфта соединительная и ремонтная для экранированных одножильных кабелей с пластмассовой изоляцией, напряжение 20 кВ, с болтовыми соединителями, типа POLJ 24/1х120-240</t>
  </si>
  <si>
    <t>ТСН-2001.1 Доп. 67, Р. 21, о. 5, поз. 1165</t>
  </si>
  <si>
    <t>32</t>
  </si>
  <si>
    <t>4.8-75-5</t>
  </si>
  <si>
    <t>Покрытие кабеля, проложенного в траншее, плитами из полимернаполненных материалов в один ряд размером 48х24 см, расположенными вдоль кабельной линии</t>
  </si>
  <si>
    <t>ТСН-2001.4 Доп. 68, Сб. 8, т. 75, поз. 5</t>
  </si>
  <si>
    <t>ТСН-2001.4-8. 8-75-5…8-75-11 (доп. 19)</t>
  </si>
  <si>
    <t>ТСН-2001.4-8-26</t>
  </si>
  <si>
    <t>33</t>
  </si>
  <si>
    <t>4.8-75-9</t>
  </si>
  <si>
    <t>Добавлять на каждый последующий ряд покрытия кабеля, проложенного в траншее, при покрытии плитами размером 48х24 см из полимернаполненных материалов, расположенными вдоль кабельной линии (к норме и расценке 4.8-75-5)</t>
  </si>
  <si>
    <t>ТСН-2001.4 Доп. 68, Сб. 8, т. 75, поз. 9</t>
  </si>
  <si>
    <t>4.8-75-1</t>
  </si>
  <si>
    <t>Покрытие кабелей, проложенных в траншее, кирпичом, одного кабеля (Прим. Огнезащит.перегородка )</t>
  </si>
  <si>
    <t>ТСН-2001.4 Доп. 68, Сб. 8, т. 75, поз. 1</t>
  </si>
  <si>
    <t>1.1-1-353</t>
  </si>
  <si>
    <t>Кирпич керамический рядовой, полнотелый, размер 250х120х65 мм, марка 150</t>
  </si>
  <si>
    <t>1000 шт.</t>
  </si>
  <si>
    <t>ТСН-2001.1 Доп. 70, Р. 1, о. 1, поз. 353</t>
  </si>
  <si>
    <t>в здании  РТП 27044  и ТП 27616</t>
  </si>
  <si>
    <t>34</t>
  </si>
  <si>
    <t>Кабели одножильные с изоляцией из сшитого полиэтилена напряжением до 35 кВ с укладкой в треугольник по установленным конструкциям</t>
  </si>
  <si>
    <t>35</t>
  </si>
  <si>
    <t>36</t>
  </si>
  <si>
    <t>4.8-305-4</t>
  </si>
  <si>
    <t>Монтаж концевой муфты термоусаживаемой для одножильного кабеля с изоляцией из сшитого полиэтилена, напряжением до 10 кВ, сечением жилы до 240 мм2</t>
  </si>
  <si>
    <t>ТСН-2001.4 Доп. 68, Сб. 8, т. 305, поз. 4</t>
  </si>
  <si>
    <t>ТСН-2001.4-8. 8-305-3, 8-305-4, 8-318-1, 8-319-1 (доп. 56)</t>
  </si>
  <si>
    <t>ТСН-2001.4-8-43</t>
  </si>
  <si>
    <t>37</t>
  </si>
  <si>
    <t>1.21-5-597</t>
  </si>
  <si>
    <t>Муфта концевая, наружной установки, для кабеля с пластмассовой изоляцией, экранированного, 1-жильного, номинальное напряжение 10 кВ, с наконечником под болт М12, длина/диаметр муфты 300/95 мм, сечение жилы от 120 до 240 мм2 (прим.  ПКВтО )</t>
  </si>
  <si>
    <t>ТСН-2001.1 Доп. 54, Р. 21, о. 5, поз. 597</t>
  </si>
  <si>
    <t>прайс</t>
  </si>
  <si>
    <t>Муфта концевая ПКВтО 10-70/120</t>
  </si>
  <si>
    <t>компл.</t>
  </si>
  <si>
    <t>Прокладка одножильного кабеля с изоляцией из сшитого полиэтилена напряжением до 35 кВ с укладкой в треугольник по установленным конструкциям</t>
  </si>
  <si>
    <t>4.8-307-1</t>
  </si>
  <si>
    <t>Монтаж системы экранированного адаптера для кабельного ввода напряжением до 35 кВ</t>
  </si>
  <si>
    <t>100 жил</t>
  </si>
  <si>
    <t>ТСН-2001.4 Доп. 68, Сб. 8, т. 307, поз. 1</t>
  </si>
  <si>
    <t>1.1-1-3555</t>
  </si>
  <si>
    <t>Смазка универсальная, силиконовая, водостойкая, диапазон температур применения от -50 до +230°С, тюбик 30 г</t>
  </si>
  <si>
    <t>ТСН-2001.1 Доп. 68, Р. 1, о. 1, поз. 3555</t>
  </si>
  <si>
    <t>1.21-5-1222</t>
  </si>
  <si>
    <t>Адаптер изоляционный T-образный экранированный, для присоединения одножильных кабелей с пластмассовой изоляцией к ячейкам РУ с газовой изоляцией с проходными изоляторами типа С, номинальное напряжение 10 кВ и 20 кВ, сечение жилы от 95 до 240 мм2</t>
  </si>
  <si>
    <t>ТСН-2001.1 Доп. 55, Р. 21, о. 5, поз. 1222</t>
  </si>
  <si>
    <t>в т.ч.</t>
  </si>
  <si>
    <t>Мон</t>
  </si>
  <si>
    <t>ПНР и Пр</t>
  </si>
  <si>
    <t>Прочие работы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</si>
  <si>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</si>
  <si>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</si>
  <si>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</si>
  <si>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</si>
  <si>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Текущий уровень цен</t>
  </si>
  <si>
    <t>Сборник индексов</t>
  </si>
  <si>
    <t>Коэффициенты к ТСН-2001 МГЭ, строительство доп 75</t>
  </si>
  <si>
    <t>214</t>
  </si>
  <si>
    <t>Коэффициенты к ТСН-2001.13-2 доп 75</t>
  </si>
  <si>
    <t>60</t>
  </si>
  <si>
    <t>Базовый уровень цен</t>
  </si>
  <si>
    <t>_OBSM_</t>
  </si>
  <si>
    <t>9999990008</t>
  </si>
  <si>
    <t>Трудозатраты рабочих</t>
  </si>
  <si>
    <t>чел.-ч.</t>
  </si>
  <si>
    <t>2.1-10-4</t>
  </si>
  <si>
    <t>ТСН-2001.2. Доп. 68. п.1-10-4 (101001)</t>
  </si>
  <si>
    <t>Компрессоры передвижные с двигателем внутреннего сгорания, давление до 7 ат, производительность до 2,5 м3/мин</t>
  </si>
  <si>
    <t>маш.-ч</t>
  </si>
  <si>
    <t>2.1-30-54</t>
  </si>
  <si>
    <t>ТСН-2001.2. Доп. 68. п.1-30-54 (308901)</t>
  </si>
  <si>
    <t>Молотки отбойные пневматические</t>
  </si>
  <si>
    <t>1.1-1-80</t>
  </si>
  <si>
    <t>ТСН-2001.1 Доп. 67, Р. 1, о. 1, поз. 80</t>
  </si>
  <si>
    <t>Пиломатериал (брусок) обрезной хвойных пород естественной влажности, сорт III, толщина 75 мм, ширина 75 мм</t>
  </si>
  <si>
    <t>1.12-3-60</t>
  </si>
  <si>
    <t>ТСН-2001.1 Доп. 73, Р. 12, о. 3, поз. 60</t>
  </si>
  <si>
    <t>Манжеты стальные для соединения хризотилцементных труб, диаметр 120 мм</t>
  </si>
  <si>
    <t>10 шт.</t>
  </si>
  <si>
    <t>1.3-2-3</t>
  </si>
  <si>
    <t>ТСН-2001.1 Доп. 67, Р. 3, о. 2, поз. 3</t>
  </si>
  <si>
    <t>Раствор цементный, марка М50</t>
  </si>
  <si>
    <t>1.1-1-132</t>
  </si>
  <si>
    <t>ТСН-2001.1. Доп. 1-42. Р. 1, о. 1, поз. 132</t>
  </si>
  <si>
    <t>Гвозди строительные</t>
  </si>
  <si>
    <t>1.1-1-221</t>
  </si>
  <si>
    <t>ТСН-2001.1 Доп. 67, Р. 1, о. 1, поз. 221</t>
  </si>
  <si>
    <t>Пиломатериал (доска) обрезной хвойных пород естественной влажности, сорт II, толщина 25 мм, ширина от 100 до 200 мм</t>
  </si>
  <si>
    <t>1.1-1-77</t>
  </si>
  <si>
    <t>ТСН-2001.1 Доп. 67, Р. 1, о. 1, поз. 77</t>
  </si>
  <si>
    <t>Пиломатериал (брусок) обрезной хвойных пород естественной влажности, сорт II, толщина 50 мм, ширина 50 мм</t>
  </si>
  <si>
    <t>1.1-1-955</t>
  </si>
  <si>
    <t>ТСН-2001.1. Доп. 1-42. Р. 1, о. 1, поз. 955</t>
  </si>
  <si>
    <t>Проволока стальная вязальная</t>
  </si>
  <si>
    <t>2.1-18-7</t>
  </si>
  <si>
    <t>ТСН-2001.2. Доп. 68. п.1-18-7 (183001)</t>
  </si>
  <si>
    <t>Автомобили грузовые бортовые, грузоподъемность до 5 т</t>
  </si>
  <si>
    <t>2.1-5-63</t>
  </si>
  <si>
    <t>ТСН-2001.2. Доп. 68. п.1-5-63 (059001)</t>
  </si>
  <si>
    <t>Котлы битумоварочные электрические, емкость до 500 л, мощность до 20 кВт</t>
  </si>
  <si>
    <t>1.1-1-348</t>
  </si>
  <si>
    <t>ТСН-2001.1. Доп. 1-42. Р. 1, о. 1, поз. 348</t>
  </si>
  <si>
    <t>Керосин</t>
  </si>
  <si>
    <t>1.1-1-51</t>
  </si>
  <si>
    <t>ТСН-2001.1 Доп. 70, Р. 1, о. 1, поз. 51</t>
  </si>
  <si>
    <t>Битум нефтяной кровельный, марка БНК-90/40</t>
  </si>
  <si>
    <t>2.1-18-34</t>
  </si>
  <si>
    <t>ТСН-2001.2. Доп. 68. п.1-18-34 (182204)</t>
  </si>
  <si>
    <t>Полуприцепы общего назначения, грузоподъемность до 20 т</t>
  </si>
  <si>
    <t>2.1-18-36</t>
  </si>
  <si>
    <t>ТСН-2001.2. Доп. 68. п.1-18-36 (185004)</t>
  </si>
  <si>
    <t>Тягачи седельные, грузоподъемность до 20 т</t>
  </si>
  <si>
    <t>2.1-3-38</t>
  </si>
  <si>
    <t>ТСН-2001.2. Доп. 68. п.1-3-38 (032009)</t>
  </si>
  <si>
    <t>Краны на автомобильном ходу, грузоподъемность до 16 т</t>
  </si>
  <si>
    <t>9999990007</t>
  </si>
  <si>
    <t>Стоимость прочих машин (ЭСН)</t>
  </si>
  <si>
    <t>руб.</t>
  </si>
  <si>
    <t>2.1-13-40</t>
  </si>
  <si>
    <t>ТСН-2001.2. Доп. 68. п.1-13-40 (135505)</t>
  </si>
  <si>
    <t>Аппараты для стыковой сварки труб из термопластов диаметром от 40 до 160 мм</t>
  </si>
  <si>
    <t>1.1-1-1064</t>
  </si>
  <si>
    <t>ТСН-2001.1 Доп. 65, Р. 1, о. 1, поз. 1064</t>
  </si>
  <si>
    <t>Спирт этиловый технический</t>
  </si>
  <si>
    <t>кг</t>
  </si>
  <si>
    <t>1.1-1-115</t>
  </si>
  <si>
    <t>ТСН-2001.1. Доп. 1-42. Р. 1, о. 1, поз. 115</t>
  </si>
  <si>
    <t>Ветошь</t>
  </si>
  <si>
    <t>1.1-1-3458</t>
  </si>
  <si>
    <t>ТСН-2001.1 Доп. 67, Р. 1, о. 1, поз. 3458</t>
  </si>
  <si>
    <t>Плита из полимернаполненной композиции на основе волластонита для закрытия кабеля, типа ПЗК 48х24</t>
  </si>
  <si>
    <t>2.1-17-23</t>
  </si>
  <si>
    <t>ТСН-2001.2. Доп. 68. п.1-17-23 (174301)</t>
  </si>
  <si>
    <t>Горелки газовые</t>
  </si>
  <si>
    <t>1.1-1-2613</t>
  </si>
  <si>
    <t>ТСН-2001.1 Доп. 56, Р. 1, о. 1, поз. 2613</t>
  </si>
  <si>
    <t>Пропан-бутан, сжиженный газ</t>
  </si>
  <si>
    <t>2.1-1-19</t>
  </si>
  <si>
    <t>ТСН-2001.2. Доп. 68. п.1-1-19 (010302)</t>
  </si>
  <si>
    <t>Экскаваторы на пневмоколесном ходу гидравлические, объем ковша до 0,25 м3</t>
  </si>
  <si>
    <t>2.1-1-43</t>
  </si>
  <si>
    <t>ТСН-2001.2. Доп. 68. п.1-1-43 (012102)</t>
  </si>
  <si>
    <t>Бульдозеры гусеничные, мощность до 59 кВт (80 л.с.)</t>
  </si>
  <si>
    <t>2.1-1-45</t>
  </si>
  <si>
    <t>ТСН-2001.2. Доп. 68. п.1-1-45 (012104)</t>
  </si>
  <si>
    <t>Бульдозеры гусеничные, мощность до 96 кВт (130 л.с.)</t>
  </si>
  <si>
    <t>2.1-10-1</t>
  </si>
  <si>
    <t>ТСН-2001.2. Доп. 68. п.1-10-1 (100101)</t>
  </si>
  <si>
    <t>Компрессоры передвижные с двигателем внутреннего сгорания, давление до 7 ат, производительность до 5 м3/мин</t>
  </si>
  <si>
    <t>2.1-30-1</t>
  </si>
  <si>
    <t>ТСН-2001.2. Доп. 68. п.1-30-1 (301201)</t>
  </si>
  <si>
    <t>Трамбовки пневматические</t>
  </si>
  <si>
    <t>5774000000</t>
  </si>
  <si>
    <t>Материалы изоляционные (3491520000)</t>
  </si>
  <si>
    <t>5745010000</t>
  </si>
  <si>
    <t>Бетон (класс по проекту)</t>
  </si>
  <si>
    <t>5774530000</t>
  </si>
  <si>
    <t>Гидроизоляционные рулонные материалы</t>
  </si>
  <si>
    <t>5775340000</t>
  </si>
  <si>
    <t>Мастика клеящая морозостойкая битумно-масляная МБ-50</t>
  </si>
  <si>
    <t>2248110000</t>
  </si>
  <si>
    <t>Трубы из полиэтилена для кабельной канализации</t>
  </si>
  <si>
    <t>2.1-12-13</t>
  </si>
  <si>
    <t>ТСН-2001.2. Доп. 68. п.1-12-13 (127201)</t>
  </si>
  <si>
    <t>Установки для осушки и очистки от механических примесей атмосферного воздуха для трансформаторов, производительность до 240 м3/ч</t>
  </si>
  <si>
    <t>2.1-14-13</t>
  </si>
  <si>
    <t>ТСН-2001.2. Доп. 68. п.1-14-13 (148501)</t>
  </si>
  <si>
    <t>Пылесосы строительные (промышленные)</t>
  </si>
  <si>
    <t>2.1-17-73</t>
  </si>
  <si>
    <t>ТСН-2001.2. Доп. 71. п.1-17-73 (171901)</t>
  </si>
  <si>
    <t>Агрегаты окрасочные безвоздушные высокого давления, мощность до 4 кВт</t>
  </si>
  <si>
    <t>2.1-30-102</t>
  </si>
  <si>
    <t>ТСН-2001.2. Доп. 68. п.1-30-102 (303704)</t>
  </si>
  <si>
    <t>Дрели, мощность до 800 Вт</t>
  </si>
  <si>
    <t>1.1-1-825</t>
  </si>
  <si>
    <t>ТСН-2001.1 Доп. 67, Р. 1, о. 1, поз. 825</t>
  </si>
  <si>
    <t>Пленка полиэтиленовая, толщина от 120 до 150 мкм</t>
  </si>
  <si>
    <t>1.1-1-998</t>
  </si>
  <si>
    <t>ТСН-2001.1 Доп. 67, Р. 1, о. 1, поз. 998</t>
  </si>
  <si>
    <t>Растворитель универсальный типа 645-650</t>
  </si>
  <si>
    <t>5772450000</t>
  </si>
  <si>
    <t>(2257420000; 2316130000; 2312921000) Состав огнезащитный, вспучивающийся, механизированного и ручного нанесения</t>
  </si>
  <si>
    <t>2.1-18-9</t>
  </si>
  <si>
    <t>ТСН-2001.2. Доп. 68. п.1-18-9 (183003)</t>
  </si>
  <si>
    <t>Автомобили грузовые бортовые, грузоподъемность до 8 т</t>
  </si>
  <si>
    <t>2.1-4-34</t>
  </si>
  <si>
    <t>ТСН-2001.2. Доп. 68. п.1-4-34 (042906)</t>
  </si>
  <si>
    <t>Лебедки электрические, тяговое усилие до 49,05 кН (5 тс)</t>
  </si>
  <si>
    <t>2.1-4-44</t>
  </si>
  <si>
    <t>ТСН-2001.2. Доп. 68. п.1-4-44 (043401)</t>
  </si>
  <si>
    <t>Домкраты гидравлические, грузоподъемность до 25 т</t>
  </si>
  <si>
    <t>2.1-8-1</t>
  </si>
  <si>
    <t>ТСН-2001.2. Доп. 68. п.1-8-1 (081001)</t>
  </si>
  <si>
    <t>Машины монтажные для кабельных работ на автомобиле</t>
  </si>
  <si>
    <t>2.1-8-8</t>
  </si>
  <si>
    <t>ТСН-2001.2. Доп. 68. п.1-8-8 (087001)</t>
  </si>
  <si>
    <t>Прицепы для перевозки барабанов для шланга чулка (кабелевозы)</t>
  </si>
  <si>
    <t>1.1-1-1662</t>
  </si>
  <si>
    <t>ТСН-2001.1 Доп. 67, Р. 1, о. 1, поз. 1662</t>
  </si>
  <si>
    <t>Болты для монтажа стальных конструкций (в комплекте с гайками и шайбами), оцинкованные, М16, длина от 45 до 50 мм</t>
  </si>
  <si>
    <t>1.1-1-211</t>
  </si>
  <si>
    <t>ТСН-2001.1 Доп. 73, Р. 1, о. 1, поз. 211</t>
  </si>
  <si>
    <t>Пиломатериал (доска) необрезной хвойных пород естественной влажности, сорт IV, толщина 25 мм, ширина от 100 до 200 мм</t>
  </si>
  <si>
    <t>1.1-1-58</t>
  </si>
  <si>
    <t>ТСН-2001.1 Доп. 67, Р. 1, о. 1, поз. 58</t>
  </si>
  <si>
    <t>Болты строительные с гайками, оцинкованные, М10х100 мм</t>
  </si>
  <si>
    <t>1.1-1-923</t>
  </si>
  <si>
    <t>ТСН-2001.1. Доп. 1-42. Р. 1, о. 1, поз. 923</t>
  </si>
  <si>
    <t>Поковки строительные (скобы, закрепы, хомуты) простые, масса 1,8 кг</t>
  </si>
  <si>
    <t>1.21-5-1181</t>
  </si>
  <si>
    <t>ТСН-2001.1 Доп. 73, Р. 21, о. 5, поз. 1181</t>
  </si>
  <si>
    <t>Бирка маркировочная для кабелей и проводов, типа У153 У3,5</t>
  </si>
  <si>
    <t>1.21-5-928</t>
  </si>
  <si>
    <t>ТСН-2001.1 Доп. 73, Р. 21, о. 5, поз. 928</t>
  </si>
  <si>
    <t>Хомут (стяжка) кабельный из полиамида, размеры 3,6х370 мм</t>
  </si>
  <si>
    <t>100 шт.</t>
  </si>
  <si>
    <t>3538000000</t>
  </si>
  <si>
    <t>Кабели силовые одножильные на напряжение до 35 кВ (3533000000, 3537000000)</t>
  </si>
  <si>
    <t>2.1-17-24</t>
  </si>
  <si>
    <t>ТСН-2001.2. Доп. 1-42, п. 1-17-24 (174302)</t>
  </si>
  <si>
    <t>Инжекторные газовые горелки</t>
  </si>
  <si>
    <t>1.1-1-1464</t>
  </si>
  <si>
    <t>ТСН-2001.1 Доп. 67, Р. 1, о. 1, поз. 1464</t>
  </si>
  <si>
    <t>Бумага наждачная шлифовальная, на тканевой основе, водостойкая</t>
  </si>
  <si>
    <t>1.1-2-158</t>
  </si>
  <si>
    <t>ТСН-2001.1 Доп. 73, Р. 1, о. 2, поз. 158</t>
  </si>
  <si>
    <t>Бензин авиационный, марка Б-70</t>
  </si>
  <si>
    <t>л</t>
  </si>
  <si>
    <t>1.21-5-1134</t>
  </si>
  <si>
    <t>ТСН-2001.1 Доп. 70, Р. 21, о. 5, поз. 1134</t>
  </si>
  <si>
    <t>Хомут (стяжка) кабельный из полиамида, размеры 4,8х300 мм</t>
  </si>
  <si>
    <t>5296335000</t>
  </si>
  <si>
    <t>Уплотнители кабельных проходов термоусаживаемые</t>
  </si>
  <si>
    <t>5711400000</t>
  </si>
  <si>
    <t>Песок природный для строительных работ</t>
  </si>
  <si>
    <t>2.1-4-26</t>
  </si>
  <si>
    <t>ТСН-2001.2. Доп. 68. п.1-4-26 (042802)</t>
  </si>
  <si>
    <t>Лебедки ручные, грузоподъемность до 1 т</t>
  </si>
  <si>
    <t>1.1-1-2889</t>
  </si>
  <si>
    <t>ТСН-2001.1 Доп. 67, Р. 1, о. 1, поз. 2889</t>
  </si>
  <si>
    <t>Лента изоляционная из ПВХ, размер 15х0,2 мм</t>
  </si>
  <si>
    <t>1.1-1-953</t>
  </si>
  <si>
    <t>ТСН-2001.1 Доп. 73, Р. 1, о. 1, поз. 953</t>
  </si>
  <si>
    <t>Проволока медная, толщина от 1,0 до 1,5 мм</t>
  </si>
  <si>
    <t>3599000000</t>
  </si>
  <si>
    <t>Муфты соединительные термоусаживаемые для одножильных силовых кабелей на напряжение до 35 кВ (3449630000)</t>
  </si>
  <si>
    <t>5741210000</t>
  </si>
  <si>
    <t>Кирпич керамический полнотелый</t>
  </si>
  <si>
    <t>Муфты концевые термоусаживаемые для одножильных силовых кабелей на напряжение до 10 кВ (3449630000)</t>
  </si>
  <si>
    <t>Адаптеры экранированные на напряжение 35 кВ</t>
  </si>
  <si>
    <t>Строительство 2КЛ-10кВ от ТП 27616 до РТП 27044 для двухстороннего резервирования   электроснабжения объектов от собственных сетей (ЖК «Нахимово» по адресу: г. Москва, ул.  Болотниковская, д. 36 (РТП 27044) и ЖК «Авеню 77» по адресу:  Северное Чертаново (ТП 27616))</t>
  </si>
  <si>
    <t>Поправка: ТСН-2001.3-1. р3. тб3. п.3. 4  Наименование: Разработка грунта экскаваторами: в котлованах при объеме котлована до 300 м3 или при площади котлована до 100 м2, при объеме котлована до 3000 м3, в случае, если одновременно в пределах разрабатываемого котлована производятся работы по устройству фундаментов, внутренних коммуникаций и прочие строительно-монтажные работы;  при глубине котлована до 3 м независимо от объема котлована или его площади; при разработке траншей.</t>
  </si>
  <si>
    <t>Мастика битумно-масляная клеящая, гидроизоляционная, герметизирующая, морозостойкая, горячего применения, диапазон температур применения от -25 до +40°С, для изоляции кабелей, защиты конструкций от блуждающих токов, заливки соединительных, осветительных и концевых муфт, защиты от коррозии подземных металлических коммуникаций</t>
  </si>
  <si>
    <t>Трубы из полиэтилена гладкие, с двухслойной стенкой, внутренним слоем из первичного полиэтилена из натуральных композиций для повышения свариваемости, с наружным идентификационным слоем со светостабилизаторами, степень сопротивления удару нормальная, сопротивление сжатию 1250 Н, максимальное усилие протяжки F2, номинальный размер DN/ОD 160 мм, минимальный внутренний диаметр 120 мм, для прокладки кабелей в земле при повышенных нагрузках без дополнительных мер защиты</t>
  </si>
  <si>
    <t>Состав (паста) огнезащитный, вспучивающийся, на основе водной полимерной дисперсии и целевых наполнителей, механизированного и ручного нанесения, для внутренних работ, плотность покрытия от 1,1 до 1,5 г/см3, сухой остаток от 66 до 76%, степень расширения не менее 2500%, для защиты металлических строительных конструкций, огнезащитная эффективность до 3-й группы (90 мин) (Прим. Огракс -ВВ)</t>
  </si>
  <si>
    <t>(наименование стройки и/или объекта)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</si>
  <si>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</si>
  <si>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</si>
  <si>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</si>
  <si>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</si>
  <si>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>Работы по монтажу оборудования</t>
  </si>
  <si>
    <t>Оборудование</t>
  </si>
  <si>
    <t>Прочие работы и затраты</t>
  </si>
  <si>
    <t>Средства на оплату труда</t>
  </si>
  <si>
    <t>Затраты труда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</si>
  <si>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</si>
  <si>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</si>
  <si>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</si>
  <si>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</si>
  <si>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</si>
  <si>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</si>
  <si>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</si>
  <si>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</si>
  <si>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</si>
  <si>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</si>
  <si>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</si>
  <si>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</si>
  <si>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</si>
  <si>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Составлен(а) по ТСН-2001 с учетом Дополнения №: 75</t>
  </si>
  <si>
    <t>№ и период сборника коэффициентов (индексов) пересчета: Коэффициенты к ТСН-2001 МГЭ, строительство доп 75 №214 I квартал 2025 года и Коэффициенты к ТСН-2001.13-2 доп 75 №60 I квартал 2025 года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</si>
  <si>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</si>
  <si>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</si>
  <si>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</si>
  <si>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</si>
  <si>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</si>
  <si>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</si>
  <si>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</si>
  <si>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</si>
  <si>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</si>
  <si>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ВСЕГО работ по позиции:</t>
  </si>
  <si>
    <t>ВСЕГО оборудование по позиции:</t>
  </si>
  <si>
    <t>ВСЕГО по позиции:</t>
  </si>
  <si>
    <t xml:space="preserve">   Итого по ТСН-2001.16</t>
  </si>
  <si>
    <t xml:space="preserve">   Итого возвратных сумм</t>
  </si>
  <si>
    <t>МР</t>
  </si>
  <si>
    <t xml:space="preserve"> тыс.руб.</t>
  </si>
  <si>
    <t>ЛОКАЛЬНАЯ СМЕТА № 02-01-02</t>
  </si>
  <si>
    <r>
      <t>3.1-3-2</t>
    </r>
    <r>
      <rPr>
        <i/>
        <sz val="10"/>
        <rFont val="Times New Roman"/>
        <family val="1"/>
        <charset val="204"/>
      </rPr>
      <t xml:space="preserve">
Поправка: ТСН-2001.3-1. р3. тб3. п.3. 4</t>
    </r>
  </si>
</sst>
</file>

<file path=xl/styles.xml><?xml version="1.0" encoding="utf-8"?>
<styleSheet xmlns="http://schemas.openxmlformats.org/spreadsheetml/2006/main">
  <numFmts count="2">
    <numFmt numFmtId="164" formatCode="#,##0.00;[Red]\-\ #,##0.00"/>
    <numFmt numFmtId="165" formatCode="General;\-General;"/>
  </numFmts>
  <fonts count="23">
    <font>
      <sz val="10"/>
      <name val="Arial"/>
      <charset val="204"/>
    </font>
    <font>
      <b/>
      <sz val="10"/>
      <color indexed="12"/>
      <name val="Arial"/>
      <family val="2"/>
      <charset val="204"/>
    </font>
    <font>
      <sz val="10"/>
      <color indexed="18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vertical="top" wrapText="1"/>
    </xf>
    <xf numFmtId="164" fontId="18" fillId="0" borderId="0" xfId="0" applyNumberFormat="1" applyFont="1"/>
    <xf numFmtId="0" fontId="18" fillId="0" borderId="0" xfId="0" applyFont="1"/>
    <xf numFmtId="164" fontId="12" fillId="0" borderId="0" xfId="0" applyNumberFormat="1" applyFont="1"/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20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 wrapText="1"/>
    </xf>
    <xf numFmtId="0" fontId="13" fillId="0" borderId="0" xfId="0" applyFont="1" applyAlignment="1">
      <alignment vertical="top" wrapText="1"/>
    </xf>
    <xf numFmtId="164" fontId="20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 wrapText="1"/>
    </xf>
    <xf numFmtId="164" fontId="13" fillId="0" borderId="0" xfId="0" applyNumberFormat="1" applyFont="1"/>
    <xf numFmtId="0" fontId="13" fillId="0" borderId="1" xfId="0" applyFont="1" applyBorder="1"/>
    <xf numFmtId="0" fontId="13" fillId="0" borderId="1" xfId="0" applyFont="1" applyBorder="1" applyAlignment="1">
      <alignment vertical="top" wrapText="1"/>
    </xf>
    <xf numFmtId="165" fontId="12" fillId="0" borderId="0" xfId="0" quotePrefix="1" applyNumberFormat="1" applyFont="1" applyAlignment="1">
      <alignment horizontal="right" wrapText="1"/>
    </xf>
    <xf numFmtId="0" fontId="12" fillId="0" borderId="0" xfId="0" applyFont="1" applyAlignment="1">
      <alignment horizontal="right"/>
    </xf>
    <xf numFmtId="0" fontId="19" fillId="0" borderId="0" xfId="0" applyFont="1" applyAlignment="1">
      <alignment horizontal="center" wrapText="1"/>
    </xf>
    <xf numFmtId="0" fontId="1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3" fillId="0" borderId="0" xfId="0" applyFont="1" applyAlignment="1"/>
    <xf numFmtId="0" fontId="12" fillId="0" borderId="1" xfId="0" applyFont="1" applyBorder="1" applyAlignment="1">
      <alignment horizontal="left" wrapText="1"/>
    </xf>
    <xf numFmtId="164" fontId="18" fillId="0" borderId="2" xfId="0" applyNumberFormat="1" applyFont="1" applyBorder="1" applyAlignment="1">
      <alignment horizontal="right"/>
    </xf>
    <xf numFmtId="164" fontId="18" fillId="0" borderId="0" xfId="0" applyNumberFormat="1" applyFont="1" applyAlignment="1">
      <alignment horizontal="right"/>
    </xf>
    <xf numFmtId="0" fontId="12" fillId="0" borderId="0" xfId="0" applyFont="1" applyFill="1" applyAlignment="1">
      <alignment horizontal="left"/>
    </xf>
    <xf numFmtId="0" fontId="12" fillId="0" borderId="0" xfId="1" applyFont="1" applyFill="1" applyAlignment="1">
      <alignment horizontal="lef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444"/>
  <sheetViews>
    <sheetView tabSelected="1" topLeftCell="A349" zoomScaleNormal="100" workbookViewId="0">
      <selection activeCell="E355" sqref="E355"/>
    </sheetView>
  </sheetViews>
  <sheetFormatPr defaultColWidth="8.85546875" defaultRowHeight="12.75"/>
  <cols>
    <col min="1" max="1" width="5.7109375" style="12" customWidth="1"/>
    <col min="2" max="2" width="11.7109375" style="12" customWidth="1"/>
    <col min="3" max="3" width="40.7109375" style="12" customWidth="1"/>
    <col min="4" max="4" width="13.28515625" style="12" customWidth="1"/>
    <col min="5" max="5" width="10.7109375" style="12" bestFit="1" customWidth="1"/>
    <col min="6" max="6" width="11.85546875" style="12" bestFit="1" customWidth="1"/>
    <col min="7" max="7" width="8.85546875" style="12"/>
    <col min="8" max="8" width="9.5703125" style="12" bestFit="1" customWidth="1"/>
    <col min="9" max="9" width="13.7109375" style="12" bestFit="1" customWidth="1"/>
    <col min="10" max="10" width="12" style="12" bestFit="1" customWidth="1"/>
    <col min="11" max="11" width="15" style="12" bestFit="1" customWidth="1"/>
    <col min="12" max="13" width="8.85546875" style="12"/>
    <col min="14" max="41" width="0" style="12" hidden="1" customWidth="1"/>
    <col min="42" max="42" width="127.5703125" style="12" hidden="1" customWidth="1"/>
    <col min="43" max="47" width="0" style="12" hidden="1" customWidth="1"/>
    <col min="48" max="16384" width="8.85546875" style="12"/>
  </cols>
  <sheetData>
    <row r="1" spans="1:11" ht="15">
      <c r="A1" s="11"/>
      <c r="B1" s="11"/>
      <c r="C1" s="11"/>
      <c r="D1" s="11"/>
      <c r="E1" s="11"/>
      <c r="F1" s="11"/>
      <c r="G1" s="11"/>
      <c r="H1" s="11"/>
      <c r="I1" s="11"/>
      <c r="J1" s="38" t="s">
        <v>547</v>
      </c>
      <c r="K1" s="38"/>
    </row>
    <row r="2" spans="1:11" ht="33.4" customHeight="1">
      <c r="A2" s="42" t="str">
        <f>Source!U20</f>
        <v>Строительство 2КЛ-10кВ от ТП 27616 до РТП 27044 для двухстороннего резервирования   электроснабжения объектов от собственных сетей (ЖК «Нахимово» по адресу: г. Москва, ул.  Болотниковская, д. 36 (РТП 27044) и ЖК «Авеню 77» по адресу:  Северное Чертаново (ТП 27616))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>
      <c r="A3" s="43" t="s">
        <v>525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.75">
      <c r="A5" s="42" t="s">
        <v>566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 ht="1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18.75">
      <c r="A7" s="45" t="str">
        <f>Source!G20</f>
        <v>Кабельная линия 10 кВ.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1">
      <c r="A8" s="46" t="s">
        <v>526</v>
      </c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11" ht="1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11" ht="15">
      <c r="A10" s="48" t="str">
        <f>CONCATENATE( "Основание: чертежи № ", Source!J12)</f>
        <v xml:space="preserve">Основание: чертежи № 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ht="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ht="30">
      <c r="A12" s="11"/>
      <c r="B12" s="11"/>
      <c r="C12" s="11"/>
      <c r="D12" s="11"/>
      <c r="E12" s="11"/>
      <c r="F12" s="11"/>
      <c r="G12" s="11"/>
      <c r="H12" s="11"/>
      <c r="I12" s="14" t="s">
        <v>527</v>
      </c>
      <c r="J12" s="14" t="s">
        <v>528</v>
      </c>
      <c r="K12" s="11"/>
    </row>
    <row r="13" spans="1:11" ht="15">
      <c r="A13" s="11"/>
      <c r="B13" s="11"/>
      <c r="C13" s="11"/>
      <c r="D13" s="11"/>
      <c r="E13" s="40" t="s">
        <v>529</v>
      </c>
      <c r="F13" s="40"/>
      <c r="G13" s="40"/>
      <c r="H13" s="40"/>
      <c r="I13" s="15">
        <f>I14+I15+I16+I17</f>
        <v>2915.33</v>
      </c>
      <c r="J13" s="15">
        <f>J14+J15+J16+J17</f>
        <v>29214.2</v>
      </c>
      <c r="K13" s="16" t="s">
        <v>565</v>
      </c>
    </row>
    <row r="14" spans="1:11" ht="15">
      <c r="A14" s="11"/>
      <c r="B14" s="11"/>
      <c r="C14" s="11"/>
      <c r="D14" s="11"/>
      <c r="E14" s="41" t="s">
        <v>24</v>
      </c>
      <c r="F14" s="41"/>
      <c r="G14" s="41"/>
      <c r="H14" s="41"/>
      <c r="I14" s="17">
        <f>ROUND(SUM(X1:X445)/1000, 2)</f>
        <v>326.52999999999997</v>
      </c>
      <c r="J14" s="17">
        <f>ROUND((Source!P330)/1000, 2)</f>
        <v>2724.2</v>
      </c>
      <c r="K14" s="11" t="s">
        <v>565</v>
      </c>
    </row>
    <row r="15" spans="1:11" ht="15">
      <c r="A15" s="11"/>
      <c r="B15" s="11"/>
      <c r="C15" s="11"/>
      <c r="D15" s="11"/>
      <c r="E15" s="41" t="s">
        <v>530</v>
      </c>
      <c r="F15" s="41"/>
      <c r="G15" s="41"/>
      <c r="H15" s="41"/>
      <c r="I15" s="17">
        <f>ROUND(SUM(Y1:Y445)/1000, 2)</f>
        <v>2588.8000000000002</v>
      </c>
      <c r="J15" s="17">
        <f>ROUND((Source!P331)/1000, 2)</f>
        <v>26490</v>
      </c>
      <c r="K15" s="11" t="s">
        <v>565</v>
      </c>
    </row>
    <row r="16" spans="1:11" ht="15">
      <c r="A16" s="11"/>
      <c r="B16" s="11"/>
      <c r="C16" s="11"/>
      <c r="D16" s="11"/>
      <c r="E16" s="41" t="s">
        <v>531</v>
      </c>
      <c r="F16" s="41"/>
      <c r="G16" s="41"/>
      <c r="H16" s="41"/>
      <c r="I16" s="17">
        <f>ROUND(SUM(Z1:Z445)/1000, 2)</f>
        <v>0</v>
      </c>
      <c r="J16" s="17">
        <f>ROUND((Source!P322)/1000, 2)</f>
        <v>0</v>
      </c>
      <c r="K16" s="11" t="s">
        <v>565</v>
      </c>
    </row>
    <row r="17" spans="1:42" ht="15">
      <c r="A17" s="11"/>
      <c r="B17" s="11"/>
      <c r="C17" s="11"/>
      <c r="D17" s="11"/>
      <c r="E17" s="41" t="s">
        <v>532</v>
      </c>
      <c r="F17" s="41"/>
      <c r="G17" s="41"/>
      <c r="H17" s="41"/>
      <c r="I17" s="17">
        <f>ROUND(SUM(AA1:AA445)/1000, 2)</f>
        <v>0</v>
      </c>
      <c r="J17" s="17">
        <f>ROUND((Source!P332+Source!P333)/1000, 2)</f>
        <v>0</v>
      </c>
      <c r="K17" s="11" t="s">
        <v>565</v>
      </c>
    </row>
    <row r="18" spans="1:42" ht="15">
      <c r="A18" s="11"/>
      <c r="B18" s="11"/>
      <c r="C18" s="11"/>
      <c r="D18" s="11"/>
      <c r="E18" s="41" t="s">
        <v>533</v>
      </c>
      <c r="F18" s="41"/>
      <c r="G18" s="41"/>
      <c r="H18" s="41"/>
      <c r="I18" s="17">
        <f>ROUND(SUM(W1:W445)/1000, 2)</f>
        <v>58.64</v>
      </c>
      <c r="J18" s="17">
        <f>((Source!P328 + Source!P327)/1000)</f>
        <v>2736.6392000000001</v>
      </c>
      <c r="K18" s="11" t="s">
        <v>565</v>
      </c>
    </row>
    <row r="19" spans="1:42" ht="15">
      <c r="A19" s="11"/>
      <c r="B19" s="11"/>
      <c r="C19" s="11"/>
      <c r="D19" s="11"/>
      <c r="E19" s="41" t="s">
        <v>534</v>
      </c>
      <c r="F19" s="41"/>
      <c r="G19" s="41"/>
      <c r="H19" s="41"/>
      <c r="I19" s="17">
        <f>SUM(AB1:AB445)</f>
        <v>4589.0448486999994</v>
      </c>
      <c r="J19" s="17"/>
      <c r="K19" s="11" t="s">
        <v>334</v>
      </c>
    </row>
    <row r="20" spans="1:42" ht="15" hidden="1">
      <c r="A20" s="11"/>
      <c r="B20" s="11"/>
      <c r="C20" s="11"/>
      <c r="D20" s="11"/>
      <c r="E20" s="51" t="s">
        <v>535</v>
      </c>
      <c r="F20" s="51"/>
      <c r="G20" s="51"/>
      <c r="H20" s="51"/>
      <c r="I20" s="17"/>
      <c r="J20" s="17"/>
      <c r="K20" s="11"/>
    </row>
    <row r="21" spans="1:42" ht="15" hidden="1">
      <c r="A21" s="11"/>
      <c r="B21" s="11"/>
      <c r="C21" s="11"/>
      <c r="D21" s="11"/>
      <c r="E21" s="52" t="s">
        <v>103</v>
      </c>
      <c r="F21" s="52"/>
      <c r="G21" s="52"/>
      <c r="H21" s="52"/>
      <c r="I21" s="17">
        <f>ROUND(SUM(AE1:AE445)/1000, 2)</f>
        <v>0</v>
      </c>
      <c r="J21" s="17">
        <f>SUM(AF1:AF445)/1000</f>
        <v>0</v>
      </c>
      <c r="K21" s="11" t="s">
        <v>565</v>
      </c>
    </row>
    <row r="22" spans="1:42" ht="15">
      <c r="A22" s="11"/>
      <c r="B22" s="11"/>
      <c r="C22" s="11"/>
      <c r="D22" s="11"/>
      <c r="E22" s="11"/>
      <c r="F22" s="18"/>
      <c r="G22" s="18"/>
      <c r="H22" s="18"/>
      <c r="I22" s="17"/>
      <c r="J22" s="17"/>
      <c r="K22" s="11"/>
    </row>
    <row r="23" spans="1:42" ht="15">
      <c r="A23" s="11" t="s">
        <v>548</v>
      </c>
      <c r="B23" s="11"/>
      <c r="C23" s="11"/>
      <c r="D23" s="11"/>
      <c r="E23" s="11"/>
      <c r="F23" s="18"/>
      <c r="G23" s="18"/>
      <c r="H23" s="18"/>
      <c r="I23" s="17"/>
      <c r="J23" s="17"/>
      <c r="K23" s="11"/>
    </row>
    <row r="24" spans="1:42" ht="30">
      <c r="A24" s="48" t="s">
        <v>549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AP24" s="19" t="s">
        <v>549</v>
      </c>
    </row>
    <row r="25" spans="1:42" ht="105">
      <c r="A25" s="20" t="s">
        <v>536</v>
      </c>
      <c r="B25" s="20" t="s">
        <v>537</v>
      </c>
      <c r="C25" s="20" t="s">
        <v>538</v>
      </c>
      <c r="D25" s="20" t="s">
        <v>539</v>
      </c>
      <c r="E25" s="20" t="s">
        <v>540</v>
      </c>
      <c r="F25" s="20" t="s">
        <v>541</v>
      </c>
      <c r="G25" s="21" t="s">
        <v>542</v>
      </c>
      <c r="H25" s="21" t="s">
        <v>543</v>
      </c>
      <c r="I25" s="20" t="s">
        <v>544</v>
      </c>
      <c r="J25" s="20" t="s">
        <v>545</v>
      </c>
      <c r="K25" s="20" t="s">
        <v>546</v>
      </c>
    </row>
    <row r="26" spans="1:42" ht="15">
      <c r="A26" s="20">
        <v>1</v>
      </c>
      <c r="B26" s="20">
        <v>2</v>
      </c>
      <c r="C26" s="20">
        <v>3</v>
      </c>
      <c r="D26" s="20">
        <v>4</v>
      </c>
      <c r="E26" s="20">
        <v>5</v>
      </c>
      <c r="F26" s="20">
        <v>6</v>
      </c>
      <c r="G26" s="20">
        <v>7</v>
      </c>
      <c r="H26" s="20">
        <v>8</v>
      </c>
      <c r="I26" s="20">
        <v>9</v>
      </c>
      <c r="J26" s="20">
        <v>10</v>
      </c>
      <c r="K26" s="20">
        <v>11</v>
      </c>
    </row>
    <row r="28" spans="1:42" ht="16.5">
      <c r="A28" s="39" t="str">
        <f>CONCATENATE("Локальная смета: ",IF(Source!G20&lt;&gt;"Новая локальная смета", Source!G20, ""))</f>
        <v>Локальная смета: Кабельная линия 10 кВ.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</row>
    <row r="30" spans="1:42" ht="16.5">
      <c r="A30" s="39" t="str">
        <f>CONCATENATE("Раздел: ",IF(Source!G24&lt;&gt;"Новый раздел", Source!G24, ""))</f>
        <v>Раздел: Земляные работы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</row>
    <row r="31" spans="1:42" ht="60">
      <c r="A31" s="22">
        <v>1</v>
      </c>
      <c r="B31" s="22" t="str">
        <f>Source!F29</f>
        <v>3.1-7-2</v>
      </c>
      <c r="C31" s="22" t="s">
        <v>21</v>
      </c>
      <c r="D31" s="23" t="str">
        <f>Source!H29</f>
        <v>100 м3 грунта</v>
      </c>
      <c r="E31" s="24">
        <f>Source!I29</f>
        <v>1.44</v>
      </c>
      <c r="F31" s="25"/>
      <c r="G31" s="26"/>
      <c r="H31" s="24"/>
      <c r="I31" s="25"/>
      <c r="J31" s="24"/>
      <c r="K31" s="25"/>
      <c r="Q31" s="12">
        <f>ROUND((Source!DN29/100)*ROUND((ROUND((Source!AF29*Source!AV29*Source!I29),2)),2), 2)</f>
        <v>50.72</v>
      </c>
      <c r="R31" s="12">
        <f>Source!X29</f>
        <v>2270.2600000000002</v>
      </c>
      <c r="S31" s="12">
        <f>ROUND((Source!DO29/100)*ROUND((ROUND((Source!AF29*Source!AV29*Source!I29),2)),2), 2)</f>
        <v>39.85</v>
      </c>
      <c r="T31" s="12">
        <f>Source!Y29</f>
        <v>1231.74</v>
      </c>
      <c r="U31" s="12">
        <f>ROUND((175/100)*ROUND((ROUND((Source!AE29*Source!AV29*Source!I29),2)),2), 2)</f>
        <v>397.95</v>
      </c>
      <c r="V31" s="12">
        <f>ROUND((160/100)*ROUND(ROUND((ROUND((Source!AE29*Source!AV29*Source!I29),2)*Source!BS29),2), 2), 2)</f>
        <v>16980.419999999998</v>
      </c>
      <c r="AI31" s="12">
        <v>0</v>
      </c>
    </row>
    <row r="32" spans="1:42">
      <c r="C32" s="27" t="str">
        <f>"Объем: "&amp;Source!I29&amp;"=(600*"&amp;"0,6*"&amp;"0,8)/"&amp;"100*"&amp;"0,5"</f>
        <v>Объем: 1,44=(600*0,6*0,8)/100*0,5</v>
      </c>
    </row>
    <row r="33" spans="1:35" ht="15">
      <c r="A33" s="22"/>
      <c r="B33" s="22"/>
      <c r="C33" s="22" t="s">
        <v>550</v>
      </c>
      <c r="D33" s="23"/>
      <c r="E33" s="24"/>
      <c r="F33" s="25">
        <f>Source!AO29</f>
        <v>30.15</v>
      </c>
      <c r="G33" s="26" t="str">
        <f>Source!DG29</f>
        <v/>
      </c>
      <c r="H33" s="24">
        <f>Source!AV29</f>
        <v>1.1919999999999999</v>
      </c>
      <c r="I33" s="25">
        <f>ROUND((ROUND((Source!AF29*Source!AV29*Source!I29),2)),2)</f>
        <v>51.75</v>
      </c>
      <c r="J33" s="24">
        <f>IF(Source!BA29&lt;&gt; 0, Source!BA29, 1)</f>
        <v>46.67</v>
      </c>
      <c r="K33" s="25">
        <f>Source!S29</f>
        <v>2415.17</v>
      </c>
      <c r="W33" s="12">
        <f>I33</f>
        <v>51.75</v>
      </c>
    </row>
    <row r="34" spans="1:35" ht="15">
      <c r="A34" s="22"/>
      <c r="B34" s="22"/>
      <c r="C34" s="22" t="s">
        <v>551</v>
      </c>
      <c r="D34" s="23"/>
      <c r="E34" s="24"/>
      <c r="F34" s="25">
        <f>Source!AM29</f>
        <v>1340.63</v>
      </c>
      <c r="G34" s="26" t="str">
        <f>Source!DE29</f>
        <v/>
      </c>
      <c r="H34" s="24">
        <f>Source!AV29</f>
        <v>1.1919999999999999</v>
      </c>
      <c r="I34" s="25">
        <f>(ROUND((ROUND(((Source!ET29)*Source!AV29*Source!I29),2)),2)+ROUND((ROUND(((Source!AE29-(Source!EU29))*Source!AV29*Source!I29),2)),2))</f>
        <v>2301.16</v>
      </c>
      <c r="J34" s="24">
        <f>IF(Source!BB29&lt;&gt; 0, Source!BB29, 1)</f>
        <v>13.77</v>
      </c>
      <c r="K34" s="25">
        <f>Source!Q29</f>
        <v>31686.97</v>
      </c>
    </row>
    <row r="35" spans="1:35" ht="15">
      <c r="A35" s="22"/>
      <c r="B35" s="22"/>
      <c r="C35" s="22" t="s">
        <v>552</v>
      </c>
      <c r="D35" s="23"/>
      <c r="E35" s="24"/>
      <c r="F35" s="25">
        <f>Source!AN29</f>
        <v>132.47999999999999</v>
      </c>
      <c r="G35" s="26" t="str">
        <f>Source!DF29</f>
        <v/>
      </c>
      <c r="H35" s="24">
        <f>Source!AV29</f>
        <v>1.1919999999999999</v>
      </c>
      <c r="I35" s="28">
        <f>ROUND((ROUND((Source!AE29*Source!AV29*Source!I29),2)),2)</f>
        <v>227.4</v>
      </c>
      <c r="J35" s="24">
        <f>IF(Source!BS29&lt;&gt; 0, Source!BS29, 1)</f>
        <v>46.67</v>
      </c>
      <c r="K35" s="28">
        <f>Source!R29</f>
        <v>10612.76</v>
      </c>
      <c r="W35" s="12">
        <f>I35</f>
        <v>227.4</v>
      </c>
    </row>
    <row r="36" spans="1:35" ht="15">
      <c r="A36" s="22"/>
      <c r="B36" s="22"/>
      <c r="C36" s="22" t="s">
        <v>553</v>
      </c>
      <c r="D36" s="23" t="s">
        <v>554</v>
      </c>
      <c r="E36" s="24">
        <f>Source!DN29</f>
        <v>98</v>
      </c>
      <c r="F36" s="25"/>
      <c r="G36" s="26"/>
      <c r="H36" s="24"/>
      <c r="I36" s="25">
        <f>SUM(Q31:Q35)</f>
        <v>50.72</v>
      </c>
      <c r="J36" s="24">
        <f>Source!BZ29</f>
        <v>94</v>
      </c>
      <c r="K36" s="25">
        <f>SUM(R31:R35)</f>
        <v>2270.2600000000002</v>
      </c>
    </row>
    <row r="37" spans="1:35" ht="15">
      <c r="A37" s="22"/>
      <c r="B37" s="22"/>
      <c r="C37" s="22" t="s">
        <v>555</v>
      </c>
      <c r="D37" s="23" t="s">
        <v>554</v>
      </c>
      <c r="E37" s="24">
        <f>Source!DO29</f>
        <v>77</v>
      </c>
      <c r="F37" s="25"/>
      <c r="G37" s="26"/>
      <c r="H37" s="24"/>
      <c r="I37" s="25">
        <f>SUM(S31:S36)</f>
        <v>39.85</v>
      </c>
      <c r="J37" s="24">
        <f>Source!CA29</f>
        <v>51</v>
      </c>
      <c r="K37" s="25">
        <f>SUM(T31:T36)</f>
        <v>1231.74</v>
      </c>
    </row>
    <row r="38" spans="1:35" ht="15">
      <c r="A38" s="22"/>
      <c r="B38" s="22"/>
      <c r="C38" s="22" t="s">
        <v>556</v>
      </c>
      <c r="D38" s="23" t="s">
        <v>554</v>
      </c>
      <c r="E38" s="24">
        <f>175</f>
        <v>175</v>
      </c>
      <c r="F38" s="25"/>
      <c r="G38" s="26"/>
      <c r="H38" s="24"/>
      <c r="I38" s="25">
        <f>SUM(U31:U37)</f>
        <v>397.95</v>
      </c>
      <c r="J38" s="24">
        <f>160</f>
        <v>160</v>
      </c>
      <c r="K38" s="25">
        <f>SUM(V31:V37)</f>
        <v>16980.419999999998</v>
      </c>
    </row>
    <row r="39" spans="1:35" ht="15">
      <c r="A39" s="29"/>
      <c r="B39" s="29"/>
      <c r="C39" s="29" t="s">
        <v>557</v>
      </c>
      <c r="D39" s="30" t="s">
        <v>558</v>
      </c>
      <c r="E39" s="31">
        <f>Source!AQ29</f>
        <v>2.95</v>
      </c>
      <c r="F39" s="32"/>
      <c r="G39" s="33" t="str">
        <f>Source!DI29</f>
        <v/>
      </c>
      <c r="H39" s="31">
        <f>Source!AV29</f>
        <v>1.1919999999999999</v>
      </c>
      <c r="I39" s="32">
        <f>Source!U29</f>
        <v>5.0636159999999997</v>
      </c>
      <c r="J39" s="31"/>
      <c r="K39" s="32"/>
      <c r="AB39" s="34">
        <f>I39</f>
        <v>5.0636159999999997</v>
      </c>
    </row>
    <row r="40" spans="1:35" ht="14.25">
      <c r="C40" s="16" t="s">
        <v>559</v>
      </c>
      <c r="H40" s="49">
        <f>I33+I34+I36+I37+I38+0-0-0</f>
        <v>2841.4299999999994</v>
      </c>
      <c r="I40" s="49"/>
      <c r="J40" s="49">
        <f>K33+K34+K36+K37+K38+0-0-0</f>
        <v>54584.56</v>
      </c>
      <c r="K40" s="49"/>
    </row>
    <row r="41" spans="1:35" ht="14.25">
      <c r="C41" s="16" t="s">
        <v>560</v>
      </c>
      <c r="H41" s="50">
        <f>0+0</f>
        <v>0</v>
      </c>
      <c r="I41" s="50"/>
      <c r="J41" s="50">
        <f>0+0</f>
        <v>0</v>
      </c>
      <c r="K41" s="50"/>
    </row>
    <row r="42" spans="1:35" ht="14.25">
      <c r="H42" s="50"/>
      <c r="I42" s="50"/>
      <c r="J42" s="50"/>
      <c r="K42" s="50"/>
      <c r="O42" s="34">
        <f>I33+I34+I36+I37+I38+0</f>
        <v>2841.4299999999994</v>
      </c>
      <c r="P42" s="34">
        <f>K33+K34+K36+K37+K38+0</f>
        <v>54584.56</v>
      </c>
      <c r="X42" s="12">
        <f>IF(Source!BI29&lt;=1,I33+I34+I36+I37+I38-0, 0)</f>
        <v>2841.4299999999994</v>
      </c>
      <c r="Y42" s="12">
        <f>IF(Source!BI29=2,I33+I34+I36+I37+I38-0, 0)</f>
        <v>0</v>
      </c>
      <c r="Z42" s="12">
        <f>IF(Source!BI29=3,I33+I34+I36+I37+I38-0, 0)</f>
        <v>0</v>
      </c>
      <c r="AA42" s="12">
        <f>IF(Source!BI29=4,I33+I34+I36+I37+I38,0)</f>
        <v>0</v>
      </c>
    </row>
    <row r="44" spans="1:35" ht="66">
      <c r="A44" s="22">
        <v>2</v>
      </c>
      <c r="B44" s="22" t="s">
        <v>567</v>
      </c>
      <c r="C44" s="22" t="s">
        <v>29</v>
      </c>
      <c r="D44" s="23" t="str">
        <f>Source!H31</f>
        <v>100 м3 грунта</v>
      </c>
      <c r="E44" s="24">
        <f>Source!I31</f>
        <v>0.72</v>
      </c>
      <c r="F44" s="25"/>
      <c r="G44" s="26"/>
      <c r="H44" s="24"/>
      <c r="I44" s="25"/>
      <c r="J44" s="24"/>
      <c r="K44" s="25"/>
      <c r="Q44" s="12">
        <f>ROUND((Source!DN31/100)*ROUND((ROUND((Source!AF31*Source!AV31*Source!I31),2)),2), 2)</f>
        <v>12.27</v>
      </c>
      <c r="R44" s="12">
        <f>Source!X31</f>
        <v>549.25</v>
      </c>
      <c r="S44" s="12">
        <f>ROUND((Source!DO31/100)*ROUND((ROUND((Source!AF31*Source!AV31*Source!I31),2)),2), 2)</f>
        <v>9.64</v>
      </c>
      <c r="T44" s="12">
        <f>Source!Y31</f>
        <v>298</v>
      </c>
      <c r="U44" s="12">
        <f>ROUND((175/100)*ROUND((ROUND((Source!AE31*Source!AV31*Source!I31),2)),2), 2)</f>
        <v>165.62</v>
      </c>
      <c r="V44" s="12">
        <f>ROUND((160/100)*ROUND(ROUND((ROUND((Source!AE31*Source!AV31*Source!I31),2)*Source!BS31),2), 2), 2)</f>
        <v>7066.96</v>
      </c>
      <c r="AI44" s="12">
        <v>0</v>
      </c>
    </row>
    <row r="45" spans="1:35">
      <c r="C45" s="27" t="str">
        <f>"Объем: "&amp;Source!I31&amp;"=(600*"&amp;"0,6*"&amp;"0,8)/"&amp;"100*"&amp;"0,25"</f>
        <v>Объем: 0,72=(600*0,6*0,8)/100*0,25</v>
      </c>
    </row>
    <row r="46" spans="1:35" ht="15">
      <c r="A46" s="22"/>
      <c r="B46" s="22"/>
      <c r="C46" s="22" t="s">
        <v>550</v>
      </c>
      <c r="D46" s="23"/>
      <c r="E46" s="24"/>
      <c r="F46" s="25">
        <f>Source!AO31</f>
        <v>12.16</v>
      </c>
      <c r="G46" s="26" t="str">
        <f>Source!DG31</f>
        <v>)*1,2</v>
      </c>
      <c r="H46" s="24">
        <f>Source!AV31</f>
        <v>1.1919999999999999</v>
      </c>
      <c r="I46" s="25">
        <f>ROUND((ROUND((Source!AF31*Source!AV31*Source!I31),2)),2)</f>
        <v>12.52</v>
      </c>
      <c r="J46" s="24">
        <f>IF(Source!BA31&lt;&gt; 0, Source!BA31, 1)</f>
        <v>46.67</v>
      </c>
      <c r="K46" s="25">
        <f>Source!S31</f>
        <v>584.30999999999995</v>
      </c>
      <c r="W46" s="12">
        <f>I46</f>
        <v>12.52</v>
      </c>
    </row>
    <row r="47" spans="1:35" ht="15">
      <c r="A47" s="22"/>
      <c r="B47" s="22"/>
      <c r="C47" s="22" t="s">
        <v>551</v>
      </c>
      <c r="D47" s="23"/>
      <c r="E47" s="24"/>
      <c r="F47" s="25">
        <f>Source!AM31</f>
        <v>932.06</v>
      </c>
      <c r="G47" s="26" t="str">
        <f>Source!DE31</f>
        <v>)*1,2</v>
      </c>
      <c r="H47" s="24">
        <f>Source!AV31</f>
        <v>1.1919999999999999</v>
      </c>
      <c r="I47" s="25">
        <f>(ROUND((ROUND((((Source!ET31*1.2))*Source!AV31*Source!I31),2)),2)+ROUND((ROUND(((Source!AE31-((Source!EU31*1.2)))*Source!AV31*Source!I31),2)),2))</f>
        <v>959.92</v>
      </c>
      <c r="J47" s="24">
        <f>IF(Source!BB31&lt;&gt; 0, Source!BB31, 1)</f>
        <v>13.79</v>
      </c>
      <c r="K47" s="25">
        <f>Source!Q31</f>
        <v>13237.3</v>
      </c>
    </row>
    <row r="48" spans="1:35" ht="15">
      <c r="A48" s="22"/>
      <c r="B48" s="22"/>
      <c r="C48" s="22" t="s">
        <v>552</v>
      </c>
      <c r="D48" s="23"/>
      <c r="E48" s="24"/>
      <c r="F48" s="25">
        <f>Source!AN31</f>
        <v>91.89</v>
      </c>
      <c r="G48" s="26" t="str">
        <f>Source!DF31</f>
        <v>)*1,2</v>
      </c>
      <c r="H48" s="24">
        <f>Source!AV31</f>
        <v>1.1919999999999999</v>
      </c>
      <c r="I48" s="28">
        <f>ROUND((ROUND((Source!AE31*Source!AV31*Source!I31),2)),2)</f>
        <v>94.64</v>
      </c>
      <c r="J48" s="24">
        <f>IF(Source!BS31&lt;&gt; 0, Source!BS31, 1)</f>
        <v>46.67</v>
      </c>
      <c r="K48" s="28">
        <f>Source!R31</f>
        <v>4416.8500000000004</v>
      </c>
      <c r="W48" s="12">
        <f>I48</f>
        <v>94.64</v>
      </c>
    </row>
    <row r="49" spans="1:35" ht="15">
      <c r="A49" s="22"/>
      <c r="B49" s="22"/>
      <c r="C49" s="22" t="s">
        <v>553</v>
      </c>
      <c r="D49" s="23" t="s">
        <v>554</v>
      </c>
      <c r="E49" s="24">
        <f>Source!DN31</f>
        <v>98</v>
      </c>
      <c r="F49" s="25"/>
      <c r="G49" s="26"/>
      <c r="H49" s="24"/>
      <c r="I49" s="25">
        <f>SUM(Q44:Q48)</f>
        <v>12.27</v>
      </c>
      <c r="J49" s="24">
        <f>Source!BZ31</f>
        <v>94</v>
      </c>
      <c r="K49" s="25">
        <f>SUM(R44:R48)</f>
        <v>549.25</v>
      </c>
    </row>
    <row r="50" spans="1:35" ht="15">
      <c r="A50" s="22"/>
      <c r="B50" s="22"/>
      <c r="C50" s="22" t="s">
        <v>555</v>
      </c>
      <c r="D50" s="23" t="s">
        <v>554</v>
      </c>
      <c r="E50" s="24">
        <f>Source!DO31</f>
        <v>77</v>
      </c>
      <c r="F50" s="25"/>
      <c r="G50" s="26"/>
      <c r="H50" s="24"/>
      <c r="I50" s="25">
        <f>SUM(S44:S49)</f>
        <v>9.64</v>
      </c>
      <c r="J50" s="24">
        <f>Source!CA31</f>
        <v>51</v>
      </c>
      <c r="K50" s="25">
        <f>SUM(T44:T49)</f>
        <v>298</v>
      </c>
    </row>
    <row r="51" spans="1:35" ht="15">
      <c r="A51" s="22"/>
      <c r="B51" s="22"/>
      <c r="C51" s="22" t="s">
        <v>556</v>
      </c>
      <c r="D51" s="23" t="s">
        <v>554</v>
      </c>
      <c r="E51" s="24">
        <f>175</f>
        <v>175</v>
      </c>
      <c r="F51" s="25"/>
      <c r="G51" s="26"/>
      <c r="H51" s="24"/>
      <c r="I51" s="25">
        <f>SUM(U44:U50)</f>
        <v>165.62</v>
      </c>
      <c r="J51" s="24">
        <f>160</f>
        <v>160</v>
      </c>
      <c r="K51" s="25">
        <f>SUM(V44:V50)</f>
        <v>7066.96</v>
      </c>
    </row>
    <row r="52" spans="1:35" ht="15">
      <c r="A52" s="29"/>
      <c r="B52" s="29"/>
      <c r="C52" s="29" t="s">
        <v>557</v>
      </c>
      <c r="D52" s="30" t="s">
        <v>558</v>
      </c>
      <c r="E52" s="31">
        <f>Source!AQ31</f>
        <v>1.19</v>
      </c>
      <c r="F52" s="32"/>
      <c r="G52" s="33" t="str">
        <f>Source!DI31</f>
        <v>)*1,2</v>
      </c>
      <c r="H52" s="31">
        <f>Source!AV31</f>
        <v>1.1919999999999999</v>
      </c>
      <c r="I52" s="32">
        <f>Source!U31</f>
        <v>1.22556672</v>
      </c>
      <c r="J52" s="31"/>
      <c r="K52" s="32"/>
      <c r="AB52" s="34">
        <f>I52</f>
        <v>1.22556672</v>
      </c>
    </row>
    <row r="53" spans="1:35" ht="14.25">
      <c r="C53" s="16" t="s">
        <v>559</v>
      </c>
      <c r="H53" s="49">
        <f>I46+I47+I49+I50+I51+0-0-0</f>
        <v>1159.9699999999998</v>
      </c>
      <c r="I53" s="49"/>
      <c r="J53" s="49">
        <f>K46+K47+K49+K50+K51+0-0-0</f>
        <v>21735.82</v>
      </c>
      <c r="K53" s="49"/>
    </row>
    <row r="54" spans="1:35" ht="14.25">
      <c r="C54" s="16" t="s">
        <v>560</v>
      </c>
      <c r="H54" s="50">
        <f>0+0</f>
        <v>0</v>
      </c>
      <c r="I54" s="50"/>
      <c r="J54" s="50">
        <f>0+0</f>
        <v>0</v>
      </c>
      <c r="K54" s="50"/>
    </row>
    <row r="55" spans="1:35" ht="14.25">
      <c r="H55" s="50"/>
      <c r="I55" s="50"/>
      <c r="J55" s="50"/>
      <c r="K55" s="50"/>
      <c r="O55" s="34">
        <f>I46+I47+I49+I50+I51+0</f>
        <v>1159.9699999999998</v>
      </c>
      <c r="P55" s="34">
        <f>K46+K47+K49+K50+K51+0</f>
        <v>21735.82</v>
      </c>
      <c r="X55" s="12">
        <f>IF(Source!BI31&lt;=1,I46+I47+I49+I50+I51-0, 0)</f>
        <v>1159.9699999999998</v>
      </c>
      <c r="Y55" s="12">
        <f>IF(Source!BI31=2,I46+I47+I49+I50+I51-0, 0)</f>
        <v>0</v>
      </c>
      <c r="Z55" s="12">
        <f>IF(Source!BI31=3,I46+I47+I49+I50+I51-0, 0)</f>
        <v>0</v>
      </c>
      <c r="AA55" s="12">
        <f>IF(Source!BI31=4,I46+I47+I49+I50+I51,0)</f>
        <v>0</v>
      </c>
    </row>
    <row r="57" spans="1:35" ht="45">
      <c r="A57" s="22">
        <v>3</v>
      </c>
      <c r="B57" s="22" t="str">
        <f>Source!F33</f>
        <v>3.1-51-1</v>
      </c>
      <c r="C57" s="22" t="s">
        <v>35</v>
      </c>
      <c r="D57" s="23" t="str">
        <f>Source!H33</f>
        <v>100 м3 грунта</v>
      </c>
      <c r="E57" s="24">
        <f>Source!I33</f>
        <v>0.72</v>
      </c>
      <c r="F57" s="25"/>
      <c r="G57" s="26"/>
      <c r="H57" s="24"/>
      <c r="I57" s="25"/>
      <c r="J57" s="24"/>
      <c r="K57" s="25"/>
      <c r="Q57" s="12">
        <f>ROUND((Source!DN33/100)*ROUND((ROUND((Source!AF33*Source!AV33*Source!I33),2)),2), 2)</f>
        <v>1927.19</v>
      </c>
      <c r="R57" s="12">
        <f>Source!X33</f>
        <v>74523.37</v>
      </c>
      <c r="S57" s="12">
        <f>ROUND((Source!DO33/100)*ROUND((ROUND((Source!AF33*Source!AV33*Source!I33),2)),2), 2)</f>
        <v>1413.27</v>
      </c>
      <c r="T57" s="12">
        <f>Source!Y33</f>
        <v>35120.21</v>
      </c>
      <c r="U57" s="12">
        <f>ROUND((175/100)*ROUND((ROUND((Source!AE33*Source!AV33*Source!I33),2)),2), 2)</f>
        <v>0</v>
      </c>
      <c r="V57" s="12">
        <f>ROUND((160/100)*ROUND(ROUND((ROUND((Source!AE33*Source!AV33*Source!I33),2)*Source!BS33),2), 2), 2)</f>
        <v>0</v>
      </c>
      <c r="AI57" s="12">
        <v>0</v>
      </c>
    </row>
    <row r="58" spans="1:35">
      <c r="C58" s="27" t="str">
        <f>"Объем: "&amp;Source!I33&amp;"=(600*"&amp;"0,6*"&amp;"0,8)/"&amp;"100*"&amp;"0,25"</f>
        <v>Объем: 0,72=(600*0,6*0,8)/100*0,25</v>
      </c>
    </row>
    <row r="59" spans="1:35" ht="15">
      <c r="A59" s="22"/>
      <c r="B59" s="22"/>
      <c r="C59" s="22" t="s">
        <v>550</v>
      </c>
      <c r="D59" s="23"/>
      <c r="E59" s="24"/>
      <c r="F59" s="25">
        <f>Source!AO33</f>
        <v>2042.62</v>
      </c>
      <c r="G59" s="26" t="str">
        <f>Source!DG33</f>
        <v/>
      </c>
      <c r="H59" s="24">
        <f>Source!AV33</f>
        <v>1.248</v>
      </c>
      <c r="I59" s="25">
        <f>ROUND((ROUND((Source!AF33*Source!AV33*Source!I33),2)),2)</f>
        <v>1835.42</v>
      </c>
      <c r="J59" s="24">
        <f>IF(Source!BA33&lt;&gt; 0, Source!BA33, 1)</f>
        <v>46.67</v>
      </c>
      <c r="K59" s="25">
        <f>Source!S33</f>
        <v>85659.05</v>
      </c>
      <c r="W59" s="12">
        <f>I59</f>
        <v>1835.42</v>
      </c>
    </row>
    <row r="60" spans="1:35" ht="15">
      <c r="A60" s="22"/>
      <c r="B60" s="22"/>
      <c r="C60" s="22" t="s">
        <v>553</v>
      </c>
      <c r="D60" s="23" t="s">
        <v>554</v>
      </c>
      <c r="E60" s="24">
        <f>Source!DN33</f>
        <v>105</v>
      </c>
      <c r="F60" s="25"/>
      <c r="G60" s="26"/>
      <c r="H60" s="24"/>
      <c r="I60" s="25">
        <f>SUM(Q57:Q59)</f>
        <v>1927.19</v>
      </c>
      <c r="J60" s="24">
        <f>Source!BZ33</f>
        <v>87</v>
      </c>
      <c r="K60" s="25">
        <f>SUM(R57:R59)</f>
        <v>74523.37</v>
      </c>
    </row>
    <row r="61" spans="1:35" ht="15">
      <c r="A61" s="22"/>
      <c r="B61" s="22"/>
      <c r="C61" s="22" t="s">
        <v>555</v>
      </c>
      <c r="D61" s="23" t="s">
        <v>554</v>
      </c>
      <c r="E61" s="24">
        <f>Source!DO33</f>
        <v>77</v>
      </c>
      <c r="F61" s="25"/>
      <c r="G61" s="26"/>
      <c r="H61" s="24"/>
      <c r="I61" s="25">
        <f>SUM(S57:S60)</f>
        <v>1413.27</v>
      </c>
      <c r="J61" s="24">
        <f>Source!CA33</f>
        <v>41</v>
      </c>
      <c r="K61" s="25">
        <f>SUM(T57:T60)</f>
        <v>35120.21</v>
      </c>
    </row>
    <row r="62" spans="1:35" ht="15">
      <c r="A62" s="29"/>
      <c r="B62" s="29"/>
      <c r="C62" s="29" t="s">
        <v>557</v>
      </c>
      <c r="D62" s="30" t="s">
        <v>558</v>
      </c>
      <c r="E62" s="31">
        <f>Source!AQ33</f>
        <v>192.7</v>
      </c>
      <c r="F62" s="32"/>
      <c r="G62" s="33" t="str">
        <f>Source!DI33</f>
        <v/>
      </c>
      <c r="H62" s="31">
        <f>Source!AV33</f>
        <v>1.248</v>
      </c>
      <c r="I62" s="32">
        <f>Source!U33</f>
        <v>173.152512</v>
      </c>
      <c r="J62" s="31"/>
      <c r="K62" s="32"/>
      <c r="AB62" s="34">
        <f>I62</f>
        <v>173.152512</v>
      </c>
    </row>
    <row r="63" spans="1:35" ht="14.25">
      <c r="C63" s="16" t="s">
        <v>559</v>
      </c>
      <c r="H63" s="49">
        <f>I59+I60+I61+0-0-0</f>
        <v>5175.88</v>
      </c>
      <c r="I63" s="49"/>
      <c r="J63" s="49">
        <f>K59+K60+K61+0-0-0</f>
        <v>195302.62999999998</v>
      </c>
      <c r="K63" s="49"/>
    </row>
    <row r="64" spans="1:35" ht="14.25">
      <c r="C64" s="16" t="s">
        <v>560</v>
      </c>
      <c r="H64" s="50">
        <f>0+0</f>
        <v>0</v>
      </c>
      <c r="I64" s="50"/>
      <c r="J64" s="50">
        <f>0+0</f>
        <v>0</v>
      </c>
      <c r="K64" s="50"/>
    </row>
    <row r="65" spans="1:35" ht="14.25">
      <c r="H65" s="50"/>
      <c r="I65" s="50"/>
      <c r="J65" s="50"/>
      <c r="K65" s="50"/>
      <c r="O65" s="34">
        <f>I59+I60+I61+0</f>
        <v>5175.88</v>
      </c>
      <c r="P65" s="34">
        <f>K59+K60+K61+0</f>
        <v>195302.62999999998</v>
      </c>
      <c r="X65" s="12">
        <f>IF(Source!BI33&lt;=1,I59+I60+I61-0, 0)</f>
        <v>5175.88</v>
      </c>
      <c r="Y65" s="12">
        <f>IF(Source!BI33=2,I59+I60+I61-0, 0)</f>
        <v>0</v>
      </c>
      <c r="Z65" s="12">
        <f>IF(Source!BI33=3,I59+I60+I61-0, 0)</f>
        <v>0</v>
      </c>
      <c r="AA65" s="12">
        <f>IF(Source!BI33=4,I59+I60+I61,0)</f>
        <v>0</v>
      </c>
    </row>
    <row r="67" spans="1:35" ht="60">
      <c r="A67" s="22">
        <v>4</v>
      </c>
      <c r="B67" s="22" t="str">
        <f>Source!F35</f>
        <v>3.1-15-1</v>
      </c>
      <c r="C67" s="22" t="s">
        <v>41</v>
      </c>
      <c r="D67" s="23" t="str">
        <f>Source!H35</f>
        <v>100 м3 грунта</v>
      </c>
      <c r="E67" s="24">
        <f>Source!I35</f>
        <v>2.7360000000000002</v>
      </c>
      <c r="F67" s="25"/>
      <c r="G67" s="26"/>
      <c r="H67" s="24"/>
      <c r="I67" s="25"/>
      <c r="J67" s="24"/>
      <c r="K67" s="25"/>
      <c r="Q67" s="12">
        <f>ROUND((Source!DN35/100)*ROUND((ROUND((Source!AF35*Source!AV35*Source!I35),2)),2), 2)</f>
        <v>0</v>
      </c>
      <c r="R67" s="12">
        <f>Source!X35</f>
        <v>0</v>
      </c>
      <c r="S67" s="12">
        <f>ROUND((Source!DO35/100)*ROUND((ROUND((Source!AF35*Source!AV35*Source!I35),2)),2), 2)</f>
        <v>0</v>
      </c>
      <c r="T67" s="12">
        <f>Source!Y35</f>
        <v>0</v>
      </c>
      <c r="U67" s="12">
        <f>ROUND((175/100)*ROUND((ROUND((Source!AE35*Source!AV35*Source!I35),2)),2), 2)</f>
        <v>37.869999999999997</v>
      </c>
      <c r="V67" s="12">
        <f>ROUND((160/100)*ROUND(ROUND((ROUND((Source!AE35*Source!AV35*Source!I35),2)*Source!BS35),2), 2), 2)</f>
        <v>1615.9</v>
      </c>
      <c r="AI67" s="12">
        <v>0</v>
      </c>
    </row>
    <row r="68" spans="1:35">
      <c r="C68" s="27" t="str">
        <f>"Объем: "&amp;Source!I35&amp;"=(600*"&amp;"0,6*"&amp;"0,8)/"&amp;"100*"&amp;"0,95"</f>
        <v>Объем: 2,736=(600*0,6*0,8)/100*0,95</v>
      </c>
    </row>
    <row r="69" spans="1:35" ht="15">
      <c r="A69" s="22"/>
      <c r="B69" s="22"/>
      <c r="C69" s="22" t="s">
        <v>551</v>
      </c>
      <c r="D69" s="23"/>
      <c r="E69" s="24"/>
      <c r="F69" s="25">
        <f>Source!AM35</f>
        <v>98.18</v>
      </c>
      <c r="G69" s="26" t="str">
        <f>Source!DE35</f>
        <v/>
      </c>
      <c r="H69" s="24">
        <f>Source!AV35</f>
        <v>1.014</v>
      </c>
      <c r="I69" s="25">
        <f>(ROUND((ROUND(((Source!ET35)*Source!AV35*Source!I35),2)),2)+ROUND((ROUND(((Source!AE35-(Source!EU35))*Source!AV35*Source!I35),2)),2))</f>
        <v>272.38</v>
      </c>
      <c r="J69" s="24">
        <f>IF(Source!BB35&lt;&gt; 0, Source!BB35, 1)</f>
        <v>12.99</v>
      </c>
      <c r="K69" s="25">
        <f>Source!Q35</f>
        <v>3538.22</v>
      </c>
    </row>
    <row r="70" spans="1:35" ht="15">
      <c r="A70" s="22"/>
      <c r="B70" s="22"/>
      <c r="C70" s="22" t="s">
        <v>552</v>
      </c>
      <c r="D70" s="23"/>
      <c r="E70" s="24"/>
      <c r="F70" s="25">
        <f>Source!AN35</f>
        <v>7.8</v>
      </c>
      <c r="G70" s="26" t="str">
        <f>Source!DF35</f>
        <v/>
      </c>
      <c r="H70" s="24">
        <f>Source!AV35</f>
        <v>1.014</v>
      </c>
      <c r="I70" s="28">
        <f>ROUND((ROUND((Source!AE35*Source!AV35*Source!I35),2)),2)</f>
        <v>21.64</v>
      </c>
      <c r="J70" s="24">
        <f>IF(Source!BS35&lt;&gt; 0, Source!BS35, 1)</f>
        <v>46.67</v>
      </c>
      <c r="K70" s="28">
        <f>Source!R35</f>
        <v>1009.94</v>
      </c>
      <c r="W70" s="12">
        <f>I70</f>
        <v>21.64</v>
      </c>
    </row>
    <row r="71" spans="1:35" ht="15">
      <c r="A71" s="29"/>
      <c r="B71" s="29"/>
      <c r="C71" s="29" t="s">
        <v>556</v>
      </c>
      <c r="D71" s="30" t="s">
        <v>554</v>
      </c>
      <c r="E71" s="31">
        <f>175</f>
        <v>175</v>
      </c>
      <c r="F71" s="32"/>
      <c r="G71" s="33"/>
      <c r="H71" s="31"/>
      <c r="I71" s="32">
        <f>SUM(U67:U70)</f>
        <v>37.869999999999997</v>
      </c>
      <c r="J71" s="31">
        <f>160</f>
        <v>160</v>
      </c>
      <c r="K71" s="32">
        <f>SUM(V67:V70)</f>
        <v>1615.9</v>
      </c>
    </row>
    <row r="72" spans="1:35" ht="14.25">
      <c r="C72" s="16" t="s">
        <v>559</v>
      </c>
      <c r="H72" s="49">
        <f>I69+I71+0-0-0</f>
        <v>310.25</v>
      </c>
      <c r="I72" s="49"/>
      <c r="J72" s="49">
        <f>K69+K71+0-0-0</f>
        <v>5154.12</v>
      </c>
      <c r="K72" s="49"/>
    </row>
    <row r="73" spans="1:35" ht="14.25">
      <c r="C73" s="16" t="s">
        <v>560</v>
      </c>
      <c r="H73" s="50">
        <f>0+0</f>
        <v>0</v>
      </c>
      <c r="I73" s="50"/>
      <c r="J73" s="50">
        <f>0+0</f>
        <v>0</v>
      </c>
      <c r="K73" s="50"/>
    </row>
    <row r="74" spans="1:35" ht="14.25">
      <c r="H74" s="50"/>
      <c r="I74" s="50"/>
      <c r="J74" s="50"/>
      <c r="K74" s="50"/>
      <c r="O74" s="34">
        <f>I69+I71+0</f>
        <v>310.25</v>
      </c>
      <c r="P74" s="34">
        <f>K69+K71+0</f>
        <v>5154.12</v>
      </c>
      <c r="X74" s="12">
        <f>IF(Source!BI35&lt;=1,I69+I71-0, 0)</f>
        <v>310.25</v>
      </c>
      <c r="Y74" s="12">
        <f>IF(Source!BI35=2,I69+I71-0, 0)</f>
        <v>0</v>
      </c>
      <c r="Z74" s="12">
        <f>IF(Source!BI35=3,I69+I71-0, 0)</f>
        <v>0</v>
      </c>
      <c r="AA74" s="12">
        <f>IF(Source!BI35=4,I69+I71,0)</f>
        <v>0</v>
      </c>
    </row>
    <row r="76" spans="1:35" ht="30">
      <c r="A76" s="22">
        <v>5</v>
      </c>
      <c r="B76" s="22" t="str">
        <f>Source!F37</f>
        <v>3.1-53-1</v>
      </c>
      <c r="C76" s="22" t="s">
        <v>47</v>
      </c>
      <c r="D76" s="23" t="str">
        <f>Source!H37</f>
        <v>100 м3 грунта</v>
      </c>
      <c r="E76" s="24">
        <f>Source!I37</f>
        <v>0.14399999999999999</v>
      </c>
      <c r="F76" s="25"/>
      <c r="G76" s="26"/>
      <c r="H76" s="24"/>
      <c r="I76" s="25"/>
      <c r="J76" s="24"/>
      <c r="K76" s="25"/>
      <c r="Q76" s="12">
        <f>ROUND((Source!DN37/100)*ROUND((ROUND((Source!AF37*Source!AV37*Source!I37),2)),2), 2)</f>
        <v>198.35</v>
      </c>
      <c r="R76" s="12">
        <f>Source!X37</f>
        <v>7669.89</v>
      </c>
      <c r="S76" s="12">
        <f>ROUND((Source!DO37/100)*ROUND((ROUND((Source!AF37*Source!AV37*Source!I37),2)),2), 2)</f>
        <v>145.44999999999999</v>
      </c>
      <c r="T76" s="12">
        <f>Source!Y37</f>
        <v>3614.54</v>
      </c>
      <c r="U76" s="12">
        <f>ROUND((175/100)*ROUND((ROUND((Source!AE37*Source!AV37*Source!I37),2)),2), 2)</f>
        <v>0</v>
      </c>
      <c r="V76" s="12">
        <f>ROUND((160/100)*ROUND(ROUND((ROUND((Source!AE37*Source!AV37*Source!I37),2)*Source!BS37),2), 2), 2)</f>
        <v>0</v>
      </c>
      <c r="AI76" s="12">
        <v>0</v>
      </c>
    </row>
    <row r="77" spans="1:35">
      <c r="C77" s="27" t="str">
        <f>"Объем: "&amp;Source!I37&amp;"=(600*"&amp;"0,6*"&amp;"0,8)/"&amp;"100*"&amp;"0,05"</f>
        <v>Объем: 0,144=(600*0,6*0,8)/100*0,05</v>
      </c>
    </row>
    <row r="78" spans="1:35" ht="15">
      <c r="A78" s="22"/>
      <c r="B78" s="22"/>
      <c r="C78" s="22" t="s">
        <v>550</v>
      </c>
      <c r="D78" s="23"/>
      <c r="E78" s="24"/>
      <c r="F78" s="25">
        <f>Source!AO37</f>
        <v>1051.1300000000001</v>
      </c>
      <c r="G78" s="26" t="str">
        <f>Source!DG37</f>
        <v/>
      </c>
      <c r="H78" s="24">
        <f>Source!AV37</f>
        <v>1.248</v>
      </c>
      <c r="I78" s="25">
        <f>ROUND((ROUND((Source!AF37*Source!AV37*Source!I37),2)),2)</f>
        <v>188.9</v>
      </c>
      <c r="J78" s="24">
        <f>IF(Source!BA37&lt;&gt; 0, Source!BA37, 1)</f>
        <v>46.67</v>
      </c>
      <c r="K78" s="25">
        <f>Source!S37</f>
        <v>8815.9599999999991</v>
      </c>
      <c r="W78" s="12">
        <f>I78</f>
        <v>188.9</v>
      </c>
    </row>
    <row r="79" spans="1:35" ht="15">
      <c r="A79" s="22"/>
      <c r="B79" s="22"/>
      <c r="C79" s="22" t="s">
        <v>553</v>
      </c>
      <c r="D79" s="23" t="s">
        <v>554</v>
      </c>
      <c r="E79" s="24">
        <f>Source!DN37</f>
        <v>105</v>
      </c>
      <c r="F79" s="25"/>
      <c r="G79" s="26"/>
      <c r="H79" s="24"/>
      <c r="I79" s="25">
        <f>SUM(Q76:Q78)</f>
        <v>198.35</v>
      </c>
      <c r="J79" s="24">
        <f>Source!BZ37</f>
        <v>87</v>
      </c>
      <c r="K79" s="25">
        <f>SUM(R76:R78)</f>
        <v>7669.89</v>
      </c>
    </row>
    <row r="80" spans="1:35" ht="15">
      <c r="A80" s="22"/>
      <c r="B80" s="22"/>
      <c r="C80" s="22" t="s">
        <v>555</v>
      </c>
      <c r="D80" s="23" t="s">
        <v>554</v>
      </c>
      <c r="E80" s="24">
        <f>Source!DO37</f>
        <v>77</v>
      </c>
      <c r="F80" s="25"/>
      <c r="G80" s="26"/>
      <c r="H80" s="24"/>
      <c r="I80" s="25">
        <f>SUM(S76:S79)</f>
        <v>145.44999999999999</v>
      </c>
      <c r="J80" s="24">
        <f>Source!CA37</f>
        <v>41</v>
      </c>
      <c r="K80" s="25">
        <f>SUM(T76:T79)</f>
        <v>3614.54</v>
      </c>
    </row>
    <row r="81" spans="1:35" ht="15">
      <c r="A81" s="29"/>
      <c r="B81" s="29"/>
      <c r="C81" s="29" t="s">
        <v>557</v>
      </c>
      <c r="D81" s="30" t="s">
        <v>558</v>
      </c>
      <c r="E81" s="31">
        <f>Source!AQ37</f>
        <v>107.04</v>
      </c>
      <c r="F81" s="32"/>
      <c r="G81" s="33" t="str">
        <f>Source!DI37</f>
        <v/>
      </c>
      <c r="H81" s="31">
        <f>Source!AV37</f>
        <v>1.248</v>
      </c>
      <c r="I81" s="32">
        <f>Source!U37</f>
        <v>19.23637248</v>
      </c>
      <c r="J81" s="31"/>
      <c r="K81" s="32"/>
      <c r="AB81" s="34">
        <f>I81</f>
        <v>19.23637248</v>
      </c>
    </row>
    <row r="82" spans="1:35" ht="14.25">
      <c r="C82" s="16" t="s">
        <v>559</v>
      </c>
      <c r="H82" s="49">
        <f>I78+I79+I80+0-0-0</f>
        <v>532.70000000000005</v>
      </c>
      <c r="I82" s="49"/>
      <c r="J82" s="49">
        <f>K78+K79+K80+0-0-0</f>
        <v>20100.39</v>
      </c>
      <c r="K82" s="49"/>
    </row>
    <row r="83" spans="1:35" ht="14.25">
      <c r="C83" s="16" t="s">
        <v>560</v>
      </c>
      <c r="H83" s="50">
        <f>0+0</f>
        <v>0</v>
      </c>
      <c r="I83" s="50"/>
      <c r="J83" s="50">
        <f>0+0</f>
        <v>0</v>
      </c>
      <c r="K83" s="50"/>
    </row>
    <row r="84" spans="1:35" ht="14.25">
      <c r="H84" s="50"/>
      <c r="I84" s="50"/>
      <c r="J84" s="50"/>
      <c r="K84" s="50"/>
      <c r="O84" s="34">
        <f>I78+I79+I80+0</f>
        <v>532.70000000000005</v>
      </c>
      <c r="P84" s="34">
        <f>K78+K79+K80+0</f>
        <v>20100.39</v>
      </c>
      <c r="X84" s="12">
        <f>IF(Source!BI37&lt;=1,I78+I79+I80-0, 0)</f>
        <v>532.70000000000005</v>
      </c>
      <c r="Y84" s="12">
        <f>IF(Source!BI37=2,I78+I79+I80-0, 0)</f>
        <v>0</v>
      </c>
      <c r="Z84" s="12">
        <f>IF(Source!BI37=3,I78+I79+I80-0, 0)</f>
        <v>0</v>
      </c>
      <c r="AA84" s="12">
        <f>IF(Source!BI37=4,I78+I79+I80,0)</f>
        <v>0</v>
      </c>
    </row>
    <row r="86" spans="1:35" ht="30">
      <c r="A86" s="22">
        <v>6</v>
      </c>
      <c r="B86" s="22" t="str">
        <f>Source!F39</f>
        <v>1.1-1-766</v>
      </c>
      <c r="C86" s="22" t="s">
        <v>51</v>
      </c>
      <c r="D86" s="23" t="str">
        <f>Source!H39</f>
        <v>м3</v>
      </c>
      <c r="E86" s="24">
        <f>Source!I39</f>
        <v>158.4</v>
      </c>
      <c r="F86" s="25">
        <f>Source!AL39</f>
        <v>104.99</v>
      </c>
      <c r="G86" s="26" t="str">
        <f>Source!DD39</f>
        <v/>
      </c>
      <c r="H86" s="24">
        <f>Source!AW39</f>
        <v>1</v>
      </c>
      <c r="I86" s="25">
        <f>ROUND((ROUND((Source!AC39*Source!AW39*Source!I39),2)),2)</f>
        <v>16630.419999999998</v>
      </c>
      <c r="J86" s="24">
        <f>IF(Source!BC39&lt;&gt; 0, Source!BC39, 1)</f>
        <v>8.56</v>
      </c>
      <c r="K86" s="25">
        <f>Source!P39</f>
        <v>142356.4</v>
      </c>
      <c r="Q86" s="12">
        <f>ROUND((Source!DN39/100)*ROUND((ROUND((Source!AF39*Source!AV39*Source!I39),2)),2), 2)</f>
        <v>0</v>
      </c>
      <c r="R86" s="12">
        <f>Source!X39</f>
        <v>0</v>
      </c>
      <c r="S86" s="12">
        <f>ROUND((Source!DO39/100)*ROUND((ROUND((Source!AF39*Source!AV39*Source!I39),2)),2), 2)</f>
        <v>0</v>
      </c>
      <c r="T86" s="12">
        <f>Source!Y39</f>
        <v>0</v>
      </c>
      <c r="U86" s="12">
        <f>ROUND((175/100)*ROUND((ROUND((Source!AE39*Source!AV39*Source!I39),2)),2), 2)</f>
        <v>0</v>
      </c>
      <c r="V86" s="12">
        <f>ROUND((160/100)*ROUND(ROUND((ROUND((Source!AE39*Source!AV39*Source!I39),2)*Source!BS39),2), 2), 2)</f>
        <v>0</v>
      </c>
      <c r="AI86" s="12">
        <v>3</v>
      </c>
    </row>
    <row r="87" spans="1:35">
      <c r="A87" s="35"/>
      <c r="B87" s="35"/>
      <c r="C87" s="36" t="str">
        <f>"Объем: "&amp;Source!I39&amp;"="&amp;Source!I29&amp;"*"&amp;"100*"&amp;"1,1"</f>
        <v>Объем: 158,4=1,44*100*1,1</v>
      </c>
      <c r="D87" s="35"/>
      <c r="E87" s="35"/>
      <c r="F87" s="35"/>
      <c r="G87" s="35"/>
      <c r="H87" s="35"/>
      <c r="I87" s="35"/>
      <c r="J87" s="35"/>
      <c r="K87" s="35"/>
    </row>
    <row r="88" spans="1:35" ht="14.25">
      <c r="C88" s="16" t="s">
        <v>561</v>
      </c>
      <c r="H88" s="49">
        <f>I86+0</f>
        <v>16630.419999999998</v>
      </c>
      <c r="I88" s="49"/>
      <c r="J88" s="49">
        <f>K86+0</f>
        <v>142356.4</v>
      </c>
      <c r="K88" s="49"/>
      <c r="O88" s="34">
        <f>I86+0</f>
        <v>16630.419999999998</v>
      </c>
      <c r="P88" s="34">
        <f>K86+0</f>
        <v>142356.4</v>
      </c>
      <c r="X88" s="12">
        <f>IF(Source!BI39&lt;=1,I86-0, 0)</f>
        <v>16630.419999999998</v>
      </c>
      <c r="Y88" s="12">
        <f>IF(Source!BI39=2,I86-0, 0)</f>
        <v>0</v>
      </c>
      <c r="Z88" s="12">
        <f>IF(Source!BI39=3,I86-0, 0)</f>
        <v>0</v>
      </c>
      <c r="AA88" s="12">
        <f>IF(Source!BI39=4,I86,0)</f>
        <v>0</v>
      </c>
    </row>
    <row r="90" spans="1:35" ht="45">
      <c r="A90" s="22">
        <v>7</v>
      </c>
      <c r="B90" s="22" t="str">
        <f>Source!F41</f>
        <v>3.1-29-1</v>
      </c>
      <c r="C90" s="22" t="s">
        <v>59</v>
      </c>
      <c r="D90" s="23" t="str">
        <f>Source!H41</f>
        <v>100 м3 уплотненного грунта</v>
      </c>
      <c r="E90" s="24">
        <f>Source!I41</f>
        <v>2.7360000000000002</v>
      </c>
      <c r="F90" s="25"/>
      <c r="G90" s="26"/>
      <c r="H90" s="24"/>
      <c r="I90" s="25"/>
      <c r="J90" s="24"/>
      <c r="K90" s="25"/>
      <c r="Q90" s="12">
        <f>ROUND((Source!DN41/100)*ROUND((ROUND((Source!AF41*Source!AV41*Source!I41),2)),2), 2)</f>
        <v>338.95</v>
      </c>
      <c r="R90" s="12">
        <f>Source!X41</f>
        <v>15173.25</v>
      </c>
      <c r="S90" s="12">
        <f>ROUND((Source!DO41/100)*ROUND((ROUND((Source!AF41*Source!AV41*Source!I41),2)),2), 2)</f>
        <v>266.32</v>
      </c>
      <c r="T90" s="12">
        <f>Source!Y41</f>
        <v>8232.2900000000009</v>
      </c>
      <c r="U90" s="12">
        <f>ROUND((175/100)*ROUND((ROUND((Source!AE41*Source!AV41*Source!I41),2)),2), 2)</f>
        <v>664.28</v>
      </c>
      <c r="V90" s="12">
        <f>ROUND((160/100)*ROUND(ROUND((ROUND((Source!AE41*Source!AV41*Source!I41),2)*Source!BS41),2), 2), 2)</f>
        <v>28344.75</v>
      </c>
      <c r="AI90" s="12">
        <v>0</v>
      </c>
    </row>
    <row r="91" spans="1:35" ht="15">
      <c r="A91" s="22"/>
      <c r="B91" s="22"/>
      <c r="C91" s="22" t="s">
        <v>550</v>
      </c>
      <c r="D91" s="23"/>
      <c r="E91" s="24"/>
      <c r="F91" s="25">
        <f>Source!AO41</f>
        <v>120.74</v>
      </c>
      <c r="G91" s="26" t="str">
        <f>Source!DG41</f>
        <v/>
      </c>
      <c r="H91" s="24">
        <f>Source!AV41</f>
        <v>1.0469999999999999</v>
      </c>
      <c r="I91" s="25">
        <f>ROUND((ROUND((Source!AF41*Source!AV41*Source!I41),2)),2)</f>
        <v>345.87</v>
      </c>
      <c r="J91" s="24">
        <f>IF(Source!BA41&lt;&gt; 0, Source!BA41, 1)</f>
        <v>46.67</v>
      </c>
      <c r="K91" s="25">
        <f>Source!S41</f>
        <v>16141.75</v>
      </c>
      <c r="W91" s="12">
        <f>I91</f>
        <v>345.87</v>
      </c>
    </row>
    <row r="92" spans="1:35" ht="15">
      <c r="A92" s="22"/>
      <c r="B92" s="22"/>
      <c r="C92" s="22" t="s">
        <v>551</v>
      </c>
      <c r="D92" s="23"/>
      <c r="E92" s="24"/>
      <c r="F92" s="25">
        <f>Source!AM41</f>
        <v>437.33</v>
      </c>
      <c r="G92" s="26" t="str">
        <f>Source!DE41</f>
        <v/>
      </c>
      <c r="H92" s="24">
        <f>Source!AV41</f>
        <v>1.0469999999999999</v>
      </c>
      <c r="I92" s="25">
        <f>(ROUND((ROUND(((Source!ET41)*Source!AV41*Source!I41),2)),2)+ROUND((ROUND(((Source!AE41-(Source!EU41))*Source!AV41*Source!I41),2)),2))</f>
        <v>1252.77</v>
      </c>
      <c r="J92" s="24">
        <f>IF(Source!BB41&lt;&gt; 0, Source!BB41, 1)</f>
        <v>21.81</v>
      </c>
      <c r="K92" s="25">
        <f>Source!Q41</f>
        <v>27322.91</v>
      </c>
    </row>
    <row r="93" spans="1:35" ht="15">
      <c r="A93" s="22"/>
      <c r="B93" s="22"/>
      <c r="C93" s="22" t="s">
        <v>552</v>
      </c>
      <c r="D93" s="23"/>
      <c r="E93" s="24"/>
      <c r="F93" s="25">
        <f>Source!AN41</f>
        <v>132.51</v>
      </c>
      <c r="G93" s="26" t="str">
        <f>Source!DF41</f>
        <v/>
      </c>
      <c r="H93" s="24">
        <f>Source!AV41</f>
        <v>1.0469999999999999</v>
      </c>
      <c r="I93" s="28">
        <f>ROUND((ROUND((Source!AE41*Source!AV41*Source!I41),2)),2)</f>
        <v>379.59</v>
      </c>
      <c r="J93" s="24">
        <f>IF(Source!BS41&lt;&gt; 0, Source!BS41, 1)</f>
        <v>46.67</v>
      </c>
      <c r="K93" s="28">
        <f>Source!R41</f>
        <v>17715.47</v>
      </c>
      <c r="W93" s="12">
        <f>I93</f>
        <v>379.59</v>
      </c>
    </row>
    <row r="94" spans="1:35" ht="15">
      <c r="A94" s="22"/>
      <c r="B94" s="22"/>
      <c r="C94" s="22" t="s">
        <v>553</v>
      </c>
      <c r="D94" s="23" t="s">
        <v>554</v>
      </c>
      <c r="E94" s="24">
        <f>Source!DN41</f>
        <v>98</v>
      </c>
      <c r="F94" s="25"/>
      <c r="G94" s="26"/>
      <c r="H94" s="24"/>
      <c r="I94" s="25">
        <f>SUM(Q90:Q93)</f>
        <v>338.95</v>
      </c>
      <c r="J94" s="24">
        <f>Source!BZ41</f>
        <v>94</v>
      </c>
      <c r="K94" s="25">
        <f>SUM(R90:R93)</f>
        <v>15173.25</v>
      </c>
    </row>
    <row r="95" spans="1:35" ht="15">
      <c r="A95" s="22"/>
      <c r="B95" s="22"/>
      <c r="C95" s="22" t="s">
        <v>555</v>
      </c>
      <c r="D95" s="23" t="s">
        <v>554</v>
      </c>
      <c r="E95" s="24">
        <f>Source!DO41</f>
        <v>77</v>
      </c>
      <c r="F95" s="25"/>
      <c r="G95" s="26"/>
      <c r="H95" s="24"/>
      <c r="I95" s="25">
        <f>SUM(S90:S94)</f>
        <v>266.32</v>
      </c>
      <c r="J95" s="24">
        <f>Source!CA41</f>
        <v>51</v>
      </c>
      <c r="K95" s="25">
        <f>SUM(T90:T94)</f>
        <v>8232.2900000000009</v>
      </c>
    </row>
    <row r="96" spans="1:35" ht="15">
      <c r="A96" s="22"/>
      <c r="B96" s="22"/>
      <c r="C96" s="22" t="s">
        <v>556</v>
      </c>
      <c r="D96" s="23" t="s">
        <v>554</v>
      </c>
      <c r="E96" s="24">
        <f>175</f>
        <v>175</v>
      </c>
      <c r="F96" s="25"/>
      <c r="G96" s="26"/>
      <c r="H96" s="24"/>
      <c r="I96" s="25">
        <f>SUM(U90:U95)</f>
        <v>664.28</v>
      </c>
      <c r="J96" s="24">
        <f>160</f>
        <v>160</v>
      </c>
      <c r="K96" s="25">
        <f>SUM(V90:V95)</f>
        <v>28344.75</v>
      </c>
    </row>
    <row r="97" spans="1:35" ht="15">
      <c r="A97" s="29"/>
      <c r="B97" s="29"/>
      <c r="C97" s="29" t="s">
        <v>557</v>
      </c>
      <c r="D97" s="30" t="s">
        <v>558</v>
      </c>
      <c r="E97" s="31">
        <f>Source!AQ41</f>
        <v>10.8</v>
      </c>
      <c r="F97" s="32"/>
      <c r="G97" s="33" t="str">
        <f>Source!DI41</f>
        <v/>
      </c>
      <c r="H97" s="31">
        <f>Source!AV41</f>
        <v>1.0469999999999999</v>
      </c>
      <c r="I97" s="32">
        <f>Source!U41</f>
        <v>30.937593600000003</v>
      </c>
      <c r="J97" s="31"/>
      <c r="K97" s="32"/>
      <c r="AB97" s="34">
        <f>I97</f>
        <v>30.937593600000003</v>
      </c>
    </row>
    <row r="98" spans="1:35" ht="14.25">
      <c r="C98" s="16" t="s">
        <v>559</v>
      </c>
      <c r="H98" s="49">
        <f>I91+I92+I94+I95+I96+0-0-0</f>
        <v>2868.1899999999996</v>
      </c>
      <c r="I98" s="49"/>
      <c r="J98" s="49">
        <f>K91+K92+K94+K95+K96+0-0-0</f>
        <v>95214.950000000012</v>
      </c>
      <c r="K98" s="49"/>
    </row>
    <row r="99" spans="1:35" ht="14.25">
      <c r="C99" s="16" t="s">
        <v>560</v>
      </c>
      <c r="H99" s="50">
        <f>0+0</f>
        <v>0</v>
      </c>
      <c r="I99" s="50"/>
      <c r="J99" s="50">
        <f>0+0</f>
        <v>0</v>
      </c>
      <c r="K99" s="50"/>
    </row>
    <row r="100" spans="1:35" ht="14.25">
      <c r="H100" s="50"/>
      <c r="I100" s="50"/>
      <c r="J100" s="50"/>
      <c r="K100" s="50"/>
      <c r="O100" s="34">
        <f>I91+I92+I94+I95+I96+0</f>
        <v>2868.1899999999996</v>
      </c>
      <c r="P100" s="34">
        <f>K91+K92+K94+K95+K96+0</f>
        <v>95214.950000000012</v>
      </c>
      <c r="X100" s="12">
        <f>IF(Source!BI41&lt;=1,I91+I92+I94+I95+I96-0, 0)</f>
        <v>2868.1899999999996</v>
      </c>
      <c r="Y100" s="12">
        <f>IF(Source!BI41=2,I91+I92+I94+I95+I96-0, 0)</f>
        <v>0</v>
      </c>
      <c r="Z100" s="12">
        <f>IF(Source!BI41=3,I91+I92+I94+I95+I96-0, 0)</f>
        <v>0</v>
      </c>
      <c r="AA100" s="12">
        <f>IF(Source!BI41=4,I91+I92+I94+I95+I96,0)</f>
        <v>0</v>
      </c>
    </row>
    <row r="103" spans="1:35" ht="14.25">
      <c r="A103" s="54" t="str">
        <f>CONCATENATE("Итого по разделу: ",IF(Source!G43&lt;&gt;"Новый раздел", Source!G43, ""))</f>
        <v>Итого по разделу: Земляные работы</v>
      </c>
      <c r="B103" s="54"/>
      <c r="C103" s="54"/>
      <c r="D103" s="54"/>
      <c r="E103" s="54"/>
      <c r="F103" s="54"/>
      <c r="G103" s="54"/>
      <c r="H103" s="50">
        <f>SUM(O30:O102)</f>
        <v>29518.839999999997</v>
      </c>
      <c r="I103" s="53"/>
      <c r="J103" s="50">
        <f>SUM(P30:P102)</f>
        <v>534448.87000000011</v>
      </c>
      <c r="K103" s="53"/>
    </row>
    <row r="104" spans="1:35" hidden="1">
      <c r="A104" s="12" t="s">
        <v>562</v>
      </c>
      <c r="H104" s="12">
        <f>SUM(AC30:AC103)</f>
        <v>0</v>
      </c>
      <c r="J104" s="12">
        <f>SUM(AD30:AD103)</f>
        <v>0</v>
      </c>
    </row>
    <row r="105" spans="1:35" hidden="1">
      <c r="A105" s="12" t="s">
        <v>563</v>
      </c>
      <c r="H105" s="12">
        <f>SUM(AE30:AE104)</f>
        <v>0</v>
      </c>
      <c r="J105" s="12">
        <f>SUM(AF30:AF104)</f>
        <v>0</v>
      </c>
    </row>
    <row r="107" spans="1:35" ht="16.5">
      <c r="A107" s="39" t="str">
        <f>CONCATENATE("Раздел: ",IF(Source!G73&lt;&gt;"Новый раздел", Source!G73, ""))</f>
        <v>Раздел: Строительные работы</v>
      </c>
      <c r="B107" s="39"/>
      <c r="C107" s="39"/>
      <c r="D107" s="39"/>
      <c r="E107" s="39"/>
      <c r="F107" s="39"/>
      <c r="G107" s="39"/>
      <c r="H107" s="39"/>
      <c r="I107" s="39"/>
      <c r="J107" s="39"/>
      <c r="K107" s="39"/>
    </row>
    <row r="109" spans="1:35" ht="14.25">
      <c r="B109" s="55" t="str">
        <f>Source!G77</f>
        <v>от РТП 27044 до ТП 27616</v>
      </c>
      <c r="C109" s="55"/>
      <c r="D109" s="55"/>
      <c r="E109" s="55"/>
      <c r="F109" s="55"/>
      <c r="G109" s="55"/>
      <c r="H109" s="55"/>
      <c r="I109" s="55"/>
      <c r="J109" s="55"/>
    </row>
    <row r="110" spans="1:35" ht="60">
      <c r="A110" s="22">
        <v>8</v>
      </c>
      <c r="B110" s="22" t="str">
        <f>Source!F79</f>
        <v>6.69-2-4</v>
      </c>
      <c r="C110" s="22" t="s">
        <v>121</v>
      </c>
      <c r="D110" s="23" t="str">
        <f>Source!H79</f>
        <v>100 отверстий</v>
      </c>
      <c r="E110" s="24">
        <f>Source!I79</f>
        <v>0.02</v>
      </c>
      <c r="F110" s="25"/>
      <c r="G110" s="26"/>
      <c r="H110" s="24"/>
      <c r="I110" s="25"/>
      <c r="J110" s="24"/>
      <c r="K110" s="25"/>
      <c r="Q110" s="12">
        <f>ROUND((Source!DN79/100)*ROUND((ROUND((Source!AF79*Source!AV79*Source!I79),2)),2), 2)</f>
        <v>47.85</v>
      </c>
      <c r="R110" s="12">
        <f>Source!X79</f>
        <v>1840.43</v>
      </c>
      <c r="S110" s="12">
        <f>ROUND((Source!DO79/100)*ROUND((ROUND((Source!AF79*Source!AV79*Source!I79),2)),2), 2)</f>
        <v>36.81</v>
      </c>
      <c r="T110" s="12">
        <f>Source!Y79</f>
        <v>1006.1</v>
      </c>
      <c r="U110" s="12">
        <f>ROUND((175/100)*ROUND((ROUND((Source!AE79*Source!AV79*Source!I79),2)),2), 2)</f>
        <v>46.25</v>
      </c>
      <c r="V110" s="12">
        <f>ROUND((160/100)*ROUND(ROUND((ROUND((Source!AE79*Source!AV79*Source!I79),2)*Source!BS79),2), 2), 2)</f>
        <v>1973.58</v>
      </c>
      <c r="AI110" s="12">
        <v>0</v>
      </c>
    </row>
    <row r="111" spans="1:35">
      <c r="C111" s="27" t="str">
        <f>"Объем: "&amp;Source!I79&amp;"=(2)/"&amp;"100"</f>
        <v>Объем: 0,02=(2)/100</v>
      </c>
    </row>
    <row r="112" spans="1:35" ht="15">
      <c r="A112" s="22"/>
      <c r="B112" s="22"/>
      <c r="C112" s="22" t="s">
        <v>550</v>
      </c>
      <c r="D112" s="23"/>
      <c r="E112" s="24"/>
      <c r="F112" s="25">
        <f>Source!AO79</f>
        <v>2511.14</v>
      </c>
      <c r="G112" s="26" t="str">
        <f>Source!DG79</f>
        <v/>
      </c>
      <c r="H112" s="24">
        <f>Source!AV79</f>
        <v>1.0469999999999999</v>
      </c>
      <c r="I112" s="25">
        <f>ROUND((ROUND((Source!AF79*Source!AV79*Source!I79),2)),2)</f>
        <v>52.58</v>
      </c>
      <c r="J112" s="24">
        <f>IF(Source!BA79&lt;&gt; 0, Source!BA79, 1)</f>
        <v>46.67</v>
      </c>
      <c r="K112" s="25">
        <f>Source!S79</f>
        <v>2453.91</v>
      </c>
      <c r="W112" s="12">
        <f>I112</f>
        <v>52.58</v>
      </c>
    </row>
    <row r="113" spans="1:35" ht="15">
      <c r="A113" s="22"/>
      <c r="B113" s="22"/>
      <c r="C113" s="22" t="s">
        <v>551</v>
      </c>
      <c r="D113" s="23"/>
      <c r="E113" s="24"/>
      <c r="F113" s="25">
        <f>Source!AM79</f>
        <v>3548</v>
      </c>
      <c r="G113" s="26" t="str">
        <f>Source!DE79</f>
        <v/>
      </c>
      <c r="H113" s="24">
        <f>Source!AV79</f>
        <v>1.0469999999999999</v>
      </c>
      <c r="I113" s="25">
        <f>(ROUND((ROUND(((Source!ET79)*Source!AV79*Source!I79),2)),2)+ROUND((ROUND(((Source!AE79-(Source!EU79))*Source!AV79*Source!I79),2)),2))</f>
        <v>74.3</v>
      </c>
      <c r="J113" s="24">
        <f>IF(Source!BB79&lt;&gt; 0, Source!BB79, 1)</f>
        <v>23.69</v>
      </c>
      <c r="K113" s="25">
        <f>Source!Q79</f>
        <v>1760.17</v>
      </c>
    </row>
    <row r="114" spans="1:35" ht="15">
      <c r="A114" s="22"/>
      <c r="B114" s="22"/>
      <c r="C114" s="22" t="s">
        <v>552</v>
      </c>
      <c r="D114" s="23"/>
      <c r="E114" s="24"/>
      <c r="F114" s="25">
        <f>Source!AN79</f>
        <v>1262</v>
      </c>
      <c r="G114" s="26" t="str">
        <f>Source!DF79</f>
        <v/>
      </c>
      <c r="H114" s="24">
        <f>Source!AV79</f>
        <v>1.0469999999999999</v>
      </c>
      <c r="I114" s="28">
        <f>ROUND((ROUND((Source!AE79*Source!AV79*Source!I79),2)),2)</f>
        <v>26.43</v>
      </c>
      <c r="J114" s="24">
        <f>IF(Source!BS79&lt;&gt; 0, Source!BS79, 1)</f>
        <v>46.67</v>
      </c>
      <c r="K114" s="28">
        <f>Source!R79</f>
        <v>1233.49</v>
      </c>
      <c r="W114" s="12">
        <f>I114</f>
        <v>26.43</v>
      </c>
    </row>
    <row r="115" spans="1:35" ht="15">
      <c r="A115" s="22"/>
      <c r="B115" s="22"/>
      <c r="C115" s="22" t="s">
        <v>553</v>
      </c>
      <c r="D115" s="23" t="s">
        <v>554</v>
      </c>
      <c r="E115" s="24">
        <f>Source!DN79</f>
        <v>91</v>
      </c>
      <c r="F115" s="25"/>
      <c r="G115" s="26"/>
      <c r="H115" s="24"/>
      <c r="I115" s="25">
        <f>SUM(Q110:Q114)</f>
        <v>47.85</v>
      </c>
      <c r="J115" s="24">
        <f>Source!BZ79</f>
        <v>75</v>
      </c>
      <c r="K115" s="25">
        <f>SUM(R110:R114)</f>
        <v>1840.43</v>
      </c>
    </row>
    <row r="116" spans="1:35" ht="15">
      <c r="A116" s="22"/>
      <c r="B116" s="22"/>
      <c r="C116" s="22" t="s">
        <v>555</v>
      </c>
      <c r="D116" s="23" t="s">
        <v>554</v>
      </c>
      <c r="E116" s="24">
        <f>Source!DO79</f>
        <v>70</v>
      </c>
      <c r="F116" s="25"/>
      <c r="G116" s="26"/>
      <c r="H116" s="24"/>
      <c r="I116" s="25">
        <f>SUM(S110:S115)</f>
        <v>36.81</v>
      </c>
      <c r="J116" s="24">
        <f>Source!CA79</f>
        <v>41</v>
      </c>
      <c r="K116" s="25">
        <f>SUM(T110:T115)</f>
        <v>1006.1</v>
      </c>
    </row>
    <row r="117" spans="1:35" ht="15">
      <c r="A117" s="22"/>
      <c r="B117" s="22"/>
      <c r="C117" s="22" t="s">
        <v>556</v>
      </c>
      <c r="D117" s="23" t="s">
        <v>554</v>
      </c>
      <c r="E117" s="24">
        <f>175</f>
        <v>175</v>
      </c>
      <c r="F117" s="25"/>
      <c r="G117" s="26"/>
      <c r="H117" s="24"/>
      <c r="I117" s="25">
        <f>SUM(U110:U116)</f>
        <v>46.25</v>
      </c>
      <c r="J117" s="24">
        <f>160</f>
        <v>160</v>
      </c>
      <c r="K117" s="25">
        <f>SUM(V110:V116)</f>
        <v>1973.58</v>
      </c>
    </row>
    <row r="118" spans="1:35" ht="15">
      <c r="A118" s="29"/>
      <c r="B118" s="29"/>
      <c r="C118" s="29" t="s">
        <v>557</v>
      </c>
      <c r="D118" s="30" t="s">
        <v>558</v>
      </c>
      <c r="E118" s="31">
        <f>Source!AQ79</f>
        <v>206</v>
      </c>
      <c r="F118" s="32"/>
      <c r="G118" s="33" t="str">
        <f>Source!DI79</f>
        <v/>
      </c>
      <c r="H118" s="31">
        <f>Source!AV79</f>
        <v>1.0469999999999999</v>
      </c>
      <c r="I118" s="32">
        <f>Source!U79</f>
        <v>4.3136399999999995</v>
      </c>
      <c r="J118" s="31"/>
      <c r="K118" s="32"/>
      <c r="AB118" s="34">
        <f>I118</f>
        <v>4.3136399999999995</v>
      </c>
    </row>
    <row r="119" spans="1:35" ht="14.25">
      <c r="C119" s="16" t="s">
        <v>559</v>
      </c>
      <c r="H119" s="49">
        <f>I112+I113+I115+I116+I117+0-0-0</f>
        <v>257.78999999999996</v>
      </c>
      <c r="I119" s="49"/>
      <c r="J119" s="49">
        <f>K112+K113+K115+K116+K117+0-0-0</f>
        <v>9034.19</v>
      </c>
      <c r="K119" s="49"/>
    </row>
    <row r="120" spans="1:35" ht="14.25">
      <c r="C120" s="16" t="s">
        <v>560</v>
      </c>
      <c r="H120" s="50">
        <f>0+0</f>
        <v>0</v>
      </c>
      <c r="I120" s="50"/>
      <c r="J120" s="50">
        <f>0+0</f>
        <v>0</v>
      </c>
      <c r="K120" s="50"/>
    </row>
    <row r="121" spans="1:35" ht="14.25">
      <c r="H121" s="50"/>
      <c r="I121" s="50"/>
      <c r="J121" s="50"/>
      <c r="K121" s="50"/>
      <c r="O121" s="34">
        <f>I112+I113+I115+I116+I117+0</f>
        <v>257.78999999999996</v>
      </c>
      <c r="P121" s="34">
        <f>K112+K113+K115+K116+K117+0</f>
        <v>9034.19</v>
      </c>
      <c r="X121" s="12">
        <f>IF(Source!BI79&lt;=1,I112+I113+I115+I116+I117-0, 0)</f>
        <v>257.78999999999996</v>
      </c>
      <c r="Y121" s="12">
        <f>IF(Source!BI79=2,I112+I113+I115+I116+I117-0, 0)</f>
        <v>0</v>
      </c>
      <c r="Z121" s="12">
        <f>IF(Source!BI79=3,I112+I113+I115+I116+I117-0, 0)</f>
        <v>0</v>
      </c>
      <c r="AA121" s="12">
        <f>IF(Source!BI79=4,I112+I113+I115+I116+I117,0)</f>
        <v>0</v>
      </c>
    </row>
    <row r="123" spans="1:35" ht="60">
      <c r="A123" s="22">
        <v>9</v>
      </c>
      <c r="B123" s="22" t="str">
        <f>Source!F87</f>
        <v>3.34-17-2</v>
      </c>
      <c r="C123" s="22" t="s">
        <v>142</v>
      </c>
      <c r="D123" s="23" t="str">
        <f>Source!H87</f>
        <v>1 канало-километр трубопровода</v>
      </c>
      <c r="E123" s="24">
        <f>Source!I87</f>
        <v>6.0000000000000001E-3</v>
      </c>
      <c r="F123" s="25"/>
      <c r="G123" s="26"/>
      <c r="H123" s="24"/>
      <c r="I123" s="25"/>
      <c r="J123" s="24"/>
      <c r="K123" s="25"/>
      <c r="Q123" s="12">
        <f>ROUND((Source!DN87/100)*ROUND((ROUND((Source!AF87*Source!AV87*Source!I87),2)),2), 2)</f>
        <v>13.07</v>
      </c>
      <c r="R123" s="12">
        <f>Source!X87</f>
        <v>501.07</v>
      </c>
      <c r="S123" s="12">
        <f>ROUND((Source!DO87/100)*ROUND((ROUND((Source!AF87*Source!AV87*Source!I87),2)),2), 2)</f>
        <v>8.17</v>
      </c>
      <c r="T123" s="12">
        <f>Source!Y87</f>
        <v>223.3</v>
      </c>
      <c r="U123" s="12">
        <f>ROUND((175/100)*ROUND((ROUND((Source!AE87*Source!AV87*Source!I87),2)),2), 2)</f>
        <v>0</v>
      </c>
      <c r="V123" s="12">
        <f>ROUND((160/100)*ROUND(ROUND((ROUND((Source!AE87*Source!AV87*Source!I87),2)*Source!BS87),2), 2), 2)</f>
        <v>0</v>
      </c>
      <c r="AI123" s="12">
        <v>0</v>
      </c>
    </row>
    <row r="124" spans="1:35">
      <c r="C124" s="27" t="str">
        <f>"Объем: "&amp;Source!I87&amp;"=1*"&amp;"2*"&amp;"3/"&amp;"1000"</f>
        <v>Объем: 0,006=1*2*3/1000</v>
      </c>
    </row>
    <row r="125" spans="1:35" ht="15">
      <c r="A125" s="22"/>
      <c r="B125" s="22"/>
      <c r="C125" s="22" t="s">
        <v>550</v>
      </c>
      <c r="D125" s="23"/>
      <c r="E125" s="24"/>
      <c r="F125" s="25">
        <f>Source!AO87</f>
        <v>1822.34</v>
      </c>
      <c r="G125" s="26" t="str">
        <f>Source!DG87</f>
        <v/>
      </c>
      <c r="H125" s="24">
        <f>Source!AV87</f>
        <v>1.0669999999999999</v>
      </c>
      <c r="I125" s="25">
        <f>ROUND((ROUND((Source!AF87*Source!AV87*Source!I87),2)),2)</f>
        <v>11.67</v>
      </c>
      <c r="J125" s="24">
        <f>IF(Source!BA87&lt;&gt; 0, Source!BA87, 1)</f>
        <v>46.67</v>
      </c>
      <c r="K125" s="25">
        <f>Source!S87</f>
        <v>544.64</v>
      </c>
      <c r="W125" s="12">
        <f>I125</f>
        <v>11.67</v>
      </c>
    </row>
    <row r="126" spans="1:35" ht="15">
      <c r="A126" s="22"/>
      <c r="B126" s="22"/>
      <c r="C126" s="22" t="s">
        <v>564</v>
      </c>
      <c r="D126" s="23"/>
      <c r="E126" s="24"/>
      <c r="F126" s="25">
        <f>Source!AL87</f>
        <v>20280.93</v>
      </c>
      <c r="G126" s="26" t="str">
        <f>Source!DD87</f>
        <v/>
      </c>
      <c r="H126" s="24">
        <f>Source!AW87</f>
        <v>1.081</v>
      </c>
      <c r="I126" s="25">
        <f>ROUND((ROUND((Source!AC87*Source!AW87*Source!I87),2)),2)</f>
        <v>131.54</v>
      </c>
      <c r="J126" s="24">
        <f>IF(Source!BC87&lt;&gt; 0, Source!BC87, 1)</f>
        <v>8.26</v>
      </c>
      <c r="K126" s="25">
        <f>Source!P87</f>
        <v>1086.52</v>
      </c>
    </row>
    <row r="127" spans="1:35" ht="45">
      <c r="A127" s="22" t="s">
        <v>144</v>
      </c>
      <c r="B127" s="22" t="str">
        <f>Source!F89</f>
        <v>1.12-3-25</v>
      </c>
      <c r="C127" s="22" t="s">
        <v>134</v>
      </c>
      <c r="D127" s="23" t="str">
        <f>Source!H89</f>
        <v>м</v>
      </c>
      <c r="E127" s="24">
        <f>Source!I89</f>
        <v>-6</v>
      </c>
      <c r="F127" s="25">
        <f>Source!AK89</f>
        <v>15.01</v>
      </c>
      <c r="G127" s="37" t="s">
        <v>4</v>
      </c>
      <c r="H127" s="24">
        <f>Source!AW89</f>
        <v>1.081</v>
      </c>
      <c r="I127" s="25">
        <f>ROUND((ROUND((Source!AC89*Source!AW89*Source!I89),2)),2)+(ROUND((ROUND(((Source!ET89)*Source!AV89*Source!I89),2)),2)+ROUND((ROUND(((Source!AE89-(Source!EU89))*Source!AV89*Source!I89),2)),2))+ROUND((ROUND((Source!AF89*Source!AV89*Source!I89),2)),2)</f>
        <v>-97.35</v>
      </c>
      <c r="J127" s="24">
        <f>IF(Source!BC89&lt;&gt; 0, Source!BC89, 1)</f>
        <v>9.18</v>
      </c>
      <c r="K127" s="25">
        <f>Source!O89</f>
        <v>-893.67</v>
      </c>
      <c r="Q127" s="12">
        <f>ROUND((Source!DN89/100)*ROUND((ROUND((Source!AF89*Source!AV89*Source!I89),2)),2), 2)</f>
        <v>0</v>
      </c>
      <c r="R127" s="12">
        <f>Source!X89</f>
        <v>0</v>
      </c>
      <c r="S127" s="12">
        <f>ROUND((Source!DO89/100)*ROUND((ROUND((Source!AF89*Source!AV89*Source!I89),2)),2), 2)</f>
        <v>0</v>
      </c>
      <c r="T127" s="12">
        <f>Source!Y89</f>
        <v>0</v>
      </c>
      <c r="U127" s="12">
        <f>ROUND((175/100)*ROUND((ROUND((Source!AE89*Source!AV89*Source!I89),2)),2), 2)</f>
        <v>0</v>
      </c>
      <c r="V127" s="12">
        <f>ROUND((160/100)*ROUND(ROUND((ROUND((Source!AE89*Source!AV89*Source!I89),2)*Source!BS89),2), 2), 2)</f>
        <v>0</v>
      </c>
      <c r="X127" s="12">
        <f>IF(Source!BI89&lt;=1,I127, 0)</f>
        <v>-97.35</v>
      </c>
      <c r="Y127" s="12">
        <f>IF(Source!BI89=2,I127, 0)</f>
        <v>0</v>
      </c>
      <c r="Z127" s="12">
        <f>IF(Source!BI89=3,I127, 0)</f>
        <v>0</v>
      </c>
      <c r="AA127" s="12">
        <f>IF(Source!BI89=4,I127, 0)</f>
        <v>0</v>
      </c>
      <c r="AI127" s="12">
        <v>3</v>
      </c>
    </row>
    <row r="128" spans="1:35" ht="45">
      <c r="A128" s="22" t="s">
        <v>145</v>
      </c>
      <c r="B128" s="22" t="str">
        <f>Source!F91</f>
        <v>1.12-3-26</v>
      </c>
      <c r="C128" s="22" t="s">
        <v>138</v>
      </c>
      <c r="D128" s="23" t="str">
        <f>Source!H91</f>
        <v>м</v>
      </c>
      <c r="E128" s="24">
        <f>Source!I91</f>
        <v>6</v>
      </c>
      <c r="F128" s="25">
        <f>Source!AK91</f>
        <v>24.4</v>
      </c>
      <c r="G128" s="37" t="s">
        <v>4</v>
      </c>
      <c r="H128" s="24">
        <f>Source!AW91</f>
        <v>1</v>
      </c>
      <c r="I128" s="25">
        <f>ROUND((ROUND((Source!AC91*Source!AW91*Source!I91),2)),2)+(ROUND((ROUND(((Source!ET91)*Source!AV91*Source!I91),2)),2)+ROUND((ROUND(((Source!AE91-(Source!EU91))*Source!AV91*Source!I91),2)),2))+ROUND((ROUND((Source!AF91*Source!AV91*Source!I91),2)),2)</f>
        <v>146.4</v>
      </c>
      <c r="J128" s="24">
        <f>IF(Source!BC91&lt;&gt; 0, Source!BC91, 1)</f>
        <v>9.2799999999999994</v>
      </c>
      <c r="K128" s="25">
        <f>Source!O91</f>
        <v>1358.59</v>
      </c>
      <c r="Q128" s="12">
        <f>ROUND((Source!DN91/100)*ROUND((ROUND((Source!AF91*Source!AV91*Source!I91),2)),2), 2)</f>
        <v>0</v>
      </c>
      <c r="R128" s="12">
        <f>Source!X91</f>
        <v>0</v>
      </c>
      <c r="S128" s="12">
        <f>ROUND((Source!DO91/100)*ROUND((ROUND((Source!AF91*Source!AV91*Source!I91),2)),2), 2)</f>
        <v>0</v>
      </c>
      <c r="T128" s="12">
        <f>Source!Y91</f>
        <v>0</v>
      </c>
      <c r="U128" s="12">
        <f>ROUND((175/100)*ROUND((ROUND((Source!AE91*Source!AV91*Source!I91),2)),2), 2)</f>
        <v>0</v>
      </c>
      <c r="V128" s="12">
        <f>ROUND((160/100)*ROUND(ROUND((ROUND((Source!AE91*Source!AV91*Source!I91),2)*Source!BS91),2), 2), 2)</f>
        <v>0</v>
      </c>
      <c r="X128" s="12">
        <f>IF(Source!BI91&lt;=1,I128, 0)</f>
        <v>146.4</v>
      </c>
      <c r="Y128" s="12">
        <f>IF(Source!BI91=2,I128, 0)</f>
        <v>0</v>
      </c>
      <c r="Z128" s="12">
        <f>IF(Source!BI91=3,I128, 0)</f>
        <v>0</v>
      </c>
      <c r="AA128" s="12">
        <f>IF(Source!BI91=4,I128, 0)</f>
        <v>0</v>
      </c>
      <c r="AI128" s="12">
        <v>3</v>
      </c>
    </row>
    <row r="129" spans="1:35" ht="15">
      <c r="A129" s="22"/>
      <c r="B129" s="22"/>
      <c r="C129" s="22" t="s">
        <v>553</v>
      </c>
      <c r="D129" s="23" t="s">
        <v>554</v>
      </c>
      <c r="E129" s="24">
        <f>Source!DN87</f>
        <v>112</v>
      </c>
      <c r="F129" s="25"/>
      <c r="G129" s="26"/>
      <c r="H129" s="24"/>
      <c r="I129" s="25">
        <f>SUM(Q123:Q128)</f>
        <v>13.07</v>
      </c>
      <c r="J129" s="24">
        <f>Source!BZ87</f>
        <v>92</v>
      </c>
      <c r="K129" s="25">
        <f>SUM(R123:R128)</f>
        <v>501.07</v>
      </c>
    </row>
    <row r="130" spans="1:35" ht="15">
      <c r="A130" s="22"/>
      <c r="B130" s="22"/>
      <c r="C130" s="22" t="s">
        <v>555</v>
      </c>
      <c r="D130" s="23" t="s">
        <v>554</v>
      </c>
      <c r="E130" s="24">
        <f>Source!DO87</f>
        <v>70</v>
      </c>
      <c r="F130" s="25"/>
      <c r="G130" s="26"/>
      <c r="H130" s="24"/>
      <c r="I130" s="25">
        <f>SUM(S123:S129)</f>
        <v>8.17</v>
      </c>
      <c r="J130" s="24">
        <f>Source!CA87</f>
        <v>41</v>
      </c>
      <c r="K130" s="25">
        <f>SUM(T123:T129)</f>
        <v>223.3</v>
      </c>
    </row>
    <row r="131" spans="1:35" ht="15">
      <c r="A131" s="29"/>
      <c r="B131" s="29"/>
      <c r="C131" s="29" t="s">
        <v>557</v>
      </c>
      <c r="D131" s="30" t="s">
        <v>558</v>
      </c>
      <c r="E131" s="31">
        <f>Source!AQ87</f>
        <v>163</v>
      </c>
      <c r="F131" s="32"/>
      <c r="G131" s="33" t="str">
        <f>Source!DI87</f>
        <v/>
      </c>
      <c r="H131" s="31">
        <f>Source!AV87</f>
        <v>1.0669999999999999</v>
      </c>
      <c r="I131" s="32">
        <f>Source!U87</f>
        <v>1.043526</v>
      </c>
      <c r="J131" s="31"/>
      <c r="K131" s="32"/>
      <c r="AB131" s="34">
        <f>I131</f>
        <v>1.043526</v>
      </c>
    </row>
    <row r="132" spans="1:35" ht="14.25">
      <c r="C132" s="16" t="s">
        <v>559</v>
      </c>
      <c r="H132" s="49">
        <f>I125+I126+I129+I130+SUM(I127:I128)-SUMIF(AI127:AI128, 5, I127:I128)-SUMIF(AI127:AI128, 6, I127:I128)</f>
        <v>213.49999999999997</v>
      </c>
      <c r="I132" s="49"/>
      <c r="J132" s="49">
        <f>K125+K126+K129+K130+SUM(K127:K128)-SUMIF(AI127:AI128, 5, K127:K128)-SUMIF(AI127:AI128, 6, K127:K128)</f>
        <v>2820.4500000000003</v>
      </c>
      <c r="K132" s="49"/>
    </row>
    <row r="133" spans="1:35" ht="14.25">
      <c r="C133" s="16" t="s">
        <v>560</v>
      </c>
      <c r="H133" s="50">
        <f>SUMIF(AI127:AI128, 5, I127:I128)+SUMIF(AI127:AI128, 6, I127:I128)</f>
        <v>0</v>
      </c>
      <c r="I133" s="50"/>
      <c r="J133" s="50">
        <f>SUMIF(AI127:AI128, 5, K127:K128)+SUMIF(AI127:AI128, 6, K127:K128)</f>
        <v>0</v>
      </c>
      <c r="K133" s="50"/>
    </row>
    <row r="134" spans="1:35" ht="14.25">
      <c r="H134" s="50"/>
      <c r="I134" s="50"/>
      <c r="J134" s="50"/>
      <c r="K134" s="50"/>
      <c r="O134" s="34">
        <f>I125+I126+I129+I130+SUM(I127:I128)</f>
        <v>213.49999999999997</v>
      </c>
      <c r="P134" s="34">
        <f>K125+K126+K129+K130+SUM(K127:K128)</f>
        <v>2820.4500000000003</v>
      </c>
      <c r="X134" s="12">
        <f>IF(Source!BI87&lt;=1,I125+I126+I129+I130-0, 0)</f>
        <v>164.44999999999996</v>
      </c>
      <c r="Y134" s="12">
        <f>IF(Source!BI87=2,I125+I126+I129+I130-0, 0)</f>
        <v>0</v>
      </c>
      <c r="Z134" s="12">
        <f>IF(Source!BI87=3,I125+I126+I129+I130-0, 0)</f>
        <v>0</v>
      </c>
      <c r="AA134" s="12">
        <f>IF(Source!BI87=4,I125+I126+I129+I130,0)</f>
        <v>0</v>
      </c>
    </row>
    <row r="136" spans="1:35" ht="45">
      <c r="A136" s="22">
        <v>10</v>
      </c>
      <c r="B136" s="22" t="str">
        <f>Source!F93</f>
        <v>6.69-9-3</v>
      </c>
      <c r="C136" s="22" t="s">
        <v>148</v>
      </c>
      <c r="D136" s="23" t="str">
        <f>Source!H93</f>
        <v>100 отверстий</v>
      </c>
      <c r="E136" s="24">
        <f>Source!I93</f>
        <v>0.02</v>
      </c>
      <c r="F136" s="25"/>
      <c r="G136" s="26"/>
      <c r="H136" s="24"/>
      <c r="I136" s="25"/>
      <c r="J136" s="24"/>
      <c r="K136" s="25"/>
      <c r="Q136" s="12">
        <f>ROUND((Source!DN93/100)*ROUND((ROUND((Source!AF93*Source!AV93*Source!I93),2)),2), 2)</f>
        <v>28.47</v>
      </c>
      <c r="R136" s="12">
        <f>Source!X93</f>
        <v>1095.23</v>
      </c>
      <c r="S136" s="12">
        <f>ROUND((Source!DO93/100)*ROUND((ROUND((Source!AF93*Source!AV93*Source!I93),2)),2), 2)</f>
        <v>21.9</v>
      </c>
      <c r="T136" s="12">
        <f>Source!Y93</f>
        <v>598.72</v>
      </c>
      <c r="U136" s="12">
        <f>ROUND((175/100)*ROUND((ROUND((Source!AE93*Source!AV93*Source!I93),2)),2), 2)</f>
        <v>0</v>
      </c>
      <c r="V136" s="12">
        <f>ROUND((160/100)*ROUND(ROUND((ROUND((Source!AE93*Source!AV93*Source!I93),2)*Source!BS93),2), 2), 2)</f>
        <v>0</v>
      </c>
      <c r="AI136" s="12">
        <v>0</v>
      </c>
    </row>
    <row r="137" spans="1:35">
      <c r="C137" s="27" t="str">
        <f>"Объем: "&amp;Source!I93&amp;"=(2)/"&amp;"100"</f>
        <v>Объем: 0,02=(2)/100</v>
      </c>
    </row>
    <row r="138" spans="1:35" ht="15">
      <c r="A138" s="22"/>
      <c r="B138" s="22"/>
      <c r="C138" s="22" t="s">
        <v>550</v>
      </c>
      <c r="D138" s="23"/>
      <c r="E138" s="24"/>
      <c r="F138" s="25">
        <f>Source!AO93</f>
        <v>1494.24</v>
      </c>
      <c r="G138" s="26" t="str">
        <f>Source!DG93</f>
        <v/>
      </c>
      <c r="H138" s="24">
        <f>Source!AV93</f>
        <v>1.0469999999999999</v>
      </c>
      <c r="I138" s="25">
        <f>ROUND((ROUND((Source!AF93*Source!AV93*Source!I93),2)),2)</f>
        <v>31.29</v>
      </c>
      <c r="J138" s="24">
        <f>IF(Source!BA93&lt;&gt; 0, Source!BA93, 1)</f>
        <v>46.67</v>
      </c>
      <c r="K138" s="25">
        <f>Source!S93</f>
        <v>1460.3</v>
      </c>
      <c r="W138" s="12">
        <f>I138</f>
        <v>31.29</v>
      </c>
    </row>
    <row r="139" spans="1:35" ht="15">
      <c r="A139" s="22"/>
      <c r="B139" s="22"/>
      <c r="C139" s="22" t="s">
        <v>564</v>
      </c>
      <c r="D139" s="23"/>
      <c r="E139" s="24"/>
      <c r="F139" s="25">
        <f>Source!AL93</f>
        <v>862.81</v>
      </c>
      <c r="G139" s="26" t="str">
        <f>Source!DD93</f>
        <v/>
      </c>
      <c r="H139" s="24">
        <f>Source!AW93</f>
        <v>1.002</v>
      </c>
      <c r="I139" s="25">
        <f>ROUND((ROUND((Source!AC93*Source!AW93*Source!I93),2)),2)</f>
        <v>17.29</v>
      </c>
      <c r="J139" s="24">
        <f>IF(Source!BC93&lt;&gt; 0, Source!BC93, 1)</f>
        <v>5.27</v>
      </c>
      <c r="K139" s="25">
        <f>Source!P93</f>
        <v>91.12</v>
      </c>
    </row>
    <row r="140" spans="1:35" ht="45">
      <c r="A140" s="22" t="s">
        <v>150</v>
      </c>
      <c r="B140" s="22" t="str">
        <f>Source!F95</f>
        <v>1.3-1-34</v>
      </c>
      <c r="C140" s="22" t="s">
        <v>152</v>
      </c>
      <c r="D140" s="23" t="str">
        <f>Source!H95</f>
        <v>м3</v>
      </c>
      <c r="E140" s="24">
        <f>Source!I95</f>
        <v>0.06</v>
      </c>
      <c r="F140" s="25">
        <f>Source!AK95</f>
        <v>514.9</v>
      </c>
      <c r="G140" s="37" t="s">
        <v>4</v>
      </c>
      <c r="H140" s="24">
        <f>Source!AW95</f>
        <v>1.002</v>
      </c>
      <c r="I140" s="25">
        <f>ROUND((ROUND((Source!AC95*Source!AW95*Source!I95),2)),2)+(ROUND((ROUND(((Source!ET95)*Source!AV95*Source!I95),2)),2)+ROUND((ROUND(((Source!AE95-(Source!EU95))*Source!AV95*Source!I95),2)),2))+ROUND((ROUND((Source!AF95*Source!AV95*Source!I95),2)),2)</f>
        <v>30.96</v>
      </c>
      <c r="J140" s="24">
        <f>IF(Source!BC95&lt;&gt; 0, Source!BC95, 1)</f>
        <v>12.84</v>
      </c>
      <c r="K140" s="25">
        <f>Source!O95</f>
        <v>397.53</v>
      </c>
      <c r="Q140" s="12">
        <f>ROUND((Source!DN95/100)*ROUND((ROUND((Source!AF95*Source!AV95*Source!I95),2)),2), 2)</f>
        <v>0</v>
      </c>
      <c r="R140" s="12">
        <f>Source!X95</f>
        <v>0</v>
      </c>
      <c r="S140" s="12">
        <f>ROUND((Source!DO95/100)*ROUND((ROUND((Source!AF95*Source!AV95*Source!I95),2)),2), 2)</f>
        <v>0</v>
      </c>
      <c r="T140" s="12">
        <f>Source!Y95</f>
        <v>0</v>
      </c>
      <c r="U140" s="12">
        <f>ROUND((175/100)*ROUND((ROUND((Source!AE95*Source!AV95*Source!I95),2)),2), 2)</f>
        <v>0</v>
      </c>
      <c r="V140" s="12">
        <f>ROUND((160/100)*ROUND(ROUND((ROUND((Source!AE95*Source!AV95*Source!I95),2)*Source!BS95),2), 2), 2)</f>
        <v>0</v>
      </c>
      <c r="X140" s="12">
        <f>IF(Source!BI95&lt;=1,I140, 0)</f>
        <v>30.96</v>
      </c>
      <c r="Y140" s="12">
        <f>IF(Source!BI95=2,I140, 0)</f>
        <v>0</v>
      </c>
      <c r="Z140" s="12">
        <f>IF(Source!BI95=3,I140, 0)</f>
        <v>0</v>
      </c>
      <c r="AA140" s="12">
        <f>IF(Source!BI95=4,I140, 0)</f>
        <v>0</v>
      </c>
      <c r="AI140" s="12">
        <v>3</v>
      </c>
    </row>
    <row r="141" spans="1:35" ht="15">
      <c r="A141" s="22"/>
      <c r="B141" s="22"/>
      <c r="C141" s="22" t="s">
        <v>553</v>
      </c>
      <c r="D141" s="23" t="s">
        <v>554</v>
      </c>
      <c r="E141" s="24">
        <f>Source!DN93</f>
        <v>91</v>
      </c>
      <c r="F141" s="25"/>
      <c r="G141" s="26"/>
      <c r="H141" s="24"/>
      <c r="I141" s="25">
        <f>SUM(Q136:Q140)</f>
        <v>28.47</v>
      </c>
      <c r="J141" s="24">
        <f>Source!BZ93</f>
        <v>75</v>
      </c>
      <c r="K141" s="25">
        <f>SUM(R136:R140)</f>
        <v>1095.23</v>
      </c>
    </row>
    <row r="142" spans="1:35" ht="15">
      <c r="A142" s="22"/>
      <c r="B142" s="22"/>
      <c r="C142" s="22" t="s">
        <v>555</v>
      </c>
      <c r="D142" s="23" t="s">
        <v>554</v>
      </c>
      <c r="E142" s="24">
        <f>Source!DO93</f>
        <v>70</v>
      </c>
      <c r="F142" s="25"/>
      <c r="G142" s="26"/>
      <c r="H142" s="24"/>
      <c r="I142" s="25">
        <f>SUM(S136:S141)</f>
        <v>21.9</v>
      </c>
      <c r="J142" s="24">
        <f>Source!CA93</f>
        <v>41</v>
      </c>
      <c r="K142" s="25">
        <f>SUM(T136:T141)</f>
        <v>598.72</v>
      </c>
    </row>
    <row r="143" spans="1:35" ht="15">
      <c r="A143" s="29"/>
      <c r="B143" s="29"/>
      <c r="C143" s="29" t="s">
        <v>557</v>
      </c>
      <c r="D143" s="30" t="s">
        <v>558</v>
      </c>
      <c r="E143" s="31">
        <f>Source!AQ93</f>
        <v>132</v>
      </c>
      <c r="F143" s="32"/>
      <c r="G143" s="33" t="str">
        <f>Source!DI93</f>
        <v/>
      </c>
      <c r="H143" s="31">
        <f>Source!AV93</f>
        <v>1.0469999999999999</v>
      </c>
      <c r="I143" s="32">
        <f>Source!U93</f>
        <v>2.7640799999999994</v>
      </c>
      <c r="J143" s="31"/>
      <c r="K143" s="32"/>
      <c r="AB143" s="34">
        <f>I143</f>
        <v>2.7640799999999994</v>
      </c>
    </row>
    <row r="144" spans="1:35" ht="14.25">
      <c r="C144" s="16" t="s">
        <v>559</v>
      </c>
      <c r="H144" s="49">
        <f>I138+I139+I141+I142+SUM(I140:I140)-SUMIF(AI140:AI140, 5, I140:I140)-SUMIF(AI140:AI140, 6, I140:I140)</f>
        <v>129.91</v>
      </c>
      <c r="I144" s="49"/>
      <c r="J144" s="49">
        <f>K138+K139+K141+K142+SUM(K140:K140)-SUMIF(AI140:AI140, 5, K140:K140)-SUMIF(AI140:AI140, 6, K140:K140)</f>
        <v>3642.8999999999996</v>
      </c>
      <c r="K144" s="49"/>
    </row>
    <row r="145" spans="1:35" ht="14.25">
      <c r="C145" s="16" t="s">
        <v>560</v>
      </c>
      <c r="H145" s="50">
        <f>SUMIF(AI140:AI140, 5, I140:I140)+SUMIF(AI140:AI140, 6, I140:I140)</f>
        <v>0</v>
      </c>
      <c r="I145" s="50"/>
      <c r="J145" s="50">
        <f>SUMIF(AI140:AI140, 5, K140:K140)+SUMIF(AI140:AI140, 6, K140:K140)</f>
        <v>0</v>
      </c>
      <c r="K145" s="50"/>
    </row>
    <row r="146" spans="1:35" ht="14.25">
      <c r="H146" s="50"/>
      <c r="I146" s="50"/>
      <c r="J146" s="50"/>
      <c r="K146" s="50"/>
      <c r="O146" s="34">
        <f>I138+I139+I141+I142+SUM(I140:I140)</f>
        <v>129.91</v>
      </c>
      <c r="P146" s="34">
        <f>K138+K139+K141+K142+SUM(K140:K140)</f>
        <v>3642.8999999999996</v>
      </c>
      <c r="X146" s="12">
        <f>IF(Source!BI93&lt;=1,I138+I139+I141+I142-0, 0)</f>
        <v>98.949999999999989</v>
      </c>
      <c r="Y146" s="12">
        <f>IF(Source!BI93=2,I138+I139+I141+I142-0, 0)</f>
        <v>0</v>
      </c>
      <c r="Z146" s="12">
        <f>IF(Source!BI93=3,I138+I139+I141+I142-0, 0)</f>
        <v>0</v>
      </c>
      <c r="AA146" s="12">
        <f>IF(Source!BI93=4,I138+I139+I141+I142,0)</f>
        <v>0</v>
      </c>
    </row>
    <row r="148" spans="1:35" ht="75">
      <c r="A148" s="22">
        <v>11</v>
      </c>
      <c r="B148" s="22" t="str">
        <f>Source!F97</f>
        <v>3.8-2-5</v>
      </c>
      <c r="C148" s="22" t="s">
        <v>156</v>
      </c>
      <c r="D148" s="23" t="str">
        <f>Source!H97</f>
        <v>100 м2 изолируемой поверхности</v>
      </c>
      <c r="E148" s="24">
        <f>Source!I97</f>
        <v>0.04</v>
      </c>
      <c r="F148" s="25"/>
      <c r="G148" s="26"/>
      <c r="H148" s="24"/>
      <c r="I148" s="25"/>
      <c r="J148" s="24"/>
      <c r="K148" s="25"/>
      <c r="Q148" s="12">
        <f>ROUND((Source!DN97/100)*ROUND((ROUND((Source!AF97*Source!AV97*Source!I97),2)),2), 2)</f>
        <v>25.6</v>
      </c>
      <c r="R148" s="12">
        <f>Source!X97</f>
        <v>989.89</v>
      </c>
      <c r="S148" s="12">
        <f>ROUND((Source!DO97/100)*ROUND((ROUND((Source!AF97*Source!AV97*Source!I97),2)),2), 2)</f>
        <v>18.77</v>
      </c>
      <c r="T148" s="12">
        <f>Source!Y97</f>
        <v>466.5</v>
      </c>
      <c r="U148" s="12">
        <f>ROUND((175/100)*ROUND((ROUND((Source!AE97*Source!AV97*Source!I97),2)),2), 2)</f>
        <v>0.51</v>
      </c>
      <c r="V148" s="12">
        <f>ROUND((160/100)*ROUND(ROUND((ROUND((Source!AE97*Source!AV97*Source!I97),2)*Source!BS97),2), 2), 2)</f>
        <v>21.65</v>
      </c>
      <c r="AI148" s="12">
        <v>0</v>
      </c>
    </row>
    <row r="149" spans="1:35">
      <c r="C149" s="27" t="str">
        <f>"Объем: "&amp;Source!I97&amp;"=(2*"&amp;"2)/"&amp;"100"</f>
        <v>Объем: 0,04=(2*2)/100</v>
      </c>
    </row>
    <row r="150" spans="1:35" ht="15">
      <c r="A150" s="22"/>
      <c r="B150" s="22"/>
      <c r="C150" s="22" t="s">
        <v>550</v>
      </c>
      <c r="D150" s="23"/>
      <c r="E150" s="24"/>
      <c r="F150" s="25">
        <f>Source!AO97</f>
        <v>582.19000000000005</v>
      </c>
      <c r="G150" s="26" t="str">
        <f>Source!DG97</f>
        <v/>
      </c>
      <c r="H150" s="24">
        <f>Source!AV97</f>
        <v>1.0469999999999999</v>
      </c>
      <c r="I150" s="25">
        <f>ROUND((ROUND((Source!AF97*Source!AV97*Source!I97),2)),2)</f>
        <v>24.38</v>
      </c>
      <c r="J150" s="24">
        <f>IF(Source!BA97&lt;&gt; 0, Source!BA97, 1)</f>
        <v>46.67</v>
      </c>
      <c r="K150" s="25">
        <f>Source!S97</f>
        <v>1137.81</v>
      </c>
      <c r="W150" s="12">
        <f>I150</f>
        <v>24.38</v>
      </c>
    </row>
    <row r="151" spans="1:35" ht="15">
      <c r="A151" s="22"/>
      <c r="B151" s="22"/>
      <c r="C151" s="22" t="s">
        <v>551</v>
      </c>
      <c r="D151" s="23"/>
      <c r="E151" s="24"/>
      <c r="F151" s="25">
        <f>Source!AM97</f>
        <v>89.81</v>
      </c>
      <c r="G151" s="26" t="str">
        <f>Source!DE97</f>
        <v/>
      </c>
      <c r="H151" s="24">
        <f>Source!AV97</f>
        <v>1.0469999999999999</v>
      </c>
      <c r="I151" s="25">
        <f>(ROUND((ROUND(((Source!ET97)*Source!AV97*Source!I97),2)),2)+ROUND((ROUND(((Source!AE97-(Source!EU97))*Source!AV97*Source!I97),2)),2))</f>
        <v>3.76</v>
      </c>
      <c r="J151" s="24">
        <f>IF(Source!BB97&lt;&gt; 0, Source!BB97, 1)</f>
        <v>13.27</v>
      </c>
      <c r="K151" s="25">
        <f>Source!Q97</f>
        <v>49.9</v>
      </c>
    </row>
    <row r="152" spans="1:35" ht="15">
      <c r="A152" s="22"/>
      <c r="B152" s="22"/>
      <c r="C152" s="22" t="s">
        <v>552</v>
      </c>
      <c r="D152" s="23"/>
      <c r="E152" s="24"/>
      <c r="F152" s="25">
        <f>Source!AN97</f>
        <v>6.94</v>
      </c>
      <c r="G152" s="26" t="str">
        <f>Source!DF97</f>
        <v/>
      </c>
      <c r="H152" s="24">
        <f>Source!AV97</f>
        <v>1.0469999999999999</v>
      </c>
      <c r="I152" s="28">
        <f>ROUND((ROUND((Source!AE97*Source!AV97*Source!I97),2)),2)</f>
        <v>0.28999999999999998</v>
      </c>
      <c r="J152" s="24">
        <f>IF(Source!BS97&lt;&gt; 0, Source!BS97, 1)</f>
        <v>46.67</v>
      </c>
      <c r="K152" s="28">
        <f>Source!R97</f>
        <v>13.53</v>
      </c>
      <c r="W152" s="12">
        <f>I152</f>
        <v>0.28999999999999998</v>
      </c>
    </row>
    <row r="153" spans="1:35" ht="15">
      <c r="A153" s="22"/>
      <c r="B153" s="22"/>
      <c r="C153" s="22" t="s">
        <v>564</v>
      </c>
      <c r="D153" s="23"/>
      <c r="E153" s="24"/>
      <c r="F153" s="25">
        <f>Source!AL97</f>
        <v>237.53</v>
      </c>
      <c r="G153" s="26" t="str">
        <f>Source!DD97</f>
        <v/>
      </c>
      <c r="H153" s="24">
        <f>Source!AW97</f>
        <v>1.0680000000000001</v>
      </c>
      <c r="I153" s="25">
        <f>ROUND((ROUND((Source!AC97*Source!AW97*Source!I97),2)),2)</f>
        <v>10.15</v>
      </c>
      <c r="J153" s="24">
        <f>IF(Source!BC97&lt;&gt; 0, Source!BC97, 1)</f>
        <v>7.44</v>
      </c>
      <c r="K153" s="25">
        <f>Source!P97</f>
        <v>75.52</v>
      </c>
    </row>
    <row r="154" spans="1:35" ht="105">
      <c r="A154" s="22" t="s">
        <v>161</v>
      </c>
      <c r="B154" s="22" t="str">
        <f>Source!F99</f>
        <v>1.1-1-294</v>
      </c>
      <c r="C154" s="22" t="s">
        <v>163</v>
      </c>
      <c r="D154" s="23" t="str">
        <f>Source!H99</f>
        <v>м2</v>
      </c>
      <c r="E154" s="24">
        <f>Source!I99</f>
        <v>9.1999999999999993</v>
      </c>
      <c r="F154" s="25">
        <f>Source!AK99</f>
        <v>56.6</v>
      </c>
      <c r="G154" s="37" t="s">
        <v>4</v>
      </c>
      <c r="H154" s="24">
        <f>Source!AW99</f>
        <v>1.0680000000000001</v>
      </c>
      <c r="I154" s="25">
        <f>ROUND((ROUND((Source!AC99*Source!AW99*Source!I99),2)),2)+(ROUND((ROUND(((Source!ET99)*Source!AV99*Source!I99),2)),2)+ROUND((ROUND(((Source!AE99-(Source!EU99))*Source!AV99*Source!I99),2)),2))+ROUND((ROUND((Source!AF99*Source!AV99*Source!I99),2)),2)</f>
        <v>556.13</v>
      </c>
      <c r="J154" s="24">
        <f>IF(Source!BC99&lt;&gt; 0, Source!BC99, 1)</f>
        <v>6.64</v>
      </c>
      <c r="K154" s="25">
        <f>Source!O99</f>
        <v>3692.7</v>
      </c>
      <c r="Q154" s="12">
        <f>ROUND((Source!DN99/100)*ROUND((ROUND((Source!AF99*Source!AV99*Source!I99),2)),2), 2)</f>
        <v>0</v>
      </c>
      <c r="R154" s="12">
        <f>Source!X99</f>
        <v>0</v>
      </c>
      <c r="S154" s="12">
        <f>ROUND((Source!DO99/100)*ROUND((ROUND((Source!AF99*Source!AV99*Source!I99),2)),2), 2)</f>
        <v>0</v>
      </c>
      <c r="T154" s="12">
        <f>Source!Y99</f>
        <v>0</v>
      </c>
      <c r="U154" s="12">
        <f>ROUND((175/100)*ROUND((ROUND((Source!AE99*Source!AV99*Source!I99),2)),2), 2)</f>
        <v>0</v>
      </c>
      <c r="V154" s="12">
        <f>ROUND((160/100)*ROUND(ROUND((ROUND((Source!AE99*Source!AV99*Source!I99),2)*Source!BS99),2), 2), 2)</f>
        <v>0</v>
      </c>
      <c r="X154" s="12">
        <f>IF(Source!BI99&lt;=1,I154, 0)</f>
        <v>556.13</v>
      </c>
      <c r="Y154" s="12">
        <f>IF(Source!BI99=2,I154, 0)</f>
        <v>0</v>
      </c>
      <c r="Z154" s="12">
        <f>IF(Source!BI99=3,I154, 0)</f>
        <v>0</v>
      </c>
      <c r="AA154" s="12">
        <f>IF(Source!BI99=4,I154, 0)</f>
        <v>0</v>
      </c>
      <c r="AI154" s="12">
        <v>3</v>
      </c>
    </row>
    <row r="155" spans="1:35" ht="135">
      <c r="A155" s="22" t="s">
        <v>166</v>
      </c>
      <c r="B155" s="22" t="str">
        <f>Source!F101</f>
        <v>1.1-1-613</v>
      </c>
      <c r="C155" s="22" t="s">
        <v>522</v>
      </c>
      <c r="D155" s="23" t="str">
        <f>Source!H101</f>
        <v>т</v>
      </c>
      <c r="E155" s="24">
        <f>Source!I101</f>
        <v>1.7600000000000001E-2</v>
      </c>
      <c r="F155" s="25">
        <f>Source!AK101</f>
        <v>11626.84</v>
      </c>
      <c r="G155" s="37" t="s">
        <v>4</v>
      </c>
      <c r="H155" s="24">
        <f>Source!AW101</f>
        <v>1.0680000000000001</v>
      </c>
      <c r="I155" s="25">
        <f>ROUND((ROUND((Source!AC101*Source!AW101*Source!I101),2)),2)+(ROUND((ROUND(((Source!ET101)*Source!AV101*Source!I101),2)),2)+ROUND((ROUND(((Source!AE101-(Source!EU101))*Source!AV101*Source!I101),2)),2))+ROUND((ROUND((Source!AF101*Source!AV101*Source!I101),2)),2)</f>
        <v>218.55</v>
      </c>
      <c r="J155" s="24">
        <f>IF(Source!BC101&lt;&gt; 0, Source!BC101, 1)</f>
        <v>3.29</v>
      </c>
      <c r="K155" s="25">
        <f>Source!O101</f>
        <v>719.03</v>
      </c>
      <c r="Q155" s="12">
        <f>ROUND((Source!DN101/100)*ROUND((ROUND((Source!AF101*Source!AV101*Source!I101),2)),2), 2)</f>
        <v>0</v>
      </c>
      <c r="R155" s="12">
        <f>Source!X101</f>
        <v>0</v>
      </c>
      <c r="S155" s="12">
        <f>ROUND((Source!DO101/100)*ROUND((ROUND((Source!AF101*Source!AV101*Source!I101),2)),2), 2)</f>
        <v>0</v>
      </c>
      <c r="T155" s="12">
        <f>Source!Y101</f>
        <v>0</v>
      </c>
      <c r="U155" s="12">
        <f>ROUND((175/100)*ROUND((ROUND((Source!AE101*Source!AV101*Source!I101),2)),2), 2)</f>
        <v>0</v>
      </c>
      <c r="V155" s="12">
        <f>ROUND((160/100)*ROUND(ROUND((ROUND((Source!AE101*Source!AV101*Source!I101),2)*Source!BS101),2), 2), 2)</f>
        <v>0</v>
      </c>
      <c r="X155" s="12">
        <f>IF(Source!BI101&lt;=1,I155, 0)</f>
        <v>218.55</v>
      </c>
      <c r="Y155" s="12">
        <f>IF(Source!BI101=2,I155, 0)</f>
        <v>0</v>
      </c>
      <c r="Z155" s="12">
        <f>IF(Source!BI101=3,I155, 0)</f>
        <v>0</v>
      </c>
      <c r="AA155" s="12">
        <f>IF(Source!BI101=4,I155, 0)</f>
        <v>0</v>
      </c>
      <c r="AI155" s="12">
        <v>3</v>
      </c>
    </row>
    <row r="156" spans="1:35" ht="15">
      <c r="A156" s="22"/>
      <c r="B156" s="22"/>
      <c r="C156" s="22" t="s">
        <v>553</v>
      </c>
      <c r="D156" s="23" t="s">
        <v>554</v>
      </c>
      <c r="E156" s="24">
        <f>Source!DN97</f>
        <v>105</v>
      </c>
      <c r="F156" s="25"/>
      <c r="G156" s="26"/>
      <c r="H156" s="24"/>
      <c r="I156" s="25">
        <f>SUM(Q148:Q155)</f>
        <v>25.6</v>
      </c>
      <c r="J156" s="24">
        <f>Source!BZ97</f>
        <v>87</v>
      </c>
      <c r="K156" s="25">
        <f>SUM(R148:R155)</f>
        <v>989.89</v>
      </c>
    </row>
    <row r="157" spans="1:35" ht="15">
      <c r="A157" s="22"/>
      <c r="B157" s="22"/>
      <c r="C157" s="22" t="s">
        <v>555</v>
      </c>
      <c r="D157" s="23" t="s">
        <v>554</v>
      </c>
      <c r="E157" s="24">
        <f>Source!DO97</f>
        <v>77</v>
      </c>
      <c r="F157" s="25"/>
      <c r="G157" s="26"/>
      <c r="H157" s="24"/>
      <c r="I157" s="25">
        <f>SUM(S148:S156)</f>
        <v>18.77</v>
      </c>
      <c r="J157" s="24">
        <f>Source!CA97</f>
        <v>41</v>
      </c>
      <c r="K157" s="25">
        <f>SUM(T148:T156)</f>
        <v>466.5</v>
      </c>
    </row>
    <row r="158" spans="1:35" ht="15">
      <c r="A158" s="22"/>
      <c r="B158" s="22"/>
      <c r="C158" s="22" t="s">
        <v>556</v>
      </c>
      <c r="D158" s="23" t="s">
        <v>554</v>
      </c>
      <c r="E158" s="24">
        <f>175</f>
        <v>175</v>
      </c>
      <c r="F158" s="25"/>
      <c r="G158" s="26"/>
      <c r="H158" s="24"/>
      <c r="I158" s="25">
        <f>SUM(U148:U157)</f>
        <v>0.51</v>
      </c>
      <c r="J158" s="24">
        <f>160</f>
        <v>160</v>
      </c>
      <c r="K158" s="25">
        <f>SUM(V148:V157)</f>
        <v>21.65</v>
      </c>
    </row>
    <row r="159" spans="1:35" ht="15">
      <c r="A159" s="29"/>
      <c r="B159" s="29"/>
      <c r="C159" s="29" t="s">
        <v>557</v>
      </c>
      <c r="D159" s="30" t="s">
        <v>558</v>
      </c>
      <c r="E159" s="31">
        <f>Source!AQ97</f>
        <v>46.8</v>
      </c>
      <c r="F159" s="32"/>
      <c r="G159" s="33" t="str">
        <f>Source!DI97</f>
        <v/>
      </c>
      <c r="H159" s="31">
        <f>Source!AV97</f>
        <v>1.0469999999999999</v>
      </c>
      <c r="I159" s="32">
        <f>Source!U97</f>
        <v>1.9599839999999997</v>
      </c>
      <c r="J159" s="31"/>
      <c r="K159" s="32"/>
      <c r="AB159" s="34">
        <f>I159</f>
        <v>1.9599839999999997</v>
      </c>
    </row>
    <row r="160" spans="1:35" ht="14.25">
      <c r="C160" s="16" t="s">
        <v>559</v>
      </c>
      <c r="H160" s="49">
        <f>I150+I151+I153+I156+I157+I158+SUM(I154:I155)-SUMIF(AI154:AI155, 5, I154:I155)-SUMIF(AI154:AI155, 6, I154:I155)</f>
        <v>857.85</v>
      </c>
      <c r="I160" s="49"/>
      <c r="J160" s="49">
        <f>K150+K151+K153+K156+K157+K158+SUM(K154:K155)-SUMIF(AI154:AI155, 5, K154:K155)-SUMIF(AI154:AI155, 6, K154:K155)</f>
        <v>7153</v>
      </c>
      <c r="K160" s="49"/>
    </row>
    <row r="161" spans="1:35" ht="14.25">
      <c r="C161" s="16" t="s">
        <v>560</v>
      </c>
      <c r="H161" s="50">
        <f>SUMIF(AI154:AI155, 5, I154:I155)+SUMIF(AI154:AI155, 6, I154:I155)</f>
        <v>0</v>
      </c>
      <c r="I161" s="50"/>
      <c r="J161" s="50">
        <f>SUMIF(AI154:AI155, 5, K154:K155)+SUMIF(AI154:AI155, 6, K154:K155)</f>
        <v>0</v>
      </c>
      <c r="K161" s="50"/>
    </row>
    <row r="162" spans="1:35" ht="14.25">
      <c r="H162" s="50"/>
      <c r="I162" s="50"/>
      <c r="J162" s="50"/>
      <c r="K162" s="50"/>
      <c r="O162" s="34">
        <f>I150+I151+I153+I156+I157+I158+SUM(I154:I155)</f>
        <v>857.85</v>
      </c>
      <c r="P162" s="34">
        <f>K150+K151+K153+K156+K157+K158+SUM(K154:K155)</f>
        <v>7153</v>
      </c>
      <c r="X162" s="12">
        <f>IF(Source!BI97&lt;=1,I150+I151+I153+I156+I157+I158-0, 0)</f>
        <v>83.17</v>
      </c>
      <c r="Y162" s="12">
        <f>IF(Source!BI97=2,I150+I151+I153+I156+I157+I158-0, 0)</f>
        <v>0</v>
      </c>
      <c r="Z162" s="12">
        <f>IF(Source!BI97=3,I150+I151+I153+I156+I157+I158-0, 0)</f>
        <v>0</v>
      </c>
      <c r="AA162" s="12">
        <f>IF(Source!BI97=4,I150+I151+I153+I156+I157+I158,0)</f>
        <v>0</v>
      </c>
    </row>
    <row r="164" spans="1:35" ht="45">
      <c r="A164" s="22">
        <v>12</v>
      </c>
      <c r="B164" s="22" t="str">
        <f>Source!F103</f>
        <v>3.34-55-5</v>
      </c>
      <c r="C164" s="22" t="s">
        <v>172</v>
      </c>
      <c r="D164" s="23" t="str">
        <f>Source!H103</f>
        <v>1 км трубопровода</v>
      </c>
      <c r="E164" s="24">
        <f>Source!I103</f>
        <v>0.3</v>
      </c>
      <c r="F164" s="25"/>
      <c r="G164" s="26"/>
      <c r="H164" s="24"/>
      <c r="I164" s="25"/>
      <c r="J164" s="24"/>
      <c r="K164" s="25"/>
      <c r="Q164" s="12">
        <f>ROUND((Source!DN103/100)*ROUND((ROUND((Source!AF103*Source!AV103*Source!I103),2)),2), 2)</f>
        <v>565.44000000000005</v>
      </c>
      <c r="R164" s="12">
        <f>Source!X103</f>
        <v>21676.87</v>
      </c>
      <c r="S164" s="12">
        <f>ROUND((Source!DO103/100)*ROUND((ROUND((Source!AF103*Source!AV103*Source!I103),2)),2), 2)</f>
        <v>353.4</v>
      </c>
      <c r="T164" s="12">
        <f>Source!Y103</f>
        <v>9660.35</v>
      </c>
      <c r="U164" s="12">
        <f>ROUND((175/100)*ROUND((ROUND((Source!AE103*Source!AV103*Source!I103),2)),2), 2)</f>
        <v>15.91</v>
      </c>
      <c r="V164" s="12">
        <f>ROUND((160/100)*ROUND(ROUND((ROUND((Source!AE103*Source!AV103*Source!I103),2)*Source!BS103),2), 2), 2)</f>
        <v>678.77</v>
      </c>
      <c r="AI164" s="12">
        <v>0</v>
      </c>
    </row>
    <row r="165" spans="1:35">
      <c r="C165" s="27" t="str">
        <f>"Объем: "&amp;Source!I103&amp;"=(100*"&amp;"3)/"&amp;"1000"</f>
        <v>Объем: 0,3=(100*3)/1000</v>
      </c>
    </row>
    <row r="166" spans="1:35" ht="15">
      <c r="A166" s="22"/>
      <c r="B166" s="22"/>
      <c r="C166" s="22" t="s">
        <v>550</v>
      </c>
      <c r="D166" s="23"/>
      <c r="E166" s="24"/>
      <c r="F166" s="25">
        <f>Source!AO103</f>
        <v>1577.19</v>
      </c>
      <c r="G166" s="26" t="str">
        <f>Source!DG103</f>
        <v/>
      </c>
      <c r="H166" s="24">
        <f>Source!AV103</f>
        <v>1.0669999999999999</v>
      </c>
      <c r="I166" s="25">
        <f>ROUND((ROUND((Source!AF103*Source!AV103*Source!I103),2)),2)</f>
        <v>504.86</v>
      </c>
      <c r="J166" s="24">
        <f>IF(Source!BA103&lt;&gt; 0, Source!BA103, 1)</f>
        <v>46.67</v>
      </c>
      <c r="K166" s="25">
        <f>Source!S103</f>
        <v>23561.82</v>
      </c>
      <c r="W166" s="12">
        <f>I166</f>
        <v>504.86</v>
      </c>
    </row>
    <row r="167" spans="1:35" ht="15">
      <c r="A167" s="22"/>
      <c r="B167" s="22"/>
      <c r="C167" s="22" t="s">
        <v>551</v>
      </c>
      <c r="D167" s="23"/>
      <c r="E167" s="24"/>
      <c r="F167" s="25">
        <f>Source!AM103</f>
        <v>258.70999999999998</v>
      </c>
      <c r="G167" s="26" t="str">
        <f>Source!DE103</f>
        <v/>
      </c>
      <c r="H167" s="24">
        <f>Source!AV103</f>
        <v>1.0669999999999999</v>
      </c>
      <c r="I167" s="25">
        <f>(ROUND((ROUND(((Source!ET103)*Source!AV103*Source!I103),2)),2)+ROUND((ROUND(((Source!AE103-(Source!EU103))*Source!AV103*Source!I103),2)),2))</f>
        <v>82.81</v>
      </c>
      <c r="J167" s="24">
        <f>IF(Source!BB103&lt;&gt; 0, Source!BB103, 1)</f>
        <v>13.48</v>
      </c>
      <c r="K167" s="25">
        <f>Source!Q103</f>
        <v>1116.28</v>
      </c>
    </row>
    <row r="168" spans="1:35" ht="15">
      <c r="A168" s="22"/>
      <c r="B168" s="22"/>
      <c r="C168" s="22" t="s">
        <v>552</v>
      </c>
      <c r="D168" s="23"/>
      <c r="E168" s="24"/>
      <c r="F168" s="25">
        <f>Source!AN103</f>
        <v>28.39</v>
      </c>
      <c r="G168" s="26" t="str">
        <f>Source!DF103</f>
        <v/>
      </c>
      <c r="H168" s="24">
        <f>Source!AV103</f>
        <v>1.0669999999999999</v>
      </c>
      <c r="I168" s="28">
        <f>ROUND((ROUND((Source!AE103*Source!AV103*Source!I103),2)),2)</f>
        <v>9.09</v>
      </c>
      <c r="J168" s="24">
        <f>IF(Source!BS103&lt;&gt; 0, Source!BS103, 1)</f>
        <v>46.67</v>
      </c>
      <c r="K168" s="28">
        <f>Source!R103</f>
        <v>424.23</v>
      </c>
      <c r="W168" s="12">
        <f>I168</f>
        <v>9.09</v>
      </c>
    </row>
    <row r="169" spans="1:35" ht="225">
      <c r="A169" s="22" t="s">
        <v>177</v>
      </c>
      <c r="B169" s="22" t="str">
        <f>Source!F105</f>
        <v>1.12-5-1011</v>
      </c>
      <c r="C169" s="22" t="s">
        <v>523</v>
      </c>
      <c r="D169" s="23" t="str">
        <f>Source!H105</f>
        <v>м</v>
      </c>
      <c r="E169" s="24">
        <f>Source!I105</f>
        <v>307.5</v>
      </c>
      <c r="F169" s="25">
        <f>Source!AK105</f>
        <v>278.31</v>
      </c>
      <c r="G169" s="37" t="s">
        <v>4</v>
      </c>
      <c r="H169" s="24">
        <f>Source!AW105</f>
        <v>1.081</v>
      </c>
      <c r="I169" s="25">
        <f>ROUND((ROUND((Source!AC105*Source!AW105*Source!I105),2)),2)+(ROUND((ROUND(((Source!ET105)*Source!AV105*Source!I105),2)),2)+ROUND((ROUND(((Source!AE105-(Source!EU105))*Source!AV105*Source!I105),2)),2))+ROUND((ROUND((Source!AF105*Source!AV105*Source!I105),2)),2)</f>
        <v>92512.33</v>
      </c>
      <c r="J169" s="24">
        <f>IF(Source!BC105&lt;&gt; 0, Source!BC105, 1)</f>
        <v>6.42</v>
      </c>
      <c r="K169" s="25">
        <f>Source!O105</f>
        <v>593929.16</v>
      </c>
      <c r="Q169" s="12">
        <f>ROUND((Source!DN105/100)*ROUND((ROUND((Source!AF105*Source!AV105*Source!I105),2)),2), 2)</f>
        <v>0</v>
      </c>
      <c r="R169" s="12">
        <f>Source!X105</f>
        <v>0</v>
      </c>
      <c r="S169" s="12">
        <f>ROUND((Source!DO105/100)*ROUND((ROUND((Source!AF105*Source!AV105*Source!I105),2)),2), 2)</f>
        <v>0</v>
      </c>
      <c r="T169" s="12">
        <f>Source!Y105</f>
        <v>0</v>
      </c>
      <c r="U169" s="12">
        <f>ROUND((175/100)*ROUND((ROUND((Source!AE105*Source!AV105*Source!I105),2)),2), 2)</f>
        <v>0</v>
      </c>
      <c r="V169" s="12">
        <f>ROUND((160/100)*ROUND(ROUND((ROUND((Source!AE105*Source!AV105*Source!I105),2)*Source!BS105),2), 2), 2)</f>
        <v>0</v>
      </c>
      <c r="X169" s="12">
        <f>IF(Source!BI105&lt;=1,I169, 0)</f>
        <v>92512.33</v>
      </c>
      <c r="Y169" s="12">
        <f>IF(Source!BI105=2,I169, 0)</f>
        <v>0</v>
      </c>
      <c r="Z169" s="12">
        <f>IF(Source!BI105=3,I169, 0)</f>
        <v>0</v>
      </c>
      <c r="AA169" s="12">
        <f>IF(Source!BI105=4,I169, 0)</f>
        <v>0</v>
      </c>
      <c r="AI169" s="12">
        <v>3</v>
      </c>
    </row>
    <row r="170" spans="1:35" ht="15">
      <c r="A170" s="22"/>
      <c r="B170" s="22"/>
      <c r="C170" s="22" t="s">
        <v>553</v>
      </c>
      <c r="D170" s="23" t="s">
        <v>554</v>
      </c>
      <c r="E170" s="24">
        <f>Source!DN103</f>
        <v>112</v>
      </c>
      <c r="F170" s="25"/>
      <c r="G170" s="26"/>
      <c r="H170" s="24"/>
      <c r="I170" s="25">
        <f>SUM(Q164:Q169)</f>
        <v>565.44000000000005</v>
      </c>
      <c r="J170" s="24">
        <f>Source!BZ103</f>
        <v>92</v>
      </c>
      <c r="K170" s="25">
        <f>SUM(R164:R169)</f>
        <v>21676.87</v>
      </c>
    </row>
    <row r="171" spans="1:35" ht="15">
      <c r="A171" s="22"/>
      <c r="B171" s="22"/>
      <c r="C171" s="22" t="s">
        <v>555</v>
      </c>
      <c r="D171" s="23" t="s">
        <v>554</v>
      </c>
      <c r="E171" s="24">
        <f>Source!DO103</f>
        <v>70</v>
      </c>
      <c r="F171" s="25"/>
      <c r="G171" s="26"/>
      <c r="H171" s="24"/>
      <c r="I171" s="25">
        <f>SUM(S164:S170)</f>
        <v>353.4</v>
      </c>
      <c r="J171" s="24">
        <f>Source!CA103</f>
        <v>41</v>
      </c>
      <c r="K171" s="25">
        <f>SUM(T164:T170)</f>
        <v>9660.35</v>
      </c>
    </row>
    <row r="172" spans="1:35" ht="15">
      <c r="A172" s="22"/>
      <c r="B172" s="22"/>
      <c r="C172" s="22" t="s">
        <v>556</v>
      </c>
      <c r="D172" s="23" t="s">
        <v>554</v>
      </c>
      <c r="E172" s="24">
        <f>175</f>
        <v>175</v>
      </c>
      <c r="F172" s="25"/>
      <c r="G172" s="26"/>
      <c r="H172" s="24"/>
      <c r="I172" s="25">
        <f>SUM(U164:U171)</f>
        <v>15.91</v>
      </c>
      <c r="J172" s="24">
        <f>160</f>
        <v>160</v>
      </c>
      <c r="K172" s="25">
        <f>SUM(V164:V171)</f>
        <v>678.77</v>
      </c>
    </row>
    <row r="173" spans="1:35" ht="15">
      <c r="A173" s="29"/>
      <c r="B173" s="29"/>
      <c r="C173" s="29" t="s">
        <v>557</v>
      </c>
      <c r="D173" s="30" t="s">
        <v>558</v>
      </c>
      <c r="E173" s="31">
        <f>Source!AQ103</f>
        <v>147.85</v>
      </c>
      <c r="F173" s="32"/>
      <c r="G173" s="33" t="str">
        <f>Source!DI103</f>
        <v/>
      </c>
      <c r="H173" s="31">
        <f>Source!AV103</f>
        <v>1.0669999999999999</v>
      </c>
      <c r="I173" s="32">
        <f>Source!U103</f>
        <v>47.326784999999994</v>
      </c>
      <c r="J173" s="31"/>
      <c r="K173" s="32"/>
      <c r="AB173" s="34">
        <f>I173</f>
        <v>47.326784999999994</v>
      </c>
    </row>
    <row r="174" spans="1:35" ht="14.25">
      <c r="C174" s="16" t="s">
        <v>559</v>
      </c>
      <c r="H174" s="49">
        <f>I166+I167+I170+I171+I172+SUM(I169:I169)-SUMIF(AI169:AI169, 5, I169:I169)-SUMIF(AI169:AI169, 6, I169:I169)</f>
        <v>94034.75</v>
      </c>
      <c r="I174" s="49"/>
      <c r="J174" s="49">
        <f>K166+K167+K170+K171+K172+SUM(K169:K169)-SUMIF(AI169:AI169, 5, K169:K169)-SUMIF(AI169:AI169, 6, K169:K169)</f>
        <v>650623.25</v>
      </c>
      <c r="K174" s="49"/>
    </row>
    <row r="175" spans="1:35" ht="14.25">
      <c r="C175" s="16" t="s">
        <v>560</v>
      </c>
      <c r="H175" s="50">
        <f>SUMIF(AI169:AI169, 5, I169:I169)+SUMIF(AI169:AI169, 6, I169:I169)</f>
        <v>0</v>
      </c>
      <c r="I175" s="50"/>
      <c r="J175" s="50">
        <f>SUMIF(AI169:AI169, 5, K169:K169)+SUMIF(AI169:AI169, 6, K169:K169)</f>
        <v>0</v>
      </c>
      <c r="K175" s="50"/>
    </row>
    <row r="176" spans="1:35" ht="14.25">
      <c r="H176" s="50"/>
      <c r="I176" s="50"/>
      <c r="J176" s="50"/>
      <c r="K176" s="50"/>
      <c r="O176" s="34">
        <f>I166+I167+I170+I171+I172+SUM(I169:I169)</f>
        <v>94034.75</v>
      </c>
      <c r="P176" s="34">
        <f>K166+K167+K170+K171+K172+SUM(K169:K169)</f>
        <v>650623.25</v>
      </c>
      <c r="X176" s="12">
        <f>IF(Source!BI103&lt;=1,I166+I167+I170+I171+I172-0, 0)</f>
        <v>1522.4200000000003</v>
      </c>
      <c r="Y176" s="12">
        <f>IF(Source!BI103=2,I166+I167+I170+I171+I172-0, 0)</f>
        <v>0</v>
      </c>
      <c r="Z176" s="12">
        <f>IF(Source!BI103=3,I166+I167+I170+I171+I172-0, 0)</f>
        <v>0</v>
      </c>
      <c r="AA176" s="12">
        <f>IF(Source!BI103=4,I166+I167+I170+I171+I172,0)</f>
        <v>0</v>
      </c>
    </row>
    <row r="178" spans="1:35" ht="45">
      <c r="A178" s="22">
        <v>13</v>
      </c>
      <c r="B178" s="22" t="str">
        <f>Source!F107</f>
        <v>3.34-55-6</v>
      </c>
      <c r="C178" s="22" t="s">
        <v>182</v>
      </c>
      <c r="D178" s="23" t="str">
        <f>Source!H107</f>
        <v>1 км трубопровода</v>
      </c>
      <c r="E178" s="24">
        <f>Source!I107</f>
        <v>0.6</v>
      </c>
      <c r="F178" s="25"/>
      <c r="G178" s="26"/>
      <c r="H178" s="24"/>
      <c r="I178" s="25"/>
      <c r="J178" s="24"/>
      <c r="K178" s="25"/>
      <c r="Q178" s="12">
        <f>ROUND((Source!DN107/100)*ROUND((ROUND((Source!AF107*Source!AV107*Source!I107),2)),2), 2)</f>
        <v>837.42</v>
      </c>
      <c r="R178" s="12">
        <f>Source!X107</f>
        <v>32103.55</v>
      </c>
      <c r="S178" s="12">
        <f>ROUND((Source!DO107/100)*ROUND((ROUND((Source!AF107*Source!AV107*Source!I107),2)),2), 2)</f>
        <v>523.39</v>
      </c>
      <c r="T178" s="12">
        <f>Source!Y107</f>
        <v>14307.02</v>
      </c>
      <c r="U178" s="12">
        <f>ROUND((175/100)*ROUND((ROUND((Source!AE107*Source!AV107*Source!I107),2)),2), 2)</f>
        <v>31.47</v>
      </c>
      <c r="V178" s="12">
        <f>ROUND((160/100)*ROUND(ROUND((ROUND((Source!AE107*Source!AV107*Source!I107),2)*Source!BS107),2), 2), 2)</f>
        <v>1342.61</v>
      </c>
      <c r="AI178" s="12">
        <v>0</v>
      </c>
    </row>
    <row r="179" spans="1:35">
      <c r="C179" s="27" t="str">
        <f>"Объем: "&amp;Source!I107&amp;"=(200*"&amp;"3)/"&amp;"1000"</f>
        <v>Объем: 0,6=(200*3)/1000</v>
      </c>
    </row>
    <row r="180" spans="1:35" ht="15">
      <c r="A180" s="22"/>
      <c r="B180" s="22"/>
      <c r="C180" s="22" t="s">
        <v>550</v>
      </c>
      <c r="D180" s="23"/>
      <c r="E180" s="24"/>
      <c r="F180" s="25">
        <f>Source!AO107</f>
        <v>1167.92</v>
      </c>
      <c r="G180" s="26" t="str">
        <f>Source!DG107</f>
        <v/>
      </c>
      <c r="H180" s="24">
        <f>Source!AV107</f>
        <v>1.0669999999999999</v>
      </c>
      <c r="I180" s="25">
        <f>ROUND((ROUND((Source!AF107*Source!AV107*Source!I107),2)),2)</f>
        <v>747.7</v>
      </c>
      <c r="J180" s="24">
        <f>IF(Source!BA107&lt;&gt; 0, Source!BA107, 1)</f>
        <v>46.67</v>
      </c>
      <c r="K180" s="25">
        <f>Source!S107</f>
        <v>34895.160000000003</v>
      </c>
      <c r="W180" s="12">
        <f>I180</f>
        <v>747.7</v>
      </c>
    </row>
    <row r="181" spans="1:35" ht="15">
      <c r="A181" s="22"/>
      <c r="B181" s="22"/>
      <c r="C181" s="22" t="s">
        <v>551</v>
      </c>
      <c r="D181" s="23"/>
      <c r="E181" s="24"/>
      <c r="F181" s="25">
        <f>Source!AM107</f>
        <v>255.97</v>
      </c>
      <c r="G181" s="26" t="str">
        <f>Source!DE107</f>
        <v/>
      </c>
      <c r="H181" s="24">
        <f>Source!AV107</f>
        <v>1.0669999999999999</v>
      </c>
      <c r="I181" s="25">
        <f>(ROUND((ROUND(((Source!ET107)*Source!AV107*Source!I107),2)),2)+ROUND((ROUND(((Source!AE107-(Source!EU107))*Source!AV107*Source!I107),2)),2))</f>
        <v>163.87</v>
      </c>
      <c r="J181" s="24">
        <f>IF(Source!BB107&lt;&gt; 0, Source!BB107, 1)</f>
        <v>13.48</v>
      </c>
      <c r="K181" s="25">
        <f>Source!Q107</f>
        <v>2208.9699999999998</v>
      </c>
    </row>
    <row r="182" spans="1:35" ht="15">
      <c r="A182" s="22"/>
      <c r="B182" s="22"/>
      <c r="C182" s="22" t="s">
        <v>552</v>
      </c>
      <c r="D182" s="23"/>
      <c r="E182" s="24"/>
      <c r="F182" s="25">
        <f>Source!AN107</f>
        <v>28.08</v>
      </c>
      <c r="G182" s="26" t="str">
        <f>Source!DF107</f>
        <v/>
      </c>
      <c r="H182" s="24">
        <f>Source!AV107</f>
        <v>1.0669999999999999</v>
      </c>
      <c r="I182" s="28">
        <f>ROUND((ROUND((Source!AE107*Source!AV107*Source!I107),2)),2)</f>
        <v>17.98</v>
      </c>
      <c r="J182" s="24">
        <f>IF(Source!BS107&lt;&gt; 0, Source!BS107, 1)</f>
        <v>46.67</v>
      </c>
      <c r="K182" s="28">
        <f>Source!R107</f>
        <v>839.13</v>
      </c>
      <c r="W182" s="12">
        <f>I182</f>
        <v>17.98</v>
      </c>
    </row>
    <row r="183" spans="1:35" ht="225">
      <c r="A183" s="22" t="s">
        <v>184</v>
      </c>
      <c r="B183" s="22" t="str">
        <f>Source!F109</f>
        <v>1.12-5-1011</v>
      </c>
      <c r="C183" s="22" t="s">
        <v>523</v>
      </c>
      <c r="D183" s="23" t="str">
        <f>Source!H109</f>
        <v>м</v>
      </c>
      <c r="E183" s="24">
        <f>Source!I109</f>
        <v>615</v>
      </c>
      <c r="F183" s="25">
        <f>Source!AK109</f>
        <v>278.31</v>
      </c>
      <c r="G183" s="37" t="s">
        <v>4</v>
      </c>
      <c r="H183" s="24">
        <f>Source!AW109</f>
        <v>1.081</v>
      </c>
      <c r="I183" s="25">
        <f>ROUND((ROUND((Source!AC109*Source!AW109*Source!I109),2)),2)+(ROUND((ROUND(((Source!ET109)*Source!AV109*Source!I109),2)),2)+ROUND((ROUND(((Source!AE109-(Source!EU109))*Source!AV109*Source!I109),2)),2))+ROUND((ROUND((Source!AF109*Source!AV109*Source!I109),2)),2)</f>
        <v>185024.66</v>
      </c>
      <c r="J183" s="24">
        <f>IF(Source!BC109&lt;&gt; 0, Source!BC109, 1)</f>
        <v>6.42</v>
      </c>
      <c r="K183" s="25">
        <f>Source!O109</f>
        <v>1187858.32</v>
      </c>
      <c r="Q183" s="12">
        <f>ROUND((Source!DN109/100)*ROUND((ROUND((Source!AF109*Source!AV109*Source!I109),2)),2), 2)</f>
        <v>0</v>
      </c>
      <c r="R183" s="12">
        <f>Source!X109</f>
        <v>0</v>
      </c>
      <c r="S183" s="12">
        <f>ROUND((Source!DO109/100)*ROUND((ROUND((Source!AF109*Source!AV109*Source!I109),2)),2), 2)</f>
        <v>0</v>
      </c>
      <c r="T183" s="12">
        <f>Source!Y109</f>
        <v>0</v>
      </c>
      <c r="U183" s="12">
        <f>ROUND((175/100)*ROUND((ROUND((Source!AE109*Source!AV109*Source!I109),2)),2), 2)</f>
        <v>0</v>
      </c>
      <c r="V183" s="12">
        <f>ROUND((160/100)*ROUND(ROUND((ROUND((Source!AE109*Source!AV109*Source!I109),2)*Source!BS109),2), 2), 2)</f>
        <v>0</v>
      </c>
      <c r="X183" s="12">
        <f>IF(Source!BI109&lt;=1,I183, 0)</f>
        <v>185024.66</v>
      </c>
      <c r="Y183" s="12">
        <f>IF(Source!BI109=2,I183, 0)</f>
        <v>0</v>
      </c>
      <c r="Z183" s="12">
        <f>IF(Source!BI109=3,I183, 0)</f>
        <v>0</v>
      </c>
      <c r="AA183" s="12">
        <f>IF(Source!BI109=4,I183, 0)</f>
        <v>0</v>
      </c>
      <c r="AI183" s="12">
        <v>3</v>
      </c>
    </row>
    <row r="184" spans="1:35" ht="15">
      <c r="A184" s="22"/>
      <c r="B184" s="22"/>
      <c r="C184" s="22" t="s">
        <v>553</v>
      </c>
      <c r="D184" s="23" t="s">
        <v>554</v>
      </c>
      <c r="E184" s="24">
        <f>Source!DN107</f>
        <v>112</v>
      </c>
      <c r="F184" s="25"/>
      <c r="G184" s="26"/>
      <c r="H184" s="24"/>
      <c r="I184" s="25">
        <f>SUM(Q178:Q183)</f>
        <v>837.42</v>
      </c>
      <c r="J184" s="24">
        <f>Source!BZ107</f>
        <v>92</v>
      </c>
      <c r="K184" s="25">
        <f>SUM(R178:R183)</f>
        <v>32103.55</v>
      </c>
    </row>
    <row r="185" spans="1:35" ht="15">
      <c r="A185" s="22"/>
      <c r="B185" s="22"/>
      <c r="C185" s="22" t="s">
        <v>555</v>
      </c>
      <c r="D185" s="23" t="s">
        <v>554</v>
      </c>
      <c r="E185" s="24">
        <f>Source!DO107</f>
        <v>70</v>
      </c>
      <c r="F185" s="25"/>
      <c r="G185" s="26"/>
      <c r="H185" s="24"/>
      <c r="I185" s="25">
        <f>SUM(S178:S184)</f>
        <v>523.39</v>
      </c>
      <c r="J185" s="24">
        <f>Source!CA107</f>
        <v>41</v>
      </c>
      <c r="K185" s="25">
        <f>SUM(T178:T184)</f>
        <v>14307.02</v>
      </c>
    </row>
    <row r="186" spans="1:35" ht="15">
      <c r="A186" s="22"/>
      <c r="B186" s="22"/>
      <c r="C186" s="22" t="s">
        <v>556</v>
      </c>
      <c r="D186" s="23" t="s">
        <v>554</v>
      </c>
      <c r="E186" s="24">
        <f>175</f>
        <v>175</v>
      </c>
      <c r="F186" s="25"/>
      <c r="G186" s="26"/>
      <c r="H186" s="24"/>
      <c r="I186" s="25">
        <f>SUM(U178:U185)</f>
        <v>31.47</v>
      </c>
      <c r="J186" s="24">
        <f>160</f>
        <v>160</v>
      </c>
      <c r="K186" s="25">
        <f>SUM(V178:V185)</f>
        <v>1342.61</v>
      </c>
    </row>
    <row r="187" spans="1:35" ht="15">
      <c r="A187" s="29"/>
      <c r="B187" s="29"/>
      <c r="C187" s="29" t="s">
        <v>557</v>
      </c>
      <c r="D187" s="30" t="s">
        <v>558</v>
      </c>
      <c r="E187" s="31">
        <f>Source!AQ107</f>
        <v>107.8</v>
      </c>
      <c r="F187" s="32"/>
      <c r="G187" s="33" t="str">
        <f>Source!DI107</f>
        <v/>
      </c>
      <c r="H187" s="31">
        <f>Source!AV107</f>
        <v>1.0669999999999999</v>
      </c>
      <c r="I187" s="32">
        <f>Source!U107</f>
        <v>69.013559999999998</v>
      </c>
      <c r="J187" s="31"/>
      <c r="K187" s="32"/>
      <c r="AB187" s="34">
        <f>I187</f>
        <v>69.013559999999998</v>
      </c>
    </row>
    <row r="188" spans="1:35" ht="14.25">
      <c r="C188" s="16" t="s">
        <v>559</v>
      </c>
      <c r="H188" s="49">
        <f>I180+I181+I184+I185+I186+SUM(I183:I183)-SUMIF(AI183:AI183, 5, I183:I183)-SUMIF(AI183:AI183, 6, I183:I183)</f>
        <v>187328.51</v>
      </c>
      <c r="I188" s="49"/>
      <c r="J188" s="49">
        <f>K180+K181+K184+K185+K186+SUM(K183:K183)-SUMIF(AI183:AI183, 5, K183:K183)-SUMIF(AI183:AI183, 6, K183:K183)</f>
        <v>1272715.6300000001</v>
      </c>
      <c r="K188" s="49"/>
    </row>
    <row r="189" spans="1:35" ht="14.25">
      <c r="C189" s="16" t="s">
        <v>560</v>
      </c>
      <c r="H189" s="50">
        <f>SUMIF(AI183:AI183, 5, I183:I183)+SUMIF(AI183:AI183, 6, I183:I183)</f>
        <v>0</v>
      </c>
      <c r="I189" s="50"/>
      <c r="J189" s="50">
        <f>SUMIF(AI183:AI183, 5, K183:K183)+SUMIF(AI183:AI183, 6, K183:K183)</f>
        <v>0</v>
      </c>
      <c r="K189" s="50"/>
    </row>
    <row r="190" spans="1:35" ht="14.25">
      <c r="H190" s="50"/>
      <c r="I190" s="50"/>
      <c r="J190" s="50"/>
      <c r="K190" s="50"/>
      <c r="O190" s="34">
        <f>I180+I181+I184+I185+I186+SUM(I183:I183)</f>
        <v>187328.51</v>
      </c>
      <c r="P190" s="34">
        <f>K180+K181+K184+K185+K186+SUM(K183:K183)</f>
        <v>1272715.6300000001</v>
      </c>
      <c r="X190" s="12">
        <f>IF(Source!BI107&lt;=1,I180+I181+I184+I185+I186-0, 0)</f>
        <v>2303.85</v>
      </c>
      <c r="Y190" s="12">
        <f>IF(Source!BI107=2,I180+I181+I184+I185+I186-0, 0)</f>
        <v>0</v>
      </c>
      <c r="Z190" s="12">
        <f>IF(Source!BI107=3,I180+I181+I184+I185+I186-0, 0)</f>
        <v>0</v>
      </c>
      <c r="AA190" s="12">
        <f>IF(Source!BI107=4,I180+I181+I184+I185+I186,0)</f>
        <v>0</v>
      </c>
    </row>
    <row r="192" spans="1:35" ht="30">
      <c r="A192" s="29">
        <v>14</v>
      </c>
      <c r="B192" s="29" t="str">
        <f>Source!F111</f>
        <v>1.12-5-723</v>
      </c>
      <c r="C192" s="29" t="s">
        <v>187</v>
      </c>
      <c r="D192" s="30" t="str">
        <f>Source!H111</f>
        <v>шт.</v>
      </c>
      <c r="E192" s="31">
        <f>Source!I111</f>
        <v>16</v>
      </c>
      <c r="F192" s="32">
        <f>Source!AL111</f>
        <v>3.1</v>
      </c>
      <c r="G192" s="33" t="str">
        <f>Source!DD111</f>
        <v/>
      </c>
      <c r="H192" s="31">
        <f>Source!AW111</f>
        <v>1</v>
      </c>
      <c r="I192" s="32">
        <f>ROUND((ROUND((Source!AC111*Source!AW111*Source!I111),2)),2)</f>
        <v>49.6</v>
      </c>
      <c r="J192" s="31">
        <f>IF(Source!BC111&lt;&gt; 0, Source!BC111, 1)</f>
        <v>42.79</v>
      </c>
      <c r="K192" s="32">
        <f>Source!P111</f>
        <v>2122.38</v>
      </c>
      <c r="Q192" s="12">
        <f>ROUND((Source!DN111/100)*ROUND((ROUND((Source!AF111*Source!AV111*Source!I111),2)),2), 2)</f>
        <v>0</v>
      </c>
      <c r="R192" s="12">
        <f>Source!X111</f>
        <v>0</v>
      </c>
      <c r="S192" s="12">
        <f>ROUND((Source!DO111/100)*ROUND((ROUND((Source!AF111*Source!AV111*Source!I111),2)),2), 2)</f>
        <v>0</v>
      </c>
      <c r="T192" s="12">
        <f>Source!Y111</f>
        <v>0</v>
      </c>
      <c r="U192" s="12">
        <f>ROUND((175/100)*ROUND((ROUND((Source!AE111*Source!AV111*Source!I111),2)),2), 2)</f>
        <v>0</v>
      </c>
      <c r="V192" s="12">
        <f>ROUND((160/100)*ROUND(ROUND((ROUND((Source!AE111*Source!AV111*Source!I111),2)*Source!BS111),2), 2), 2)</f>
        <v>0</v>
      </c>
      <c r="AI192" s="12">
        <v>3</v>
      </c>
    </row>
    <row r="193" spans="1:35" ht="14.25">
      <c r="C193" s="16" t="s">
        <v>561</v>
      </c>
      <c r="H193" s="49">
        <f>I192+0</f>
        <v>49.6</v>
      </c>
      <c r="I193" s="49"/>
      <c r="J193" s="49">
        <f>K192+0</f>
        <v>2122.38</v>
      </c>
      <c r="K193" s="49"/>
      <c r="O193" s="34">
        <f>I192+0</f>
        <v>49.6</v>
      </c>
      <c r="P193" s="34">
        <f>K192+0</f>
        <v>2122.38</v>
      </c>
      <c r="X193" s="12">
        <f>IF(Source!BI111&lt;=1,I192-0, 0)</f>
        <v>49.6</v>
      </c>
      <c r="Y193" s="12">
        <f>IF(Source!BI111=2,I192-0, 0)</f>
        <v>0</v>
      </c>
      <c r="Z193" s="12">
        <f>IF(Source!BI111=3,I192-0, 0)</f>
        <v>0</v>
      </c>
      <c r="AA193" s="12">
        <f>IF(Source!BI111=4,I192,0)</f>
        <v>0</v>
      </c>
    </row>
    <row r="195" spans="1:35" ht="45">
      <c r="A195" s="22">
        <v>15</v>
      </c>
      <c r="B195" s="22" t="str">
        <f>Source!F113</f>
        <v>3.22-73-2</v>
      </c>
      <c r="C195" s="22" t="s">
        <v>192</v>
      </c>
      <c r="D195" s="23" t="str">
        <f>Source!H113</f>
        <v>1 стык</v>
      </c>
      <c r="E195" s="24">
        <f>Source!I113</f>
        <v>77</v>
      </c>
      <c r="F195" s="25"/>
      <c r="G195" s="26"/>
      <c r="H195" s="24"/>
      <c r="I195" s="25"/>
      <c r="J195" s="24"/>
      <c r="K195" s="25"/>
      <c r="Q195" s="12">
        <f>ROUND((Source!DN113/100)*ROUND((ROUND((Source!AF113*Source!AV113*Source!I113),2)),2), 2)</f>
        <v>1620.5</v>
      </c>
      <c r="R195" s="12">
        <f>Source!X113</f>
        <v>61981.39</v>
      </c>
      <c r="S195" s="12">
        <f>ROUND((Source!DO113/100)*ROUND((ROUND((Source!AF113*Source!AV113*Source!I113),2)),2), 2)</f>
        <v>1376.81</v>
      </c>
      <c r="T195" s="12">
        <f>Source!Y113</f>
        <v>30706.38</v>
      </c>
      <c r="U195" s="12">
        <f>ROUND((175/100)*ROUND((ROUND((Source!AE113*Source!AV113*Source!I113),2)),2), 2)</f>
        <v>0</v>
      </c>
      <c r="V195" s="12">
        <f>ROUND((160/100)*ROUND(ROUND((ROUND((Source!AE113*Source!AV113*Source!I113),2)*Source!BS113),2), 2), 2)</f>
        <v>0</v>
      </c>
      <c r="AI195" s="12">
        <v>0</v>
      </c>
    </row>
    <row r="196" spans="1:35">
      <c r="C196" s="27" t="str">
        <f>"Объем: "&amp;Source!I113&amp;"=("&amp;Source!I105&amp;"+"&amp;""&amp;Source!I109&amp;")/"&amp;"12"</f>
        <v>Объем: 77=(307,5+615)/12</v>
      </c>
    </row>
    <row r="197" spans="1:35" ht="15">
      <c r="A197" s="22"/>
      <c r="B197" s="22"/>
      <c r="C197" s="22" t="s">
        <v>550</v>
      </c>
      <c r="D197" s="23"/>
      <c r="E197" s="24"/>
      <c r="F197" s="25">
        <f>Source!AO113</f>
        <v>14.83</v>
      </c>
      <c r="G197" s="26" t="str">
        <f>Source!DG113</f>
        <v/>
      </c>
      <c r="H197" s="24">
        <f>Source!AV113</f>
        <v>1.0669999999999999</v>
      </c>
      <c r="I197" s="25">
        <f>ROUND((ROUND((Source!AF113*Source!AV113*Source!I113),2)),2)</f>
        <v>1218.42</v>
      </c>
      <c r="J197" s="24">
        <f>IF(Source!BA113&lt;&gt; 0, Source!BA113, 1)</f>
        <v>46.67</v>
      </c>
      <c r="K197" s="25">
        <f>Source!S113</f>
        <v>56863.66</v>
      </c>
      <c r="W197" s="12">
        <f>I197</f>
        <v>1218.42</v>
      </c>
    </row>
    <row r="198" spans="1:35" ht="15">
      <c r="A198" s="22"/>
      <c r="B198" s="22"/>
      <c r="C198" s="22" t="s">
        <v>551</v>
      </c>
      <c r="D198" s="23"/>
      <c r="E198" s="24"/>
      <c r="F198" s="25">
        <f>Source!AM113</f>
        <v>2.25</v>
      </c>
      <c r="G198" s="26" t="str">
        <f>Source!DE113</f>
        <v/>
      </c>
      <c r="H198" s="24">
        <f>Source!AV113</f>
        <v>1.0669999999999999</v>
      </c>
      <c r="I198" s="25">
        <f>(ROUND((ROUND(((Source!ET113)*Source!AV113*Source!I113),2)),2)+ROUND((ROUND(((Source!AE113-(Source!EU113))*Source!AV113*Source!I113),2)),2))</f>
        <v>184.86</v>
      </c>
      <c r="J198" s="24">
        <f>IF(Source!BB113&lt;&gt; 0, Source!BB113, 1)</f>
        <v>9.4</v>
      </c>
      <c r="K198" s="25">
        <f>Source!Q113</f>
        <v>1737.68</v>
      </c>
    </row>
    <row r="199" spans="1:35" ht="15">
      <c r="A199" s="22"/>
      <c r="B199" s="22"/>
      <c r="C199" s="22" t="s">
        <v>564</v>
      </c>
      <c r="D199" s="23"/>
      <c r="E199" s="24"/>
      <c r="F199" s="25">
        <f>Source!AL113</f>
        <v>0.91</v>
      </c>
      <c r="G199" s="26" t="str">
        <f>Source!DD113</f>
        <v/>
      </c>
      <c r="H199" s="24">
        <f>Source!AW113</f>
        <v>1.0029999999999999</v>
      </c>
      <c r="I199" s="25">
        <f>ROUND((ROUND((Source!AC113*Source!AW113*Source!I113),2)),2)</f>
        <v>70.28</v>
      </c>
      <c r="J199" s="24">
        <f>IF(Source!BC113&lt;&gt; 0, Source!BC113, 1)</f>
        <v>104.8</v>
      </c>
      <c r="K199" s="25">
        <f>Source!P113</f>
        <v>7365.34</v>
      </c>
    </row>
    <row r="200" spans="1:35" ht="15">
      <c r="A200" s="22"/>
      <c r="B200" s="22"/>
      <c r="C200" s="22" t="s">
        <v>553</v>
      </c>
      <c r="D200" s="23" t="s">
        <v>554</v>
      </c>
      <c r="E200" s="24">
        <f>Source!DN113</f>
        <v>133</v>
      </c>
      <c r="F200" s="25"/>
      <c r="G200" s="26"/>
      <c r="H200" s="24"/>
      <c r="I200" s="25">
        <f>SUM(Q195:Q199)</f>
        <v>1620.5</v>
      </c>
      <c r="J200" s="24">
        <f>Source!BZ113</f>
        <v>109</v>
      </c>
      <c r="K200" s="25">
        <f>SUM(R195:R199)</f>
        <v>61981.39</v>
      </c>
    </row>
    <row r="201" spans="1:35" ht="15">
      <c r="A201" s="22"/>
      <c r="B201" s="22"/>
      <c r="C201" s="22" t="s">
        <v>555</v>
      </c>
      <c r="D201" s="23" t="s">
        <v>554</v>
      </c>
      <c r="E201" s="24">
        <f>Source!DO113</f>
        <v>113</v>
      </c>
      <c r="F201" s="25"/>
      <c r="G201" s="26"/>
      <c r="H201" s="24"/>
      <c r="I201" s="25">
        <f>SUM(S195:S200)</f>
        <v>1376.81</v>
      </c>
      <c r="J201" s="24">
        <f>Source!CA113</f>
        <v>54</v>
      </c>
      <c r="K201" s="25">
        <f>SUM(T195:T200)</f>
        <v>30706.38</v>
      </c>
    </row>
    <row r="202" spans="1:35" ht="15">
      <c r="A202" s="29"/>
      <c r="B202" s="29"/>
      <c r="C202" s="29" t="s">
        <v>557</v>
      </c>
      <c r="D202" s="30" t="s">
        <v>558</v>
      </c>
      <c r="E202" s="31">
        <f>Source!AQ113</f>
        <v>1.1499999999999999</v>
      </c>
      <c r="F202" s="32"/>
      <c r="G202" s="33" t="str">
        <f>Source!DI113</f>
        <v/>
      </c>
      <c r="H202" s="31">
        <f>Source!AV113</f>
        <v>1.0669999999999999</v>
      </c>
      <c r="I202" s="32">
        <f>Source!U113</f>
        <v>94.482849999999985</v>
      </c>
      <c r="J202" s="31"/>
      <c r="K202" s="32"/>
      <c r="AB202" s="34">
        <f>I202</f>
        <v>94.482849999999985</v>
      </c>
    </row>
    <row r="203" spans="1:35" ht="14.25">
      <c r="C203" s="16" t="s">
        <v>559</v>
      </c>
      <c r="H203" s="49">
        <f>I197+I198+I199+I200+I201+0-0-0</f>
        <v>4470.8700000000008</v>
      </c>
      <c r="I203" s="49"/>
      <c r="J203" s="49">
        <f>K197+K198+K199+K200+K201+0-0-0</f>
        <v>158654.45000000001</v>
      </c>
      <c r="K203" s="49"/>
    </row>
    <row r="204" spans="1:35" ht="14.25">
      <c r="C204" s="16" t="s">
        <v>560</v>
      </c>
      <c r="H204" s="50">
        <f>0+0</f>
        <v>0</v>
      </c>
      <c r="I204" s="50"/>
      <c r="J204" s="50">
        <f>0+0</f>
        <v>0</v>
      </c>
      <c r="K204" s="50"/>
    </row>
    <row r="205" spans="1:35" ht="14.25">
      <c r="H205" s="50"/>
      <c r="I205" s="50"/>
      <c r="J205" s="50"/>
      <c r="K205" s="50"/>
      <c r="O205" s="34">
        <f>I197+I198+I199+I200+I201+0</f>
        <v>4470.8700000000008</v>
      </c>
      <c r="P205" s="34">
        <f>K197+K198+K199+K200+K201+0</f>
        <v>158654.45000000001</v>
      </c>
      <c r="X205" s="12">
        <f>IF(Source!BI113&lt;=1,I197+I198+I199+I200+I201-0, 0)</f>
        <v>4470.8700000000008</v>
      </c>
      <c r="Y205" s="12">
        <f>IF(Source!BI113=2,I197+I198+I199+I200+I201-0, 0)</f>
        <v>0</v>
      </c>
      <c r="Z205" s="12">
        <f>IF(Source!BI113=3,I197+I198+I199+I200+I201-0, 0)</f>
        <v>0</v>
      </c>
      <c r="AA205" s="12">
        <f>IF(Source!BI113=4,I197+I198+I199+I200+I201,0)</f>
        <v>0</v>
      </c>
    </row>
    <row r="207" spans="1:35" ht="60">
      <c r="A207" s="22">
        <v>16</v>
      </c>
      <c r="B207" s="22" t="str">
        <f>Source!F115</f>
        <v>3.13-30-1</v>
      </c>
      <c r="C207" s="22" t="s">
        <v>199</v>
      </c>
      <c r="D207" s="23" t="str">
        <f>Source!H115</f>
        <v>100 м2 покрытия</v>
      </c>
      <c r="E207" s="24">
        <f>Source!I115</f>
        <v>0.1333</v>
      </c>
      <c r="F207" s="25"/>
      <c r="G207" s="26"/>
      <c r="H207" s="24"/>
      <c r="I207" s="25"/>
      <c r="J207" s="24"/>
      <c r="K207" s="25"/>
      <c r="Q207" s="12">
        <f>ROUND((Source!DN115/100)*ROUND((ROUND((Source!AF115*Source!AV115*Source!I115),2)),2), 2)</f>
        <v>282.95999999999998</v>
      </c>
      <c r="R207" s="12">
        <f>Source!X115</f>
        <v>10942.08</v>
      </c>
      <c r="S207" s="12">
        <f>ROUND((Source!DO115/100)*ROUND((ROUND((Source!AF115*Source!AV115*Source!I115),2)),2), 2)</f>
        <v>207.51</v>
      </c>
      <c r="T207" s="12">
        <f>Source!Y115</f>
        <v>5156.6099999999997</v>
      </c>
      <c r="U207" s="12">
        <f>ROUND((175/100)*ROUND((ROUND((Source!AE115*Source!AV115*Source!I115),2)),2), 2)</f>
        <v>0.14000000000000001</v>
      </c>
      <c r="V207" s="12">
        <f>ROUND((160/100)*ROUND(ROUND((ROUND((Source!AE115*Source!AV115*Source!I115),2)*Source!BS115),2), 2), 2)</f>
        <v>5.97</v>
      </c>
      <c r="AI207" s="12">
        <v>0</v>
      </c>
    </row>
    <row r="208" spans="1:35">
      <c r="C208" s="27" t="str">
        <f>"Объем: "&amp;Source!I115&amp;"=((10)*"&amp;"2/"&amp;"1,5)/"&amp;"100"</f>
        <v>Объем: 0,1333=((10)*2/1,5)/100</v>
      </c>
    </row>
    <row r="209" spans="1:35" ht="15">
      <c r="A209" s="22"/>
      <c r="B209" s="22"/>
      <c r="C209" s="22" t="s">
        <v>550</v>
      </c>
      <c r="D209" s="23"/>
      <c r="E209" s="24"/>
      <c r="F209" s="25">
        <f>Source!AO115</f>
        <v>1930.91</v>
      </c>
      <c r="G209" s="26" t="str">
        <f>Source!DG115</f>
        <v/>
      </c>
      <c r="H209" s="24">
        <f>Source!AV115</f>
        <v>1.0469999999999999</v>
      </c>
      <c r="I209" s="25">
        <f>ROUND((ROUND((Source!AF115*Source!AV115*Source!I115),2)),2)</f>
        <v>269.49</v>
      </c>
      <c r="J209" s="24">
        <f>IF(Source!BA115&lt;&gt; 0, Source!BA115, 1)</f>
        <v>46.67</v>
      </c>
      <c r="K209" s="25">
        <f>Source!S115</f>
        <v>12577.1</v>
      </c>
      <c r="W209" s="12">
        <f>I209</f>
        <v>269.49</v>
      </c>
    </row>
    <row r="210" spans="1:35" ht="15">
      <c r="A210" s="22"/>
      <c r="B210" s="22"/>
      <c r="C210" s="22" t="s">
        <v>551</v>
      </c>
      <c r="D210" s="23"/>
      <c r="E210" s="24"/>
      <c r="F210" s="25">
        <f>Source!AM115</f>
        <v>399.63</v>
      </c>
      <c r="G210" s="26" t="str">
        <f>Source!DE115</f>
        <v/>
      </c>
      <c r="H210" s="24">
        <f>Source!AV115</f>
        <v>1.0469999999999999</v>
      </c>
      <c r="I210" s="25">
        <f>(ROUND((ROUND(((Source!ET115)*Source!AV115*Source!I115),2)),2)+ROUND((ROUND(((Source!AE115-(Source!EU115))*Source!AV115*Source!I115),2)),2))</f>
        <v>55.77</v>
      </c>
      <c r="J210" s="24">
        <f>IF(Source!BB115&lt;&gt; 0, Source!BB115, 1)</f>
        <v>10</v>
      </c>
      <c r="K210" s="25">
        <f>Source!Q115</f>
        <v>557.70000000000005</v>
      </c>
    </row>
    <row r="211" spans="1:35" ht="15">
      <c r="A211" s="22"/>
      <c r="B211" s="22"/>
      <c r="C211" s="22" t="s">
        <v>552</v>
      </c>
      <c r="D211" s="23"/>
      <c r="E211" s="24"/>
      <c r="F211" s="25">
        <f>Source!AN115</f>
        <v>0.59</v>
      </c>
      <c r="G211" s="26" t="str">
        <f>Source!DF115</f>
        <v/>
      </c>
      <c r="H211" s="24">
        <f>Source!AV115</f>
        <v>1.0469999999999999</v>
      </c>
      <c r="I211" s="28">
        <f>ROUND((ROUND((Source!AE115*Source!AV115*Source!I115),2)),2)</f>
        <v>0.08</v>
      </c>
      <c r="J211" s="24">
        <f>IF(Source!BS115&lt;&gt; 0, Source!BS115, 1)</f>
        <v>46.67</v>
      </c>
      <c r="K211" s="28">
        <f>Source!R115</f>
        <v>3.73</v>
      </c>
      <c r="W211" s="12">
        <f>I211</f>
        <v>0.08</v>
      </c>
    </row>
    <row r="212" spans="1:35" ht="15">
      <c r="A212" s="22"/>
      <c r="B212" s="22"/>
      <c r="C212" s="22" t="s">
        <v>564</v>
      </c>
      <c r="D212" s="23"/>
      <c r="E212" s="24"/>
      <c r="F212" s="25">
        <f>Source!AL115</f>
        <v>516.41</v>
      </c>
      <c r="G212" s="26" t="str">
        <f>Source!DD115</f>
        <v/>
      </c>
      <c r="H212" s="24">
        <f>Source!AW115</f>
        <v>1</v>
      </c>
      <c r="I212" s="25">
        <f>ROUND((ROUND((Source!AC115*Source!AW115*Source!I115),2)),2)</f>
        <v>68.84</v>
      </c>
      <c r="J212" s="24">
        <f>IF(Source!BC115&lt;&gt; 0, Source!BC115, 1)</f>
        <v>3.33</v>
      </c>
      <c r="K212" s="25">
        <f>Source!P115</f>
        <v>229.24</v>
      </c>
    </row>
    <row r="213" spans="1:35" ht="165">
      <c r="A213" s="22" t="s">
        <v>204</v>
      </c>
      <c r="B213" s="22" t="str">
        <f>Source!F117</f>
        <v>1.1-1-1971</v>
      </c>
      <c r="C213" s="22" t="s">
        <v>524</v>
      </c>
      <c r="D213" s="23" t="str">
        <f>Source!H117</f>
        <v>т</v>
      </c>
      <c r="E213" s="24">
        <f>Source!I117</f>
        <v>1.9994999999999999E-2</v>
      </c>
      <c r="F213" s="25">
        <f>Source!AK117</f>
        <v>162212.64000000001</v>
      </c>
      <c r="G213" s="37" t="s">
        <v>4</v>
      </c>
      <c r="H213" s="24">
        <f>Source!AW117</f>
        <v>1</v>
      </c>
      <c r="I213" s="25">
        <f>ROUND((ROUND((Source!AC117*Source!AW117*Source!I117),2)),2)+(ROUND((ROUND(((Source!ET117)*Source!AV117*Source!I117),2)),2)+ROUND((ROUND(((Source!AE117-(Source!EU117))*Source!AV117*Source!I117),2)),2))+ROUND((ROUND((Source!AF117*Source!AV117*Source!I117),2)),2)</f>
        <v>3243.44</v>
      </c>
      <c r="J213" s="24">
        <f>IF(Source!BC117&lt;&gt; 0, Source!BC117, 1)</f>
        <v>1.87</v>
      </c>
      <c r="K213" s="25">
        <f>Source!O117</f>
        <v>6065.23</v>
      </c>
      <c r="Q213" s="12">
        <f>ROUND((Source!DN117/100)*ROUND((ROUND((Source!AF117*Source!AV117*Source!I117),2)),2), 2)</f>
        <v>0</v>
      </c>
      <c r="R213" s="12">
        <f>Source!X117</f>
        <v>0</v>
      </c>
      <c r="S213" s="12">
        <f>ROUND((Source!DO117/100)*ROUND((ROUND((Source!AF117*Source!AV117*Source!I117),2)),2), 2)</f>
        <v>0</v>
      </c>
      <c r="T213" s="12">
        <f>Source!Y117</f>
        <v>0</v>
      </c>
      <c r="U213" s="12">
        <f>ROUND((175/100)*ROUND((ROUND((Source!AE117*Source!AV117*Source!I117),2)),2), 2)</f>
        <v>0</v>
      </c>
      <c r="V213" s="12">
        <f>ROUND((160/100)*ROUND(ROUND((ROUND((Source!AE117*Source!AV117*Source!I117),2)*Source!BS117),2), 2), 2)</f>
        <v>0</v>
      </c>
      <c r="X213" s="12">
        <f>IF(Source!BI117&lt;=1,I213, 0)</f>
        <v>3243.44</v>
      </c>
      <c r="Y213" s="12">
        <f>IF(Source!BI117=2,I213, 0)</f>
        <v>0</v>
      </c>
      <c r="Z213" s="12">
        <f>IF(Source!BI117=3,I213, 0)</f>
        <v>0</v>
      </c>
      <c r="AA213" s="12">
        <f>IF(Source!BI117=4,I213, 0)</f>
        <v>0</v>
      </c>
      <c r="AI213" s="12">
        <v>3</v>
      </c>
    </row>
    <row r="214" spans="1:35" ht="15">
      <c r="A214" s="22"/>
      <c r="B214" s="22"/>
      <c r="C214" s="22" t="s">
        <v>553</v>
      </c>
      <c r="D214" s="23" t="s">
        <v>554</v>
      </c>
      <c r="E214" s="24">
        <f>Source!DN115</f>
        <v>105</v>
      </c>
      <c r="F214" s="25"/>
      <c r="G214" s="26"/>
      <c r="H214" s="24"/>
      <c r="I214" s="25">
        <f>SUM(Q207:Q213)</f>
        <v>282.95999999999998</v>
      </c>
      <c r="J214" s="24">
        <f>Source!BZ115</f>
        <v>87</v>
      </c>
      <c r="K214" s="25">
        <f>SUM(R207:R213)</f>
        <v>10942.08</v>
      </c>
    </row>
    <row r="215" spans="1:35" ht="15">
      <c r="A215" s="22"/>
      <c r="B215" s="22"/>
      <c r="C215" s="22" t="s">
        <v>555</v>
      </c>
      <c r="D215" s="23" t="s">
        <v>554</v>
      </c>
      <c r="E215" s="24">
        <f>Source!DO115</f>
        <v>77</v>
      </c>
      <c r="F215" s="25"/>
      <c r="G215" s="26"/>
      <c r="H215" s="24"/>
      <c r="I215" s="25">
        <f>SUM(S207:S214)</f>
        <v>207.51</v>
      </c>
      <c r="J215" s="24">
        <f>Source!CA115</f>
        <v>41</v>
      </c>
      <c r="K215" s="25">
        <f>SUM(T207:T214)</f>
        <v>5156.6099999999997</v>
      </c>
    </row>
    <row r="216" spans="1:35" ht="15">
      <c r="A216" s="22"/>
      <c r="B216" s="22"/>
      <c r="C216" s="22" t="s">
        <v>556</v>
      </c>
      <c r="D216" s="23" t="s">
        <v>554</v>
      </c>
      <c r="E216" s="24">
        <f>175</f>
        <v>175</v>
      </c>
      <c r="F216" s="25"/>
      <c r="G216" s="26"/>
      <c r="H216" s="24"/>
      <c r="I216" s="25">
        <f>SUM(U207:U215)</f>
        <v>0.14000000000000001</v>
      </c>
      <c r="J216" s="24">
        <f>160</f>
        <v>160</v>
      </c>
      <c r="K216" s="25">
        <f>SUM(V207:V215)</f>
        <v>5.97</v>
      </c>
    </row>
    <row r="217" spans="1:35" ht="15">
      <c r="A217" s="29"/>
      <c r="B217" s="29"/>
      <c r="C217" s="29" t="s">
        <v>557</v>
      </c>
      <c r="D217" s="30" t="s">
        <v>558</v>
      </c>
      <c r="E217" s="31">
        <f>Source!AQ115</f>
        <v>135</v>
      </c>
      <c r="F217" s="32"/>
      <c r="G217" s="33" t="str">
        <f>Source!DI115</f>
        <v/>
      </c>
      <c r="H217" s="31">
        <f>Source!AV115</f>
        <v>1.0469999999999999</v>
      </c>
      <c r="I217" s="32">
        <f>Source!U115</f>
        <v>18.841288500000001</v>
      </c>
      <c r="J217" s="31"/>
      <c r="K217" s="32"/>
      <c r="AB217" s="34">
        <f>I217</f>
        <v>18.841288500000001</v>
      </c>
    </row>
    <row r="218" spans="1:35" ht="14.25">
      <c r="C218" s="16" t="s">
        <v>559</v>
      </c>
      <c r="H218" s="49">
        <f>I209+I210+I212+I214+I215+I216+SUM(I213:I213)-SUMIF(AI213:AI213, 5, I213:I213)-SUMIF(AI213:AI213, 6, I213:I213)</f>
        <v>4128.1499999999996</v>
      </c>
      <c r="I218" s="49"/>
      <c r="J218" s="49">
        <f>K209+K210+K212+K214+K215+K216+SUM(K213:K213)-SUMIF(AI213:AI213, 5, K213:K213)-SUMIF(AI213:AI213, 6, K213:K213)</f>
        <v>35533.930000000008</v>
      </c>
      <c r="K218" s="49"/>
    </row>
    <row r="219" spans="1:35" ht="14.25">
      <c r="C219" s="16" t="s">
        <v>560</v>
      </c>
      <c r="H219" s="50">
        <f>SUMIF(AI213:AI213, 5, I213:I213)+SUMIF(AI213:AI213, 6, I213:I213)</f>
        <v>0</v>
      </c>
      <c r="I219" s="50"/>
      <c r="J219" s="50">
        <f>SUMIF(AI213:AI213, 5, K213:K213)+SUMIF(AI213:AI213, 6, K213:K213)</f>
        <v>0</v>
      </c>
      <c r="K219" s="50"/>
    </row>
    <row r="220" spans="1:35" ht="14.25">
      <c r="H220" s="50"/>
      <c r="I220" s="50"/>
      <c r="J220" s="50"/>
      <c r="K220" s="50"/>
      <c r="O220" s="34">
        <f>I209+I210+I212+I214+I215+I216+SUM(I213:I213)</f>
        <v>4128.1499999999996</v>
      </c>
      <c r="P220" s="34">
        <f>K209+K210+K212+K214+K215+K216+SUM(K213:K213)</f>
        <v>35533.930000000008</v>
      </c>
      <c r="X220" s="12">
        <f>IF(Source!BI115&lt;=1,I209+I210+I212+I214+I215+I216-0, 0)</f>
        <v>884.70999999999992</v>
      </c>
      <c r="Y220" s="12">
        <f>IF(Source!BI115=2,I209+I210+I212+I214+I215+I216-0, 0)</f>
        <v>0</v>
      </c>
      <c r="Z220" s="12">
        <f>IF(Source!BI115=3,I209+I210+I212+I214+I215+I216-0, 0)</f>
        <v>0</v>
      </c>
      <c r="AA220" s="12">
        <f>IF(Source!BI115=4,I209+I210+I212+I214+I215+I216,0)</f>
        <v>0</v>
      </c>
    </row>
    <row r="223" spans="1:35" ht="14.25">
      <c r="A223" s="54" t="str">
        <f>CONCATENATE("Итого по разделу: ",IF(Source!G121&lt;&gt;"Новый раздел", Source!G121, ""))</f>
        <v>Итого по разделу: Строительные работы</v>
      </c>
      <c r="B223" s="54"/>
      <c r="C223" s="54"/>
      <c r="D223" s="54"/>
      <c r="E223" s="54"/>
      <c r="F223" s="54"/>
      <c r="G223" s="54"/>
      <c r="H223" s="50">
        <f>SUM(O107:O222)</f>
        <v>291470.93</v>
      </c>
      <c r="I223" s="53"/>
      <c r="J223" s="50">
        <f>SUM(P107:P222)</f>
        <v>2142300.1800000002</v>
      </c>
      <c r="K223" s="53"/>
    </row>
    <row r="224" spans="1:35" hidden="1">
      <c r="A224" s="12" t="s">
        <v>562</v>
      </c>
      <c r="H224" s="12">
        <f>SUM(AC107:AC223)</f>
        <v>0</v>
      </c>
      <c r="J224" s="12">
        <f>SUM(AD107:AD223)</f>
        <v>0</v>
      </c>
    </row>
    <row r="225" spans="1:35" hidden="1">
      <c r="A225" s="12" t="s">
        <v>563</v>
      </c>
      <c r="H225" s="12">
        <f>SUM(AE107:AE224)</f>
        <v>0</v>
      </c>
      <c r="J225" s="12">
        <f>SUM(AF107:AF224)</f>
        <v>0</v>
      </c>
    </row>
    <row r="227" spans="1:35" ht="16.5">
      <c r="A227" s="39" t="str">
        <f>CONCATENATE("Раздел: ",IF(Source!G151&lt;&gt;"Новый раздел", Source!G151, ""))</f>
        <v>Раздел: Монтажные работы</v>
      </c>
      <c r="B227" s="39"/>
      <c r="C227" s="39"/>
      <c r="D227" s="39"/>
      <c r="E227" s="39"/>
      <c r="F227" s="39"/>
      <c r="G227" s="39"/>
      <c r="H227" s="39"/>
      <c r="I227" s="39"/>
      <c r="J227" s="39"/>
      <c r="K227" s="39"/>
    </row>
    <row r="229" spans="1:35" ht="16.5">
      <c r="A229" s="39" t="str">
        <f>CONCATENATE("Подраздел: ",IF(Source!G158&lt;&gt;"Новый подраздел", Source!G158, ""))</f>
        <v>Подраздел: от РТП 27044 до ТП 27616</v>
      </c>
      <c r="B229" s="39"/>
      <c r="C229" s="39"/>
      <c r="D229" s="39"/>
      <c r="E229" s="39"/>
      <c r="F229" s="39"/>
      <c r="G229" s="39"/>
      <c r="H229" s="39"/>
      <c r="I229" s="39"/>
      <c r="J229" s="39"/>
      <c r="K229" s="39"/>
    </row>
    <row r="231" spans="1:35" ht="14.25">
      <c r="B231" s="55" t="str">
        <f>Source!G162</f>
        <v>в ГНБ</v>
      </c>
      <c r="C231" s="55"/>
      <c r="D231" s="55"/>
      <c r="E231" s="55"/>
      <c r="F231" s="55"/>
      <c r="G231" s="55"/>
      <c r="H231" s="55"/>
      <c r="I231" s="55"/>
      <c r="J231" s="55"/>
    </row>
    <row r="232" spans="1:35" ht="75">
      <c r="A232" s="22">
        <v>17</v>
      </c>
      <c r="B232" s="22" t="str">
        <f>Source!F164</f>
        <v>4.8-309-1</v>
      </c>
      <c r="C232" s="22" t="s">
        <v>216</v>
      </c>
      <c r="D232" s="23" t="str">
        <f>Source!H164</f>
        <v>100 м</v>
      </c>
      <c r="E232" s="24">
        <f>Source!I164</f>
        <v>54.6</v>
      </c>
      <c r="F232" s="25"/>
      <c r="G232" s="26"/>
      <c r="H232" s="24"/>
      <c r="I232" s="25"/>
      <c r="J232" s="24"/>
      <c r="K232" s="25"/>
      <c r="Q232" s="12">
        <f>ROUND((Source!DN164/100)*ROUND((ROUND((Source!AF164*Source!AV164*Source!I164),2)),2), 2)</f>
        <v>42058.78</v>
      </c>
      <c r="R232" s="12">
        <f>Source!X164</f>
        <v>1612368.3</v>
      </c>
      <c r="S232" s="12">
        <f>ROUND((Source!DO164/100)*ROUND((ROUND((Source!AF164*Source!AV164*Source!I164),2)),2), 2)</f>
        <v>26286.74</v>
      </c>
      <c r="T232" s="12">
        <f>Source!Y164</f>
        <v>753606.92</v>
      </c>
      <c r="U232" s="12">
        <f>ROUND((175/100)*ROUND((ROUND((Source!AE164*Source!AV164*Source!I164),2)),2), 2)</f>
        <v>2247.91</v>
      </c>
      <c r="V232" s="12">
        <f>ROUND((160/100)*ROUND(ROUND((ROUND((Source!AE164*Source!AV164*Source!I164),2)*Source!BS164),2), 2), 2)</f>
        <v>95917.68</v>
      </c>
      <c r="AI232" s="12">
        <v>0</v>
      </c>
    </row>
    <row r="233" spans="1:35" ht="38.25">
      <c r="C233" s="27" t="str">
        <f>"Объем: "&amp;Source!I164&amp;"=(115+"&amp;"115+"&amp;"65+"&amp;"165+"&amp;"155+"&amp;"115+"&amp;"165+"&amp;"105+"&amp;"115+"&amp;"85+"&amp;"115+"&amp;"310+"&amp;"345+"&amp;"205+"&amp;"85+"&amp;"125+"&amp;"105+"&amp;"165+"&amp;"75)*"&amp;"2/"&amp;"100"</f>
        <v>Объем: 54,6=(115+115+65+165+155+115+165+105+115+85+115+310+345+205+85+125+105+165+75)*2/100</v>
      </c>
    </row>
    <row r="234" spans="1:35" ht="15">
      <c r="A234" s="22"/>
      <c r="B234" s="22"/>
      <c r="C234" s="22" t="s">
        <v>550</v>
      </c>
      <c r="D234" s="23"/>
      <c r="E234" s="24"/>
      <c r="F234" s="25">
        <f>Source!AO164</f>
        <v>656.9</v>
      </c>
      <c r="G234" s="26" t="str">
        <f>Source!DG164</f>
        <v/>
      </c>
      <c r="H234" s="24">
        <f>Source!AV164</f>
        <v>1.0469999999999999</v>
      </c>
      <c r="I234" s="25">
        <f>ROUND((ROUND((Source!AF164*Source!AV164*Source!I164),2)),2)</f>
        <v>37552.480000000003</v>
      </c>
      <c r="J234" s="24">
        <f>IF(Source!BA164&lt;&gt; 0, Source!BA164, 1)</f>
        <v>46.67</v>
      </c>
      <c r="K234" s="25">
        <f>Source!S164</f>
        <v>1752574.24</v>
      </c>
      <c r="W234" s="12">
        <f>I234</f>
        <v>37552.480000000003</v>
      </c>
    </row>
    <row r="235" spans="1:35" ht="15">
      <c r="A235" s="22"/>
      <c r="B235" s="22"/>
      <c r="C235" s="22" t="s">
        <v>551</v>
      </c>
      <c r="D235" s="23"/>
      <c r="E235" s="24"/>
      <c r="F235" s="25">
        <f>Source!AM164</f>
        <v>225.52</v>
      </c>
      <c r="G235" s="26" t="str">
        <f>Source!DE164</f>
        <v/>
      </c>
      <c r="H235" s="24">
        <f>Source!AV164</f>
        <v>1.0469999999999999</v>
      </c>
      <c r="I235" s="25">
        <f>(ROUND((ROUND(((Source!ET164)*Source!AV164*Source!I164),2)),2)+ROUND((ROUND(((Source!AE164-(Source!EU164))*Source!AV164*Source!I164),2)),2))</f>
        <v>12892.12</v>
      </c>
      <c r="J235" s="24">
        <f>IF(Source!BB164&lt;&gt; 0, Source!BB164, 1)</f>
        <v>13.18</v>
      </c>
      <c r="K235" s="25">
        <f>Source!Q164</f>
        <v>169918.14</v>
      </c>
    </row>
    <row r="236" spans="1:35" ht="15">
      <c r="A236" s="22"/>
      <c r="B236" s="22"/>
      <c r="C236" s="22" t="s">
        <v>552</v>
      </c>
      <c r="D236" s="23"/>
      <c r="E236" s="24"/>
      <c r="F236" s="25">
        <f>Source!AN164</f>
        <v>22.47</v>
      </c>
      <c r="G236" s="26" t="str">
        <f>Source!DF164</f>
        <v/>
      </c>
      <c r="H236" s="24">
        <f>Source!AV164</f>
        <v>1.0469999999999999</v>
      </c>
      <c r="I236" s="28">
        <f>ROUND((ROUND((Source!AE164*Source!AV164*Source!I164),2)),2)</f>
        <v>1284.52</v>
      </c>
      <c r="J236" s="24">
        <f>IF(Source!BS164&lt;&gt; 0, Source!BS164, 1)</f>
        <v>46.67</v>
      </c>
      <c r="K236" s="28">
        <f>Source!R164</f>
        <v>59948.55</v>
      </c>
      <c r="W236" s="12">
        <f>I236</f>
        <v>1284.52</v>
      </c>
    </row>
    <row r="237" spans="1:35" ht="15">
      <c r="A237" s="22"/>
      <c r="B237" s="22"/>
      <c r="C237" s="22" t="s">
        <v>564</v>
      </c>
      <c r="D237" s="23"/>
      <c r="E237" s="24"/>
      <c r="F237" s="25">
        <f>Source!AL164</f>
        <v>188.5</v>
      </c>
      <c r="G237" s="26" t="str">
        <f>Source!DD164</f>
        <v/>
      </c>
      <c r="H237" s="24">
        <f>Source!AW164</f>
        <v>1</v>
      </c>
      <c r="I237" s="25">
        <f>ROUND((ROUND((Source!AC164*Source!AW164*Source!I164),2)),2)</f>
        <v>10292.1</v>
      </c>
      <c r="J237" s="24">
        <f>IF(Source!BC164&lt;&gt; 0, Source!BC164, 1)</f>
        <v>6.09</v>
      </c>
      <c r="K237" s="25">
        <f>Source!P164</f>
        <v>62678.89</v>
      </c>
    </row>
    <row r="238" spans="1:35" ht="15">
      <c r="A238" s="22"/>
      <c r="B238" s="22"/>
      <c r="C238" s="22" t="s">
        <v>553</v>
      </c>
      <c r="D238" s="23" t="s">
        <v>554</v>
      </c>
      <c r="E238" s="24">
        <f>Source!DN164</f>
        <v>112</v>
      </c>
      <c r="F238" s="25"/>
      <c r="G238" s="26"/>
      <c r="H238" s="24"/>
      <c r="I238" s="25">
        <f>SUM(Q232:Q237)</f>
        <v>42058.78</v>
      </c>
      <c r="J238" s="24">
        <f>Source!BZ164</f>
        <v>92</v>
      </c>
      <c r="K238" s="25">
        <f>SUM(R232:R237)</f>
        <v>1612368.3</v>
      </c>
    </row>
    <row r="239" spans="1:35" ht="15">
      <c r="A239" s="22"/>
      <c r="B239" s="22"/>
      <c r="C239" s="22" t="s">
        <v>555</v>
      </c>
      <c r="D239" s="23" t="s">
        <v>554</v>
      </c>
      <c r="E239" s="24">
        <f>Source!DO164</f>
        <v>70</v>
      </c>
      <c r="F239" s="25"/>
      <c r="G239" s="26"/>
      <c r="H239" s="24"/>
      <c r="I239" s="25">
        <f>SUM(S232:S238)</f>
        <v>26286.74</v>
      </c>
      <c r="J239" s="24">
        <f>Source!CA164</f>
        <v>43</v>
      </c>
      <c r="K239" s="25">
        <f>SUM(T232:T238)</f>
        <v>753606.92</v>
      </c>
    </row>
    <row r="240" spans="1:35" ht="15">
      <c r="A240" s="22"/>
      <c r="B240" s="22"/>
      <c r="C240" s="22" t="s">
        <v>556</v>
      </c>
      <c r="D240" s="23" t="s">
        <v>554</v>
      </c>
      <c r="E240" s="24">
        <f>175</f>
        <v>175</v>
      </c>
      <c r="F240" s="25"/>
      <c r="G240" s="26"/>
      <c r="H240" s="24"/>
      <c r="I240" s="25">
        <f>SUM(U232:U239)</f>
        <v>2247.91</v>
      </c>
      <c r="J240" s="24">
        <f>160</f>
        <v>160</v>
      </c>
      <c r="K240" s="25">
        <f>SUM(V232:V239)</f>
        <v>95917.68</v>
      </c>
    </row>
    <row r="241" spans="1:35" ht="15">
      <c r="A241" s="29"/>
      <c r="B241" s="29"/>
      <c r="C241" s="29" t="s">
        <v>557</v>
      </c>
      <c r="D241" s="30" t="s">
        <v>558</v>
      </c>
      <c r="E241" s="31">
        <f>Source!AQ164</f>
        <v>54.12</v>
      </c>
      <c r="F241" s="32"/>
      <c r="G241" s="33" t="str">
        <f>Source!DI164</f>
        <v/>
      </c>
      <c r="H241" s="31">
        <f>Source!AV164</f>
        <v>1.0469999999999999</v>
      </c>
      <c r="I241" s="32">
        <f>Source!U164</f>
        <v>3093.8347439999998</v>
      </c>
      <c r="J241" s="31"/>
      <c r="K241" s="32"/>
      <c r="AB241" s="34">
        <f>I241</f>
        <v>3093.8347439999998</v>
      </c>
    </row>
    <row r="242" spans="1:35" ht="14.25">
      <c r="C242" s="16" t="s">
        <v>559</v>
      </c>
      <c r="H242" s="49">
        <f>I234+I235+I237+I238+I239+I240+0-0-0</f>
        <v>131330.13</v>
      </c>
      <c r="I242" s="49"/>
      <c r="J242" s="49">
        <f>K234+K235+K237+K238+K239+K240+0-0-0</f>
        <v>4447064.17</v>
      </c>
      <c r="K242" s="49"/>
    </row>
    <row r="243" spans="1:35" ht="14.25">
      <c r="C243" s="16" t="s">
        <v>560</v>
      </c>
      <c r="H243" s="50">
        <f>0+0</f>
        <v>0</v>
      </c>
      <c r="I243" s="50"/>
      <c r="J243" s="50">
        <f>0+0</f>
        <v>0</v>
      </c>
      <c r="K243" s="50"/>
    </row>
    <row r="244" spans="1:35" ht="14.25">
      <c r="H244" s="50"/>
      <c r="I244" s="50"/>
      <c r="J244" s="50"/>
      <c r="K244" s="50"/>
      <c r="O244" s="34">
        <f>I234+I235+I237+I238+I239+I240+0</f>
        <v>131330.13</v>
      </c>
      <c r="P244" s="34">
        <f>K234+K235+K237+K238+K239+K240+0</f>
        <v>4447064.17</v>
      </c>
      <c r="X244" s="12">
        <f>IF(Source!BI164&lt;=1,I234+I235+I237+I238+I239+I240-0, 0)</f>
        <v>0</v>
      </c>
      <c r="Y244" s="12">
        <f>IF(Source!BI164=2,I234+I235+I237+I238+I239+I240-0, 0)</f>
        <v>131330.13</v>
      </c>
      <c r="Z244" s="12">
        <f>IF(Source!BI164=3,I234+I235+I237+I238+I239+I240-0, 0)</f>
        <v>0</v>
      </c>
      <c r="AA244" s="12">
        <f>IF(Source!BI164=4,I234+I235+I237+I238+I239+I240,0)</f>
        <v>0</v>
      </c>
    </row>
    <row r="246" spans="1:35" ht="105">
      <c r="A246" s="22">
        <v>18</v>
      </c>
      <c r="B246" s="22" t="str">
        <f>Source!F166</f>
        <v>1.23-7-397</v>
      </c>
      <c r="C246" s="22" t="s">
        <v>224</v>
      </c>
      <c r="D246" s="23" t="str">
        <f>Source!H166</f>
        <v>км</v>
      </c>
      <c r="E246" s="24">
        <f>Source!I166</f>
        <v>16.707599999999999</v>
      </c>
      <c r="F246" s="25">
        <f>Source!AL166</f>
        <v>109225.28</v>
      </c>
      <c r="G246" s="26" t="str">
        <f>Source!DD166</f>
        <v/>
      </c>
      <c r="H246" s="24">
        <f>Source!AW166</f>
        <v>1</v>
      </c>
      <c r="I246" s="25">
        <f>ROUND((ROUND((Source!AC166*Source!AW166*Source!I166),2)),2)</f>
        <v>1824892.29</v>
      </c>
      <c r="J246" s="24">
        <f>IF(Source!BC166&lt;&gt; 0, Source!BC166, 1)</f>
        <v>8.68</v>
      </c>
      <c r="K246" s="25">
        <f>Source!P166</f>
        <v>15840065.08</v>
      </c>
      <c r="Q246" s="12">
        <f>ROUND((Source!DN166/100)*ROUND((ROUND((Source!AF166*Source!AV166*Source!I166),2)),2), 2)</f>
        <v>0</v>
      </c>
      <c r="R246" s="12">
        <f>Source!X166</f>
        <v>0</v>
      </c>
      <c r="S246" s="12">
        <f>ROUND((Source!DO166/100)*ROUND((ROUND((Source!AF166*Source!AV166*Source!I166),2)),2), 2)</f>
        <v>0</v>
      </c>
      <c r="T246" s="12">
        <f>Source!Y166</f>
        <v>0</v>
      </c>
      <c r="U246" s="12">
        <f>ROUND((175/100)*ROUND((ROUND((Source!AE166*Source!AV166*Source!I166),2)),2), 2)</f>
        <v>0</v>
      </c>
      <c r="V246" s="12">
        <f>ROUND((160/100)*ROUND(ROUND((ROUND((Source!AE166*Source!AV166*Source!I166),2)*Source!BS166),2), 2), 2)</f>
        <v>0</v>
      </c>
      <c r="AI246" s="12">
        <v>3</v>
      </c>
    </row>
    <row r="247" spans="1:35">
      <c r="A247" s="35"/>
      <c r="B247" s="35"/>
      <c r="C247" s="36" t="str">
        <f>"Объем: "&amp;Source!I166&amp;"="&amp;Source!I164&amp;"*"&amp;"3*"&amp;"1,02/"&amp;"10"</f>
        <v>Объем: 16,7076=54,6*3*1,02/10</v>
      </c>
      <c r="D247" s="35"/>
      <c r="E247" s="35"/>
      <c r="F247" s="35"/>
      <c r="G247" s="35"/>
      <c r="H247" s="35"/>
      <c r="I247" s="35"/>
      <c r="J247" s="35"/>
      <c r="K247" s="35"/>
    </row>
    <row r="248" spans="1:35" ht="14.25">
      <c r="C248" s="16" t="s">
        <v>561</v>
      </c>
      <c r="H248" s="49">
        <f>I246+0</f>
        <v>1824892.29</v>
      </c>
      <c r="I248" s="49"/>
      <c r="J248" s="49">
        <f>K246+0</f>
        <v>15840065.08</v>
      </c>
      <c r="K248" s="49"/>
      <c r="O248" s="34">
        <f>I246+0</f>
        <v>1824892.29</v>
      </c>
      <c r="P248" s="34">
        <f>K246+0</f>
        <v>15840065.08</v>
      </c>
      <c r="X248" s="12">
        <f>IF(Source!BI166&lt;=1,I246-0, 0)</f>
        <v>0</v>
      </c>
      <c r="Y248" s="12">
        <f>IF(Source!BI166=2,I246-0, 0)</f>
        <v>1824892.29</v>
      </c>
      <c r="Z248" s="12">
        <f>IF(Source!BI166=3,I246-0, 0)</f>
        <v>0</v>
      </c>
      <c r="AA248" s="12">
        <f>IF(Source!BI166=4,I246,0)</f>
        <v>0</v>
      </c>
    </row>
    <row r="250" spans="1:35" ht="30">
      <c r="A250" s="22">
        <v>19</v>
      </c>
      <c r="B250" s="22" t="str">
        <f>Source!F168</f>
        <v>4.8-301-1</v>
      </c>
      <c r="C250" s="22" t="s">
        <v>231</v>
      </c>
      <c r="D250" s="23" t="str">
        <f>Source!H168</f>
        <v>100 компл.</v>
      </c>
      <c r="E250" s="24">
        <f>Source!I168</f>
        <v>0.72</v>
      </c>
      <c r="F250" s="25"/>
      <c r="G250" s="26"/>
      <c r="H250" s="24"/>
      <c r="I250" s="25"/>
      <c r="J250" s="24"/>
      <c r="K250" s="25"/>
      <c r="Q250" s="12">
        <f>ROUND((Source!DN168/100)*ROUND((ROUND((Source!AF168*Source!AV168*Source!I168),2)),2), 2)</f>
        <v>1812.06</v>
      </c>
      <c r="R250" s="12">
        <f>Source!X168</f>
        <v>69467.23</v>
      </c>
      <c r="S250" s="12">
        <f>ROUND((Source!DO168/100)*ROUND((ROUND((Source!AF168*Source!AV168*Source!I168),2)),2), 2)</f>
        <v>1132.54</v>
      </c>
      <c r="T250" s="12">
        <f>Source!Y168</f>
        <v>32468.38</v>
      </c>
      <c r="U250" s="12">
        <f>ROUND((175/100)*ROUND((ROUND((Source!AE168*Source!AV168*Source!I168),2)),2), 2)</f>
        <v>81.48</v>
      </c>
      <c r="V250" s="12">
        <f>ROUND((160/100)*ROUND(ROUND((ROUND((Source!AE168*Source!AV168*Source!I168),2)*Source!BS168),2), 2), 2)</f>
        <v>3476.74</v>
      </c>
      <c r="AI250" s="12">
        <v>0</v>
      </c>
    </row>
    <row r="251" spans="1:35">
      <c r="C251" s="27" t="str">
        <f>"Объем: "&amp;Source!I168&amp;"=18*"&amp;"2*"&amp;"2/"&amp;"100"</f>
        <v>Объем: 0,72=18*2*2/100</v>
      </c>
    </row>
    <row r="252" spans="1:35" ht="15">
      <c r="A252" s="22"/>
      <c r="B252" s="22"/>
      <c r="C252" s="22" t="s">
        <v>550</v>
      </c>
      <c r="D252" s="23"/>
      <c r="E252" s="24"/>
      <c r="F252" s="25">
        <f>Source!AO168</f>
        <v>2146.23</v>
      </c>
      <c r="G252" s="26" t="str">
        <f>Source!DG168</f>
        <v/>
      </c>
      <c r="H252" s="24">
        <f>Source!AV168</f>
        <v>1.0469999999999999</v>
      </c>
      <c r="I252" s="25">
        <f>ROUND((ROUND((Source!AF168*Source!AV168*Source!I168),2)),2)</f>
        <v>1617.91</v>
      </c>
      <c r="J252" s="24">
        <f>IF(Source!BA168&lt;&gt; 0, Source!BA168, 1)</f>
        <v>46.67</v>
      </c>
      <c r="K252" s="25">
        <f>Source!S168</f>
        <v>75507.86</v>
      </c>
      <c r="W252" s="12">
        <f>I252</f>
        <v>1617.91</v>
      </c>
    </row>
    <row r="253" spans="1:35" ht="15">
      <c r="A253" s="22"/>
      <c r="B253" s="22"/>
      <c r="C253" s="22" t="s">
        <v>551</v>
      </c>
      <c r="D253" s="23"/>
      <c r="E253" s="24"/>
      <c r="F253" s="25">
        <f>Source!AM168</f>
        <v>715.67</v>
      </c>
      <c r="G253" s="26" t="str">
        <f>Source!DE168</f>
        <v/>
      </c>
      <c r="H253" s="24">
        <f>Source!AV168</f>
        <v>1.0469999999999999</v>
      </c>
      <c r="I253" s="25">
        <f>(ROUND((ROUND(((Source!ET168)*Source!AV168*Source!I168),2)),2)+ROUND((ROUND(((Source!AE168-(Source!EU168))*Source!AV168*Source!I168),2)),2))</f>
        <v>539.5</v>
      </c>
      <c r="J253" s="24">
        <f>IF(Source!BB168&lt;&gt; 0, Source!BB168, 1)</f>
        <v>8.09</v>
      </c>
      <c r="K253" s="25">
        <f>Source!Q168</f>
        <v>4364.5600000000004</v>
      </c>
    </row>
    <row r="254" spans="1:35" ht="15">
      <c r="A254" s="22"/>
      <c r="B254" s="22"/>
      <c r="C254" s="22" t="s">
        <v>552</v>
      </c>
      <c r="D254" s="23"/>
      <c r="E254" s="24"/>
      <c r="F254" s="25">
        <f>Source!AN168</f>
        <v>61.76</v>
      </c>
      <c r="G254" s="26" t="str">
        <f>Source!DF168</f>
        <v/>
      </c>
      <c r="H254" s="24">
        <f>Source!AV168</f>
        <v>1.0469999999999999</v>
      </c>
      <c r="I254" s="28">
        <f>ROUND((ROUND((Source!AE168*Source!AV168*Source!I168),2)),2)</f>
        <v>46.56</v>
      </c>
      <c r="J254" s="24">
        <f>IF(Source!BS168&lt;&gt; 0, Source!BS168, 1)</f>
        <v>46.67</v>
      </c>
      <c r="K254" s="28">
        <f>Source!R168</f>
        <v>2172.96</v>
      </c>
      <c r="W254" s="12">
        <f>I254</f>
        <v>46.56</v>
      </c>
    </row>
    <row r="255" spans="1:35" ht="15">
      <c r="A255" s="22"/>
      <c r="B255" s="22"/>
      <c r="C255" s="22" t="s">
        <v>564</v>
      </c>
      <c r="D255" s="23"/>
      <c r="E255" s="24"/>
      <c r="F255" s="25">
        <f>Source!AL168</f>
        <v>535.53</v>
      </c>
      <c r="G255" s="26" t="str">
        <f>Source!DD168</f>
        <v/>
      </c>
      <c r="H255" s="24">
        <f>Source!AW168</f>
        <v>1</v>
      </c>
      <c r="I255" s="25">
        <f>ROUND((ROUND((Source!AC168*Source!AW168*Source!I168),2)),2)</f>
        <v>385.58</v>
      </c>
      <c r="J255" s="24">
        <f>IF(Source!BC168&lt;&gt; 0, Source!BC168, 1)</f>
        <v>7.04</v>
      </c>
      <c r="K255" s="25">
        <f>Source!P168</f>
        <v>2714.48</v>
      </c>
    </row>
    <row r="256" spans="1:35" ht="15">
      <c r="A256" s="22"/>
      <c r="B256" s="22"/>
      <c r="C256" s="22" t="s">
        <v>553</v>
      </c>
      <c r="D256" s="23" t="s">
        <v>554</v>
      </c>
      <c r="E256" s="24">
        <f>Source!DN168</f>
        <v>112</v>
      </c>
      <c r="F256" s="25"/>
      <c r="G256" s="26"/>
      <c r="H256" s="24"/>
      <c r="I256" s="25">
        <f>SUM(Q250:Q255)</f>
        <v>1812.06</v>
      </c>
      <c r="J256" s="24">
        <f>Source!BZ168</f>
        <v>92</v>
      </c>
      <c r="K256" s="25">
        <f>SUM(R250:R255)</f>
        <v>69467.23</v>
      </c>
    </row>
    <row r="257" spans="1:35" ht="15">
      <c r="A257" s="22"/>
      <c r="B257" s="22"/>
      <c r="C257" s="22" t="s">
        <v>555</v>
      </c>
      <c r="D257" s="23" t="s">
        <v>554</v>
      </c>
      <c r="E257" s="24">
        <f>Source!DO168</f>
        <v>70</v>
      </c>
      <c r="F257" s="25"/>
      <c r="G257" s="26"/>
      <c r="H257" s="24"/>
      <c r="I257" s="25">
        <f>SUM(S250:S256)</f>
        <v>1132.54</v>
      </c>
      <c r="J257" s="24">
        <f>Source!CA168</f>
        <v>43</v>
      </c>
      <c r="K257" s="25">
        <f>SUM(T250:T256)</f>
        <v>32468.38</v>
      </c>
    </row>
    <row r="258" spans="1:35" ht="15">
      <c r="A258" s="22"/>
      <c r="B258" s="22"/>
      <c r="C258" s="22" t="s">
        <v>556</v>
      </c>
      <c r="D258" s="23" t="s">
        <v>554</v>
      </c>
      <c r="E258" s="24">
        <f>175</f>
        <v>175</v>
      </c>
      <c r="F258" s="25"/>
      <c r="G258" s="26"/>
      <c r="H258" s="24"/>
      <c r="I258" s="25">
        <f>SUM(U250:U257)</f>
        <v>81.48</v>
      </c>
      <c r="J258" s="24">
        <f>160</f>
        <v>160</v>
      </c>
      <c r="K258" s="25">
        <f>SUM(V250:V257)</f>
        <v>3476.74</v>
      </c>
    </row>
    <row r="259" spans="1:35" ht="15">
      <c r="A259" s="29"/>
      <c r="B259" s="29"/>
      <c r="C259" s="29" t="s">
        <v>557</v>
      </c>
      <c r="D259" s="30" t="s">
        <v>558</v>
      </c>
      <c r="E259" s="31">
        <f>Source!AQ168</f>
        <v>155.88</v>
      </c>
      <c r="F259" s="32"/>
      <c r="G259" s="33" t="str">
        <f>Source!DI168</f>
        <v/>
      </c>
      <c r="H259" s="31">
        <f>Source!AV168</f>
        <v>1.0469999999999999</v>
      </c>
      <c r="I259" s="32">
        <f>Source!U168</f>
        <v>117.50857919999999</v>
      </c>
      <c r="J259" s="31"/>
      <c r="K259" s="32"/>
      <c r="AB259" s="34">
        <f>I259</f>
        <v>117.50857919999999</v>
      </c>
    </row>
    <row r="260" spans="1:35" ht="14.25">
      <c r="C260" s="16" t="s">
        <v>559</v>
      </c>
      <c r="H260" s="49">
        <f>I252+I253+I255+I256+I257+I258+0-0-0</f>
        <v>5569.0699999999988</v>
      </c>
      <c r="I260" s="49"/>
      <c r="J260" s="49">
        <f>K252+K253+K255+K256+K257+K258+0-0-0</f>
        <v>187999.25</v>
      </c>
      <c r="K260" s="49"/>
    </row>
    <row r="261" spans="1:35" ht="14.25">
      <c r="C261" s="16" t="s">
        <v>560</v>
      </c>
      <c r="H261" s="50">
        <f>0+0</f>
        <v>0</v>
      </c>
      <c r="I261" s="50"/>
      <c r="J261" s="50">
        <f>0+0</f>
        <v>0</v>
      </c>
      <c r="K261" s="50"/>
    </row>
    <row r="262" spans="1:35" ht="14.25">
      <c r="H262" s="50"/>
      <c r="I262" s="50"/>
      <c r="J262" s="50"/>
      <c r="K262" s="50"/>
      <c r="O262" s="34">
        <f>I252+I253+I255+I256+I257+I258+0</f>
        <v>5569.0699999999988</v>
      </c>
      <c r="P262" s="34">
        <f>K252+K253+K255+K256+K257+K258+0</f>
        <v>187999.25</v>
      </c>
      <c r="X262" s="12">
        <f>IF(Source!BI168&lt;=1,I252+I253+I255+I256+I257+I258-0, 0)</f>
        <v>0</v>
      </c>
      <c r="Y262" s="12">
        <f>IF(Source!BI168=2,I252+I253+I255+I256+I257+I258-0, 0)</f>
        <v>5569.0699999999988</v>
      </c>
      <c r="Z262" s="12">
        <f>IF(Source!BI168=3,I252+I253+I255+I256+I257+I258-0, 0)</f>
        <v>0</v>
      </c>
      <c r="AA262" s="12">
        <f>IF(Source!BI168=4,I252+I253+I255+I256+I257+I258,0)</f>
        <v>0</v>
      </c>
    </row>
    <row r="264" spans="1:35" ht="30">
      <c r="A264" s="22">
        <v>20</v>
      </c>
      <c r="B264" s="22" t="str">
        <f>Source!F170</f>
        <v>1.21-5-1069</v>
      </c>
      <c r="C264" s="22" t="s">
        <v>236</v>
      </c>
      <c r="D264" s="23" t="str">
        <f>Source!H170</f>
        <v>КОМПЛЕКТ</v>
      </c>
      <c r="E264" s="24">
        <f>Source!I170</f>
        <v>72</v>
      </c>
      <c r="F264" s="25">
        <f>Source!AL170</f>
        <v>153.63</v>
      </c>
      <c r="G264" s="26" t="str">
        <f>Source!DD170</f>
        <v/>
      </c>
      <c r="H264" s="24">
        <f>Source!AW170</f>
        <v>1</v>
      </c>
      <c r="I264" s="25">
        <f>ROUND((ROUND((Source!AC170*Source!AW170*Source!I170),2)),2)</f>
        <v>11061.36</v>
      </c>
      <c r="J264" s="24">
        <f>IF(Source!BC170&lt;&gt; 0, Source!BC170, 1)</f>
        <v>2.11</v>
      </c>
      <c r="K264" s="25">
        <f>Source!P170</f>
        <v>23339.47</v>
      </c>
      <c r="Q264" s="12">
        <f>ROUND((Source!DN170/100)*ROUND((ROUND((Source!AF170*Source!AV170*Source!I170),2)),2), 2)</f>
        <v>0</v>
      </c>
      <c r="R264" s="12">
        <f>Source!X170</f>
        <v>0</v>
      </c>
      <c r="S264" s="12">
        <f>ROUND((Source!DO170/100)*ROUND((ROUND((Source!AF170*Source!AV170*Source!I170),2)),2), 2)</f>
        <v>0</v>
      </c>
      <c r="T264" s="12">
        <f>Source!Y170</f>
        <v>0</v>
      </c>
      <c r="U264" s="12">
        <f>ROUND((175/100)*ROUND((ROUND((Source!AE170*Source!AV170*Source!I170),2)),2), 2)</f>
        <v>0</v>
      </c>
      <c r="V264" s="12">
        <f>ROUND((160/100)*ROUND(ROUND((ROUND((Source!AE170*Source!AV170*Source!I170),2)*Source!BS170),2), 2), 2)</f>
        <v>0</v>
      </c>
      <c r="AI264" s="12">
        <v>3</v>
      </c>
    </row>
    <row r="265" spans="1:35">
      <c r="A265" s="35"/>
      <c r="B265" s="35"/>
      <c r="C265" s="36" t="str">
        <f>"Объем: "&amp;Source!I170&amp;"="&amp;Source!I168&amp;"*"&amp;"100"</f>
        <v>Объем: 72=0,72*100</v>
      </c>
      <c r="D265" s="35"/>
      <c r="E265" s="35"/>
      <c r="F265" s="35"/>
      <c r="G265" s="35"/>
      <c r="H265" s="35"/>
      <c r="I265" s="35"/>
      <c r="J265" s="35"/>
      <c r="K265" s="35"/>
    </row>
    <row r="266" spans="1:35" ht="14.25">
      <c r="C266" s="16" t="s">
        <v>561</v>
      </c>
      <c r="H266" s="49">
        <f>I264+0</f>
        <v>11061.36</v>
      </c>
      <c r="I266" s="49"/>
      <c r="J266" s="49">
        <f>K264+0</f>
        <v>23339.47</v>
      </c>
      <c r="K266" s="49"/>
      <c r="O266" s="34">
        <f>I264+0</f>
        <v>11061.36</v>
      </c>
      <c r="P266" s="34">
        <f>K264+0</f>
        <v>23339.47</v>
      </c>
      <c r="X266" s="12">
        <f>IF(Source!BI170&lt;=1,I264-0, 0)</f>
        <v>0</v>
      </c>
      <c r="Y266" s="12">
        <f>IF(Source!BI170=2,I264-0, 0)</f>
        <v>11061.36</v>
      </c>
      <c r="Z266" s="12">
        <f>IF(Source!BI170=3,I264-0, 0)</f>
        <v>0</v>
      </c>
      <c r="AA266" s="12">
        <f>IF(Source!BI170=4,I264,0)</f>
        <v>0</v>
      </c>
    </row>
    <row r="269" spans="1:35" ht="14.25">
      <c r="B269" s="55" t="str">
        <f>Source!G171</f>
        <v>в трубе</v>
      </c>
      <c r="C269" s="55"/>
      <c r="D269" s="55"/>
      <c r="E269" s="55"/>
      <c r="F269" s="55"/>
      <c r="G269" s="55"/>
      <c r="H269" s="55"/>
      <c r="I269" s="55"/>
      <c r="J269" s="55"/>
    </row>
    <row r="270" spans="1:35" ht="75">
      <c r="A270" s="22">
        <v>21</v>
      </c>
      <c r="B270" s="22" t="str">
        <f>Source!F173</f>
        <v>4.8-309-1</v>
      </c>
      <c r="C270" s="22" t="s">
        <v>216</v>
      </c>
      <c r="D270" s="23" t="str">
        <f>Source!H173</f>
        <v>100 м</v>
      </c>
      <c r="E270" s="24">
        <f>Source!I173</f>
        <v>6</v>
      </c>
      <c r="F270" s="25"/>
      <c r="G270" s="26"/>
      <c r="H270" s="24"/>
      <c r="I270" s="25"/>
      <c r="J270" s="24"/>
      <c r="K270" s="25"/>
      <c r="Q270" s="12">
        <f>ROUND((Source!DN173/100)*ROUND((ROUND((Source!AF173*Source!AV173*Source!I173),2)),2), 2)</f>
        <v>4621.8500000000004</v>
      </c>
      <c r="R270" s="12">
        <f>Source!X173</f>
        <v>177183.5</v>
      </c>
      <c r="S270" s="12">
        <f>ROUND((Source!DO173/100)*ROUND((ROUND((Source!AF173*Source!AV173*Source!I173),2)),2), 2)</f>
        <v>2888.66</v>
      </c>
      <c r="T270" s="12">
        <f>Source!Y173</f>
        <v>82814.03</v>
      </c>
      <c r="U270" s="12">
        <f>ROUND((175/100)*ROUND((ROUND((Source!AE173*Source!AV173*Source!I173),2)),2), 2)</f>
        <v>247.03</v>
      </c>
      <c r="V270" s="12">
        <f>ROUND((160/100)*ROUND(ROUND((ROUND((Source!AE173*Source!AV173*Source!I173),2)*Source!BS173),2), 2), 2)</f>
        <v>10540.7</v>
      </c>
      <c r="AI270" s="12">
        <v>0</v>
      </c>
    </row>
    <row r="271" spans="1:35">
      <c r="C271" s="27" t="str">
        <f>"Объем: "&amp;Source!I173&amp;"=(300*"&amp;"2)/"&amp;"100"</f>
        <v>Объем: 6=(300*2)/100</v>
      </c>
    </row>
    <row r="272" spans="1:35" ht="15">
      <c r="A272" s="22"/>
      <c r="B272" s="22"/>
      <c r="C272" s="22" t="s">
        <v>550</v>
      </c>
      <c r="D272" s="23"/>
      <c r="E272" s="24"/>
      <c r="F272" s="25">
        <f>Source!AO173</f>
        <v>656.9</v>
      </c>
      <c r="G272" s="26" t="str">
        <f>Source!DG173</f>
        <v/>
      </c>
      <c r="H272" s="24">
        <f>Source!AV173</f>
        <v>1.0469999999999999</v>
      </c>
      <c r="I272" s="25">
        <f>ROUND((ROUND((Source!AF173*Source!AV173*Source!I173),2)),2)</f>
        <v>4126.6499999999996</v>
      </c>
      <c r="J272" s="24">
        <f>IF(Source!BA173&lt;&gt; 0, Source!BA173, 1)</f>
        <v>46.67</v>
      </c>
      <c r="K272" s="25">
        <f>Source!S173</f>
        <v>192590.76</v>
      </c>
      <c r="W272" s="12">
        <f>I272</f>
        <v>4126.6499999999996</v>
      </c>
    </row>
    <row r="273" spans="1:35" ht="15">
      <c r="A273" s="22"/>
      <c r="B273" s="22"/>
      <c r="C273" s="22" t="s">
        <v>551</v>
      </c>
      <c r="D273" s="23"/>
      <c r="E273" s="24"/>
      <c r="F273" s="25">
        <f>Source!AM173</f>
        <v>225.52</v>
      </c>
      <c r="G273" s="26" t="str">
        <f>Source!DE173</f>
        <v/>
      </c>
      <c r="H273" s="24">
        <f>Source!AV173</f>
        <v>1.0469999999999999</v>
      </c>
      <c r="I273" s="25">
        <f>(ROUND((ROUND(((Source!ET173)*Source!AV173*Source!I173),2)),2)+ROUND((ROUND(((Source!AE173-(Source!EU173))*Source!AV173*Source!I173),2)),2))</f>
        <v>1416.72</v>
      </c>
      <c r="J273" s="24">
        <f>IF(Source!BB173&lt;&gt; 0, Source!BB173, 1)</f>
        <v>13.18</v>
      </c>
      <c r="K273" s="25">
        <f>Source!Q173</f>
        <v>18672.37</v>
      </c>
    </row>
    <row r="274" spans="1:35" ht="15">
      <c r="A274" s="22"/>
      <c r="B274" s="22"/>
      <c r="C274" s="22" t="s">
        <v>552</v>
      </c>
      <c r="D274" s="23"/>
      <c r="E274" s="24"/>
      <c r="F274" s="25">
        <f>Source!AN173</f>
        <v>22.47</v>
      </c>
      <c r="G274" s="26" t="str">
        <f>Source!DF173</f>
        <v/>
      </c>
      <c r="H274" s="24">
        <f>Source!AV173</f>
        <v>1.0469999999999999</v>
      </c>
      <c r="I274" s="28">
        <f>ROUND((ROUND((Source!AE173*Source!AV173*Source!I173),2)),2)</f>
        <v>141.16</v>
      </c>
      <c r="J274" s="24">
        <f>IF(Source!BS173&lt;&gt; 0, Source!BS173, 1)</f>
        <v>46.67</v>
      </c>
      <c r="K274" s="28">
        <f>Source!R173</f>
        <v>6587.94</v>
      </c>
      <c r="W274" s="12">
        <f>I274</f>
        <v>141.16</v>
      </c>
    </row>
    <row r="275" spans="1:35" ht="15">
      <c r="A275" s="22"/>
      <c r="B275" s="22"/>
      <c r="C275" s="22" t="s">
        <v>564</v>
      </c>
      <c r="D275" s="23"/>
      <c r="E275" s="24"/>
      <c r="F275" s="25">
        <f>Source!AL173</f>
        <v>188.5</v>
      </c>
      <c r="G275" s="26" t="str">
        <f>Source!DD173</f>
        <v/>
      </c>
      <c r="H275" s="24">
        <f>Source!AW173</f>
        <v>1</v>
      </c>
      <c r="I275" s="25">
        <f>ROUND((ROUND((Source!AC173*Source!AW173*Source!I173),2)),2)</f>
        <v>1131</v>
      </c>
      <c r="J275" s="24">
        <f>IF(Source!BC173&lt;&gt; 0, Source!BC173, 1)</f>
        <v>6.09</v>
      </c>
      <c r="K275" s="25">
        <f>Source!P173</f>
        <v>6887.79</v>
      </c>
    </row>
    <row r="276" spans="1:35" ht="15">
      <c r="A276" s="22"/>
      <c r="B276" s="22"/>
      <c r="C276" s="22" t="s">
        <v>553</v>
      </c>
      <c r="D276" s="23" t="s">
        <v>554</v>
      </c>
      <c r="E276" s="24">
        <f>Source!DN173</f>
        <v>112</v>
      </c>
      <c r="F276" s="25"/>
      <c r="G276" s="26"/>
      <c r="H276" s="24"/>
      <c r="I276" s="25">
        <f>SUM(Q270:Q275)</f>
        <v>4621.8500000000004</v>
      </c>
      <c r="J276" s="24">
        <f>Source!BZ173</f>
        <v>92</v>
      </c>
      <c r="K276" s="25">
        <f>SUM(R270:R275)</f>
        <v>177183.5</v>
      </c>
    </row>
    <row r="277" spans="1:35" ht="15">
      <c r="A277" s="22"/>
      <c r="B277" s="22"/>
      <c r="C277" s="22" t="s">
        <v>555</v>
      </c>
      <c r="D277" s="23" t="s">
        <v>554</v>
      </c>
      <c r="E277" s="24">
        <f>Source!DO173</f>
        <v>70</v>
      </c>
      <c r="F277" s="25"/>
      <c r="G277" s="26"/>
      <c r="H277" s="24"/>
      <c r="I277" s="25">
        <f>SUM(S270:S276)</f>
        <v>2888.66</v>
      </c>
      <c r="J277" s="24">
        <f>Source!CA173</f>
        <v>43</v>
      </c>
      <c r="K277" s="25">
        <f>SUM(T270:T276)</f>
        <v>82814.03</v>
      </c>
    </row>
    <row r="278" spans="1:35" ht="15">
      <c r="A278" s="22"/>
      <c r="B278" s="22"/>
      <c r="C278" s="22" t="s">
        <v>556</v>
      </c>
      <c r="D278" s="23" t="s">
        <v>554</v>
      </c>
      <c r="E278" s="24">
        <f>175</f>
        <v>175</v>
      </c>
      <c r="F278" s="25"/>
      <c r="G278" s="26"/>
      <c r="H278" s="24"/>
      <c r="I278" s="25">
        <f>SUM(U270:U277)</f>
        <v>247.03</v>
      </c>
      <c r="J278" s="24">
        <f>160</f>
        <v>160</v>
      </c>
      <c r="K278" s="25">
        <f>SUM(V270:V277)</f>
        <v>10540.7</v>
      </c>
    </row>
    <row r="279" spans="1:35" ht="15">
      <c r="A279" s="29"/>
      <c r="B279" s="29"/>
      <c r="C279" s="29" t="s">
        <v>557</v>
      </c>
      <c r="D279" s="30" t="s">
        <v>558</v>
      </c>
      <c r="E279" s="31">
        <f>Source!AQ173</f>
        <v>54.12</v>
      </c>
      <c r="F279" s="32"/>
      <c r="G279" s="33" t="str">
        <f>Source!DI173</f>
        <v/>
      </c>
      <c r="H279" s="31">
        <f>Source!AV173</f>
        <v>1.0469999999999999</v>
      </c>
      <c r="I279" s="32">
        <f>Source!U173</f>
        <v>339.98183999999998</v>
      </c>
      <c r="J279" s="31"/>
      <c r="K279" s="32"/>
      <c r="AB279" s="34">
        <f>I279</f>
        <v>339.98183999999998</v>
      </c>
    </row>
    <row r="280" spans="1:35" ht="14.25">
      <c r="C280" s="16" t="s">
        <v>559</v>
      </c>
      <c r="H280" s="49">
        <f>I272+I273+I275+I276+I277+I278+0-0-0</f>
        <v>14431.910000000002</v>
      </c>
      <c r="I280" s="49"/>
      <c r="J280" s="49">
        <f>K272+K273+K275+K276+K277+K278+0-0-0</f>
        <v>488689.15000000008</v>
      </c>
      <c r="K280" s="49"/>
    </row>
    <row r="281" spans="1:35" ht="14.25">
      <c r="C281" s="16" t="s">
        <v>560</v>
      </c>
      <c r="H281" s="50">
        <f>0+0</f>
        <v>0</v>
      </c>
      <c r="I281" s="50"/>
      <c r="J281" s="50">
        <f>0+0</f>
        <v>0</v>
      </c>
      <c r="K281" s="50"/>
    </row>
    <row r="282" spans="1:35" ht="14.25">
      <c r="H282" s="50"/>
      <c r="I282" s="50"/>
      <c r="J282" s="50"/>
      <c r="K282" s="50"/>
      <c r="O282" s="34">
        <f>I272+I273+I275+I276+I277+I278+0</f>
        <v>14431.910000000002</v>
      </c>
      <c r="P282" s="34">
        <f>K272+K273+K275+K276+K277+K278+0</f>
        <v>488689.15000000008</v>
      </c>
      <c r="X282" s="12">
        <f>IF(Source!BI173&lt;=1,I272+I273+I275+I276+I277+I278-0, 0)</f>
        <v>0</v>
      </c>
      <c r="Y282" s="12">
        <f>IF(Source!BI173=2,I272+I273+I275+I276+I277+I278-0, 0)</f>
        <v>14431.910000000002</v>
      </c>
      <c r="Z282" s="12">
        <f>IF(Source!BI173=3,I272+I273+I275+I276+I277+I278-0, 0)</f>
        <v>0</v>
      </c>
      <c r="AA282" s="12">
        <f>IF(Source!BI173=4,I272+I273+I275+I276+I277+I278,0)</f>
        <v>0</v>
      </c>
    </row>
    <row r="284" spans="1:35" ht="105">
      <c r="A284" s="22">
        <v>22</v>
      </c>
      <c r="B284" s="22" t="str">
        <f>Source!F175</f>
        <v>1.23-7-397</v>
      </c>
      <c r="C284" s="22" t="s">
        <v>224</v>
      </c>
      <c r="D284" s="23" t="str">
        <f>Source!H175</f>
        <v>км</v>
      </c>
      <c r="E284" s="24">
        <f>Source!I175</f>
        <v>1.8360000000000001</v>
      </c>
      <c r="F284" s="25">
        <f>Source!AL175</f>
        <v>109225.28</v>
      </c>
      <c r="G284" s="26" t="str">
        <f>Source!DD175</f>
        <v/>
      </c>
      <c r="H284" s="24">
        <f>Source!AW175</f>
        <v>1</v>
      </c>
      <c r="I284" s="25">
        <f>ROUND((ROUND((Source!AC175*Source!AW175*Source!I175),2)),2)</f>
        <v>200537.61</v>
      </c>
      <c r="J284" s="24">
        <f>IF(Source!BC175&lt;&gt; 0, Source!BC175, 1)</f>
        <v>8.68</v>
      </c>
      <c r="K284" s="25">
        <f>Source!P175</f>
        <v>1740666.45</v>
      </c>
      <c r="Q284" s="12">
        <f>ROUND((Source!DN175/100)*ROUND((ROUND((Source!AF175*Source!AV175*Source!I175),2)),2), 2)</f>
        <v>0</v>
      </c>
      <c r="R284" s="12">
        <f>Source!X175</f>
        <v>0</v>
      </c>
      <c r="S284" s="12">
        <f>ROUND((Source!DO175/100)*ROUND((ROUND((Source!AF175*Source!AV175*Source!I175),2)),2), 2)</f>
        <v>0</v>
      </c>
      <c r="T284" s="12">
        <f>Source!Y175</f>
        <v>0</v>
      </c>
      <c r="U284" s="12">
        <f>ROUND((175/100)*ROUND((ROUND((Source!AE175*Source!AV175*Source!I175),2)),2), 2)</f>
        <v>0</v>
      </c>
      <c r="V284" s="12">
        <f>ROUND((160/100)*ROUND(ROUND((ROUND((Source!AE175*Source!AV175*Source!I175),2)*Source!BS175),2), 2), 2)</f>
        <v>0</v>
      </c>
      <c r="AI284" s="12">
        <v>3</v>
      </c>
    </row>
    <row r="285" spans="1:35">
      <c r="A285" s="35"/>
      <c r="B285" s="35"/>
      <c r="C285" s="36" t="str">
        <f>"Объем: "&amp;Source!I175&amp;"="&amp;Source!I173&amp;"*"&amp;"3*"&amp;"1,02/"&amp;"10"</f>
        <v>Объем: 1,836=6*3*1,02/10</v>
      </c>
      <c r="D285" s="35"/>
      <c r="E285" s="35"/>
      <c r="F285" s="35"/>
      <c r="G285" s="35"/>
      <c r="H285" s="35"/>
      <c r="I285" s="35"/>
      <c r="J285" s="35"/>
      <c r="K285" s="35"/>
    </row>
    <row r="286" spans="1:35" ht="14.25">
      <c r="C286" s="16" t="s">
        <v>561</v>
      </c>
      <c r="H286" s="49">
        <f>I284+0</f>
        <v>200537.61</v>
      </c>
      <c r="I286" s="49"/>
      <c r="J286" s="49">
        <f>K284+0</f>
        <v>1740666.45</v>
      </c>
      <c r="K286" s="49"/>
      <c r="O286" s="34">
        <f>I284+0</f>
        <v>200537.61</v>
      </c>
      <c r="P286" s="34">
        <f>K284+0</f>
        <v>1740666.45</v>
      </c>
      <c r="X286" s="12">
        <f>IF(Source!BI175&lt;=1,I284-0, 0)</f>
        <v>0</v>
      </c>
      <c r="Y286" s="12">
        <f>IF(Source!BI175=2,I284-0, 0)</f>
        <v>200537.61</v>
      </c>
      <c r="Z286" s="12">
        <f>IF(Source!BI175=3,I284-0, 0)</f>
        <v>0</v>
      </c>
      <c r="AA286" s="12">
        <f>IF(Source!BI175=4,I284,0)</f>
        <v>0</v>
      </c>
    </row>
    <row r="288" spans="1:35" ht="30">
      <c r="A288" s="22">
        <v>23</v>
      </c>
      <c r="B288" s="22" t="str">
        <f>Source!F177</f>
        <v>4.8-301-1</v>
      </c>
      <c r="C288" s="22" t="s">
        <v>231</v>
      </c>
      <c r="D288" s="23" t="str">
        <f>Source!H177</f>
        <v>100 компл.</v>
      </c>
      <c r="E288" s="24">
        <f>Source!I177</f>
        <v>0.32</v>
      </c>
      <c r="F288" s="25"/>
      <c r="G288" s="26"/>
      <c r="H288" s="24"/>
      <c r="I288" s="25"/>
      <c r="J288" s="24"/>
      <c r="K288" s="25"/>
      <c r="Q288" s="12">
        <f>ROUND((Source!DN177/100)*ROUND((ROUND((Source!AF177*Source!AV177*Source!I177),2)),2), 2)</f>
        <v>805.36</v>
      </c>
      <c r="R288" s="12">
        <f>Source!X177</f>
        <v>30874.28</v>
      </c>
      <c r="S288" s="12">
        <f>ROUND((Source!DO177/100)*ROUND((ROUND((Source!AF177*Source!AV177*Source!I177),2)),2), 2)</f>
        <v>503.35</v>
      </c>
      <c r="T288" s="12">
        <f>Source!Y177</f>
        <v>14430.37</v>
      </c>
      <c r="U288" s="12">
        <f>ROUND((175/100)*ROUND((ROUND((Source!AE177*Source!AV177*Source!I177),2)),2), 2)</f>
        <v>36.21</v>
      </c>
      <c r="V288" s="12">
        <f>ROUND((160/100)*ROUND(ROUND((ROUND((Source!AE177*Source!AV177*Source!I177),2)*Source!BS177),2), 2), 2)</f>
        <v>1544.96</v>
      </c>
      <c r="AI288" s="12">
        <v>0</v>
      </c>
    </row>
    <row r="289" spans="1:35">
      <c r="C289" s="27" t="str">
        <f>"Объем: "&amp;Source!I177&amp;"=(8*"&amp;"2*"&amp;"2)/"&amp;"100"</f>
        <v>Объем: 0,32=(8*2*2)/100</v>
      </c>
    </row>
    <row r="290" spans="1:35" ht="15">
      <c r="A290" s="22"/>
      <c r="B290" s="22"/>
      <c r="C290" s="22" t="s">
        <v>550</v>
      </c>
      <c r="D290" s="23"/>
      <c r="E290" s="24"/>
      <c r="F290" s="25">
        <f>Source!AO177</f>
        <v>2146.23</v>
      </c>
      <c r="G290" s="26" t="str">
        <f>Source!DG177</f>
        <v/>
      </c>
      <c r="H290" s="24">
        <f>Source!AV177</f>
        <v>1.0469999999999999</v>
      </c>
      <c r="I290" s="25">
        <f>ROUND((ROUND((Source!AF177*Source!AV177*Source!I177),2)),2)</f>
        <v>719.07</v>
      </c>
      <c r="J290" s="24">
        <f>IF(Source!BA177&lt;&gt; 0, Source!BA177, 1)</f>
        <v>46.67</v>
      </c>
      <c r="K290" s="25">
        <f>Source!S177</f>
        <v>33559</v>
      </c>
      <c r="W290" s="12">
        <f>I290</f>
        <v>719.07</v>
      </c>
    </row>
    <row r="291" spans="1:35" ht="15">
      <c r="A291" s="22"/>
      <c r="B291" s="22"/>
      <c r="C291" s="22" t="s">
        <v>551</v>
      </c>
      <c r="D291" s="23"/>
      <c r="E291" s="24"/>
      <c r="F291" s="25">
        <f>Source!AM177</f>
        <v>715.67</v>
      </c>
      <c r="G291" s="26" t="str">
        <f>Source!DE177</f>
        <v/>
      </c>
      <c r="H291" s="24">
        <f>Source!AV177</f>
        <v>1.0469999999999999</v>
      </c>
      <c r="I291" s="25">
        <f>(ROUND((ROUND(((Source!ET177)*Source!AV177*Source!I177),2)),2)+ROUND((ROUND(((Source!AE177-(Source!EU177))*Source!AV177*Source!I177),2)),2))</f>
        <v>239.78</v>
      </c>
      <c r="J291" s="24">
        <f>IF(Source!BB177&lt;&gt; 0, Source!BB177, 1)</f>
        <v>8.09</v>
      </c>
      <c r="K291" s="25">
        <f>Source!Q177</f>
        <v>1939.82</v>
      </c>
    </row>
    <row r="292" spans="1:35" ht="15">
      <c r="A292" s="22"/>
      <c r="B292" s="22"/>
      <c r="C292" s="22" t="s">
        <v>552</v>
      </c>
      <c r="D292" s="23"/>
      <c r="E292" s="24"/>
      <c r="F292" s="25">
        <f>Source!AN177</f>
        <v>61.76</v>
      </c>
      <c r="G292" s="26" t="str">
        <f>Source!DF177</f>
        <v/>
      </c>
      <c r="H292" s="24">
        <f>Source!AV177</f>
        <v>1.0469999999999999</v>
      </c>
      <c r="I292" s="28">
        <f>ROUND((ROUND((Source!AE177*Source!AV177*Source!I177),2)),2)</f>
        <v>20.69</v>
      </c>
      <c r="J292" s="24">
        <f>IF(Source!BS177&lt;&gt; 0, Source!BS177, 1)</f>
        <v>46.67</v>
      </c>
      <c r="K292" s="28">
        <f>Source!R177</f>
        <v>965.6</v>
      </c>
      <c r="W292" s="12">
        <f>I292</f>
        <v>20.69</v>
      </c>
    </row>
    <row r="293" spans="1:35" ht="15">
      <c r="A293" s="22"/>
      <c r="B293" s="22"/>
      <c r="C293" s="22" t="s">
        <v>564</v>
      </c>
      <c r="D293" s="23"/>
      <c r="E293" s="24"/>
      <c r="F293" s="25">
        <f>Source!AL177</f>
        <v>535.53</v>
      </c>
      <c r="G293" s="26" t="str">
        <f>Source!DD177</f>
        <v/>
      </c>
      <c r="H293" s="24">
        <f>Source!AW177</f>
        <v>1</v>
      </c>
      <c r="I293" s="25">
        <f>ROUND((ROUND((Source!AC177*Source!AW177*Source!I177),2)),2)</f>
        <v>171.37</v>
      </c>
      <c r="J293" s="24">
        <f>IF(Source!BC177&lt;&gt; 0, Source!BC177, 1)</f>
        <v>7.04</v>
      </c>
      <c r="K293" s="25">
        <f>Source!P177</f>
        <v>1206.44</v>
      </c>
    </row>
    <row r="294" spans="1:35" ht="15">
      <c r="A294" s="22"/>
      <c r="B294" s="22"/>
      <c r="C294" s="22" t="s">
        <v>553</v>
      </c>
      <c r="D294" s="23" t="s">
        <v>554</v>
      </c>
      <c r="E294" s="24">
        <f>Source!DN177</f>
        <v>112</v>
      </c>
      <c r="F294" s="25"/>
      <c r="G294" s="26"/>
      <c r="H294" s="24"/>
      <c r="I294" s="25">
        <f>SUM(Q288:Q293)</f>
        <v>805.36</v>
      </c>
      <c r="J294" s="24">
        <f>Source!BZ177</f>
        <v>92</v>
      </c>
      <c r="K294" s="25">
        <f>SUM(R288:R293)</f>
        <v>30874.28</v>
      </c>
    </row>
    <row r="295" spans="1:35" ht="15">
      <c r="A295" s="22"/>
      <c r="B295" s="22"/>
      <c r="C295" s="22" t="s">
        <v>555</v>
      </c>
      <c r="D295" s="23" t="s">
        <v>554</v>
      </c>
      <c r="E295" s="24">
        <f>Source!DO177</f>
        <v>70</v>
      </c>
      <c r="F295" s="25"/>
      <c r="G295" s="26"/>
      <c r="H295" s="24"/>
      <c r="I295" s="25">
        <f>SUM(S288:S294)</f>
        <v>503.35</v>
      </c>
      <c r="J295" s="24">
        <f>Source!CA177</f>
        <v>43</v>
      </c>
      <c r="K295" s="25">
        <f>SUM(T288:T294)</f>
        <v>14430.37</v>
      </c>
    </row>
    <row r="296" spans="1:35" ht="15">
      <c r="A296" s="22"/>
      <c r="B296" s="22"/>
      <c r="C296" s="22" t="s">
        <v>556</v>
      </c>
      <c r="D296" s="23" t="s">
        <v>554</v>
      </c>
      <c r="E296" s="24">
        <f>175</f>
        <v>175</v>
      </c>
      <c r="F296" s="25"/>
      <c r="G296" s="26"/>
      <c r="H296" s="24"/>
      <c r="I296" s="25">
        <f>SUM(U288:U295)</f>
        <v>36.21</v>
      </c>
      <c r="J296" s="24">
        <f>160</f>
        <v>160</v>
      </c>
      <c r="K296" s="25">
        <f>SUM(V288:V295)</f>
        <v>1544.96</v>
      </c>
    </row>
    <row r="297" spans="1:35" ht="15">
      <c r="A297" s="29"/>
      <c r="B297" s="29"/>
      <c r="C297" s="29" t="s">
        <v>557</v>
      </c>
      <c r="D297" s="30" t="s">
        <v>558</v>
      </c>
      <c r="E297" s="31">
        <f>Source!AQ177</f>
        <v>155.88</v>
      </c>
      <c r="F297" s="32"/>
      <c r="G297" s="33" t="str">
        <f>Source!DI177</f>
        <v/>
      </c>
      <c r="H297" s="31">
        <f>Source!AV177</f>
        <v>1.0469999999999999</v>
      </c>
      <c r="I297" s="32">
        <f>Source!U177</f>
        <v>52.226035199999998</v>
      </c>
      <c r="J297" s="31"/>
      <c r="K297" s="32"/>
      <c r="AB297" s="34">
        <f>I297</f>
        <v>52.226035199999998</v>
      </c>
    </row>
    <row r="298" spans="1:35" ht="14.25">
      <c r="C298" s="16" t="s">
        <v>559</v>
      </c>
      <c r="H298" s="49">
        <f>I290+I291+I293+I294+I295+I296+0-0-0</f>
        <v>2475.14</v>
      </c>
      <c r="I298" s="49"/>
      <c r="J298" s="49">
        <f>K290+K291+K293+K294+K295+K296+0-0-0</f>
        <v>83554.87000000001</v>
      </c>
      <c r="K298" s="49"/>
    </row>
    <row r="299" spans="1:35" ht="14.25">
      <c r="C299" s="16" t="s">
        <v>560</v>
      </c>
      <c r="H299" s="50">
        <f>0+0</f>
        <v>0</v>
      </c>
      <c r="I299" s="50"/>
      <c r="J299" s="50">
        <f>0+0</f>
        <v>0</v>
      </c>
      <c r="K299" s="50"/>
    </row>
    <row r="300" spans="1:35" ht="14.25">
      <c r="H300" s="50"/>
      <c r="I300" s="50"/>
      <c r="J300" s="50"/>
      <c r="K300" s="50"/>
      <c r="O300" s="34">
        <f>I290+I291+I293+I294+I295+I296+0</f>
        <v>2475.14</v>
      </c>
      <c r="P300" s="34">
        <f>K290+K291+K293+K294+K295+K296+0</f>
        <v>83554.87000000001</v>
      </c>
      <c r="X300" s="12">
        <f>IF(Source!BI177&lt;=1,I290+I291+I293+I294+I295+I296-0, 0)</f>
        <v>0</v>
      </c>
      <c r="Y300" s="12">
        <f>IF(Source!BI177=2,I290+I291+I293+I294+I295+I296-0, 0)</f>
        <v>2475.14</v>
      </c>
      <c r="Z300" s="12">
        <f>IF(Source!BI177=3,I290+I291+I293+I294+I295+I296-0, 0)</f>
        <v>0</v>
      </c>
      <c r="AA300" s="12">
        <f>IF(Source!BI177=4,I290+I291+I293+I294+I295+I296,0)</f>
        <v>0</v>
      </c>
    </row>
    <row r="302" spans="1:35" ht="30">
      <c r="A302" s="22">
        <v>24</v>
      </c>
      <c r="B302" s="22" t="str">
        <f>Source!F179</f>
        <v>1.21-5-1069</v>
      </c>
      <c r="C302" s="22" t="s">
        <v>236</v>
      </c>
      <c r="D302" s="23" t="str">
        <f>Source!H179</f>
        <v>КОМПЛЕКТ</v>
      </c>
      <c r="E302" s="24">
        <f>Source!I179</f>
        <v>32</v>
      </c>
      <c r="F302" s="25">
        <f>Source!AL179</f>
        <v>153.63</v>
      </c>
      <c r="G302" s="26" t="str">
        <f>Source!DD179</f>
        <v/>
      </c>
      <c r="H302" s="24">
        <f>Source!AW179</f>
        <v>1</v>
      </c>
      <c r="I302" s="25">
        <f>ROUND((ROUND((Source!AC179*Source!AW179*Source!I179),2)),2)</f>
        <v>4916.16</v>
      </c>
      <c r="J302" s="24">
        <f>IF(Source!BC179&lt;&gt; 0, Source!BC179, 1)</f>
        <v>2.11</v>
      </c>
      <c r="K302" s="25">
        <f>Source!P179</f>
        <v>10373.1</v>
      </c>
      <c r="Q302" s="12">
        <f>ROUND((Source!DN179/100)*ROUND((ROUND((Source!AF179*Source!AV179*Source!I179),2)),2), 2)</f>
        <v>0</v>
      </c>
      <c r="R302" s="12">
        <f>Source!X179</f>
        <v>0</v>
      </c>
      <c r="S302" s="12">
        <f>ROUND((Source!DO179/100)*ROUND((ROUND((Source!AF179*Source!AV179*Source!I179),2)),2), 2)</f>
        <v>0</v>
      </c>
      <c r="T302" s="12">
        <f>Source!Y179</f>
        <v>0</v>
      </c>
      <c r="U302" s="12">
        <f>ROUND((175/100)*ROUND((ROUND((Source!AE179*Source!AV179*Source!I179),2)),2), 2)</f>
        <v>0</v>
      </c>
      <c r="V302" s="12">
        <f>ROUND((160/100)*ROUND(ROUND((ROUND((Source!AE179*Source!AV179*Source!I179),2)*Source!BS179),2), 2), 2)</f>
        <v>0</v>
      </c>
      <c r="AI302" s="12">
        <v>3</v>
      </c>
    </row>
    <row r="303" spans="1:35">
      <c r="A303" s="35"/>
      <c r="B303" s="35"/>
      <c r="C303" s="36" t="str">
        <f>"Объем: "&amp;Source!I179&amp;"="&amp;Source!I177&amp;"*"&amp;"100"</f>
        <v>Объем: 32=0,32*100</v>
      </c>
      <c r="D303" s="35"/>
      <c r="E303" s="35"/>
      <c r="F303" s="35"/>
      <c r="G303" s="35"/>
      <c r="H303" s="35"/>
      <c r="I303" s="35"/>
      <c r="J303" s="35"/>
      <c r="K303" s="35"/>
    </row>
    <row r="304" spans="1:35" ht="14.25">
      <c r="C304" s="16" t="s">
        <v>561</v>
      </c>
      <c r="H304" s="49">
        <f>I302+0</f>
        <v>4916.16</v>
      </c>
      <c r="I304" s="49"/>
      <c r="J304" s="49">
        <f>K302+0</f>
        <v>10373.1</v>
      </c>
      <c r="K304" s="49"/>
      <c r="O304" s="34">
        <f>I302+0</f>
        <v>4916.16</v>
      </c>
      <c r="P304" s="34">
        <f>K302+0</f>
        <v>10373.1</v>
      </c>
      <c r="X304" s="12">
        <f>IF(Source!BI179&lt;=1,I302-0, 0)</f>
        <v>0</v>
      </c>
      <c r="Y304" s="12">
        <f>IF(Source!BI179=2,I302-0, 0)</f>
        <v>4916.16</v>
      </c>
      <c r="Z304" s="12">
        <f>IF(Source!BI179=3,I302-0, 0)</f>
        <v>0</v>
      </c>
      <c r="AA304" s="12">
        <f>IF(Source!BI179=4,I302,0)</f>
        <v>0</v>
      </c>
    </row>
    <row r="307" spans="1:35" ht="14.25">
      <c r="B307" s="55" t="str">
        <f>Source!G180</f>
        <v>в земле</v>
      </c>
      <c r="C307" s="55"/>
      <c r="D307" s="55"/>
      <c r="E307" s="55"/>
      <c r="F307" s="55"/>
      <c r="G307" s="55"/>
      <c r="H307" s="55"/>
      <c r="I307" s="55"/>
      <c r="J307" s="55"/>
    </row>
    <row r="308" spans="1:35" ht="30">
      <c r="A308" s="22">
        <v>25</v>
      </c>
      <c r="B308" s="22" t="str">
        <f>Source!F182</f>
        <v>4.8-74-1</v>
      </c>
      <c r="C308" s="22" t="s">
        <v>247</v>
      </c>
      <c r="D308" s="23" t="str">
        <f>Source!H182</f>
        <v>100 М КАБЕЛЯ</v>
      </c>
      <c r="E308" s="24">
        <f>Source!I182</f>
        <v>3</v>
      </c>
      <c r="F308" s="25"/>
      <c r="G308" s="26"/>
      <c r="H308" s="24"/>
      <c r="I308" s="25"/>
      <c r="J308" s="24"/>
      <c r="K308" s="25"/>
      <c r="Q308" s="12">
        <f>ROUND((Source!DN182/100)*ROUND((ROUND((Source!AF182*Source!AV182*Source!I182),2)),2), 2)</f>
        <v>268.56</v>
      </c>
      <c r="R308" s="12">
        <f>Source!X182</f>
        <v>10295.719999999999</v>
      </c>
      <c r="S308" s="12">
        <f>ROUND((Source!DO182/100)*ROUND((ROUND((Source!AF182*Source!AV182*Source!I182),2)),2), 2)</f>
        <v>167.85</v>
      </c>
      <c r="T308" s="12">
        <f>Source!Y182</f>
        <v>4812.13</v>
      </c>
      <c r="U308" s="12">
        <f>ROUND((175/100)*ROUND((ROUND((Source!AE182*Source!AV182*Source!I182),2)),2), 2)</f>
        <v>323.05</v>
      </c>
      <c r="V308" s="12">
        <f>ROUND((160/100)*ROUND(ROUND((ROUND((Source!AE182*Source!AV182*Source!I182),2)*Source!BS182),2), 2), 2)</f>
        <v>13784.45</v>
      </c>
      <c r="AI308" s="12">
        <v>0</v>
      </c>
    </row>
    <row r="309" spans="1:35">
      <c r="C309" s="27" t="str">
        <f>"Объем: "&amp;Source!I182&amp;"=(300)/"&amp;"100"</f>
        <v>Объем: 3=(300)/100</v>
      </c>
    </row>
    <row r="310" spans="1:35" ht="15">
      <c r="A310" s="22"/>
      <c r="B310" s="22"/>
      <c r="C310" s="22" t="s">
        <v>550</v>
      </c>
      <c r="D310" s="23"/>
      <c r="E310" s="24"/>
      <c r="F310" s="25">
        <f>Source!AO182</f>
        <v>74.91</v>
      </c>
      <c r="G310" s="26" t="str">
        <f>Source!DG182</f>
        <v/>
      </c>
      <c r="H310" s="24">
        <f>Source!AV182</f>
        <v>1.0669999999999999</v>
      </c>
      <c r="I310" s="25">
        <f>ROUND((ROUND((Source!AF182*Source!AV182*Source!I182),2)),2)</f>
        <v>239.79</v>
      </c>
      <c r="J310" s="24">
        <f>IF(Source!BA182&lt;&gt; 0, Source!BA182, 1)</f>
        <v>46.67</v>
      </c>
      <c r="K310" s="25">
        <f>Source!S182</f>
        <v>11191</v>
      </c>
      <c r="W310" s="12">
        <f>I310</f>
        <v>239.79</v>
      </c>
    </row>
    <row r="311" spans="1:35" ht="15">
      <c r="A311" s="22"/>
      <c r="B311" s="22"/>
      <c r="C311" s="22" t="s">
        <v>551</v>
      </c>
      <c r="D311" s="23"/>
      <c r="E311" s="24"/>
      <c r="F311" s="25">
        <f>Source!AM182</f>
        <v>379.77</v>
      </c>
      <c r="G311" s="26" t="str">
        <f>Source!DE182</f>
        <v/>
      </c>
      <c r="H311" s="24">
        <f>Source!AV182</f>
        <v>1.0669999999999999</v>
      </c>
      <c r="I311" s="25">
        <f>(ROUND((ROUND(((Source!ET182)*Source!AV182*Source!I182),2)),2)+ROUND((ROUND(((Source!AE182-(Source!EU182))*Source!AV182*Source!I182),2)),2))</f>
        <v>1215.6400000000001</v>
      </c>
      <c r="J311" s="24">
        <f>IF(Source!BB182&lt;&gt; 0, Source!BB182, 1)</f>
        <v>15.04</v>
      </c>
      <c r="K311" s="25">
        <f>Source!Q182</f>
        <v>18283.23</v>
      </c>
    </row>
    <row r="312" spans="1:35" ht="15">
      <c r="A312" s="22"/>
      <c r="B312" s="22"/>
      <c r="C312" s="22" t="s">
        <v>552</v>
      </c>
      <c r="D312" s="23"/>
      <c r="E312" s="24"/>
      <c r="F312" s="25">
        <f>Source!AN182</f>
        <v>57.67</v>
      </c>
      <c r="G312" s="26" t="str">
        <f>Source!DF182</f>
        <v/>
      </c>
      <c r="H312" s="24">
        <f>Source!AV182</f>
        <v>1.0669999999999999</v>
      </c>
      <c r="I312" s="28">
        <f>ROUND((ROUND((Source!AE182*Source!AV182*Source!I182),2)),2)</f>
        <v>184.6</v>
      </c>
      <c r="J312" s="24">
        <f>IF(Source!BS182&lt;&gt; 0, Source!BS182, 1)</f>
        <v>46.67</v>
      </c>
      <c r="K312" s="28">
        <f>Source!R182</f>
        <v>8615.2800000000007</v>
      </c>
      <c r="W312" s="12">
        <f>I312</f>
        <v>184.6</v>
      </c>
    </row>
    <row r="313" spans="1:35" ht="15">
      <c r="A313" s="22"/>
      <c r="B313" s="22"/>
      <c r="C313" s="22" t="s">
        <v>553</v>
      </c>
      <c r="D313" s="23" t="s">
        <v>554</v>
      </c>
      <c r="E313" s="24">
        <f>Source!DN182</f>
        <v>112</v>
      </c>
      <c r="F313" s="25"/>
      <c r="G313" s="26"/>
      <c r="H313" s="24"/>
      <c r="I313" s="25">
        <f>SUM(Q308:Q312)</f>
        <v>268.56</v>
      </c>
      <c r="J313" s="24">
        <f>Source!BZ182</f>
        <v>92</v>
      </c>
      <c r="K313" s="25">
        <f>SUM(R308:R312)</f>
        <v>10295.719999999999</v>
      </c>
    </row>
    <row r="314" spans="1:35" ht="15">
      <c r="A314" s="22"/>
      <c r="B314" s="22"/>
      <c r="C314" s="22" t="s">
        <v>555</v>
      </c>
      <c r="D314" s="23" t="s">
        <v>554</v>
      </c>
      <c r="E314" s="24">
        <f>Source!DO182</f>
        <v>70</v>
      </c>
      <c r="F314" s="25"/>
      <c r="G314" s="26"/>
      <c r="H314" s="24"/>
      <c r="I314" s="25">
        <f>SUM(S308:S313)</f>
        <v>167.85</v>
      </c>
      <c r="J314" s="24">
        <f>Source!CA182</f>
        <v>43</v>
      </c>
      <c r="K314" s="25">
        <f>SUM(T308:T313)</f>
        <v>4812.13</v>
      </c>
    </row>
    <row r="315" spans="1:35" ht="15">
      <c r="A315" s="22"/>
      <c r="B315" s="22"/>
      <c r="C315" s="22" t="s">
        <v>556</v>
      </c>
      <c r="D315" s="23" t="s">
        <v>554</v>
      </c>
      <c r="E315" s="24">
        <f>175</f>
        <v>175</v>
      </c>
      <c r="F315" s="25"/>
      <c r="G315" s="26"/>
      <c r="H315" s="24"/>
      <c r="I315" s="25">
        <f>SUM(U308:U314)</f>
        <v>323.05</v>
      </c>
      <c r="J315" s="24">
        <f>160</f>
        <v>160</v>
      </c>
      <c r="K315" s="25">
        <f>SUM(V308:V314)</f>
        <v>13784.45</v>
      </c>
    </row>
    <row r="316" spans="1:35" ht="15">
      <c r="A316" s="29"/>
      <c r="B316" s="29"/>
      <c r="C316" s="29" t="s">
        <v>557</v>
      </c>
      <c r="D316" s="30" t="s">
        <v>558</v>
      </c>
      <c r="E316" s="31">
        <f>Source!AQ182</f>
        <v>6.08</v>
      </c>
      <c r="F316" s="32"/>
      <c r="G316" s="33" t="str">
        <f>Source!DI182</f>
        <v/>
      </c>
      <c r="H316" s="31">
        <f>Source!AV182</f>
        <v>1.0669999999999999</v>
      </c>
      <c r="I316" s="32">
        <f>Source!U182</f>
        <v>19.46208</v>
      </c>
      <c r="J316" s="31"/>
      <c r="K316" s="32"/>
      <c r="AB316" s="34">
        <f>I316</f>
        <v>19.46208</v>
      </c>
    </row>
    <row r="317" spans="1:35" ht="14.25">
      <c r="C317" s="16" t="s">
        <v>559</v>
      </c>
      <c r="H317" s="49">
        <f>I310+I311+I313+I314+I315+0-0-0</f>
        <v>2214.89</v>
      </c>
      <c r="I317" s="49"/>
      <c r="J317" s="49">
        <f>K310+K311+K313+K314+K315+0-0-0</f>
        <v>58366.53</v>
      </c>
      <c r="K317" s="49"/>
    </row>
    <row r="318" spans="1:35" ht="14.25">
      <c r="C318" s="16" t="s">
        <v>560</v>
      </c>
      <c r="H318" s="50">
        <f>0+0</f>
        <v>0</v>
      </c>
      <c r="I318" s="50"/>
      <c r="J318" s="50">
        <f>0+0</f>
        <v>0</v>
      </c>
      <c r="K318" s="50"/>
    </row>
    <row r="319" spans="1:35" ht="14.25">
      <c r="H319" s="50"/>
      <c r="I319" s="50"/>
      <c r="J319" s="50"/>
      <c r="K319" s="50"/>
      <c r="O319" s="34">
        <f>I310+I311+I313+I314+I315+0</f>
        <v>2214.89</v>
      </c>
      <c r="P319" s="34">
        <f>K310+K311+K313+K314+K315+0</f>
        <v>58366.53</v>
      </c>
      <c r="X319" s="12">
        <f>IF(Source!BI182&lt;=1,I310+I311+I313+I314+I315-0, 0)</f>
        <v>0</v>
      </c>
      <c r="Y319" s="12">
        <f>IF(Source!BI182=2,I310+I311+I313+I314+I315-0, 0)</f>
        <v>2214.89</v>
      </c>
      <c r="Z319" s="12">
        <f>IF(Source!BI182=3,I310+I311+I313+I314+I315-0, 0)</f>
        <v>0</v>
      </c>
      <c r="AA319" s="12">
        <f>IF(Source!BI182=4,I310+I311+I313+I314+I315,0)</f>
        <v>0</v>
      </c>
    </row>
    <row r="321" spans="1:35" ht="45">
      <c r="A321" s="22">
        <v>26</v>
      </c>
      <c r="B321" s="22" t="str">
        <f>Source!F184</f>
        <v>4.8-74-2</v>
      </c>
      <c r="C321" s="22" t="s">
        <v>254</v>
      </c>
      <c r="D321" s="23" t="str">
        <f>Source!H184</f>
        <v>100 М КАБЕЛЯ</v>
      </c>
      <c r="E321" s="24">
        <f>Source!I184</f>
        <v>3</v>
      </c>
      <c r="F321" s="25"/>
      <c r="G321" s="26"/>
      <c r="H321" s="24"/>
      <c r="I321" s="25"/>
      <c r="J321" s="24"/>
      <c r="K321" s="25"/>
      <c r="Q321" s="12">
        <f>ROUND((Source!DN184/100)*ROUND((ROUND((Source!AF184*Source!AV184*Source!I184),2)),2), 2)</f>
        <v>100.71</v>
      </c>
      <c r="R321" s="12">
        <f>Source!X184</f>
        <v>3860.84</v>
      </c>
      <c r="S321" s="12">
        <f>ROUND((Source!DO184/100)*ROUND((ROUND((Source!AF184*Source!AV184*Source!I184),2)),2), 2)</f>
        <v>62.94</v>
      </c>
      <c r="T321" s="12">
        <f>Source!Y184</f>
        <v>1804.53</v>
      </c>
      <c r="U321" s="12">
        <f>ROUND((175/100)*ROUND((ROUND((Source!AE184*Source!AV184*Source!I184),2)),2), 2)</f>
        <v>92.59</v>
      </c>
      <c r="V321" s="12">
        <f>ROUND((160/100)*ROUND(ROUND((ROUND((Source!AE184*Source!AV184*Source!I184),2)*Source!BS184),2), 2), 2)</f>
        <v>3950.9</v>
      </c>
      <c r="AI321" s="12">
        <v>0</v>
      </c>
    </row>
    <row r="322" spans="1:35" ht="15">
      <c r="A322" s="22"/>
      <c r="B322" s="22"/>
      <c r="C322" s="22" t="s">
        <v>550</v>
      </c>
      <c r="D322" s="23"/>
      <c r="E322" s="24"/>
      <c r="F322" s="25">
        <f>Source!AO184</f>
        <v>28.09</v>
      </c>
      <c r="G322" s="26" t="str">
        <f>Source!DG184</f>
        <v/>
      </c>
      <c r="H322" s="24">
        <f>Source!AV184</f>
        <v>1.0669999999999999</v>
      </c>
      <c r="I322" s="25">
        <f>ROUND((ROUND((Source!AF184*Source!AV184*Source!I184),2)),2)</f>
        <v>89.92</v>
      </c>
      <c r="J322" s="24">
        <f>IF(Source!BA184&lt;&gt; 0, Source!BA184, 1)</f>
        <v>46.67</v>
      </c>
      <c r="K322" s="25">
        <f>Source!S184</f>
        <v>4196.57</v>
      </c>
      <c r="W322" s="12">
        <f>I322</f>
        <v>89.92</v>
      </c>
    </row>
    <row r="323" spans="1:35" ht="15">
      <c r="A323" s="22"/>
      <c r="B323" s="22"/>
      <c r="C323" s="22" t="s">
        <v>551</v>
      </c>
      <c r="D323" s="23"/>
      <c r="E323" s="24"/>
      <c r="F323" s="25">
        <f>Source!AM184</f>
        <v>108.86</v>
      </c>
      <c r="G323" s="26" t="str">
        <f>Source!DE184</f>
        <v/>
      </c>
      <c r="H323" s="24">
        <f>Source!AV184</f>
        <v>1.0669999999999999</v>
      </c>
      <c r="I323" s="25">
        <f>(ROUND((ROUND(((Source!ET184)*Source!AV184*Source!I184),2)),2)+ROUND((ROUND(((Source!AE184-(Source!EU184))*Source!AV184*Source!I184),2)),2))</f>
        <v>348.46</v>
      </c>
      <c r="J323" s="24">
        <f>IF(Source!BB184&lt;&gt; 0, Source!BB184, 1)</f>
        <v>15.04</v>
      </c>
      <c r="K323" s="25">
        <f>Source!Q184</f>
        <v>5240.84</v>
      </c>
    </row>
    <row r="324" spans="1:35" ht="15">
      <c r="A324" s="22"/>
      <c r="B324" s="22"/>
      <c r="C324" s="22" t="s">
        <v>552</v>
      </c>
      <c r="D324" s="23"/>
      <c r="E324" s="24"/>
      <c r="F324" s="25">
        <f>Source!AN184</f>
        <v>16.53</v>
      </c>
      <c r="G324" s="26" t="str">
        <f>Source!DF184</f>
        <v/>
      </c>
      <c r="H324" s="24">
        <f>Source!AV184</f>
        <v>1.0669999999999999</v>
      </c>
      <c r="I324" s="28">
        <f>ROUND((ROUND((Source!AE184*Source!AV184*Source!I184),2)),2)</f>
        <v>52.91</v>
      </c>
      <c r="J324" s="24">
        <f>IF(Source!BS184&lt;&gt; 0, Source!BS184, 1)</f>
        <v>46.67</v>
      </c>
      <c r="K324" s="28">
        <f>Source!R184</f>
        <v>2469.31</v>
      </c>
      <c r="W324" s="12">
        <f>I324</f>
        <v>52.91</v>
      </c>
    </row>
    <row r="325" spans="1:35" ht="15">
      <c r="A325" s="22"/>
      <c r="B325" s="22"/>
      <c r="C325" s="22" t="s">
        <v>553</v>
      </c>
      <c r="D325" s="23" t="s">
        <v>554</v>
      </c>
      <c r="E325" s="24">
        <f>Source!DN184</f>
        <v>112</v>
      </c>
      <c r="F325" s="25"/>
      <c r="G325" s="26"/>
      <c r="H325" s="24"/>
      <c r="I325" s="25">
        <f>SUM(Q321:Q324)</f>
        <v>100.71</v>
      </c>
      <c r="J325" s="24">
        <f>Source!BZ184</f>
        <v>92</v>
      </c>
      <c r="K325" s="25">
        <f>SUM(R321:R324)</f>
        <v>3860.84</v>
      </c>
    </row>
    <row r="326" spans="1:35" ht="15">
      <c r="A326" s="22"/>
      <c r="B326" s="22"/>
      <c r="C326" s="22" t="s">
        <v>555</v>
      </c>
      <c r="D326" s="23" t="s">
        <v>554</v>
      </c>
      <c r="E326" s="24">
        <f>Source!DO184</f>
        <v>70</v>
      </c>
      <c r="F326" s="25"/>
      <c r="G326" s="26"/>
      <c r="H326" s="24"/>
      <c r="I326" s="25">
        <f>SUM(S321:S325)</f>
        <v>62.94</v>
      </c>
      <c r="J326" s="24">
        <f>Source!CA184</f>
        <v>43</v>
      </c>
      <c r="K326" s="25">
        <f>SUM(T321:T325)</f>
        <v>1804.53</v>
      </c>
    </row>
    <row r="327" spans="1:35" ht="15">
      <c r="A327" s="22"/>
      <c r="B327" s="22"/>
      <c r="C327" s="22" t="s">
        <v>556</v>
      </c>
      <c r="D327" s="23" t="s">
        <v>554</v>
      </c>
      <c r="E327" s="24">
        <f>175</f>
        <v>175</v>
      </c>
      <c r="F327" s="25"/>
      <c r="G327" s="26"/>
      <c r="H327" s="24"/>
      <c r="I327" s="25">
        <f>SUM(U321:U326)</f>
        <v>92.59</v>
      </c>
      <c r="J327" s="24">
        <f>160</f>
        <v>160</v>
      </c>
      <c r="K327" s="25">
        <f>SUM(V321:V326)</f>
        <v>3950.9</v>
      </c>
    </row>
    <row r="328" spans="1:35" ht="15">
      <c r="A328" s="29"/>
      <c r="B328" s="29"/>
      <c r="C328" s="29" t="s">
        <v>557</v>
      </c>
      <c r="D328" s="30" t="s">
        <v>558</v>
      </c>
      <c r="E328" s="31">
        <f>Source!AQ184</f>
        <v>2.2799999999999998</v>
      </c>
      <c r="F328" s="32"/>
      <c r="G328" s="33" t="str">
        <f>Source!DI184</f>
        <v/>
      </c>
      <c r="H328" s="31">
        <f>Source!AV184</f>
        <v>1.0669999999999999</v>
      </c>
      <c r="I328" s="32">
        <f>Source!U184</f>
        <v>7.2982799999999983</v>
      </c>
      <c r="J328" s="31"/>
      <c r="K328" s="32"/>
      <c r="AB328" s="34">
        <f>I328</f>
        <v>7.2982799999999983</v>
      </c>
    </row>
    <row r="329" spans="1:35" ht="14.25">
      <c r="C329" s="16" t="s">
        <v>559</v>
      </c>
      <c r="H329" s="49">
        <f>I322+I323+I325+I326+I327+0-0-0</f>
        <v>694.62</v>
      </c>
      <c r="I329" s="49"/>
      <c r="J329" s="49">
        <f>K322+K323+K325+K326+K327+0-0-0</f>
        <v>19053.68</v>
      </c>
      <c r="K329" s="49"/>
    </row>
    <row r="330" spans="1:35" ht="14.25">
      <c r="C330" s="16" t="s">
        <v>560</v>
      </c>
      <c r="H330" s="50">
        <f>0+0</f>
        <v>0</v>
      </c>
      <c r="I330" s="50"/>
      <c r="J330" s="50">
        <f>0+0</f>
        <v>0</v>
      </c>
      <c r="K330" s="50"/>
    </row>
    <row r="331" spans="1:35" ht="14.25">
      <c r="H331" s="50"/>
      <c r="I331" s="50"/>
      <c r="J331" s="50"/>
      <c r="K331" s="50"/>
      <c r="O331" s="34">
        <f>I322+I323+I325+I326+I327+0</f>
        <v>694.62</v>
      </c>
      <c r="P331" s="34">
        <f>K322+K323+K325+K326+K327+0</f>
        <v>19053.68</v>
      </c>
      <c r="X331" s="12">
        <f>IF(Source!BI184&lt;=1,I322+I323+I325+I326+I327-0, 0)</f>
        <v>0</v>
      </c>
      <c r="Y331" s="12">
        <f>IF(Source!BI184=2,I322+I323+I325+I326+I327-0, 0)</f>
        <v>694.62</v>
      </c>
      <c r="Z331" s="12">
        <f>IF(Source!BI184=3,I322+I323+I325+I326+I327-0, 0)</f>
        <v>0</v>
      </c>
      <c r="AA331" s="12">
        <f>IF(Source!BI184=4,I322+I323+I325+I326+I327,0)</f>
        <v>0</v>
      </c>
    </row>
    <row r="333" spans="1:35" ht="30">
      <c r="A333" s="22">
        <v>27</v>
      </c>
      <c r="B333" s="22" t="str">
        <f>Source!F186</f>
        <v>1.1-1-766</v>
      </c>
      <c r="C333" s="22" t="s">
        <v>51</v>
      </c>
      <c r="D333" s="23" t="str">
        <f>Source!H186</f>
        <v>м3</v>
      </c>
      <c r="E333" s="24">
        <f>Source!I186</f>
        <v>52.8</v>
      </c>
      <c r="F333" s="25">
        <f>Source!AL186</f>
        <v>104.99</v>
      </c>
      <c r="G333" s="26" t="str">
        <f>Source!DD186</f>
        <v/>
      </c>
      <c r="H333" s="24">
        <f>Source!AW186</f>
        <v>1</v>
      </c>
      <c r="I333" s="25">
        <f>ROUND((ROUND((Source!AC186*Source!AW186*Source!I186),2)),2)</f>
        <v>5543.47</v>
      </c>
      <c r="J333" s="24">
        <f>IF(Source!BC186&lt;&gt; 0, Source!BC186, 1)</f>
        <v>8.56</v>
      </c>
      <c r="K333" s="25">
        <f>Source!P186</f>
        <v>47452.1</v>
      </c>
      <c r="Q333" s="12">
        <f>ROUND((Source!DN186/100)*ROUND((ROUND((Source!AF186*Source!AV186*Source!I186),2)),2), 2)</f>
        <v>0</v>
      </c>
      <c r="R333" s="12">
        <f>Source!X186</f>
        <v>0</v>
      </c>
      <c r="S333" s="12">
        <f>ROUND((Source!DO186/100)*ROUND((ROUND((Source!AF186*Source!AV186*Source!I186),2)),2), 2)</f>
        <v>0</v>
      </c>
      <c r="T333" s="12">
        <f>Source!Y186</f>
        <v>0</v>
      </c>
      <c r="U333" s="12">
        <f>ROUND((175/100)*ROUND((ROUND((Source!AE186*Source!AV186*Source!I186),2)),2), 2)</f>
        <v>0</v>
      </c>
      <c r="V333" s="12">
        <f>ROUND((160/100)*ROUND(ROUND((ROUND((Source!AE186*Source!AV186*Source!I186),2)*Source!BS186),2), 2), 2)</f>
        <v>0</v>
      </c>
      <c r="AI333" s="12">
        <v>3</v>
      </c>
    </row>
    <row r="334" spans="1:35">
      <c r="A334" s="35"/>
      <c r="B334" s="35"/>
      <c r="C334" s="36" t="str">
        <f>"Объем: "&amp;Source!I186&amp;"=(0,8*"&amp;"0,2*"&amp;"300)*"&amp;"1,1"</f>
        <v>Объем: 52,8=(0,8*0,2*300)*1,1</v>
      </c>
      <c r="D334" s="35"/>
      <c r="E334" s="35"/>
      <c r="F334" s="35"/>
      <c r="G334" s="35"/>
      <c r="H334" s="35"/>
      <c r="I334" s="35"/>
      <c r="J334" s="35"/>
      <c r="K334" s="35"/>
    </row>
    <row r="335" spans="1:35" ht="14.25">
      <c r="C335" s="16" t="s">
        <v>561</v>
      </c>
      <c r="H335" s="49">
        <f>I333+0</f>
        <v>5543.47</v>
      </c>
      <c r="I335" s="49"/>
      <c r="J335" s="49">
        <f>K333+0</f>
        <v>47452.1</v>
      </c>
      <c r="K335" s="49"/>
      <c r="O335" s="34">
        <f>I333+0</f>
        <v>5543.47</v>
      </c>
      <c r="P335" s="34">
        <f>K333+0</f>
        <v>47452.1</v>
      </c>
      <c r="X335" s="12">
        <f>IF(Source!BI186&lt;=1,I333-0, 0)</f>
        <v>5543.47</v>
      </c>
      <c r="Y335" s="12">
        <f>IF(Source!BI186=2,I333-0, 0)</f>
        <v>0</v>
      </c>
      <c r="Z335" s="12">
        <f>IF(Source!BI186=3,I333-0, 0)</f>
        <v>0</v>
      </c>
      <c r="AA335" s="12">
        <f>IF(Source!BI186=4,I333,0)</f>
        <v>0</v>
      </c>
    </row>
    <row r="337" spans="1:35" ht="60">
      <c r="A337" s="22">
        <v>28</v>
      </c>
      <c r="B337" s="22" t="str">
        <f>Source!F188</f>
        <v>4.8-308-1</v>
      </c>
      <c r="C337" s="22" t="s">
        <v>259</v>
      </c>
      <c r="D337" s="23" t="str">
        <f>Source!H188</f>
        <v>100 м</v>
      </c>
      <c r="E337" s="24">
        <f>Source!I188</f>
        <v>6</v>
      </c>
      <c r="F337" s="25"/>
      <c r="G337" s="26"/>
      <c r="H337" s="24"/>
      <c r="I337" s="25"/>
      <c r="J337" s="24"/>
      <c r="K337" s="25"/>
      <c r="Q337" s="12">
        <f>ROUND((Source!DN188/100)*ROUND((ROUND((Source!AF188*Source!AV188*Source!I188),2)),2), 2)</f>
        <v>2729.55</v>
      </c>
      <c r="R337" s="12">
        <f>Source!X188</f>
        <v>104640.3</v>
      </c>
      <c r="S337" s="12">
        <f>ROUND((Source!DO188/100)*ROUND((ROUND((Source!AF188*Source!AV188*Source!I188),2)),2), 2)</f>
        <v>1705.97</v>
      </c>
      <c r="T337" s="12">
        <f>Source!Y188</f>
        <v>48907.97</v>
      </c>
      <c r="U337" s="12">
        <f>ROUND((175/100)*ROUND((ROUND((Source!AE188*Source!AV188*Source!I188),2)),2), 2)</f>
        <v>218.77</v>
      </c>
      <c r="V337" s="12">
        <f>ROUND((160/100)*ROUND(ROUND((ROUND((Source!AE188*Source!AV188*Source!I188),2)*Source!BS188),2), 2), 2)</f>
        <v>9334.75</v>
      </c>
      <c r="AI337" s="12">
        <v>0</v>
      </c>
    </row>
    <row r="338" spans="1:35">
      <c r="C338" s="27" t="str">
        <f>"Объем: "&amp;Source!I188&amp;"=(300*"&amp;"2)/"&amp;"100"</f>
        <v>Объем: 6=(300*2)/100</v>
      </c>
    </row>
    <row r="339" spans="1:35" ht="15">
      <c r="A339" s="22"/>
      <c r="B339" s="22"/>
      <c r="C339" s="22" t="s">
        <v>550</v>
      </c>
      <c r="D339" s="23"/>
      <c r="E339" s="24"/>
      <c r="F339" s="25">
        <f>Source!AO188</f>
        <v>387.95</v>
      </c>
      <c r="G339" s="26" t="str">
        <f>Source!DG188</f>
        <v/>
      </c>
      <c r="H339" s="24">
        <f>Source!AV188</f>
        <v>1.0469999999999999</v>
      </c>
      <c r="I339" s="25">
        <f>ROUND((ROUND((Source!AF188*Source!AV188*Source!I188),2)),2)</f>
        <v>2437.1</v>
      </c>
      <c r="J339" s="24">
        <f>IF(Source!BA188&lt;&gt; 0, Source!BA188, 1)</f>
        <v>46.67</v>
      </c>
      <c r="K339" s="25">
        <f>Source!S188</f>
        <v>113739.46</v>
      </c>
      <c r="W339" s="12">
        <f>I339</f>
        <v>2437.1</v>
      </c>
    </row>
    <row r="340" spans="1:35" ht="15">
      <c r="A340" s="22"/>
      <c r="B340" s="22"/>
      <c r="C340" s="22" t="s">
        <v>551</v>
      </c>
      <c r="D340" s="23"/>
      <c r="E340" s="24"/>
      <c r="F340" s="25">
        <f>Source!AM188</f>
        <v>199.28</v>
      </c>
      <c r="G340" s="26" t="str">
        <f>Source!DE188</f>
        <v/>
      </c>
      <c r="H340" s="24">
        <f>Source!AV188</f>
        <v>1.0469999999999999</v>
      </c>
      <c r="I340" s="25">
        <f>(ROUND((ROUND(((Source!ET188)*Source!AV188*Source!I188),2)),2)+ROUND((ROUND(((Source!AE188-(Source!EU188))*Source!AV188*Source!I188),2)),2))</f>
        <v>1251.8800000000001</v>
      </c>
      <c r="J340" s="24">
        <f>IF(Source!BB188&lt;&gt; 0, Source!BB188, 1)</f>
        <v>13.17</v>
      </c>
      <c r="K340" s="25">
        <f>Source!Q188</f>
        <v>16487.259999999998</v>
      </c>
    </row>
    <row r="341" spans="1:35" ht="15">
      <c r="A341" s="22"/>
      <c r="B341" s="22"/>
      <c r="C341" s="22" t="s">
        <v>552</v>
      </c>
      <c r="D341" s="23"/>
      <c r="E341" s="24"/>
      <c r="F341" s="25">
        <f>Source!AN188</f>
        <v>19.899999999999999</v>
      </c>
      <c r="G341" s="26" t="str">
        <f>Source!DF188</f>
        <v/>
      </c>
      <c r="H341" s="24">
        <f>Source!AV188</f>
        <v>1.0469999999999999</v>
      </c>
      <c r="I341" s="28">
        <f>ROUND((ROUND((Source!AE188*Source!AV188*Source!I188),2)),2)</f>
        <v>125.01</v>
      </c>
      <c r="J341" s="24">
        <f>IF(Source!BS188&lt;&gt; 0, Source!BS188, 1)</f>
        <v>46.67</v>
      </c>
      <c r="K341" s="28">
        <f>Source!R188</f>
        <v>5834.22</v>
      </c>
      <c r="W341" s="12">
        <f>I341</f>
        <v>125.01</v>
      </c>
    </row>
    <row r="342" spans="1:35" ht="15">
      <c r="A342" s="22"/>
      <c r="B342" s="22"/>
      <c r="C342" s="22" t="s">
        <v>564</v>
      </c>
      <c r="D342" s="23"/>
      <c r="E342" s="24"/>
      <c r="F342" s="25">
        <f>Source!AL188</f>
        <v>51.62</v>
      </c>
      <c r="G342" s="26" t="str">
        <f>Source!DD188</f>
        <v/>
      </c>
      <c r="H342" s="24">
        <f>Source!AW188</f>
        <v>1</v>
      </c>
      <c r="I342" s="25">
        <f>ROUND((ROUND((Source!AC188*Source!AW188*Source!I188),2)),2)</f>
        <v>309.72000000000003</v>
      </c>
      <c r="J342" s="24">
        <f>IF(Source!BC188&lt;&gt; 0, Source!BC188, 1)</f>
        <v>4.63</v>
      </c>
      <c r="K342" s="25">
        <f>Source!P188</f>
        <v>1434</v>
      </c>
    </row>
    <row r="343" spans="1:35" ht="15">
      <c r="A343" s="22"/>
      <c r="B343" s="22"/>
      <c r="C343" s="22" t="s">
        <v>553</v>
      </c>
      <c r="D343" s="23" t="s">
        <v>554</v>
      </c>
      <c r="E343" s="24">
        <f>Source!DN188</f>
        <v>112</v>
      </c>
      <c r="F343" s="25"/>
      <c r="G343" s="26"/>
      <c r="H343" s="24"/>
      <c r="I343" s="25">
        <f>SUM(Q337:Q342)</f>
        <v>2729.55</v>
      </c>
      <c r="J343" s="24">
        <f>Source!BZ188</f>
        <v>92</v>
      </c>
      <c r="K343" s="25">
        <f>SUM(R337:R342)</f>
        <v>104640.3</v>
      </c>
    </row>
    <row r="344" spans="1:35" ht="15">
      <c r="A344" s="22"/>
      <c r="B344" s="22"/>
      <c r="C344" s="22" t="s">
        <v>555</v>
      </c>
      <c r="D344" s="23" t="s">
        <v>554</v>
      </c>
      <c r="E344" s="24">
        <f>Source!DO188</f>
        <v>70</v>
      </c>
      <c r="F344" s="25"/>
      <c r="G344" s="26"/>
      <c r="H344" s="24"/>
      <c r="I344" s="25">
        <f>SUM(S337:S343)</f>
        <v>1705.97</v>
      </c>
      <c r="J344" s="24">
        <f>Source!CA188</f>
        <v>43</v>
      </c>
      <c r="K344" s="25">
        <f>SUM(T337:T343)</f>
        <v>48907.97</v>
      </c>
    </row>
    <row r="345" spans="1:35" ht="15">
      <c r="A345" s="22"/>
      <c r="B345" s="22"/>
      <c r="C345" s="22" t="s">
        <v>556</v>
      </c>
      <c r="D345" s="23" t="s">
        <v>554</v>
      </c>
      <c r="E345" s="24">
        <f>175</f>
        <v>175</v>
      </c>
      <c r="F345" s="25"/>
      <c r="G345" s="26"/>
      <c r="H345" s="24"/>
      <c r="I345" s="25">
        <f>SUM(U337:U344)</f>
        <v>218.77</v>
      </c>
      <c r="J345" s="24">
        <f>160</f>
        <v>160</v>
      </c>
      <c r="K345" s="25">
        <f>SUM(V337:V344)</f>
        <v>9334.75</v>
      </c>
    </row>
    <row r="346" spans="1:35" ht="15">
      <c r="A346" s="29"/>
      <c r="B346" s="29"/>
      <c r="C346" s="29" t="s">
        <v>557</v>
      </c>
      <c r="D346" s="30" t="s">
        <v>558</v>
      </c>
      <c r="E346" s="31">
        <f>Source!AQ188</f>
        <v>30.93</v>
      </c>
      <c r="F346" s="32"/>
      <c r="G346" s="33" t="str">
        <f>Source!DI188</f>
        <v/>
      </c>
      <c r="H346" s="31">
        <f>Source!AV188</f>
        <v>1.0469999999999999</v>
      </c>
      <c r="I346" s="32">
        <f>Source!U188</f>
        <v>194.30225999999999</v>
      </c>
      <c r="J346" s="31"/>
      <c r="K346" s="32"/>
      <c r="AB346" s="34">
        <f>I346</f>
        <v>194.30225999999999</v>
      </c>
    </row>
    <row r="347" spans="1:35" ht="14.25">
      <c r="C347" s="16" t="s">
        <v>559</v>
      </c>
      <c r="H347" s="49">
        <f>I339+I340+I342+I343+I344+I345+0-0-0</f>
        <v>8652.99</v>
      </c>
      <c r="I347" s="49"/>
      <c r="J347" s="49">
        <f>K339+K340+K342+K343+K344+K345+0-0-0</f>
        <v>294543.74</v>
      </c>
      <c r="K347" s="49"/>
    </row>
    <row r="348" spans="1:35" ht="14.25">
      <c r="C348" s="16" t="s">
        <v>560</v>
      </c>
      <c r="H348" s="50">
        <f>0+0</f>
        <v>0</v>
      </c>
      <c r="I348" s="50"/>
      <c r="J348" s="50">
        <f>0+0</f>
        <v>0</v>
      </c>
      <c r="K348" s="50"/>
    </row>
    <row r="349" spans="1:35" ht="14.25">
      <c r="H349" s="50"/>
      <c r="I349" s="50"/>
      <c r="J349" s="50"/>
      <c r="K349" s="50"/>
      <c r="O349" s="34">
        <f>I339+I340+I342+I343+I344+I345+0</f>
        <v>8652.99</v>
      </c>
      <c r="P349" s="34">
        <f>K339+K340+K342+K343+K344+K345+0</f>
        <v>294543.74</v>
      </c>
      <c r="X349" s="12">
        <f>IF(Source!BI188&lt;=1,I339+I340+I342+I343+I344+I345-0, 0)</f>
        <v>0</v>
      </c>
      <c r="Y349" s="12">
        <f>IF(Source!BI188=2,I339+I340+I342+I343+I344+I345-0, 0)</f>
        <v>8652.99</v>
      </c>
      <c r="Z349" s="12">
        <f>IF(Source!BI188=3,I339+I340+I342+I343+I344+I345-0, 0)</f>
        <v>0</v>
      </c>
      <c r="AA349" s="12">
        <f>IF(Source!BI188=4,I339+I340+I342+I343+I344+I345,0)</f>
        <v>0</v>
      </c>
    </row>
    <row r="351" spans="1:35" ht="105">
      <c r="A351" s="22">
        <v>29</v>
      </c>
      <c r="B351" s="22" t="str">
        <f>Source!F190</f>
        <v>1.23-7-397</v>
      </c>
      <c r="C351" s="22" t="s">
        <v>224</v>
      </c>
      <c r="D351" s="23" t="str">
        <f>Source!H190</f>
        <v>км</v>
      </c>
      <c r="E351" s="24">
        <f>Source!I190</f>
        <v>1.8360000000000001</v>
      </c>
      <c r="F351" s="25">
        <f>Source!AL190</f>
        <v>109225.28</v>
      </c>
      <c r="G351" s="26" t="str">
        <f>Source!DD190</f>
        <v/>
      </c>
      <c r="H351" s="24">
        <f>Source!AW190</f>
        <v>1</v>
      </c>
      <c r="I351" s="25">
        <f>ROUND((ROUND((Source!AC190*Source!AW190*Source!I190),2)),2)</f>
        <v>200537.61</v>
      </c>
      <c r="J351" s="24">
        <f>IF(Source!BC190&lt;&gt; 0, Source!BC190, 1)</f>
        <v>8.68</v>
      </c>
      <c r="K351" s="25">
        <f>Source!P190</f>
        <v>1740666.45</v>
      </c>
      <c r="Q351" s="12">
        <f>ROUND((Source!DN190/100)*ROUND((ROUND((Source!AF190*Source!AV190*Source!I190),2)),2), 2)</f>
        <v>0</v>
      </c>
      <c r="R351" s="12">
        <f>Source!X190</f>
        <v>0</v>
      </c>
      <c r="S351" s="12">
        <f>ROUND((Source!DO190/100)*ROUND((ROUND((Source!AF190*Source!AV190*Source!I190),2)),2), 2)</f>
        <v>0</v>
      </c>
      <c r="T351" s="12">
        <f>Source!Y190</f>
        <v>0</v>
      </c>
      <c r="U351" s="12">
        <f>ROUND((175/100)*ROUND((ROUND((Source!AE190*Source!AV190*Source!I190),2)),2), 2)</f>
        <v>0</v>
      </c>
      <c r="V351" s="12">
        <f>ROUND((160/100)*ROUND(ROUND((ROUND((Source!AE190*Source!AV190*Source!I190),2)*Source!BS190),2), 2), 2)</f>
        <v>0</v>
      </c>
      <c r="AI351" s="12">
        <v>3</v>
      </c>
    </row>
    <row r="352" spans="1:35">
      <c r="A352" s="35"/>
      <c r="B352" s="35"/>
      <c r="C352" s="36" t="str">
        <f>"Объем: "&amp;Source!I190&amp;"="&amp;Source!I188&amp;"*"&amp;"3*"&amp;"1,02/"&amp;"10"</f>
        <v>Объем: 1,836=6*3*1,02/10</v>
      </c>
      <c r="D352" s="35"/>
      <c r="E352" s="35"/>
      <c r="F352" s="35"/>
      <c r="G352" s="35"/>
      <c r="H352" s="35"/>
      <c r="I352" s="35"/>
      <c r="J352" s="35"/>
      <c r="K352" s="35"/>
    </row>
    <row r="353" spans="1:35" ht="14.25">
      <c r="C353" s="16" t="s">
        <v>561</v>
      </c>
      <c r="H353" s="49">
        <f>I351+0</f>
        <v>200537.61</v>
      </c>
      <c r="I353" s="49"/>
      <c r="J353" s="49">
        <f>K351+0</f>
        <v>1740666.45</v>
      </c>
      <c r="K353" s="49"/>
      <c r="O353" s="34">
        <f>I351+0</f>
        <v>200537.61</v>
      </c>
      <c r="P353" s="34">
        <f>K351+0</f>
        <v>1740666.45</v>
      </c>
      <c r="X353" s="12">
        <f>IF(Source!BI190&lt;=1,I351-0, 0)</f>
        <v>0</v>
      </c>
      <c r="Y353" s="12">
        <f>IF(Source!BI190=2,I351-0, 0)</f>
        <v>200537.61</v>
      </c>
      <c r="Z353" s="12">
        <f>IF(Source!BI190=3,I351-0, 0)</f>
        <v>0</v>
      </c>
      <c r="AA353" s="12">
        <f>IF(Source!BI190=4,I351,0)</f>
        <v>0</v>
      </c>
    </row>
    <row r="355" spans="1:35" ht="75">
      <c r="A355" s="22">
        <v>30</v>
      </c>
      <c r="B355" s="22" t="str">
        <f>Source!F192</f>
        <v>4.8-304-2</v>
      </c>
      <c r="C355" s="22" t="s">
        <v>264</v>
      </c>
      <c r="D355" s="23" t="str">
        <f>Source!H192</f>
        <v>1 комплект</v>
      </c>
      <c r="E355" s="24">
        <f>Source!I192</f>
        <v>14</v>
      </c>
      <c r="F355" s="25"/>
      <c r="G355" s="26"/>
      <c r="H355" s="24"/>
      <c r="I355" s="25"/>
      <c r="J355" s="24"/>
      <c r="K355" s="25"/>
      <c r="Q355" s="12">
        <f>ROUND((Source!DN192/100)*ROUND((ROUND((Source!AF192*Source!AV192*Source!I192),2)),2), 2)</f>
        <v>3483.68</v>
      </c>
      <c r="R355" s="12">
        <f>Source!X192</f>
        <v>133550.67000000001</v>
      </c>
      <c r="S355" s="12">
        <f>ROUND((Source!DO192/100)*ROUND((ROUND((Source!AF192*Source!AV192*Source!I192),2)),2), 2)</f>
        <v>2177.3000000000002</v>
      </c>
      <c r="T355" s="12">
        <f>Source!Y192</f>
        <v>62420.42</v>
      </c>
      <c r="U355" s="12">
        <f>ROUND((175/100)*ROUND((ROUND((Source!AE192*Source!AV192*Source!I192),2)),2), 2)</f>
        <v>119.79</v>
      </c>
      <c r="V355" s="12">
        <f>ROUND((160/100)*ROUND(ROUND((ROUND((Source!AE192*Source!AV192*Source!I192),2)*Source!BS192),2), 2), 2)</f>
        <v>5111.3</v>
      </c>
      <c r="AI355" s="12">
        <v>0</v>
      </c>
    </row>
    <row r="356" spans="1:35">
      <c r="C356" s="27" t="str">
        <f>"Объем: "&amp;Source!I192&amp;"=1*"&amp;"2"</f>
        <v>Объем: 14=1*2</v>
      </c>
    </row>
    <row r="357" spans="1:35" ht="15">
      <c r="A357" s="22"/>
      <c r="B357" s="22"/>
      <c r="C357" s="22" t="s">
        <v>550</v>
      </c>
      <c r="D357" s="23"/>
      <c r="E357" s="24"/>
      <c r="F357" s="25">
        <f>Source!AO192</f>
        <v>212.2</v>
      </c>
      <c r="G357" s="26" t="str">
        <f>Source!DG192</f>
        <v/>
      </c>
      <c r="H357" s="24">
        <f>Source!AV192</f>
        <v>1.0469999999999999</v>
      </c>
      <c r="I357" s="25">
        <f>ROUND((ROUND((Source!AF192*Source!AV192*Source!I192),2)),2)</f>
        <v>3110.43</v>
      </c>
      <c r="J357" s="24">
        <f>IF(Source!BA192&lt;&gt; 0, Source!BA192, 1)</f>
        <v>46.67</v>
      </c>
      <c r="K357" s="25">
        <f>Source!S192</f>
        <v>145163.76999999999</v>
      </c>
      <c r="W357" s="12">
        <f>I357</f>
        <v>3110.43</v>
      </c>
    </row>
    <row r="358" spans="1:35" ht="15">
      <c r="A358" s="22"/>
      <c r="B358" s="22"/>
      <c r="C358" s="22" t="s">
        <v>551</v>
      </c>
      <c r="D358" s="23"/>
      <c r="E358" s="24"/>
      <c r="F358" s="25">
        <f>Source!AM192</f>
        <v>53.54</v>
      </c>
      <c r="G358" s="26" t="str">
        <f>Source!DE192</f>
        <v/>
      </c>
      <c r="H358" s="24">
        <f>Source!AV192</f>
        <v>1.0469999999999999</v>
      </c>
      <c r="I358" s="25">
        <f>(ROUND((ROUND(((Source!ET192)*Source!AV192*Source!I192),2)),2)+ROUND((ROUND(((Source!AE192-(Source!EU192))*Source!AV192*Source!I192),2)),2))</f>
        <v>784.79</v>
      </c>
      <c r="J358" s="24">
        <f>IF(Source!BB192&lt;&gt; 0, Source!BB192, 1)</f>
        <v>8.17</v>
      </c>
      <c r="K358" s="25">
        <f>Source!Q192</f>
        <v>6411.73</v>
      </c>
    </row>
    <row r="359" spans="1:35" ht="15">
      <c r="A359" s="22"/>
      <c r="B359" s="22"/>
      <c r="C359" s="22" t="s">
        <v>552</v>
      </c>
      <c r="D359" s="23"/>
      <c r="E359" s="24"/>
      <c r="F359" s="25">
        <f>Source!AN192</f>
        <v>4.67</v>
      </c>
      <c r="G359" s="26" t="str">
        <f>Source!DF192</f>
        <v/>
      </c>
      <c r="H359" s="24">
        <f>Source!AV192</f>
        <v>1.0469999999999999</v>
      </c>
      <c r="I359" s="28">
        <f>ROUND((ROUND((Source!AE192*Source!AV192*Source!I192),2)),2)</f>
        <v>68.45</v>
      </c>
      <c r="J359" s="24">
        <f>IF(Source!BS192&lt;&gt; 0, Source!BS192, 1)</f>
        <v>46.67</v>
      </c>
      <c r="K359" s="28">
        <f>Source!R192</f>
        <v>3194.56</v>
      </c>
      <c r="W359" s="12">
        <f>I359</f>
        <v>68.45</v>
      </c>
    </row>
    <row r="360" spans="1:35" ht="15">
      <c r="A360" s="22"/>
      <c r="B360" s="22"/>
      <c r="C360" s="22" t="s">
        <v>564</v>
      </c>
      <c r="D360" s="23"/>
      <c r="E360" s="24"/>
      <c r="F360" s="25">
        <f>Source!AL192</f>
        <v>61.32</v>
      </c>
      <c r="G360" s="26" t="str">
        <f>Source!DD192</f>
        <v/>
      </c>
      <c r="H360" s="24">
        <f>Source!AW192</f>
        <v>1</v>
      </c>
      <c r="I360" s="25">
        <f>ROUND((ROUND((Source!AC192*Source!AW192*Source!I192),2)),2)</f>
        <v>858.48</v>
      </c>
      <c r="J360" s="24">
        <f>IF(Source!BC192&lt;&gt; 0, Source!BC192, 1)</f>
        <v>6.97</v>
      </c>
      <c r="K360" s="25">
        <f>Source!P192</f>
        <v>5983.61</v>
      </c>
    </row>
    <row r="361" spans="1:35" ht="15">
      <c r="A361" s="22"/>
      <c r="B361" s="22"/>
      <c r="C361" s="22" t="s">
        <v>553</v>
      </c>
      <c r="D361" s="23" t="s">
        <v>554</v>
      </c>
      <c r="E361" s="24">
        <f>Source!DN192</f>
        <v>112</v>
      </c>
      <c r="F361" s="25"/>
      <c r="G361" s="26"/>
      <c r="H361" s="24"/>
      <c r="I361" s="25">
        <f>SUM(Q355:Q360)</f>
        <v>3483.68</v>
      </c>
      <c r="J361" s="24">
        <f>Source!BZ192</f>
        <v>92</v>
      </c>
      <c r="K361" s="25">
        <f>SUM(R355:R360)</f>
        <v>133550.67000000001</v>
      </c>
    </row>
    <row r="362" spans="1:35" ht="15">
      <c r="A362" s="22"/>
      <c r="B362" s="22"/>
      <c r="C362" s="22" t="s">
        <v>555</v>
      </c>
      <c r="D362" s="23" t="s">
        <v>554</v>
      </c>
      <c r="E362" s="24">
        <f>Source!DO192</f>
        <v>70</v>
      </c>
      <c r="F362" s="25"/>
      <c r="G362" s="26"/>
      <c r="H362" s="24"/>
      <c r="I362" s="25">
        <f>SUM(S355:S361)</f>
        <v>2177.3000000000002</v>
      </c>
      <c r="J362" s="24">
        <f>Source!CA192</f>
        <v>43</v>
      </c>
      <c r="K362" s="25">
        <f>SUM(T355:T361)</f>
        <v>62420.42</v>
      </c>
    </row>
    <row r="363" spans="1:35" ht="15">
      <c r="A363" s="22"/>
      <c r="B363" s="22"/>
      <c r="C363" s="22" t="s">
        <v>556</v>
      </c>
      <c r="D363" s="23" t="s">
        <v>554</v>
      </c>
      <c r="E363" s="24">
        <f>175</f>
        <v>175</v>
      </c>
      <c r="F363" s="25"/>
      <c r="G363" s="26"/>
      <c r="H363" s="24"/>
      <c r="I363" s="25">
        <f>SUM(U355:U362)</f>
        <v>119.79</v>
      </c>
      <c r="J363" s="24">
        <f>160</f>
        <v>160</v>
      </c>
      <c r="K363" s="25">
        <f>SUM(V355:V362)</f>
        <v>5111.3</v>
      </c>
    </row>
    <row r="364" spans="1:35" ht="15">
      <c r="A364" s="29"/>
      <c r="B364" s="29"/>
      <c r="C364" s="29" t="s">
        <v>557</v>
      </c>
      <c r="D364" s="30" t="s">
        <v>558</v>
      </c>
      <c r="E364" s="31">
        <f>Source!AQ192</f>
        <v>16.14</v>
      </c>
      <c r="F364" s="32"/>
      <c r="G364" s="33" t="str">
        <f>Source!DI192</f>
        <v/>
      </c>
      <c r="H364" s="31">
        <f>Source!AV192</f>
        <v>1.0469999999999999</v>
      </c>
      <c r="I364" s="32">
        <f>Source!U192</f>
        <v>236.58011999999999</v>
      </c>
      <c r="J364" s="31"/>
      <c r="K364" s="32"/>
      <c r="AB364" s="34">
        <f>I364</f>
        <v>236.58011999999999</v>
      </c>
    </row>
    <row r="365" spans="1:35" ht="14.25">
      <c r="C365" s="16" t="s">
        <v>559</v>
      </c>
      <c r="H365" s="49">
        <f>I357+I358+I360+I361+I362+I363+0-0-0</f>
        <v>10534.470000000001</v>
      </c>
      <c r="I365" s="49"/>
      <c r="J365" s="49">
        <f>K357+K358+K360+K361+K362+K363+0-0-0</f>
        <v>358641.5</v>
      </c>
      <c r="K365" s="49"/>
    </row>
    <row r="366" spans="1:35" ht="14.25">
      <c r="C366" s="16" t="s">
        <v>560</v>
      </c>
      <c r="H366" s="50">
        <f>0+0</f>
        <v>0</v>
      </c>
      <c r="I366" s="50"/>
      <c r="J366" s="50">
        <f>0+0</f>
        <v>0</v>
      </c>
      <c r="K366" s="50"/>
    </row>
    <row r="367" spans="1:35" ht="14.25">
      <c r="H367" s="50"/>
      <c r="I367" s="50"/>
      <c r="J367" s="50"/>
      <c r="K367" s="50"/>
      <c r="O367" s="34">
        <f>I357+I358+I360+I361+I362+I363+0</f>
        <v>10534.470000000001</v>
      </c>
      <c r="P367" s="34">
        <f>K357+K358+K360+K361+K362+K363+0</f>
        <v>358641.5</v>
      </c>
      <c r="X367" s="12">
        <f>IF(Source!BI192&lt;=1,I357+I358+I360+I361+I362+I363-0, 0)</f>
        <v>0</v>
      </c>
      <c r="Y367" s="12">
        <f>IF(Source!BI192=2,I357+I358+I360+I361+I362+I363-0, 0)</f>
        <v>10534.470000000001</v>
      </c>
      <c r="Z367" s="12">
        <f>IF(Source!BI192=3,I357+I358+I360+I361+I362+I363-0, 0)</f>
        <v>0</v>
      </c>
      <c r="AA367" s="12">
        <f>IF(Source!BI192=4,I357+I358+I360+I361+I362+I363,0)</f>
        <v>0</v>
      </c>
    </row>
    <row r="369" spans="1:35" ht="75">
      <c r="A369" s="29">
        <v>31</v>
      </c>
      <c r="B369" s="29" t="str">
        <f>Source!F194</f>
        <v>1.21-5-1165</v>
      </c>
      <c r="C369" s="29" t="s">
        <v>269</v>
      </c>
      <c r="D369" s="30" t="str">
        <f>Source!H194</f>
        <v>КОМПЛЕКТ</v>
      </c>
      <c r="E369" s="31">
        <f>Source!I194</f>
        <v>42</v>
      </c>
      <c r="F369" s="32">
        <f>Source!AL194</f>
        <v>3196.95</v>
      </c>
      <c r="G369" s="33" t="str">
        <f>Source!DD194</f>
        <v/>
      </c>
      <c r="H369" s="31">
        <f>Source!AW194</f>
        <v>1</v>
      </c>
      <c r="I369" s="32">
        <f>ROUND((ROUND((Source!AC194*Source!AW194*Source!I194),2)),2)</f>
        <v>134271.9</v>
      </c>
      <c r="J369" s="31">
        <f>IF(Source!BC194&lt;&gt; 0, Source!BC194, 1)</f>
        <v>6.27</v>
      </c>
      <c r="K369" s="32">
        <f>Source!P194</f>
        <v>841884.81</v>
      </c>
      <c r="Q369" s="12">
        <f>ROUND((Source!DN194/100)*ROUND((ROUND((Source!AF194*Source!AV194*Source!I194),2)),2), 2)</f>
        <v>0</v>
      </c>
      <c r="R369" s="12">
        <f>Source!X194</f>
        <v>0</v>
      </c>
      <c r="S369" s="12">
        <f>ROUND((Source!DO194/100)*ROUND((ROUND((Source!AF194*Source!AV194*Source!I194),2)),2), 2)</f>
        <v>0</v>
      </c>
      <c r="T369" s="12">
        <f>Source!Y194</f>
        <v>0</v>
      </c>
      <c r="U369" s="12">
        <f>ROUND((175/100)*ROUND((ROUND((Source!AE194*Source!AV194*Source!I194),2)),2), 2)</f>
        <v>0</v>
      </c>
      <c r="V369" s="12">
        <f>ROUND((160/100)*ROUND(ROUND((ROUND((Source!AE194*Source!AV194*Source!I194),2)*Source!BS194),2), 2), 2)</f>
        <v>0</v>
      </c>
      <c r="AI369" s="12">
        <v>3</v>
      </c>
    </row>
    <row r="370" spans="1:35" ht="14.25">
      <c r="C370" s="16" t="s">
        <v>561</v>
      </c>
      <c r="H370" s="49">
        <f>I369+0</f>
        <v>134271.9</v>
      </c>
      <c r="I370" s="49"/>
      <c r="J370" s="49">
        <f>K369+0</f>
        <v>841884.81</v>
      </c>
      <c r="K370" s="49"/>
      <c r="O370" s="34">
        <f>I369+0</f>
        <v>134271.9</v>
      </c>
      <c r="P370" s="34">
        <f>K369+0</f>
        <v>841884.81</v>
      </c>
      <c r="X370" s="12">
        <f>IF(Source!BI194&lt;=1,I369-0, 0)</f>
        <v>0</v>
      </c>
      <c r="Y370" s="12">
        <f>IF(Source!BI194=2,I369-0, 0)</f>
        <v>134271.9</v>
      </c>
      <c r="Z370" s="12">
        <f>IF(Source!BI194=3,I369-0, 0)</f>
        <v>0</v>
      </c>
      <c r="AA370" s="12">
        <f>IF(Source!BI194=4,I369,0)</f>
        <v>0</v>
      </c>
    </row>
    <row r="372" spans="1:35" ht="60">
      <c r="A372" s="22">
        <v>32</v>
      </c>
      <c r="B372" s="22" t="str">
        <f>Source!F196</f>
        <v>4.8-75-5</v>
      </c>
      <c r="C372" s="22" t="s">
        <v>273</v>
      </c>
      <c r="D372" s="23" t="str">
        <f>Source!H196</f>
        <v>100 М КАБЕЛЯ</v>
      </c>
      <c r="E372" s="24">
        <f>Source!I196</f>
        <v>3</v>
      </c>
      <c r="F372" s="25"/>
      <c r="G372" s="26"/>
      <c r="H372" s="24"/>
      <c r="I372" s="25"/>
      <c r="J372" s="24"/>
      <c r="K372" s="25"/>
      <c r="Q372" s="12">
        <f>ROUND((Source!DN196/100)*ROUND((ROUND((Source!AF196*Source!AV196*Source!I196),2)),2), 2)</f>
        <v>136.56</v>
      </c>
      <c r="R372" s="12">
        <f>Source!X196</f>
        <v>5235.2299999999996</v>
      </c>
      <c r="S372" s="12">
        <f>ROUND((Source!DO196/100)*ROUND((ROUND((Source!AF196*Source!AV196*Source!I196),2)),2), 2)</f>
        <v>85.35</v>
      </c>
      <c r="T372" s="12">
        <f>Source!Y196</f>
        <v>2446.9</v>
      </c>
      <c r="U372" s="12">
        <f>ROUND((175/100)*ROUND((ROUND((Source!AE196*Source!AV196*Source!I196),2)),2), 2)</f>
        <v>24.03</v>
      </c>
      <c r="V372" s="12">
        <f>ROUND((160/100)*ROUND(ROUND((ROUND((Source!AE196*Source!AV196*Source!I196),2)*Source!BS196),2), 2), 2)</f>
        <v>1025.25</v>
      </c>
      <c r="AI372" s="12">
        <v>0</v>
      </c>
    </row>
    <row r="373" spans="1:35">
      <c r="C373" s="27" t="str">
        <f>"Объем: "&amp;Source!I196&amp;"=(300)/"&amp;"100"</f>
        <v>Объем: 3=(300)/100</v>
      </c>
    </row>
    <row r="374" spans="1:35" ht="15">
      <c r="A374" s="22"/>
      <c r="B374" s="22"/>
      <c r="C374" s="22" t="s">
        <v>550</v>
      </c>
      <c r="D374" s="23"/>
      <c r="E374" s="24"/>
      <c r="F374" s="25">
        <f>Source!AO196</f>
        <v>38.090000000000003</v>
      </c>
      <c r="G374" s="26" t="str">
        <f>Source!DG196</f>
        <v/>
      </c>
      <c r="H374" s="24">
        <f>Source!AV196</f>
        <v>1.0669999999999999</v>
      </c>
      <c r="I374" s="25">
        <f>ROUND((ROUND((Source!AF196*Source!AV196*Source!I196),2)),2)</f>
        <v>121.93</v>
      </c>
      <c r="J374" s="24">
        <f>IF(Source!BA196&lt;&gt; 0, Source!BA196, 1)</f>
        <v>46.67</v>
      </c>
      <c r="K374" s="25">
        <f>Source!S196</f>
        <v>5690.47</v>
      </c>
      <c r="W374" s="12">
        <f>I374</f>
        <v>121.93</v>
      </c>
    </row>
    <row r="375" spans="1:35" ht="15">
      <c r="A375" s="22"/>
      <c r="B375" s="22"/>
      <c r="C375" s="22" t="s">
        <v>551</v>
      </c>
      <c r="D375" s="23"/>
      <c r="E375" s="24"/>
      <c r="F375" s="25">
        <f>Source!AM196</f>
        <v>28.25</v>
      </c>
      <c r="G375" s="26" t="str">
        <f>Source!DE196</f>
        <v/>
      </c>
      <c r="H375" s="24">
        <f>Source!AV196</f>
        <v>1.0669999999999999</v>
      </c>
      <c r="I375" s="25">
        <f>(ROUND((ROUND(((Source!ET196)*Source!AV196*Source!I196),2)),2)+ROUND((ROUND(((Source!AE196-(Source!EU196))*Source!AV196*Source!I196),2)),2))</f>
        <v>90.43</v>
      </c>
      <c r="J375" s="24">
        <f>IF(Source!BB196&lt;&gt; 0, Source!BB196, 1)</f>
        <v>15.04</v>
      </c>
      <c r="K375" s="25">
        <f>Source!Q196</f>
        <v>1360.07</v>
      </c>
    </row>
    <row r="376" spans="1:35" ht="15">
      <c r="A376" s="22"/>
      <c r="B376" s="22"/>
      <c r="C376" s="22" t="s">
        <v>552</v>
      </c>
      <c r="D376" s="23"/>
      <c r="E376" s="24"/>
      <c r="F376" s="25">
        <f>Source!AN196</f>
        <v>4.29</v>
      </c>
      <c r="G376" s="26" t="str">
        <f>Source!DF196</f>
        <v/>
      </c>
      <c r="H376" s="24">
        <f>Source!AV196</f>
        <v>1.0669999999999999</v>
      </c>
      <c r="I376" s="28">
        <f>ROUND((ROUND((Source!AE196*Source!AV196*Source!I196),2)),2)</f>
        <v>13.73</v>
      </c>
      <c r="J376" s="24">
        <f>IF(Source!BS196&lt;&gt; 0, Source!BS196, 1)</f>
        <v>46.67</v>
      </c>
      <c r="K376" s="28">
        <f>Source!R196</f>
        <v>640.78</v>
      </c>
      <c r="W376" s="12">
        <f>I376</f>
        <v>13.73</v>
      </c>
    </row>
    <row r="377" spans="1:35" ht="15">
      <c r="A377" s="22"/>
      <c r="B377" s="22"/>
      <c r="C377" s="22" t="s">
        <v>564</v>
      </c>
      <c r="D377" s="23"/>
      <c r="E377" s="24"/>
      <c r="F377" s="25">
        <f>Source!AL196</f>
        <v>1223.04</v>
      </c>
      <c r="G377" s="26" t="str">
        <f>Source!DD196</f>
        <v/>
      </c>
      <c r="H377" s="24">
        <f>Source!AW196</f>
        <v>1.081</v>
      </c>
      <c r="I377" s="25">
        <f>ROUND((ROUND((Source!AC196*Source!AW196*Source!I196),2)),2)</f>
        <v>3966.32</v>
      </c>
      <c r="J377" s="24">
        <f>IF(Source!BC196&lt;&gt; 0, Source!BC196, 1)</f>
        <v>9.4499999999999993</v>
      </c>
      <c r="K377" s="25">
        <f>Source!P196</f>
        <v>37481.72</v>
      </c>
    </row>
    <row r="378" spans="1:35" ht="15">
      <c r="A378" s="22"/>
      <c r="B378" s="22"/>
      <c r="C378" s="22" t="s">
        <v>553</v>
      </c>
      <c r="D378" s="23" t="s">
        <v>554</v>
      </c>
      <c r="E378" s="24">
        <f>Source!DN196</f>
        <v>112</v>
      </c>
      <c r="F378" s="25"/>
      <c r="G378" s="26"/>
      <c r="H378" s="24"/>
      <c r="I378" s="25">
        <f>SUM(Q372:Q377)</f>
        <v>136.56</v>
      </c>
      <c r="J378" s="24">
        <f>Source!BZ196</f>
        <v>92</v>
      </c>
      <c r="K378" s="25">
        <f>SUM(R372:R377)</f>
        <v>5235.2299999999996</v>
      </c>
    </row>
    <row r="379" spans="1:35" ht="15">
      <c r="A379" s="22"/>
      <c r="B379" s="22"/>
      <c r="C379" s="22" t="s">
        <v>555</v>
      </c>
      <c r="D379" s="23" t="s">
        <v>554</v>
      </c>
      <c r="E379" s="24">
        <f>Source!DO196</f>
        <v>70</v>
      </c>
      <c r="F379" s="25"/>
      <c r="G379" s="26"/>
      <c r="H379" s="24"/>
      <c r="I379" s="25">
        <f>SUM(S372:S378)</f>
        <v>85.35</v>
      </c>
      <c r="J379" s="24">
        <f>Source!CA196</f>
        <v>43</v>
      </c>
      <c r="K379" s="25">
        <f>SUM(T372:T378)</f>
        <v>2446.9</v>
      </c>
    </row>
    <row r="380" spans="1:35" ht="15">
      <c r="A380" s="22"/>
      <c r="B380" s="22"/>
      <c r="C380" s="22" t="s">
        <v>556</v>
      </c>
      <c r="D380" s="23" t="s">
        <v>554</v>
      </c>
      <c r="E380" s="24">
        <f>175</f>
        <v>175</v>
      </c>
      <c r="F380" s="25"/>
      <c r="G380" s="26"/>
      <c r="H380" s="24"/>
      <c r="I380" s="25">
        <f>SUM(U372:U379)</f>
        <v>24.03</v>
      </c>
      <c r="J380" s="24">
        <f>160</f>
        <v>160</v>
      </c>
      <c r="K380" s="25">
        <f>SUM(V372:V379)</f>
        <v>1025.25</v>
      </c>
    </row>
    <row r="381" spans="1:35" ht="15">
      <c r="A381" s="29"/>
      <c r="B381" s="29"/>
      <c r="C381" s="29" t="s">
        <v>557</v>
      </c>
      <c r="D381" s="30" t="s">
        <v>558</v>
      </c>
      <c r="E381" s="31">
        <f>Source!AQ196</f>
        <v>3.61</v>
      </c>
      <c r="F381" s="32"/>
      <c r="G381" s="33" t="str">
        <f>Source!DI196</f>
        <v/>
      </c>
      <c r="H381" s="31">
        <f>Source!AV196</f>
        <v>1.0669999999999999</v>
      </c>
      <c r="I381" s="32">
        <f>Source!U196</f>
        <v>11.555609999999998</v>
      </c>
      <c r="J381" s="31"/>
      <c r="K381" s="32"/>
      <c r="AB381" s="34">
        <f>I381</f>
        <v>11.555609999999998</v>
      </c>
    </row>
    <row r="382" spans="1:35" ht="14.25">
      <c r="C382" s="16" t="s">
        <v>559</v>
      </c>
      <c r="H382" s="49">
        <f>I374+I375+I377+I378+I379+I380+0-0-0</f>
        <v>4424.6200000000008</v>
      </c>
      <c r="I382" s="49"/>
      <c r="J382" s="49">
        <f>K374+K375+K377+K378+K379+K380+0-0-0</f>
        <v>53239.640000000007</v>
      </c>
      <c r="K382" s="49"/>
    </row>
    <row r="383" spans="1:35" ht="14.25">
      <c r="C383" s="16" t="s">
        <v>560</v>
      </c>
      <c r="H383" s="50">
        <f>0+0</f>
        <v>0</v>
      </c>
      <c r="I383" s="50"/>
      <c r="J383" s="50">
        <f>0+0</f>
        <v>0</v>
      </c>
      <c r="K383" s="50"/>
    </row>
    <row r="384" spans="1:35" ht="14.25">
      <c r="H384" s="50"/>
      <c r="I384" s="50"/>
      <c r="J384" s="50"/>
      <c r="K384" s="50"/>
      <c r="O384" s="34">
        <f>I374+I375+I377+I378+I379+I380+0</f>
        <v>4424.6200000000008</v>
      </c>
      <c r="P384" s="34">
        <f>K374+K375+K377+K378+K379+K380+0</f>
        <v>53239.640000000007</v>
      </c>
      <c r="X384" s="12">
        <f>IF(Source!BI196&lt;=1,I374+I375+I377+I378+I379+I380-0, 0)</f>
        <v>0</v>
      </c>
      <c r="Y384" s="12">
        <f>IF(Source!BI196=2,I374+I375+I377+I378+I379+I380-0, 0)</f>
        <v>4424.6200000000008</v>
      </c>
      <c r="Z384" s="12">
        <f>IF(Source!BI196=3,I374+I375+I377+I378+I379+I380-0, 0)</f>
        <v>0</v>
      </c>
      <c r="AA384" s="12">
        <f>IF(Source!BI196=4,I374+I375+I377+I378+I379+I380,0)</f>
        <v>0</v>
      </c>
    </row>
    <row r="386" spans="1:35" ht="90">
      <c r="A386" s="22">
        <v>33</v>
      </c>
      <c r="B386" s="22" t="str">
        <f>Source!F198</f>
        <v>4.8-75-9</v>
      </c>
      <c r="C386" s="22" t="s">
        <v>279</v>
      </c>
      <c r="D386" s="23" t="str">
        <f>Source!H198</f>
        <v>100 М КАБЕЛЯ</v>
      </c>
      <c r="E386" s="24">
        <f>Source!I198</f>
        <v>3</v>
      </c>
      <c r="F386" s="25"/>
      <c r="G386" s="26"/>
      <c r="H386" s="24"/>
      <c r="I386" s="25"/>
      <c r="J386" s="24"/>
      <c r="K386" s="25"/>
      <c r="Q386" s="12">
        <f>ROUND((Source!DN198/100)*ROUND((ROUND((Source!AF198*Source!AV198*Source!I198),2)),2), 2)</f>
        <v>111.25</v>
      </c>
      <c r="R386" s="12">
        <f>Source!X198</f>
        <v>4264.87</v>
      </c>
      <c r="S386" s="12">
        <f>ROUND((Source!DO198/100)*ROUND((ROUND((Source!AF198*Source!AV198*Source!I198),2)),2), 2)</f>
        <v>69.53</v>
      </c>
      <c r="T386" s="12">
        <f>Source!Y198</f>
        <v>1993.36</v>
      </c>
      <c r="U386" s="12">
        <f>ROUND((175/100)*ROUND((ROUND((Source!AE198*Source!AV198*Source!I198),2)),2), 2)</f>
        <v>24.03</v>
      </c>
      <c r="V386" s="12">
        <f>ROUND((160/100)*ROUND(ROUND((ROUND((Source!AE198*Source!AV198*Source!I198),2)*Source!BS198),2), 2), 2)</f>
        <v>1025.25</v>
      </c>
      <c r="AI386" s="12">
        <v>0</v>
      </c>
    </row>
    <row r="387" spans="1:35" ht="15">
      <c r="A387" s="22"/>
      <c r="B387" s="22"/>
      <c r="C387" s="22" t="s">
        <v>550</v>
      </c>
      <c r="D387" s="23"/>
      <c r="E387" s="24"/>
      <c r="F387" s="25">
        <f>Source!AO198</f>
        <v>31.03</v>
      </c>
      <c r="G387" s="26" t="str">
        <f>Source!DG198</f>
        <v/>
      </c>
      <c r="H387" s="24">
        <f>Source!AV198</f>
        <v>1.0669999999999999</v>
      </c>
      <c r="I387" s="25">
        <f>ROUND((ROUND((Source!AF198*Source!AV198*Source!I198),2)),2)</f>
        <v>99.33</v>
      </c>
      <c r="J387" s="24">
        <f>IF(Source!BA198&lt;&gt; 0, Source!BA198, 1)</f>
        <v>46.67</v>
      </c>
      <c r="K387" s="25">
        <f>Source!S198</f>
        <v>4635.7299999999996</v>
      </c>
      <c r="W387" s="12">
        <f>I387</f>
        <v>99.33</v>
      </c>
    </row>
    <row r="388" spans="1:35" ht="15">
      <c r="A388" s="22"/>
      <c r="B388" s="22"/>
      <c r="C388" s="22" t="s">
        <v>551</v>
      </c>
      <c r="D388" s="23"/>
      <c r="E388" s="24"/>
      <c r="F388" s="25">
        <f>Source!AM198</f>
        <v>28.25</v>
      </c>
      <c r="G388" s="26" t="str">
        <f>Source!DE198</f>
        <v/>
      </c>
      <c r="H388" s="24">
        <f>Source!AV198</f>
        <v>1.0669999999999999</v>
      </c>
      <c r="I388" s="25">
        <f>(ROUND((ROUND(((Source!ET198)*Source!AV198*Source!I198),2)),2)+ROUND((ROUND(((Source!AE198-(Source!EU198))*Source!AV198*Source!I198),2)),2))</f>
        <v>90.43</v>
      </c>
      <c r="J388" s="24">
        <f>IF(Source!BB198&lt;&gt; 0, Source!BB198, 1)</f>
        <v>15.04</v>
      </c>
      <c r="K388" s="25">
        <f>Source!Q198</f>
        <v>1360.07</v>
      </c>
    </row>
    <row r="389" spans="1:35" ht="15">
      <c r="A389" s="22"/>
      <c r="B389" s="22"/>
      <c r="C389" s="22" t="s">
        <v>552</v>
      </c>
      <c r="D389" s="23"/>
      <c r="E389" s="24"/>
      <c r="F389" s="25">
        <f>Source!AN198</f>
        <v>4.29</v>
      </c>
      <c r="G389" s="26" t="str">
        <f>Source!DF198</f>
        <v/>
      </c>
      <c r="H389" s="24">
        <f>Source!AV198</f>
        <v>1.0669999999999999</v>
      </c>
      <c r="I389" s="28">
        <f>ROUND((ROUND((Source!AE198*Source!AV198*Source!I198),2)),2)</f>
        <v>13.73</v>
      </c>
      <c r="J389" s="24">
        <f>IF(Source!BS198&lt;&gt; 0, Source!BS198, 1)</f>
        <v>46.67</v>
      </c>
      <c r="K389" s="28">
        <f>Source!R198</f>
        <v>640.78</v>
      </c>
      <c r="W389" s="12">
        <f>I389</f>
        <v>13.73</v>
      </c>
    </row>
    <row r="390" spans="1:35" ht="15">
      <c r="A390" s="22"/>
      <c r="B390" s="22"/>
      <c r="C390" s="22" t="s">
        <v>564</v>
      </c>
      <c r="D390" s="23"/>
      <c r="E390" s="24"/>
      <c r="F390" s="25">
        <f>Source!AL198</f>
        <v>1223.04</v>
      </c>
      <c r="G390" s="26" t="str">
        <f>Source!DD198</f>
        <v/>
      </c>
      <c r="H390" s="24">
        <f>Source!AW198</f>
        <v>1.081</v>
      </c>
      <c r="I390" s="25">
        <f>ROUND((ROUND((Source!AC198*Source!AW198*Source!I198),2)),2)</f>
        <v>3966.32</v>
      </c>
      <c r="J390" s="24">
        <f>IF(Source!BC198&lt;&gt; 0, Source!BC198, 1)</f>
        <v>9.4499999999999993</v>
      </c>
      <c r="K390" s="25">
        <f>Source!P198</f>
        <v>37481.72</v>
      </c>
    </row>
    <row r="391" spans="1:35" ht="15">
      <c r="A391" s="22"/>
      <c r="B391" s="22"/>
      <c r="C391" s="22" t="s">
        <v>553</v>
      </c>
      <c r="D391" s="23" t="s">
        <v>554</v>
      </c>
      <c r="E391" s="24">
        <f>Source!DN198</f>
        <v>112</v>
      </c>
      <c r="F391" s="25"/>
      <c r="G391" s="26"/>
      <c r="H391" s="24"/>
      <c r="I391" s="25">
        <f>SUM(Q386:Q390)</f>
        <v>111.25</v>
      </c>
      <c r="J391" s="24">
        <f>Source!BZ198</f>
        <v>92</v>
      </c>
      <c r="K391" s="25">
        <f>SUM(R386:R390)</f>
        <v>4264.87</v>
      </c>
    </row>
    <row r="392" spans="1:35" ht="15">
      <c r="A392" s="22"/>
      <c r="B392" s="22"/>
      <c r="C392" s="22" t="s">
        <v>555</v>
      </c>
      <c r="D392" s="23" t="s">
        <v>554</v>
      </c>
      <c r="E392" s="24">
        <f>Source!DO198</f>
        <v>70</v>
      </c>
      <c r="F392" s="25"/>
      <c r="G392" s="26"/>
      <c r="H392" s="24"/>
      <c r="I392" s="25">
        <f>SUM(S386:S391)</f>
        <v>69.53</v>
      </c>
      <c r="J392" s="24">
        <f>Source!CA198</f>
        <v>43</v>
      </c>
      <c r="K392" s="25">
        <f>SUM(T386:T391)</f>
        <v>1993.36</v>
      </c>
    </row>
    <row r="393" spans="1:35" ht="15">
      <c r="A393" s="22"/>
      <c r="B393" s="22"/>
      <c r="C393" s="22" t="s">
        <v>556</v>
      </c>
      <c r="D393" s="23" t="s">
        <v>554</v>
      </c>
      <c r="E393" s="24">
        <f>175</f>
        <v>175</v>
      </c>
      <c r="F393" s="25"/>
      <c r="G393" s="26"/>
      <c r="H393" s="24"/>
      <c r="I393" s="25">
        <f>SUM(U386:U392)</f>
        <v>24.03</v>
      </c>
      <c r="J393" s="24">
        <f>160</f>
        <v>160</v>
      </c>
      <c r="K393" s="25">
        <f>SUM(V386:V392)</f>
        <v>1025.25</v>
      </c>
    </row>
    <row r="394" spans="1:35" ht="15">
      <c r="A394" s="29"/>
      <c r="B394" s="29"/>
      <c r="C394" s="29" t="s">
        <v>557</v>
      </c>
      <c r="D394" s="30" t="s">
        <v>558</v>
      </c>
      <c r="E394" s="31">
        <f>Source!AQ198</f>
        <v>2.95</v>
      </c>
      <c r="F394" s="32"/>
      <c r="G394" s="33" t="str">
        <f>Source!DI198</f>
        <v/>
      </c>
      <c r="H394" s="31">
        <f>Source!AV198</f>
        <v>1.0669999999999999</v>
      </c>
      <c r="I394" s="32">
        <f>Source!U198</f>
        <v>9.4429499999999997</v>
      </c>
      <c r="J394" s="31"/>
      <c r="K394" s="32"/>
      <c r="AB394" s="34">
        <f>I394</f>
        <v>9.4429499999999997</v>
      </c>
    </row>
    <row r="395" spans="1:35" ht="14.25">
      <c r="C395" s="16" t="s">
        <v>559</v>
      </c>
      <c r="H395" s="49">
        <f>I387+I388+I390+I391+I392+I393+0-0-0</f>
        <v>4360.8899999999994</v>
      </c>
      <c r="I395" s="49"/>
      <c r="J395" s="49">
        <f>K387+K388+K390+K391+K392+K393+0-0-0</f>
        <v>50761.000000000007</v>
      </c>
      <c r="K395" s="49"/>
    </row>
    <row r="396" spans="1:35" ht="14.25">
      <c r="C396" s="16" t="s">
        <v>560</v>
      </c>
      <c r="H396" s="50">
        <f>0+0</f>
        <v>0</v>
      </c>
      <c r="I396" s="50"/>
      <c r="J396" s="50">
        <f>0+0</f>
        <v>0</v>
      </c>
      <c r="K396" s="50"/>
    </row>
    <row r="397" spans="1:35" ht="14.25">
      <c r="H397" s="50"/>
      <c r="I397" s="50"/>
      <c r="J397" s="50"/>
      <c r="K397" s="50"/>
      <c r="O397" s="34">
        <f>I387+I388+I390+I391+I392+I393+0</f>
        <v>4360.8899999999994</v>
      </c>
      <c r="P397" s="34">
        <f>K387+K388+K390+K391+K392+K393+0</f>
        <v>50761.000000000007</v>
      </c>
      <c r="X397" s="12">
        <f>IF(Source!BI198&lt;=1,I387+I388+I390+I391+I392+I393-0, 0)</f>
        <v>0</v>
      </c>
      <c r="Y397" s="12">
        <f>IF(Source!BI198=2,I387+I388+I390+I391+I392+I393-0, 0)</f>
        <v>4360.8899999999994</v>
      </c>
      <c r="Z397" s="12">
        <f>IF(Source!BI198=3,I387+I388+I390+I391+I392+I393-0, 0)</f>
        <v>0</v>
      </c>
      <c r="AA397" s="12">
        <f>IF(Source!BI198=4,I387+I388+I390+I391+I392+I393,0)</f>
        <v>0</v>
      </c>
    </row>
    <row r="400" spans="1:35" ht="14.25">
      <c r="B400" s="55" t="str">
        <f>Source!G203</f>
        <v>в здании  РТП 27044  и ТП 27616</v>
      </c>
      <c r="C400" s="55"/>
      <c r="D400" s="55"/>
      <c r="E400" s="55"/>
      <c r="F400" s="55"/>
      <c r="G400" s="55"/>
      <c r="H400" s="55"/>
      <c r="I400" s="55"/>
      <c r="J400" s="55"/>
    </row>
    <row r="401" spans="1:35" ht="60">
      <c r="A401" s="22">
        <v>34</v>
      </c>
      <c r="B401" s="22" t="str">
        <f>Source!F205</f>
        <v>4.8-309-1</v>
      </c>
      <c r="C401" s="22" t="s">
        <v>290</v>
      </c>
      <c r="D401" s="23" t="str">
        <f>Source!H205</f>
        <v>100 м</v>
      </c>
      <c r="E401" s="24">
        <f>Source!I205</f>
        <v>0.4</v>
      </c>
      <c r="F401" s="25"/>
      <c r="G401" s="26"/>
      <c r="H401" s="24"/>
      <c r="I401" s="25"/>
      <c r="J401" s="24"/>
      <c r="K401" s="25"/>
      <c r="Q401" s="12">
        <f>ROUND((Source!DN205/100)*ROUND((ROUND((Source!AF205*Source!AV205*Source!I205),2)),2), 2)</f>
        <v>308.12</v>
      </c>
      <c r="R401" s="12">
        <f>Source!X205</f>
        <v>11812.23</v>
      </c>
      <c r="S401" s="12">
        <f>ROUND((Source!DO205/100)*ROUND((ROUND((Source!AF205*Source!AV205*Source!I205),2)),2), 2)</f>
        <v>192.58</v>
      </c>
      <c r="T401" s="12">
        <f>Source!Y205</f>
        <v>5520.93</v>
      </c>
      <c r="U401" s="12">
        <f>ROUND((175/100)*ROUND((ROUND((Source!AE205*Source!AV205*Source!I205),2)),2), 2)</f>
        <v>16.47</v>
      </c>
      <c r="V401" s="12">
        <f>ROUND((160/100)*ROUND(ROUND((ROUND((Source!AE205*Source!AV205*Source!I205),2)*Source!BS205),2), 2), 2)</f>
        <v>702.66</v>
      </c>
      <c r="AI401" s="12">
        <v>0</v>
      </c>
    </row>
    <row r="402" spans="1:35">
      <c r="C402" s="27" t="str">
        <f>"Объем: "&amp;Source!I205&amp;"=(10*"&amp;"2)*"&amp;"2/"&amp;"100"</f>
        <v>Объем: 0,4=(10*2)*2/100</v>
      </c>
    </row>
    <row r="403" spans="1:35" ht="15">
      <c r="A403" s="22"/>
      <c r="B403" s="22"/>
      <c r="C403" s="22" t="s">
        <v>550</v>
      </c>
      <c r="D403" s="23"/>
      <c r="E403" s="24"/>
      <c r="F403" s="25">
        <f>Source!AO205</f>
        <v>656.9</v>
      </c>
      <c r="G403" s="26" t="str">
        <f>Source!DG205</f>
        <v/>
      </c>
      <c r="H403" s="24">
        <f>Source!AV205</f>
        <v>1.0469999999999999</v>
      </c>
      <c r="I403" s="25">
        <f>ROUND((ROUND((Source!AF205*Source!AV205*Source!I205),2)),2)</f>
        <v>275.11</v>
      </c>
      <c r="J403" s="24">
        <f>IF(Source!BA205&lt;&gt; 0, Source!BA205, 1)</f>
        <v>46.67</v>
      </c>
      <c r="K403" s="25">
        <f>Source!S205</f>
        <v>12839.38</v>
      </c>
      <c r="W403" s="12">
        <f>I403</f>
        <v>275.11</v>
      </c>
    </row>
    <row r="404" spans="1:35" ht="15">
      <c r="A404" s="22"/>
      <c r="B404" s="22"/>
      <c r="C404" s="22" t="s">
        <v>551</v>
      </c>
      <c r="D404" s="23"/>
      <c r="E404" s="24"/>
      <c r="F404" s="25">
        <f>Source!AM205</f>
        <v>225.52</v>
      </c>
      <c r="G404" s="26" t="str">
        <f>Source!DE205</f>
        <v/>
      </c>
      <c r="H404" s="24">
        <f>Source!AV205</f>
        <v>1.0469999999999999</v>
      </c>
      <c r="I404" s="25">
        <f>(ROUND((ROUND(((Source!ET205)*Source!AV205*Source!I205),2)),2)+ROUND((ROUND(((Source!AE205-(Source!EU205))*Source!AV205*Source!I205),2)),2))</f>
        <v>94.45</v>
      </c>
      <c r="J404" s="24">
        <f>IF(Source!BB205&lt;&gt; 0, Source!BB205, 1)</f>
        <v>13.18</v>
      </c>
      <c r="K404" s="25">
        <f>Source!Q205</f>
        <v>1244.8499999999999</v>
      </c>
    </row>
    <row r="405" spans="1:35" ht="15">
      <c r="A405" s="22"/>
      <c r="B405" s="22"/>
      <c r="C405" s="22" t="s">
        <v>552</v>
      </c>
      <c r="D405" s="23"/>
      <c r="E405" s="24"/>
      <c r="F405" s="25">
        <f>Source!AN205</f>
        <v>22.47</v>
      </c>
      <c r="G405" s="26" t="str">
        <f>Source!DF205</f>
        <v/>
      </c>
      <c r="H405" s="24">
        <f>Source!AV205</f>
        <v>1.0469999999999999</v>
      </c>
      <c r="I405" s="28">
        <f>ROUND((ROUND((Source!AE205*Source!AV205*Source!I205),2)),2)</f>
        <v>9.41</v>
      </c>
      <c r="J405" s="24">
        <f>IF(Source!BS205&lt;&gt; 0, Source!BS205, 1)</f>
        <v>46.67</v>
      </c>
      <c r="K405" s="28">
        <f>Source!R205</f>
        <v>439.16</v>
      </c>
      <c r="W405" s="12">
        <f>I405</f>
        <v>9.41</v>
      </c>
    </row>
    <row r="406" spans="1:35" ht="15">
      <c r="A406" s="22"/>
      <c r="B406" s="22"/>
      <c r="C406" s="22" t="s">
        <v>564</v>
      </c>
      <c r="D406" s="23"/>
      <c r="E406" s="24"/>
      <c r="F406" s="25">
        <f>Source!AL205</f>
        <v>188.5</v>
      </c>
      <c r="G406" s="26" t="str">
        <f>Source!DD205</f>
        <v/>
      </c>
      <c r="H406" s="24">
        <f>Source!AW205</f>
        <v>1</v>
      </c>
      <c r="I406" s="25">
        <f>ROUND((ROUND((Source!AC205*Source!AW205*Source!I205),2)),2)</f>
        <v>75.400000000000006</v>
      </c>
      <c r="J406" s="24">
        <f>IF(Source!BC205&lt;&gt; 0, Source!BC205, 1)</f>
        <v>6.09</v>
      </c>
      <c r="K406" s="25">
        <f>Source!P205</f>
        <v>459.19</v>
      </c>
    </row>
    <row r="407" spans="1:35" ht="15">
      <c r="A407" s="22"/>
      <c r="B407" s="22"/>
      <c r="C407" s="22" t="s">
        <v>553</v>
      </c>
      <c r="D407" s="23" t="s">
        <v>554</v>
      </c>
      <c r="E407" s="24">
        <f>Source!DN205</f>
        <v>112</v>
      </c>
      <c r="F407" s="25"/>
      <c r="G407" s="26"/>
      <c r="H407" s="24"/>
      <c r="I407" s="25">
        <f>SUM(Q401:Q406)</f>
        <v>308.12</v>
      </c>
      <c r="J407" s="24">
        <f>Source!BZ205</f>
        <v>92</v>
      </c>
      <c r="K407" s="25">
        <f>SUM(R401:R406)</f>
        <v>11812.23</v>
      </c>
    </row>
    <row r="408" spans="1:35" ht="15">
      <c r="A408" s="22"/>
      <c r="B408" s="22"/>
      <c r="C408" s="22" t="s">
        <v>555</v>
      </c>
      <c r="D408" s="23" t="s">
        <v>554</v>
      </c>
      <c r="E408" s="24">
        <f>Source!DO205</f>
        <v>70</v>
      </c>
      <c r="F408" s="25"/>
      <c r="G408" s="26"/>
      <c r="H408" s="24"/>
      <c r="I408" s="25">
        <f>SUM(S401:S407)</f>
        <v>192.58</v>
      </c>
      <c r="J408" s="24">
        <f>Source!CA205</f>
        <v>43</v>
      </c>
      <c r="K408" s="25">
        <f>SUM(T401:T407)</f>
        <v>5520.93</v>
      </c>
    </row>
    <row r="409" spans="1:35" ht="15">
      <c r="A409" s="22"/>
      <c r="B409" s="22"/>
      <c r="C409" s="22" t="s">
        <v>556</v>
      </c>
      <c r="D409" s="23" t="s">
        <v>554</v>
      </c>
      <c r="E409" s="24">
        <f>175</f>
        <v>175</v>
      </c>
      <c r="F409" s="25"/>
      <c r="G409" s="26"/>
      <c r="H409" s="24"/>
      <c r="I409" s="25">
        <f>SUM(U401:U408)</f>
        <v>16.47</v>
      </c>
      <c r="J409" s="24">
        <f>160</f>
        <v>160</v>
      </c>
      <c r="K409" s="25">
        <f>SUM(V401:V408)</f>
        <v>702.66</v>
      </c>
    </row>
    <row r="410" spans="1:35" ht="15">
      <c r="A410" s="29"/>
      <c r="B410" s="29"/>
      <c r="C410" s="29" t="s">
        <v>557</v>
      </c>
      <c r="D410" s="30" t="s">
        <v>558</v>
      </c>
      <c r="E410" s="31">
        <f>Source!AQ205</f>
        <v>54.12</v>
      </c>
      <c r="F410" s="32"/>
      <c r="G410" s="33" t="str">
        <f>Source!DI205</f>
        <v/>
      </c>
      <c r="H410" s="31">
        <f>Source!AV205</f>
        <v>1.0469999999999999</v>
      </c>
      <c r="I410" s="32">
        <f>Source!U205</f>
        <v>22.665455999999999</v>
      </c>
      <c r="J410" s="31"/>
      <c r="K410" s="32"/>
      <c r="AB410" s="34">
        <f>I410</f>
        <v>22.665455999999999</v>
      </c>
    </row>
    <row r="411" spans="1:35" ht="14.25">
      <c r="C411" s="16" t="s">
        <v>559</v>
      </c>
      <c r="H411" s="49">
        <f>I403+I404+I406+I407+I408+I409+0-0-0</f>
        <v>962.13000000000011</v>
      </c>
      <c r="I411" s="49"/>
      <c r="J411" s="49">
        <f>K403+K404+K406+K407+K408+K409+0-0-0</f>
        <v>32579.24</v>
      </c>
      <c r="K411" s="49"/>
    </row>
    <row r="412" spans="1:35" ht="14.25">
      <c r="C412" s="16" t="s">
        <v>560</v>
      </c>
      <c r="H412" s="50">
        <f>0+0</f>
        <v>0</v>
      </c>
      <c r="I412" s="50"/>
      <c r="J412" s="50">
        <f>0+0</f>
        <v>0</v>
      </c>
      <c r="K412" s="50"/>
    </row>
    <row r="413" spans="1:35" ht="14.25">
      <c r="H413" s="50"/>
      <c r="I413" s="50"/>
      <c r="J413" s="50"/>
      <c r="K413" s="50"/>
      <c r="O413" s="34">
        <f>I403+I404+I406+I407+I408+I409+0</f>
        <v>962.13000000000011</v>
      </c>
      <c r="P413" s="34">
        <f>K403+K404+K406+K407+K408+K409+0</f>
        <v>32579.24</v>
      </c>
      <c r="X413" s="12">
        <f>IF(Source!BI205&lt;=1,I403+I404+I406+I407+I408+I409-0, 0)</f>
        <v>0</v>
      </c>
      <c r="Y413" s="12">
        <f>IF(Source!BI205=2,I403+I404+I406+I407+I408+I409-0, 0)</f>
        <v>962.13000000000011</v>
      </c>
      <c r="Z413" s="12">
        <f>IF(Source!BI205=3,I403+I404+I406+I407+I408+I409-0, 0)</f>
        <v>0</v>
      </c>
      <c r="AA413" s="12">
        <f>IF(Source!BI205=4,I403+I404+I406+I407+I408+I409,0)</f>
        <v>0</v>
      </c>
    </row>
    <row r="415" spans="1:35" ht="105">
      <c r="A415" s="22">
        <v>35</v>
      </c>
      <c r="B415" s="22" t="str">
        <f>Source!F207</f>
        <v>1.23-7-397</v>
      </c>
      <c r="C415" s="22" t="s">
        <v>224</v>
      </c>
      <c r="D415" s="23" t="str">
        <f>Source!H207</f>
        <v>км</v>
      </c>
      <c r="E415" s="24">
        <f>Source!I207</f>
        <v>0.12239999999999999</v>
      </c>
      <c r="F415" s="25">
        <f>Source!AL207</f>
        <v>109225.28</v>
      </c>
      <c r="G415" s="26" t="str">
        <f>Source!DD207</f>
        <v/>
      </c>
      <c r="H415" s="24">
        <f>Source!AW207</f>
        <v>1</v>
      </c>
      <c r="I415" s="25">
        <f>ROUND((ROUND((Source!AC207*Source!AW207*Source!I207),2)),2)</f>
        <v>13369.17</v>
      </c>
      <c r="J415" s="24">
        <f>IF(Source!BC207&lt;&gt; 0, Source!BC207, 1)</f>
        <v>8.68</v>
      </c>
      <c r="K415" s="25">
        <f>Source!P207</f>
        <v>116044.4</v>
      </c>
      <c r="Q415" s="12">
        <f>ROUND((Source!DN207/100)*ROUND((ROUND((Source!AF207*Source!AV207*Source!I207),2)),2), 2)</f>
        <v>0</v>
      </c>
      <c r="R415" s="12">
        <f>Source!X207</f>
        <v>0</v>
      </c>
      <c r="S415" s="12">
        <f>ROUND((Source!DO207/100)*ROUND((ROUND((Source!AF207*Source!AV207*Source!I207),2)),2), 2)</f>
        <v>0</v>
      </c>
      <c r="T415" s="12">
        <f>Source!Y207</f>
        <v>0</v>
      </c>
      <c r="U415" s="12">
        <f>ROUND((175/100)*ROUND((ROUND((Source!AE207*Source!AV207*Source!I207),2)),2), 2)</f>
        <v>0</v>
      </c>
      <c r="V415" s="12">
        <f>ROUND((160/100)*ROUND(ROUND((ROUND((Source!AE207*Source!AV207*Source!I207),2)*Source!BS207),2), 2), 2)</f>
        <v>0</v>
      </c>
      <c r="AI415" s="12">
        <v>3</v>
      </c>
    </row>
    <row r="416" spans="1:35">
      <c r="A416" s="35"/>
      <c r="B416" s="35"/>
      <c r="C416" s="36" t="str">
        <f>"Объем: "&amp;Source!I207&amp;"="&amp;Source!I205&amp;"*"&amp;"3*"&amp;"1,02/"&amp;"10"</f>
        <v>Объем: 0,1224=0,4*3*1,02/10</v>
      </c>
      <c r="D416" s="35"/>
      <c r="E416" s="35"/>
      <c r="F416" s="35"/>
      <c r="G416" s="35"/>
      <c r="H416" s="35"/>
      <c r="I416" s="35"/>
      <c r="J416" s="35"/>
      <c r="K416" s="35"/>
    </row>
    <row r="417" spans="1:35" ht="14.25">
      <c r="C417" s="16" t="s">
        <v>561</v>
      </c>
      <c r="H417" s="49">
        <f>I415+0</f>
        <v>13369.17</v>
      </c>
      <c r="I417" s="49"/>
      <c r="J417" s="49">
        <f>K415+0</f>
        <v>116044.4</v>
      </c>
      <c r="K417" s="49"/>
      <c r="O417" s="34">
        <f>I415+0</f>
        <v>13369.17</v>
      </c>
      <c r="P417" s="34">
        <f>K415+0</f>
        <v>116044.4</v>
      </c>
      <c r="X417" s="12">
        <f>IF(Source!BI207&lt;=1,I415-0, 0)</f>
        <v>0</v>
      </c>
      <c r="Y417" s="12">
        <f>IF(Source!BI207=2,I415-0, 0)</f>
        <v>13369.17</v>
      </c>
      <c r="Z417" s="12">
        <f>IF(Source!BI207=3,I415-0, 0)</f>
        <v>0</v>
      </c>
      <c r="AA417" s="12">
        <f>IF(Source!BI207=4,I415,0)</f>
        <v>0</v>
      </c>
    </row>
    <row r="419" spans="1:35" ht="75">
      <c r="A419" s="22">
        <v>36</v>
      </c>
      <c r="B419" s="22" t="str">
        <f>Source!F209</f>
        <v>4.8-305-4</v>
      </c>
      <c r="C419" s="22" t="s">
        <v>294</v>
      </c>
      <c r="D419" s="23" t="str">
        <f>Source!H209</f>
        <v>1 комплект</v>
      </c>
      <c r="E419" s="24">
        <f>Source!I209</f>
        <v>4</v>
      </c>
      <c r="F419" s="25"/>
      <c r="G419" s="26"/>
      <c r="H419" s="24"/>
      <c r="I419" s="25"/>
      <c r="J419" s="24"/>
      <c r="K419" s="25"/>
      <c r="Q419" s="12">
        <f>ROUND((Source!DN209/100)*ROUND((ROUND((Source!AF209*Source!AV209*Source!I209),2)),2), 2)</f>
        <v>241.47</v>
      </c>
      <c r="R419" s="12">
        <f>Source!X209</f>
        <v>9257.09</v>
      </c>
      <c r="S419" s="12">
        <f>ROUND((Source!DO209/100)*ROUND((ROUND((Source!AF209*Source!AV209*Source!I209),2)),2), 2)</f>
        <v>150.91999999999999</v>
      </c>
      <c r="T419" s="12">
        <f>Source!Y209</f>
        <v>4326.68</v>
      </c>
      <c r="U419" s="12">
        <f>ROUND((175/100)*ROUND((ROUND((Source!AE209*Source!AV209*Source!I209),2)),2), 2)</f>
        <v>0</v>
      </c>
      <c r="V419" s="12">
        <f>ROUND((160/100)*ROUND(ROUND((ROUND((Source!AE209*Source!AV209*Source!I209),2)*Source!BS209),2), 2), 2)</f>
        <v>0</v>
      </c>
      <c r="AI419" s="12">
        <v>0</v>
      </c>
    </row>
    <row r="420" spans="1:35">
      <c r="C420" s="27" t="str">
        <f>"Объем: "&amp;Source!I209&amp;"=(1*"&amp;"2)*"&amp;"2/"&amp;"100"</f>
        <v>Объем: 4=(1*2)*2/100</v>
      </c>
    </row>
    <row r="421" spans="1:35" ht="15">
      <c r="A421" s="22"/>
      <c r="B421" s="22"/>
      <c r="C421" s="22" t="s">
        <v>550</v>
      </c>
      <c r="D421" s="23"/>
      <c r="E421" s="24"/>
      <c r="F421" s="25">
        <f>Source!AO209</f>
        <v>51.48</v>
      </c>
      <c r="G421" s="26" t="str">
        <f>Source!DG209</f>
        <v/>
      </c>
      <c r="H421" s="24">
        <f>Source!AV209</f>
        <v>1.0469999999999999</v>
      </c>
      <c r="I421" s="25">
        <f>ROUND((ROUND((Source!AF209*Source!AV209*Source!I209),2)),2)</f>
        <v>215.6</v>
      </c>
      <c r="J421" s="24">
        <f>IF(Source!BA209&lt;&gt; 0, Source!BA209, 1)</f>
        <v>46.67</v>
      </c>
      <c r="K421" s="25">
        <f>Source!S209</f>
        <v>10062.049999999999</v>
      </c>
      <c r="W421" s="12">
        <f>I421</f>
        <v>215.6</v>
      </c>
    </row>
    <row r="422" spans="1:35" ht="15">
      <c r="A422" s="22"/>
      <c r="B422" s="22"/>
      <c r="C422" s="22" t="s">
        <v>564</v>
      </c>
      <c r="D422" s="23"/>
      <c r="E422" s="24"/>
      <c r="F422" s="25">
        <f>Source!AL209</f>
        <v>2.4700000000000002</v>
      </c>
      <c r="G422" s="26" t="str">
        <f>Source!DD209</f>
        <v/>
      </c>
      <c r="H422" s="24">
        <f>Source!AW209</f>
        <v>1</v>
      </c>
      <c r="I422" s="25">
        <f>ROUND((ROUND((Source!AC209*Source!AW209*Source!I209),2)),2)</f>
        <v>9.8800000000000008</v>
      </c>
      <c r="J422" s="24">
        <f>IF(Source!BC209&lt;&gt; 0, Source!BC209, 1)</f>
        <v>9.6999999999999993</v>
      </c>
      <c r="K422" s="25">
        <f>Source!P209</f>
        <v>95.84</v>
      </c>
    </row>
    <row r="423" spans="1:35" ht="15">
      <c r="A423" s="22"/>
      <c r="B423" s="22"/>
      <c r="C423" s="22" t="s">
        <v>553</v>
      </c>
      <c r="D423" s="23" t="s">
        <v>554</v>
      </c>
      <c r="E423" s="24">
        <f>Source!DN209</f>
        <v>112</v>
      </c>
      <c r="F423" s="25"/>
      <c r="G423" s="26"/>
      <c r="H423" s="24"/>
      <c r="I423" s="25">
        <f>SUM(Q419:Q422)</f>
        <v>241.47</v>
      </c>
      <c r="J423" s="24">
        <f>Source!BZ209</f>
        <v>92</v>
      </c>
      <c r="K423" s="25">
        <f>SUM(R419:R422)</f>
        <v>9257.09</v>
      </c>
    </row>
    <row r="424" spans="1:35" ht="15">
      <c r="A424" s="22"/>
      <c r="B424" s="22"/>
      <c r="C424" s="22" t="s">
        <v>555</v>
      </c>
      <c r="D424" s="23" t="s">
        <v>554</v>
      </c>
      <c r="E424" s="24">
        <f>Source!DO209</f>
        <v>70</v>
      </c>
      <c r="F424" s="25"/>
      <c r="G424" s="26"/>
      <c r="H424" s="24"/>
      <c r="I424" s="25">
        <f>SUM(S419:S423)</f>
        <v>150.91999999999999</v>
      </c>
      <c r="J424" s="24">
        <f>Source!CA209</f>
        <v>43</v>
      </c>
      <c r="K424" s="25">
        <f>SUM(T419:T423)</f>
        <v>4326.68</v>
      </c>
    </row>
    <row r="425" spans="1:35" ht="15">
      <c r="A425" s="29"/>
      <c r="B425" s="29"/>
      <c r="C425" s="29" t="s">
        <v>557</v>
      </c>
      <c r="D425" s="30" t="s">
        <v>558</v>
      </c>
      <c r="E425" s="31">
        <f>Source!AQ209</f>
        <v>3.54</v>
      </c>
      <c r="F425" s="32"/>
      <c r="G425" s="33" t="str">
        <f>Source!DI209</f>
        <v/>
      </c>
      <c r="H425" s="31">
        <f>Source!AV209</f>
        <v>1.0469999999999999</v>
      </c>
      <c r="I425" s="32">
        <f>Source!U209</f>
        <v>14.825519999999999</v>
      </c>
      <c r="J425" s="31"/>
      <c r="K425" s="32"/>
      <c r="AB425" s="34">
        <f>I425</f>
        <v>14.825519999999999</v>
      </c>
    </row>
    <row r="426" spans="1:35" ht="14.25">
      <c r="C426" s="16" t="s">
        <v>559</v>
      </c>
      <c r="H426" s="49">
        <f>I421+I422+I423+I424+0-0-0</f>
        <v>617.87</v>
      </c>
      <c r="I426" s="49"/>
      <c r="J426" s="49">
        <f>K421+K422+K423+K424+0-0-0</f>
        <v>23741.66</v>
      </c>
      <c r="K426" s="49"/>
    </row>
    <row r="427" spans="1:35" ht="14.25">
      <c r="C427" s="16" t="s">
        <v>560</v>
      </c>
      <c r="H427" s="50">
        <f>0+0</f>
        <v>0</v>
      </c>
      <c r="I427" s="50"/>
      <c r="J427" s="50">
        <f>0+0</f>
        <v>0</v>
      </c>
      <c r="K427" s="50"/>
    </row>
    <row r="428" spans="1:35" ht="14.25">
      <c r="H428" s="50"/>
      <c r="I428" s="50"/>
      <c r="J428" s="50"/>
      <c r="K428" s="50"/>
      <c r="O428" s="34">
        <f>I421+I422+I423+I424+0</f>
        <v>617.87</v>
      </c>
      <c r="P428" s="34">
        <f>K421+K422+K423+K424+0</f>
        <v>23741.66</v>
      </c>
      <c r="X428" s="12">
        <f>IF(Source!BI209&lt;=1,I421+I422+I423+I424-0, 0)</f>
        <v>0</v>
      </c>
      <c r="Y428" s="12">
        <f>IF(Source!BI209=2,I421+I422+I423+I424-0, 0)</f>
        <v>617.87</v>
      </c>
      <c r="Z428" s="12">
        <f>IF(Source!BI209=3,I421+I422+I423+I424-0, 0)</f>
        <v>0</v>
      </c>
      <c r="AA428" s="12">
        <f>IF(Source!BI209=4,I421+I422+I423+I424,0)</f>
        <v>0</v>
      </c>
    </row>
    <row r="430" spans="1:35" ht="105">
      <c r="A430" s="29">
        <v>37</v>
      </c>
      <c r="B430" s="29" t="str">
        <f>Source!F211</f>
        <v>1.21-5-597</v>
      </c>
      <c r="C430" s="29" t="s">
        <v>300</v>
      </c>
      <c r="D430" s="30" t="str">
        <f>Source!H211</f>
        <v>КОМПЛЕКТ</v>
      </c>
      <c r="E430" s="31">
        <f>Source!I211</f>
        <v>4</v>
      </c>
      <c r="F430" s="32">
        <f>Source!AL211</f>
        <v>3237.24</v>
      </c>
      <c r="G430" s="33" t="str">
        <f>Source!DD211</f>
        <v/>
      </c>
      <c r="H430" s="31">
        <f>Source!AW211</f>
        <v>1</v>
      </c>
      <c r="I430" s="32">
        <f>ROUND((ROUND((Source!AC211*Source!AW211*Source!I211),2)),2)</f>
        <v>12948.96</v>
      </c>
      <c r="J430" s="31">
        <f>IF(Source!BC211&lt;&gt; 0, Source!BC211, 1)</f>
        <v>6.08</v>
      </c>
      <c r="K430" s="32">
        <f>Source!P211</f>
        <v>78729.679999999993</v>
      </c>
      <c r="Q430" s="12">
        <f>ROUND((Source!DN211/100)*ROUND((ROUND((Source!AF211*Source!AV211*Source!I211),2)),2), 2)</f>
        <v>0</v>
      </c>
      <c r="R430" s="12">
        <f>Source!X211</f>
        <v>0</v>
      </c>
      <c r="S430" s="12">
        <f>ROUND((Source!DO211/100)*ROUND((ROUND((Source!AF211*Source!AV211*Source!I211),2)),2), 2)</f>
        <v>0</v>
      </c>
      <c r="T430" s="12">
        <f>Source!Y211</f>
        <v>0</v>
      </c>
      <c r="U430" s="12">
        <f>ROUND((175/100)*ROUND((ROUND((Source!AE211*Source!AV211*Source!I211),2)),2), 2)</f>
        <v>0</v>
      </c>
      <c r="V430" s="12">
        <f>ROUND((160/100)*ROUND(ROUND((ROUND((Source!AE211*Source!AV211*Source!I211),2)*Source!BS211),2), 2), 2)</f>
        <v>0</v>
      </c>
      <c r="AI430" s="12">
        <v>3</v>
      </c>
    </row>
    <row r="431" spans="1:35" ht="14.25">
      <c r="C431" s="16" t="s">
        <v>561</v>
      </c>
      <c r="H431" s="49">
        <f>I430+0</f>
        <v>12948.96</v>
      </c>
      <c r="I431" s="49"/>
      <c r="J431" s="49">
        <f>K430+0</f>
        <v>78729.679999999993</v>
      </c>
      <c r="K431" s="49"/>
      <c r="O431" s="34">
        <f>I430+0</f>
        <v>12948.96</v>
      </c>
      <c r="P431" s="34">
        <f>K430+0</f>
        <v>78729.679999999993</v>
      </c>
      <c r="X431" s="12">
        <f>IF(Source!BI211&lt;=1,I430-0, 0)</f>
        <v>0</v>
      </c>
      <c r="Y431" s="12">
        <f>IF(Source!BI211=2,I430-0, 0)</f>
        <v>12948.96</v>
      </c>
      <c r="Z431" s="12">
        <f>IF(Source!BI211=3,I430-0, 0)</f>
        <v>0</v>
      </c>
      <c r="AA431" s="12">
        <f>IF(Source!BI211=4,I430,0)</f>
        <v>0</v>
      </c>
    </row>
    <row r="434" spans="1:11" ht="14.25">
      <c r="A434" s="54" t="str">
        <f>CONCATENATE("Итого по подразделу: ",IF(Source!G223&lt;&gt;"Новый подраздел", Source!G223, ""))</f>
        <v>Итого по подразделу: от РТП 27044 до ТП 27616</v>
      </c>
      <c r="B434" s="54"/>
      <c r="C434" s="54"/>
      <c r="D434" s="54"/>
      <c r="E434" s="54"/>
      <c r="F434" s="54"/>
      <c r="G434" s="54"/>
      <c r="H434" s="50">
        <f>SUM(O229:O433)</f>
        <v>2594347.2600000012</v>
      </c>
      <c r="I434" s="53"/>
      <c r="J434" s="50">
        <f>SUM(P229:P433)</f>
        <v>26537455.969999995</v>
      </c>
      <c r="K434" s="53"/>
    </row>
    <row r="435" spans="1:11" hidden="1">
      <c r="A435" s="12" t="s">
        <v>562</v>
      </c>
      <c r="H435" s="12">
        <f>SUM(AC229:AC434)</f>
        <v>0</v>
      </c>
      <c r="J435" s="12">
        <f>SUM(AD229:AD434)</f>
        <v>0</v>
      </c>
    </row>
    <row r="436" spans="1:11" hidden="1">
      <c r="A436" s="12" t="s">
        <v>563</v>
      </c>
      <c r="H436" s="12">
        <f>SUM(AE229:AE435)</f>
        <v>0</v>
      </c>
      <c r="J436" s="12">
        <f>SUM(AF229:AF435)</f>
        <v>0</v>
      </c>
    </row>
    <row r="438" spans="1:11" ht="14.25">
      <c r="A438" s="54" t="str">
        <f>CONCATENATE("Итого по разделу: ",IF(Source!G253&lt;&gt;"Новый раздел", Source!G253, ""))</f>
        <v>Итого по разделу: Монтажные работы</v>
      </c>
      <c r="B438" s="54"/>
      <c r="C438" s="54"/>
      <c r="D438" s="54"/>
      <c r="E438" s="54"/>
      <c r="F438" s="54"/>
      <c r="G438" s="54"/>
      <c r="H438" s="50">
        <f>SUM(O227:O437)</f>
        <v>2594347.2600000012</v>
      </c>
      <c r="I438" s="53"/>
      <c r="J438" s="50">
        <f>SUM(P227:P437)</f>
        <v>26537455.969999995</v>
      </c>
      <c r="K438" s="53"/>
    </row>
    <row r="439" spans="1:11" hidden="1">
      <c r="A439" s="12" t="s">
        <v>562</v>
      </c>
      <c r="H439" s="12">
        <f>SUM(AC227:AC438)</f>
        <v>0</v>
      </c>
      <c r="J439" s="12">
        <f>SUM(AD227:AD438)</f>
        <v>0</v>
      </c>
    </row>
    <row r="440" spans="1:11" hidden="1">
      <c r="A440" s="12" t="s">
        <v>563</v>
      </c>
      <c r="H440" s="12">
        <f>SUM(AE227:AE439)</f>
        <v>0</v>
      </c>
      <c r="J440" s="12">
        <f>SUM(AF227:AF439)</f>
        <v>0</v>
      </c>
    </row>
    <row r="442" spans="1:11" ht="14.25">
      <c r="A442" s="54" t="str">
        <f>CONCATENATE("Итого по локальной смете: ",IF(Source!G283&lt;&gt;"Новая локальная смета", Source!G283, ""))</f>
        <v>Итого по локальной смете: Кабельная линия 10 кВ.</v>
      </c>
      <c r="B442" s="54"/>
      <c r="C442" s="54"/>
      <c r="D442" s="54"/>
      <c r="E442" s="54"/>
      <c r="F442" s="54"/>
      <c r="G442" s="54"/>
      <c r="H442" s="50">
        <f>SUM(O28:O441)</f>
        <v>2915337.0300000007</v>
      </c>
      <c r="I442" s="53"/>
      <c r="J442" s="50">
        <f>SUM(P28:P441)</f>
        <v>29214205.019999996</v>
      </c>
      <c r="K442" s="53"/>
    </row>
    <row r="443" spans="1:11" hidden="1">
      <c r="A443" s="12" t="s">
        <v>562</v>
      </c>
      <c r="H443" s="12">
        <f>SUM(AC28:AC442)</f>
        <v>0</v>
      </c>
      <c r="J443" s="12">
        <f>SUM(AD28:AD442)</f>
        <v>0</v>
      </c>
    </row>
    <row r="444" spans="1:11" hidden="1">
      <c r="A444" s="12" t="s">
        <v>563</v>
      </c>
      <c r="H444" s="12">
        <f>SUM(AE28:AE443)</f>
        <v>0</v>
      </c>
      <c r="J444" s="12">
        <f>SUM(AF28:AF443)</f>
        <v>0</v>
      </c>
    </row>
  </sheetData>
  <mergeCells count="220">
    <mergeCell ref="J442:K442"/>
    <mergeCell ref="H442:I442"/>
    <mergeCell ref="A442:G442"/>
    <mergeCell ref="H431:I431"/>
    <mergeCell ref="J431:K431"/>
    <mergeCell ref="J434:K434"/>
    <mergeCell ref="H434:I434"/>
    <mergeCell ref="A434:G434"/>
    <mergeCell ref="J438:K438"/>
    <mergeCell ref="H438:I438"/>
    <mergeCell ref="A438:G438"/>
    <mergeCell ref="H426:I426"/>
    <mergeCell ref="J426:K426"/>
    <mergeCell ref="H427:I427"/>
    <mergeCell ref="J427:K427"/>
    <mergeCell ref="J428:K428"/>
    <mergeCell ref="H428:I428"/>
    <mergeCell ref="H412:I412"/>
    <mergeCell ref="J412:K412"/>
    <mergeCell ref="J413:K413"/>
    <mergeCell ref="H413:I413"/>
    <mergeCell ref="H417:I417"/>
    <mergeCell ref="J417:K417"/>
    <mergeCell ref="H396:I396"/>
    <mergeCell ref="J396:K396"/>
    <mergeCell ref="J397:K397"/>
    <mergeCell ref="H397:I397"/>
    <mergeCell ref="B400:J400"/>
    <mergeCell ref="H411:I411"/>
    <mergeCell ref="J411:K411"/>
    <mergeCell ref="H383:I383"/>
    <mergeCell ref="J383:K383"/>
    <mergeCell ref="J384:K384"/>
    <mergeCell ref="H384:I384"/>
    <mergeCell ref="H395:I395"/>
    <mergeCell ref="J395:K395"/>
    <mergeCell ref="J367:K367"/>
    <mergeCell ref="H367:I367"/>
    <mergeCell ref="H370:I370"/>
    <mergeCell ref="J370:K370"/>
    <mergeCell ref="H382:I382"/>
    <mergeCell ref="J382:K382"/>
    <mergeCell ref="H353:I353"/>
    <mergeCell ref="J353:K353"/>
    <mergeCell ref="H365:I365"/>
    <mergeCell ref="J365:K365"/>
    <mergeCell ref="H366:I366"/>
    <mergeCell ref="J366:K366"/>
    <mergeCell ref="H347:I347"/>
    <mergeCell ref="J347:K347"/>
    <mergeCell ref="H348:I348"/>
    <mergeCell ref="J348:K348"/>
    <mergeCell ref="J349:K349"/>
    <mergeCell ref="H349:I349"/>
    <mergeCell ref="H330:I330"/>
    <mergeCell ref="J330:K330"/>
    <mergeCell ref="J331:K331"/>
    <mergeCell ref="H331:I331"/>
    <mergeCell ref="H335:I335"/>
    <mergeCell ref="J335:K335"/>
    <mergeCell ref="H318:I318"/>
    <mergeCell ref="J318:K318"/>
    <mergeCell ref="J319:K319"/>
    <mergeCell ref="H319:I319"/>
    <mergeCell ref="H329:I329"/>
    <mergeCell ref="J329:K329"/>
    <mergeCell ref="J300:K300"/>
    <mergeCell ref="H300:I300"/>
    <mergeCell ref="H304:I304"/>
    <mergeCell ref="J304:K304"/>
    <mergeCell ref="B307:J307"/>
    <mergeCell ref="H317:I317"/>
    <mergeCell ref="J317:K317"/>
    <mergeCell ref="H286:I286"/>
    <mergeCell ref="J286:K286"/>
    <mergeCell ref="H298:I298"/>
    <mergeCell ref="J298:K298"/>
    <mergeCell ref="H299:I299"/>
    <mergeCell ref="J299:K299"/>
    <mergeCell ref="B269:J269"/>
    <mergeCell ref="H280:I280"/>
    <mergeCell ref="J280:K280"/>
    <mergeCell ref="H281:I281"/>
    <mergeCell ref="J281:K281"/>
    <mergeCell ref="J282:K282"/>
    <mergeCell ref="H282:I282"/>
    <mergeCell ref="H261:I261"/>
    <mergeCell ref="J261:K261"/>
    <mergeCell ref="J262:K262"/>
    <mergeCell ref="H262:I262"/>
    <mergeCell ref="H266:I266"/>
    <mergeCell ref="J266:K266"/>
    <mergeCell ref="J244:K244"/>
    <mergeCell ref="H244:I244"/>
    <mergeCell ref="H248:I248"/>
    <mergeCell ref="J248:K248"/>
    <mergeCell ref="H260:I260"/>
    <mergeCell ref="J260:K260"/>
    <mergeCell ref="A229:K229"/>
    <mergeCell ref="B231:J231"/>
    <mergeCell ref="H242:I242"/>
    <mergeCell ref="J242:K242"/>
    <mergeCell ref="H243:I243"/>
    <mergeCell ref="J243:K243"/>
    <mergeCell ref="J220:K220"/>
    <mergeCell ref="H220:I220"/>
    <mergeCell ref="J223:K223"/>
    <mergeCell ref="H223:I223"/>
    <mergeCell ref="A223:G223"/>
    <mergeCell ref="A227:K227"/>
    <mergeCell ref="J205:K205"/>
    <mergeCell ref="H205:I205"/>
    <mergeCell ref="H218:I218"/>
    <mergeCell ref="J218:K218"/>
    <mergeCell ref="H219:I219"/>
    <mergeCell ref="J219:K219"/>
    <mergeCell ref="H193:I193"/>
    <mergeCell ref="J193:K193"/>
    <mergeCell ref="H203:I203"/>
    <mergeCell ref="J203:K203"/>
    <mergeCell ref="H204:I204"/>
    <mergeCell ref="J204:K204"/>
    <mergeCell ref="H188:I188"/>
    <mergeCell ref="J188:K188"/>
    <mergeCell ref="H189:I189"/>
    <mergeCell ref="J189:K189"/>
    <mergeCell ref="J190:K190"/>
    <mergeCell ref="H190:I190"/>
    <mergeCell ref="H174:I174"/>
    <mergeCell ref="J174:K174"/>
    <mergeCell ref="H175:I175"/>
    <mergeCell ref="J175:K175"/>
    <mergeCell ref="J176:K176"/>
    <mergeCell ref="H176:I176"/>
    <mergeCell ref="H160:I160"/>
    <mergeCell ref="J160:K160"/>
    <mergeCell ref="H161:I161"/>
    <mergeCell ref="J161:K161"/>
    <mergeCell ref="J162:K162"/>
    <mergeCell ref="H162:I162"/>
    <mergeCell ref="H144:I144"/>
    <mergeCell ref="J144:K144"/>
    <mergeCell ref="H145:I145"/>
    <mergeCell ref="J145:K145"/>
    <mergeCell ref="J146:K146"/>
    <mergeCell ref="H146:I146"/>
    <mergeCell ref="H132:I132"/>
    <mergeCell ref="J132:K132"/>
    <mergeCell ref="H133:I133"/>
    <mergeCell ref="J133:K133"/>
    <mergeCell ref="J134:K134"/>
    <mergeCell ref="H134:I134"/>
    <mergeCell ref="B109:J109"/>
    <mergeCell ref="H119:I119"/>
    <mergeCell ref="J119:K119"/>
    <mergeCell ref="H120:I120"/>
    <mergeCell ref="J120:K120"/>
    <mergeCell ref="J121:K121"/>
    <mergeCell ref="H121:I121"/>
    <mergeCell ref="J100:K100"/>
    <mergeCell ref="H100:I100"/>
    <mergeCell ref="J103:K103"/>
    <mergeCell ref="H103:I103"/>
    <mergeCell ref="A103:G103"/>
    <mergeCell ref="A107:K107"/>
    <mergeCell ref="H88:I88"/>
    <mergeCell ref="J88:K88"/>
    <mergeCell ref="H98:I98"/>
    <mergeCell ref="J98:K98"/>
    <mergeCell ref="H99:I99"/>
    <mergeCell ref="J99:K99"/>
    <mergeCell ref="H82:I82"/>
    <mergeCell ref="J82:K82"/>
    <mergeCell ref="H83:I83"/>
    <mergeCell ref="J83:K83"/>
    <mergeCell ref="J84:K84"/>
    <mergeCell ref="H84:I84"/>
    <mergeCell ref="H72:I72"/>
    <mergeCell ref="J72:K72"/>
    <mergeCell ref="H73:I73"/>
    <mergeCell ref="J73:K73"/>
    <mergeCell ref="J74:K74"/>
    <mergeCell ref="H74:I74"/>
    <mergeCell ref="H63:I63"/>
    <mergeCell ref="J63:K63"/>
    <mergeCell ref="H64:I64"/>
    <mergeCell ref="J64:K64"/>
    <mergeCell ref="J65:K65"/>
    <mergeCell ref="H65:I65"/>
    <mergeCell ref="H53:I53"/>
    <mergeCell ref="J53:K53"/>
    <mergeCell ref="H54:I54"/>
    <mergeCell ref="J54:K54"/>
    <mergeCell ref="J55:K55"/>
    <mergeCell ref="H55:I55"/>
    <mergeCell ref="A30:K30"/>
    <mergeCell ref="H40:I40"/>
    <mergeCell ref="J40:K40"/>
    <mergeCell ref="H41:I41"/>
    <mergeCell ref="J41:K41"/>
    <mergeCell ref="J42:K42"/>
    <mergeCell ref="H42:I42"/>
    <mergeCell ref="E19:H19"/>
    <mergeCell ref="E20:H20"/>
    <mergeCell ref="E21:H21"/>
    <mergeCell ref="A24:K24"/>
    <mergeCell ref="J1:K1"/>
    <mergeCell ref="A28:K28"/>
    <mergeCell ref="E13:H13"/>
    <mergeCell ref="E14:H14"/>
    <mergeCell ref="E15:H15"/>
    <mergeCell ref="E16:H16"/>
    <mergeCell ref="E17:H17"/>
    <mergeCell ref="E18:H18"/>
    <mergeCell ref="A2:K2"/>
    <mergeCell ref="A3:K3"/>
    <mergeCell ref="A5:K5"/>
    <mergeCell ref="A7:K7"/>
    <mergeCell ref="A8:K8"/>
    <mergeCell ref="A10:K10"/>
  </mergeCells>
  <pageMargins left="0.4" right="0.2" top="0.4" bottom="0.4" header="0.2" footer="0.2"/>
  <pageSetup paperSize="9" scale="65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359"/>
  <sheetViews>
    <sheetView topLeftCell="A172" workbookViewId="0">
      <selection activeCell="I193" sqref="I193"/>
    </sheetView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352</v>
      </c>
      <c r="C12" s="1">
        <v>0</v>
      </c>
      <c r="D12" s="1">
        <f>ROW(A313)</f>
        <v>313</v>
      </c>
      <c r="E12" s="1">
        <v>0</v>
      </c>
      <c r="F12" s="1" t="s">
        <v>4</v>
      </c>
      <c r="G12" s="1" t="s">
        <v>5</v>
      </c>
      <c r="H12" s="1" t="s">
        <v>4</v>
      </c>
      <c r="I12" s="1">
        <v>0</v>
      </c>
      <c r="J12" s="1" t="s">
        <v>4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4</v>
      </c>
      <c r="V12" s="1">
        <v>0</v>
      </c>
      <c r="W12" s="1" t="s">
        <v>4</v>
      </c>
      <c r="X12" s="1" t="s">
        <v>4</v>
      </c>
      <c r="Y12" s="1" t="s">
        <v>4</v>
      </c>
      <c r="Z12" s="1" t="s">
        <v>4</v>
      </c>
      <c r="AA12" s="1" t="s">
        <v>4</v>
      </c>
      <c r="AB12" s="1" t="s">
        <v>4</v>
      </c>
      <c r="AC12" s="1" t="s">
        <v>4</v>
      </c>
      <c r="AD12" s="1" t="s">
        <v>4</v>
      </c>
      <c r="AE12" s="1" t="s">
        <v>4</v>
      </c>
      <c r="AF12" s="1" t="s">
        <v>4</v>
      </c>
      <c r="AG12" s="1" t="s">
        <v>4</v>
      </c>
      <c r="AH12" s="1" t="s">
        <v>4</v>
      </c>
      <c r="AI12" s="1" t="s">
        <v>4</v>
      </c>
      <c r="AJ12" s="1" t="s">
        <v>4</v>
      </c>
      <c r="AK12" s="1"/>
      <c r="AL12" s="1" t="s">
        <v>4</v>
      </c>
      <c r="AM12" s="1" t="s">
        <v>4</v>
      </c>
      <c r="AN12" s="1" t="s">
        <v>4</v>
      </c>
      <c r="AO12" s="1"/>
      <c r="AP12" s="1" t="s">
        <v>4</v>
      </c>
      <c r="AQ12" s="1" t="s">
        <v>4</v>
      </c>
      <c r="AR12" s="1" t="s">
        <v>4</v>
      </c>
      <c r="AS12" s="1"/>
      <c r="AT12" s="1"/>
      <c r="AU12" s="1"/>
      <c r="AV12" s="1"/>
      <c r="AW12" s="1"/>
      <c r="AX12" s="1" t="s">
        <v>4</v>
      </c>
      <c r="AY12" s="1" t="s">
        <v>4</v>
      </c>
      <c r="AZ12" s="1" t="s">
        <v>4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4</v>
      </c>
      <c r="CJ12" s="1" t="s">
        <v>4</v>
      </c>
      <c r="CK12" s="1">
        <v>75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4</v>
      </c>
      <c r="DA12" s="1" t="s">
        <v>4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55">
      <c r="A18" s="3">
        <v>52</v>
      </c>
      <c r="B18" s="3">
        <f t="shared" ref="B18:G18" si="0">B313</f>
        <v>352</v>
      </c>
      <c r="C18" s="3">
        <f t="shared" si="0"/>
        <v>1</v>
      </c>
      <c r="D18" s="3">
        <f t="shared" si="0"/>
        <v>12</v>
      </c>
      <c r="E18" s="3">
        <f t="shared" si="0"/>
        <v>0</v>
      </c>
      <c r="F18" s="3" t="str">
        <f t="shared" si="0"/>
        <v/>
      </c>
      <c r="G18" s="3" t="str">
        <f t="shared" si="0"/>
        <v>02-01-01  2  КЛ 10 кВ _24.04.25.</v>
      </c>
      <c r="H18" s="3"/>
      <c r="I18" s="3"/>
      <c r="J18" s="3"/>
      <c r="K18" s="3"/>
      <c r="L18" s="3"/>
      <c r="M18" s="3"/>
      <c r="N18" s="3"/>
      <c r="O18" s="3">
        <f t="shared" ref="O18:AT18" si="1">O313</f>
        <v>2808073.99</v>
      </c>
      <c r="P18" s="3">
        <f t="shared" si="1"/>
        <v>2727857.94</v>
      </c>
      <c r="Q18" s="3">
        <f t="shared" si="1"/>
        <v>24315.88</v>
      </c>
      <c r="R18" s="3">
        <f t="shared" si="1"/>
        <v>2737.91</v>
      </c>
      <c r="S18" s="3">
        <f t="shared" si="1"/>
        <v>55900.17</v>
      </c>
      <c r="T18" s="3">
        <f t="shared" si="1"/>
        <v>0</v>
      </c>
      <c r="U18" s="3">
        <f t="shared" si="1"/>
        <v>4589.0448486999994</v>
      </c>
      <c r="V18" s="3">
        <f t="shared" si="1"/>
        <v>0</v>
      </c>
      <c r="W18" s="3">
        <f t="shared" si="1"/>
        <v>0</v>
      </c>
      <c r="X18" s="3">
        <f t="shared" si="1"/>
        <v>62626.74</v>
      </c>
      <c r="Y18" s="3">
        <f t="shared" si="1"/>
        <v>39845.019999999997</v>
      </c>
      <c r="Z18" s="3">
        <f t="shared" si="1"/>
        <v>0</v>
      </c>
      <c r="AA18" s="3">
        <f t="shared" si="1"/>
        <v>0</v>
      </c>
      <c r="AB18" s="3">
        <f t="shared" si="1"/>
        <v>0</v>
      </c>
      <c r="AC18" s="3">
        <f t="shared" si="1"/>
        <v>0</v>
      </c>
      <c r="AD18" s="3">
        <f t="shared" si="1"/>
        <v>0</v>
      </c>
      <c r="AE18" s="3">
        <f t="shared" si="1"/>
        <v>0</v>
      </c>
      <c r="AF18" s="3">
        <f t="shared" si="1"/>
        <v>0</v>
      </c>
      <c r="AG18" s="3">
        <f t="shared" si="1"/>
        <v>0</v>
      </c>
      <c r="AH18" s="3">
        <f t="shared" si="1"/>
        <v>0</v>
      </c>
      <c r="AI18" s="3">
        <f t="shared" si="1"/>
        <v>0</v>
      </c>
      <c r="AJ18" s="3">
        <f t="shared" si="1"/>
        <v>0</v>
      </c>
      <c r="AK18" s="3">
        <f t="shared" si="1"/>
        <v>0</v>
      </c>
      <c r="AL18" s="3">
        <f t="shared" si="1"/>
        <v>0</v>
      </c>
      <c r="AM18" s="3">
        <f t="shared" si="1"/>
        <v>0</v>
      </c>
      <c r="AN18" s="3">
        <f t="shared" si="1"/>
        <v>0</v>
      </c>
      <c r="AO18" s="3">
        <f t="shared" si="1"/>
        <v>0</v>
      </c>
      <c r="AP18" s="3">
        <f t="shared" si="1"/>
        <v>0</v>
      </c>
      <c r="AQ18" s="3">
        <f t="shared" si="1"/>
        <v>0</v>
      </c>
      <c r="AR18" s="3">
        <f t="shared" si="1"/>
        <v>2915337.11</v>
      </c>
      <c r="AS18" s="3">
        <f t="shared" si="1"/>
        <v>326533.24</v>
      </c>
      <c r="AT18" s="3">
        <f t="shared" si="1"/>
        <v>2588803.87</v>
      </c>
      <c r="AU18" s="3">
        <f t="shared" ref="AU18:BZ18" si="2">AU313</f>
        <v>0</v>
      </c>
      <c r="AV18" s="3">
        <f t="shared" si="2"/>
        <v>2727857.94</v>
      </c>
      <c r="AW18" s="3">
        <f t="shared" si="2"/>
        <v>2727857.94</v>
      </c>
      <c r="AX18" s="3">
        <f t="shared" si="2"/>
        <v>0</v>
      </c>
      <c r="AY18" s="3">
        <f t="shared" si="2"/>
        <v>2727857.94</v>
      </c>
      <c r="AZ18" s="3">
        <f t="shared" si="2"/>
        <v>0</v>
      </c>
      <c r="BA18" s="3">
        <f t="shared" si="2"/>
        <v>0</v>
      </c>
      <c r="BB18" s="3">
        <f t="shared" si="2"/>
        <v>0</v>
      </c>
      <c r="BC18" s="3">
        <f t="shared" si="2"/>
        <v>0</v>
      </c>
      <c r="BD18" s="3">
        <f t="shared" si="2"/>
        <v>0</v>
      </c>
      <c r="BE18" s="3">
        <f t="shared" si="2"/>
        <v>0</v>
      </c>
      <c r="BF18" s="3">
        <f t="shared" si="2"/>
        <v>0</v>
      </c>
      <c r="BG18" s="3">
        <f t="shared" si="2"/>
        <v>0</v>
      </c>
      <c r="BH18" s="3">
        <f t="shared" si="2"/>
        <v>0</v>
      </c>
      <c r="BI18" s="3">
        <f t="shared" si="2"/>
        <v>0</v>
      </c>
      <c r="BJ18" s="3">
        <f t="shared" si="2"/>
        <v>0</v>
      </c>
      <c r="BK18" s="3">
        <f t="shared" si="2"/>
        <v>0</v>
      </c>
      <c r="BL18" s="3">
        <f t="shared" si="2"/>
        <v>0</v>
      </c>
      <c r="BM18" s="3">
        <f t="shared" si="2"/>
        <v>0</v>
      </c>
      <c r="BN18" s="3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CA313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4">
        <f t="shared" ref="DG18:EL18" si="4">DG313</f>
        <v>25479459.16</v>
      </c>
      <c r="DH18" s="4">
        <f t="shared" si="4"/>
        <v>22542098.629999999</v>
      </c>
      <c r="DI18" s="4">
        <f t="shared" si="4"/>
        <v>328499.59999999998</v>
      </c>
      <c r="DJ18" s="4">
        <f t="shared" si="4"/>
        <v>127778.27</v>
      </c>
      <c r="DK18" s="4">
        <f t="shared" si="4"/>
        <v>2608860.9300000002</v>
      </c>
      <c r="DL18" s="4">
        <f t="shared" si="4"/>
        <v>0</v>
      </c>
      <c r="DM18" s="4">
        <f t="shared" si="4"/>
        <v>4589.0448486999994</v>
      </c>
      <c r="DN18" s="4">
        <f t="shared" si="4"/>
        <v>0</v>
      </c>
      <c r="DO18" s="4">
        <f t="shared" si="4"/>
        <v>0</v>
      </c>
      <c r="DP18" s="4">
        <f t="shared" si="4"/>
        <v>2404126.79</v>
      </c>
      <c r="DQ18" s="4">
        <f t="shared" si="4"/>
        <v>1126174.3799999999</v>
      </c>
      <c r="DR18" s="4">
        <f t="shared" si="4"/>
        <v>0</v>
      </c>
      <c r="DS18" s="4">
        <f t="shared" si="4"/>
        <v>0</v>
      </c>
      <c r="DT18" s="4">
        <f t="shared" si="4"/>
        <v>0</v>
      </c>
      <c r="DU18" s="4">
        <f t="shared" si="4"/>
        <v>0</v>
      </c>
      <c r="DV18" s="4">
        <f t="shared" si="4"/>
        <v>0</v>
      </c>
      <c r="DW18" s="4">
        <f t="shared" si="4"/>
        <v>0</v>
      </c>
      <c r="DX18" s="4">
        <f t="shared" si="4"/>
        <v>0</v>
      </c>
      <c r="DY18" s="4">
        <f t="shared" si="4"/>
        <v>0</v>
      </c>
      <c r="DZ18" s="4">
        <f t="shared" si="4"/>
        <v>0</v>
      </c>
      <c r="EA18" s="4">
        <f t="shared" si="4"/>
        <v>0</v>
      </c>
      <c r="EB18" s="4">
        <f t="shared" si="4"/>
        <v>0</v>
      </c>
      <c r="EC18" s="4">
        <f t="shared" si="4"/>
        <v>0</v>
      </c>
      <c r="ED18" s="4">
        <f t="shared" si="4"/>
        <v>0</v>
      </c>
      <c r="EE18" s="4">
        <f t="shared" si="4"/>
        <v>0</v>
      </c>
      <c r="EF18" s="4">
        <f t="shared" si="4"/>
        <v>0</v>
      </c>
      <c r="EG18" s="4">
        <f t="shared" si="4"/>
        <v>0</v>
      </c>
      <c r="EH18" s="4">
        <f t="shared" si="4"/>
        <v>0</v>
      </c>
      <c r="EI18" s="4">
        <f t="shared" si="4"/>
        <v>0</v>
      </c>
      <c r="EJ18" s="4">
        <f t="shared" si="4"/>
        <v>29214205.579999998</v>
      </c>
      <c r="EK18" s="4">
        <f t="shared" si="4"/>
        <v>2724201.15</v>
      </c>
      <c r="EL18" s="4">
        <f t="shared" si="4"/>
        <v>26490004.43</v>
      </c>
      <c r="EM18" s="4">
        <f t="shared" ref="EM18:FR18" si="5">EM313</f>
        <v>0</v>
      </c>
      <c r="EN18" s="4">
        <f t="shared" si="5"/>
        <v>22542098.629999999</v>
      </c>
      <c r="EO18" s="4">
        <f t="shared" si="5"/>
        <v>22542098.629999999</v>
      </c>
      <c r="EP18" s="4">
        <f t="shared" si="5"/>
        <v>0</v>
      </c>
      <c r="EQ18" s="4">
        <f t="shared" si="5"/>
        <v>22542098.629999999</v>
      </c>
      <c r="ER18" s="4">
        <f t="shared" si="5"/>
        <v>0</v>
      </c>
      <c r="ES18" s="4">
        <f t="shared" si="5"/>
        <v>0</v>
      </c>
      <c r="ET18" s="4">
        <f t="shared" si="5"/>
        <v>0</v>
      </c>
      <c r="EU18" s="4">
        <f t="shared" si="5"/>
        <v>0</v>
      </c>
      <c r="EV18" s="4">
        <f t="shared" si="5"/>
        <v>0</v>
      </c>
      <c r="EW18" s="4">
        <f t="shared" si="5"/>
        <v>0</v>
      </c>
      <c r="EX18" s="4">
        <f t="shared" si="5"/>
        <v>0</v>
      </c>
      <c r="EY18" s="4">
        <f t="shared" si="5"/>
        <v>0</v>
      </c>
      <c r="EZ18" s="4">
        <f t="shared" si="5"/>
        <v>0</v>
      </c>
      <c r="FA18" s="4">
        <f t="shared" si="5"/>
        <v>0</v>
      </c>
      <c r="FB18" s="4">
        <f t="shared" si="5"/>
        <v>0</v>
      </c>
      <c r="FC18" s="4">
        <f t="shared" si="5"/>
        <v>0</v>
      </c>
      <c r="FD18" s="4">
        <f t="shared" si="5"/>
        <v>0</v>
      </c>
      <c r="FE18" s="4">
        <f t="shared" si="5"/>
        <v>0</v>
      </c>
      <c r="FF18" s="4">
        <f t="shared" si="5"/>
        <v>0</v>
      </c>
      <c r="FG18" s="4">
        <f t="shared" si="5"/>
        <v>0</v>
      </c>
      <c r="FH18" s="4">
        <f t="shared" si="5"/>
        <v>0</v>
      </c>
      <c r="FI18" s="4">
        <f t="shared" si="5"/>
        <v>0</v>
      </c>
      <c r="FJ18" s="4">
        <f t="shared" si="5"/>
        <v>0</v>
      </c>
      <c r="FK18" s="4">
        <f t="shared" si="5"/>
        <v>0</v>
      </c>
      <c r="FL18" s="4">
        <f t="shared" si="5"/>
        <v>0</v>
      </c>
      <c r="FM18" s="4">
        <f t="shared" si="5"/>
        <v>0</v>
      </c>
      <c r="FN18" s="4">
        <f t="shared" si="5"/>
        <v>0</v>
      </c>
      <c r="FO18" s="4">
        <f t="shared" si="5"/>
        <v>0</v>
      </c>
      <c r="FP18" s="4">
        <f t="shared" si="5"/>
        <v>0</v>
      </c>
      <c r="FQ18" s="4">
        <f t="shared" si="5"/>
        <v>0</v>
      </c>
      <c r="FR18" s="4">
        <f t="shared" si="5"/>
        <v>0</v>
      </c>
      <c r="FS18" s="4">
        <f t="shared" ref="FS18:GX18" si="6">FS313</f>
        <v>0</v>
      </c>
      <c r="FT18" s="4">
        <f t="shared" si="6"/>
        <v>0</v>
      </c>
      <c r="FU18" s="4">
        <f t="shared" si="6"/>
        <v>0</v>
      </c>
      <c r="FV18" s="4">
        <f t="shared" si="6"/>
        <v>0</v>
      </c>
      <c r="FW18" s="4">
        <f t="shared" si="6"/>
        <v>0</v>
      </c>
      <c r="FX18" s="4">
        <f t="shared" si="6"/>
        <v>0</v>
      </c>
      <c r="FY18" s="4">
        <f t="shared" si="6"/>
        <v>0</v>
      </c>
      <c r="FZ18" s="4">
        <f t="shared" si="6"/>
        <v>0</v>
      </c>
      <c r="GA18" s="4">
        <f t="shared" si="6"/>
        <v>0</v>
      </c>
      <c r="GB18" s="4">
        <f t="shared" si="6"/>
        <v>0</v>
      </c>
      <c r="GC18" s="4">
        <f t="shared" si="6"/>
        <v>0</v>
      </c>
      <c r="GD18" s="4">
        <f t="shared" si="6"/>
        <v>0</v>
      </c>
      <c r="GE18" s="4">
        <f t="shared" si="6"/>
        <v>0</v>
      </c>
      <c r="GF18" s="4">
        <f t="shared" si="6"/>
        <v>0</v>
      </c>
      <c r="GG18" s="4">
        <f t="shared" si="6"/>
        <v>0</v>
      </c>
      <c r="GH18" s="4">
        <f t="shared" si="6"/>
        <v>0</v>
      </c>
      <c r="GI18" s="4">
        <f t="shared" si="6"/>
        <v>0</v>
      </c>
      <c r="GJ18" s="4">
        <f t="shared" si="6"/>
        <v>0</v>
      </c>
      <c r="GK18" s="4">
        <f t="shared" si="6"/>
        <v>0</v>
      </c>
      <c r="GL18" s="4">
        <f t="shared" si="6"/>
        <v>0</v>
      </c>
      <c r="GM18" s="4">
        <f t="shared" si="6"/>
        <v>0</v>
      </c>
      <c r="GN18" s="4">
        <f t="shared" si="6"/>
        <v>0</v>
      </c>
      <c r="GO18" s="4">
        <f t="shared" si="6"/>
        <v>0</v>
      </c>
      <c r="GP18" s="4">
        <f t="shared" si="6"/>
        <v>0</v>
      </c>
      <c r="GQ18" s="4">
        <f t="shared" si="6"/>
        <v>0</v>
      </c>
      <c r="GR18" s="4">
        <f t="shared" si="6"/>
        <v>0</v>
      </c>
      <c r="GS18" s="4">
        <f t="shared" si="6"/>
        <v>0</v>
      </c>
      <c r="GT18" s="4">
        <f t="shared" si="6"/>
        <v>0</v>
      </c>
      <c r="GU18" s="4">
        <f t="shared" si="6"/>
        <v>0</v>
      </c>
      <c r="GV18" s="4">
        <f t="shared" si="6"/>
        <v>0</v>
      </c>
      <c r="GW18" s="4">
        <f t="shared" si="6"/>
        <v>0</v>
      </c>
      <c r="GX18" s="4">
        <f t="shared" si="6"/>
        <v>0</v>
      </c>
    </row>
    <row r="20" spans="1:255">
      <c r="A20" s="1">
        <v>3</v>
      </c>
      <c r="B20" s="1">
        <v>1</v>
      </c>
      <c r="C20" s="1"/>
      <c r="D20" s="1">
        <f>ROW(A283)</f>
        <v>283</v>
      </c>
      <c r="E20" s="1"/>
      <c r="F20" s="1" t="s">
        <v>14</v>
      </c>
      <c r="G20" s="1" t="s">
        <v>15</v>
      </c>
      <c r="H20" s="1" t="s">
        <v>4</v>
      </c>
      <c r="I20" s="1">
        <v>0</v>
      </c>
      <c r="J20" s="1" t="s">
        <v>16</v>
      </c>
      <c r="K20" s="1">
        <v>-1</v>
      </c>
      <c r="L20" s="1" t="s">
        <v>14</v>
      </c>
      <c r="M20" s="1" t="s">
        <v>4</v>
      </c>
      <c r="N20" s="1"/>
      <c r="O20" s="1"/>
      <c r="P20" s="1"/>
      <c r="Q20" s="1"/>
      <c r="R20" s="1"/>
      <c r="S20" s="1">
        <v>0</v>
      </c>
      <c r="T20" s="1">
        <v>0</v>
      </c>
      <c r="U20" s="1" t="s">
        <v>520</v>
      </c>
      <c r="V20" s="1">
        <v>0</v>
      </c>
      <c r="W20" s="1"/>
      <c r="X20" s="1"/>
      <c r="Y20" s="1"/>
      <c r="Z20" s="1"/>
      <c r="AA20" s="1"/>
      <c r="AB20" s="1" t="s">
        <v>4</v>
      </c>
      <c r="AC20" s="1" t="s">
        <v>4</v>
      </c>
      <c r="AD20" s="1" t="s">
        <v>4</v>
      </c>
      <c r="AE20" s="1" t="s">
        <v>4</v>
      </c>
      <c r="AF20" s="1" t="s">
        <v>4</v>
      </c>
      <c r="AG20" s="1" t="s">
        <v>4</v>
      </c>
      <c r="AH20" s="1"/>
      <c r="AI20" s="1"/>
      <c r="AJ20" s="1"/>
      <c r="AK20" s="1"/>
      <c r="AL20" s="1"/>
      <c r="AM20" s="1"/>
      <c r="AN20" s="1"/>
      <c r="AO20" s="1"/>
      <c r="AP20" s="1" t="s">
        <v>4</v>
      </c>
      <c r="AQ20" s="1" t="s">
        <v>4</v>
      </c>
      <c r="AR20" s="1" t="s">
        <v>4</v>
      </c>
      <c r="AS20" s="1"/>
      <c r="AT20" s="1"/>
      <c r="AU20" s="1"/>
      <c r="AV20" s="1"/>
      <c r="AW20" s="1"/>
      <c r="AX20" s="1"/>
      <c r="AY20" s="1"/>
      <c r="AZ20" s="1" t="s">
        <v>4</v>
      </c>
      <c r="BA20" s="1"/>
      <c r="BB20" s="1" t="s">
        <v>4</v>
      </c>
      <c r="BC20" s="1" t="s">
        <v>4</v>
      </c>
      <c r="BD20" s="1" t="s">
        <v>4</v>
      </c>
      <c r="BE20" s="1" t="s">
        <v>4</v>
      </c>
      <c r="BF20" s="1" t="s">
        <v>4</v>
      </c>
      <c r="BG20" s="1" t="s">
        <v>4</v>
      </c>
      <c r="BH20" s="1" t="s">
        <v>4</v>
      </c>
      <c r="BI20" s="1" t="s">
        <v>4</v>
      </c>
      <c r="BJ20" s="1" t="s">
        <v>4</v>
      </c>
      <c r="BK20" s="1" t="s">
        <v>4</v>
      </c>
      <c r="BL20" s="1" t="s">
        <v>4</v>
      </c>
      <c r="BM20" s="1" t="s">
        <v>4</v>
      </c>
      <c r="BN20" s="1" t="s">
        <v>4</v>
      </c>
      <c r="BO20" s="1" t="s">
        <v>4</v>
      </c>
      <c r="BP20" s="1" t="s">
        <v>4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4</v>
      </c>
      <c r="CJ20" s="1" t="s">
        <v>4</v>
      </c>
      <c r="CK20" t="s">
        <v>4</v>
      </c>
      <c r="CL20" t="s">
        <v>4</v>
      </c>
      <c r="CM20" t="s">
        <v>4</v>
      </c>
      <c r="CN20" t="s">
        <v>4</v>
      </c>
      <c r="CO20" t="s">
        <v>4</v>
      </c>
      <c r="CP20" t="s">
        <v>4</v>
      </c>
      <c r="CQ20" t="s">
        <v>4</v>
      </c>
    </row>
    <row r="22" spans="1:255">
      <c r="A22" s="3">
        <v>52</v>
      </c>
      <c r="B22" s="3">
        <f t="shared" ref="B22:G22" si="7">B283</f>
        <v>1</v>
      </c>
      <c r="C22" s="3">
        <f t="shared" si="7"/>
        <v>3</v>
      </c>
      <c r="D22" s="3">
        <f t="shared" si="7"/>
        <v>20</v>
      </c>
      <c r="E22" s="3">
        <f t="shared" si="7"/>
        <v>0</v>
      </c>
      <c r="F22" s="3" t="str">
        <f t="shared" si="7"/>
        <v>02-002-03</v>
      </c>
      <c r="G22" s="3" t="str">
        <f t="shared" si="7"/>
        <v>Кабельная линия 10 кВ.</v>
      </c>
      <c r="H22" s="3"/>
      <c r="I22" s="3"/>
      <c r="J22" s="3"/>
      <c r="K22" s="3"/>
      <c r="L22" s="3"/>
      <c r="M22" s="3"/>
      <c r="N22" s="3"/>
      <c r="O22" s="3">
        <f t="shared" ref="O22:AT22" si="8">O283</f>
        <v>2808073.99</v>
      </c>
      <c r="P22" s="3">
        <f t="shared" si="8"/>
        <v>2727857.94</v>
      </c>
      <c r="Q22" s="3">
        <f t="shared" si="8"/>
        <v>24315.88</v>
      </c>
      <c r="R22" s="3">
        <f t="shared" si="8"/>
        <v>2737.91</v>
      </c>
      <c r="S22" s="3">
        <f t="shared" si="8"/>
        <v>55900.17</v>
      </c>
      <c r="T22" s="3">
        <f t="shared" si="8"/>
        <v>0</v>
      </c>
      <c r="U22" s="3">
        <f t="shared" si="8"/>
        <v>4589.0448486999994</v>
      </c>
      <c r="V22" s="3">
        <f t="shared" si="8"/>
        <v>0</v>
      </c>
      <c r="W22" s="3">
        <f t="shared" si="8"/>
        <v>0</v>
      </c>
      <c r="X22" s="3">
        <f t="shared" si="8"/>
        <v>62626.74</v>
      </c>
      <c r="Y22" s="3">
        <f t="shared" si="8"/>
        <v>39845.019999999997</v>
      </c>
      <c r="Z22" s="3">
        <f t="shared" si="8"/>
        <v>0</v>
      </c>
      <c r="AA22" s="3">
        <f t="shared" si="8"/>
        <v>0</v>
      </c>
      <c r="AB22" s="3">
        <f t="shared" si="8"/>
        <v>0</v>
      </c>
      <c r="AC22" s="3">
        <f t="shared" si="8"/>
        <v>0</v>
      </c>
      <c r="AD22" s="3">
        <f t="shared" si="8"/>
        <v>0</v>
      </c>
      <c r="AE22" s="3">
        <f t="shared" si="8"/>
        <v>0</v>
      </c>
      <c r="AF22" s="3">
        <f t="shared" si="8"/>
        <v>0</v>
      </c>
      <c r="AG22" s="3">
        <f t="shared" si="8"/>
        <v>0</v>
      </c>
      <c r="AH22" s="3">
        <f t="shared" si="8"/>
        <v>0</v>
      </c>
      <c r="AI22" s="3">
        <f t="shared" si="8"/>
        <v>0</v>
      </c>
      <c r="AJ22" s="3">
        <f t="shared" si="8"/>
        <v>0</v>
      </c>
      <c r="AK22" s="3">
        <f t="shared" si="8"/>
        <v>0</v>
      </c>
      <c r="AL22" s="3">
        <f t="shared" si="8"/>
        <v>0</v>
      </c>
      <c r="AM22" s="3">
        <f t="shared" si="8"/>
        <v>0</v>
      </c>
      <c r="AN22" s="3">
        <f t="shared" si="8"/>
        <v>0</v>
      </c>
      <c r="AO22" s="3">
        <f t="shared" si="8"/>
        <v>0</v>
      </c>
      <c r="AP22" s="3">
        <f t="shared" si="8"/>
        <v>0</v>
      </c>
      <c r="AQ22" s="3">
        <f t="shared" si="8"/>
        <v>0</v>
      </c>
      <c r="AR22" s="3">
        <f t="shared" si="8"/>
        <v>2915337.11</v>
      </c>
      <c r="AS22" s="3">
        <f t="shared" si="8"/>
        <v>326533.24</v>
      </c>
      <c r="AT22" s="3">
        <f t="shared" si="8"/>
        <v>2588803.87</v>
      </c>
      <c r="AU22" s="3">
        <f t="shared" ref="AU22:BZ22" si="9">AU283</f>
        <v>0</v>
      </c>
      <c r="AV22" s="3">
        <f t="shared" si="9"/>
        <v>2727857.94</v>
      </c>
      <c r="AW22" s="3">
        <f t="shared" si="9"/>
        <v>2727857.94</v>
      </c>
      <c r="AX22" s="3">
        <f t="shared" si="9"/>
        <v>0</v>
      </c>
      <c r="AY22" s="3">
        <f t="shared" si="9"/>
        <v>2727857.94</v>
      </c>
      <c r="AZ22" s="3">
        <f t="shared" si="9"/>
        <v>0</v>
      </c>
      <c r="BA22" s="3">
        <f t="shared" si="9"/>
        <v>0</v>
      </c>
      <c r="BB22" s="3">
        <f t="shared" si="9"/>
        <v>0</v>
      </c>
      <c r="BC22" s="3">
        <f t="shared" si="9"/>
        <v>0</v>
      </c>
      <c r="BD22" s="3">
        <f t="shared" si="9"/>
        <v>0</v>
      </c>
      <c r="BE22" s="3">
        <f t="shared" si="9"/>
        <v>0</v>
      </c>
      <c r="BF22" s="3">
        <f t="shared" si="9"/>
        <v>0</v>
      </c>
      <c r="BG22" s="3">
        <f t="shared" si="9"/>
        <v>0</v>
      </c>
      <c r="BH22" s="3">
        <f t="shared" si="9"/>
        <v>0</v>
      </c>
      <c r="BI22" s="3">
        <f t="shared" si="9"/>
        <v>0</v>
      </c>
      <c r="BJ22" s="3">
        <f t="shared" si="9"/>
        <v>0</v>
      </c>
      <c r="BK22" s="3">
        <f t="shared" si="9"/>
        <v>0</v>
      </c>
      <c r="BL22" s="3">
        <f t="shared" si="9"/>
        <v>0</v>
      </c>
      <c r="BM22" s="3">
        <f t="shared" si="9"/>
        <v>0</v>
      </c>
      <c r="BN22" s="3">
        <f t="shared" si="9"/>
        <v>0</v>
      </c>
      <c r="BO22" s="3">
        <f t="shared" si="9"/>
        <v>0</v>
      </c>
      <c r="BP22" s="3">
        <f t="shared" si="9"/>
        <v>0</v>
      </c>
      <c r="BQ22" s="3">
        <f t="shared" si="9"/>
        <v>0</v>
      </c>
      <c r="BR22" s="3">
        <f t="shared" si="9"/>
        <v>0</v>
      </c>
      <c r="BS22" s="3">
        <f t="shared" si="9"/>
        <v>0</v>
      </c>
      <c r="BT22" s="3">
        <f t="shared" si="9"/>
        <v>0</v>
      </c>
      <c r="BU22" s="3">
        <f t="shared" si="9"/>
        <v>0</v>
      </c>
      <c r="BV22" s="3">
        <f t="shared" si="9"/>
        <v>0</v>
      </c>
      <c r="BW22" s="3">
        <f t="shared" si="9"/>
        <v>0</v>
      </c>
      <c r="BX22" s="3">
        <f t="shared" si="9"/>
        <v>0</v>
      </c>
      <c r="BY22" s="3">
        <f t="shared" si="9"/>
        <v>0</v>
      </c>
      <c r="BZ22" s="3">
        <f t="shared" si="9"/>
        <v>0</v>
      </c>
      <c r="CA22" s="3">
        <f t="shared" ref="CA22:DF22" si="10">CA283</f>
        <v>0</v>
      </c>
      <c r="CB22" s="3">
        <f t="shared" si="10"/>
        <v>0</v>
      </c>
      <c r="CC22" s="3">
        <f t="shared" si="10"/>
        <v>0</v>
      </c>
      <c r="CD22" s="3">
        <f t="shared" si="10"/>
        <v>0</v>
      </c>
      <c r="CE22" s="3">
        <f t="shared" si="10"/>
        <v>0</v>
      </c>
      <c r="CF22" s="3">
        <f t="shared" si="10"/>
        <v>0</v>
      </c>
      <c r="CG22" s="3">
        <f t="shared" si="10"/>
        <v>0</v>
      </c>
      <c r="CH22" s="3">
        <f t="shared" si="10"/>
        <v>0</v>
      </c>
      <c r="CI22" s="3">
        <f t="shared" si="10"/>
        <v>0</v>
      </c>
      <c r="CJ22" s="3">
        <f t="shared" si="10"/>
        <v>0</v>
      </c>
      <c r="CK22" s="3">
        <f t="shared" si="10"/>
        <v>0</v>
      </c>
      <c r="CL22" s="3">
        <f t="shared" si="10"/>
        <v>0</v>
      </c>
      <c r="CM22" s="3">
        <f t="shared" si="10"/>
        <v>0</v>
      </c>
      <c r="CN22" s="3">
        <f t="shared" si="10"/>
        <v>0</v>
      </c>
      <c r="CO22" s="3">
        <f t="shared" si="10"/>
        <v>0</v>
      </c>
      <c r="CP22" s="3">
        <f t="shared" si="10"/>
        <v>0</v>
      </c>
      <c r="CQ22" s="3">
        <f t="shared" si="10"/>
        <v>0</v>
      </c>
      <c r="CR22" s="3">
        <f t="shared" si="10"/>
        <v>0</v>
      </c>
      <c r="CS22" s="3">
        <f t="shared" si="10"/>
        <v>0</v>
      </c>
      <c r="CT22" s="3">
        <f t="shared" si="10"/>
        <v>0</v>
      </c>
      <c r="CU22" s="3">
        <f t="shared" si="10"/>
        <v>0</v>
      </c>
      <c r="CV22" s="3">
        <f t="shared" si="10"/>
        <v>0</v>
      </c>
      <c r="CW22" s="3">
        <f t="shared" si="10"/>
        <v>0</v>
      </c>
      <c r="CX22" s="3">
        <f t="shared" si="10"/>
        <v>0</v>
      </c>
      <c r="CY22" s="3">
        <f t="shared" si="10"/>
        <v>0</v>
      </c>
      <c r="CZ22" s="3">
        <f t="shared" si="10"/>
        <v>0</v>
      </c>
      <c r="DA22" s="3">
        <f t="shared" si="10"/>
        <v>0</v>
      </c>
      <c r="DB22" s="3">
        <f t="shared" si="10"/>
        <v>0</v>
      </c>
      <c r="DC22" s="3">
        <f t="shared" si="10"/>
        <v>0</v>
      </c>
      <c r="DD22" s="3">
        <f t="shared" si="10"/>
        <v>0</v>
      </c>
      <c r="DE22" s="3">
        <f t="shared" si="10"/>
        <v>0</v>
      </c>
      <c r="DF22" s="3">
        <f t="shared" si="10"/>
        <v>0</v>
      </c>
      <c r="DG22" s="4">
        <f t="shared" ref="DG22:EL22" si="11">DG283</f>
        <v>25479459.16</v>
      </c>
      <c r="DH22" s="4">
        <f t="shared" si="11"/>
        <v>22542098.629999999</v>
      </c>
      <c r="DI22" s="4">
        <f t="shared" si="11"/>
        <v>328499.59999999998</v>
      </c>
      <c r="DJ22" s="4">
        <f t="shared" si="11"/>
        <v>127778.27</v>
      </c>
      <c r="DK22" s="4">
        <f t="shared" si="11"/>
        <v>2608860.9300000002</v>
      </c>
      <c r="DL22" s="4">
        <f t="shared" si="11"/>
        <v>0</v>
      </c>
      <c r="DM22" s="4">
        <f t="shared" si="11"/>
        <v>4589.0448486999994</v>
      </c>
      <c r="DN22" s="4">
        <f t="shared" si="11"/>
        <v>0</v>
      </c>
      <c r="DO22" s="4">
        <f t="shared" si="11"/>
        <v>0</v>
      </c>
      <c r="DP22" s="4">
        <f t="shared" si="11"/>
        <v>2404126.79</v>
      </c>
      <c r="DQ22" s="4">
        <f t="shared" si="11"/>
        <v>1126174.3799999999</v>
      </c>
      <c r="DR22" s="4">
        <f t="shared" si="11"/>
        <v>0</v>
      </c>
      <c r="DS22" s="4">
        <f t="shared" si="11"/>
        <v>0</v>
      </c>
      <c r="DT22" s="4">
        <f t="shared" si="11"/>
        <v>0</v>
      </c>
      <c r="DU22" s="4">
        <f t="shared" si="11"/>
        <v>0</v>
      </c>
      <c r="DV22" s="4">
        <f t="shared" si="11"/>
        <v>0</v>
      </c>
      <c r="DW22" s="4">
        <f t="shared" si="11"/>
        <v>0</v>
      </c>
      <c r="DX22" s="4">
        <f t="shared" si="11"/>
        <v>0</v>
      </c>
      <c r="DY22" s="4">
        <f t="shared" si="11"/>
        <v>0</v>
      </c>
      <c r="DZ22" s="4">
        <f t="shared" si="11"/>
        <v>0</v>
      </c>
      <c r="EA22" s="4">
        <f t="shared" si="11"/>
        <v>0</v>
      </c>
      <c r="EB22" s="4">
        <f t="shared" si="11"/>
        <v>0</v>
      </c>
      <c r="EC22" s="4">
        <f t="shared" si="11"/>
        <v>0</v>
      </c>
      <c r="ED22" s="4">
        <f t="shared" si="11"/>
        <v>0</v>
      </c>
      <c r="EE22" s="4">
        <f t="shared" si="11"/>
        <v>0</v>
      </c>
      <c r="EF22" s="4">
        <f t="shared" si="11"/>
        <v>0</v>
      </c>
      <c r="EG22" s="4">
        <f t="shared" si="11"/>
        <v>0</v>
      </c>
      <c r="EH22" s="4">
        <f t="shared" si="11"/>
        <v>0</v>
      </c>
      <c r="EI22" s="4">
        <f t="shared" si="11"/>
        <v>0</v>
      </c>
      <c r="EJ22" s="4">
        <f t="shared" si="11"/>
        <v>29214205.579999998</v>
      </c>
      <c r="EK22" s="4">
        <f t="shared" si="11"/>
        <v>2724201.15</v>
      </c>
      <c r="EL22" s="4">
        <f t="shared" si="11"/>
        <v>26490004.43</v>
      </c>
      <c r="EM22" s="4">
        <f t="shared" ref="EM22:FR22" si="12">EM283</f>
        <v>0</v>
      </c>
      <c r="EN22" s="4">
        <f t="shared" si="12"/>
        <v>22542098.629999999</v>
      </c>
      <c r="EO22" s="4">
        <f t="shared" si="12"/>
        <v>22542098.629999999</v>
      </c>
      <c r="EP22" s="4">
        <f t="shared" si="12"/>
        <v>0</v>
      </c>
      <c r="EQ22" s="4">
        <f t="shared" si="12"/>
        <v>22542098.629999999</v>
      </c>
      <c r="ER22" s="4">
        <f t="shared" si="12"/>
        <v>0</v>
      </c>
      <c r="ES22" s="4">
        <f t="shared" si="12"/>
        <v>0</v>
      </c>
      <c r="ET22" s="4">
        <f t="shared" si="12"/>
        <v>0</v>
      </c>
      <c r="EU22" s="4">
        <f t="shared" si="12"/>
        <v>0</v>
      </c>
      <c r="EV22" s="4">
        <f t="shared" si="12"/>
        <v>0</v>
      </c>
      <c r="EW22" s="4">
        <f t="shared" si="12"/>
        <v>0</v>
      </c>
      <c r="EX22" s="4">
        <f t="shared" si="12"/>
        <v>0</v>
      </c>
      <c r="EY22" s="4">
        <f t="shared" si="12"/>
        <v>0</v>
      </c>
      <c r="EZ22" s="4">
        <f t="shared" si="12"/>
        <v>0</v>
      </c>
      <c r="FA22" s="4">
        <f t="shared" si="12"/>
        <v>0</v>
      </c>
      <c r="FB22" s="4">
        <f t="shared" si="12"/>
        <v>0</v>
      </c>
      <c r="FC22" s="4">
        <f t="shared" si="12"/>
        <v>0</v>
      </c>
      <c r="FD22" s="4">
        <f t="shared" si="12"/>
        <v>0</v>
      </c>
      <c r="FE22" s="4">
        <f t="shared" si="12"/>
        <v>0</v>
      </c>
      <c r="FF22" s="4">
        <f t="shared" si="12"/>
        <v>0</v>
      </c>
      <c r="FG22" s="4">
        <f t="shared" si="12"/>
        <v>0</v>
      </c>
      <c r="FH22" s="4">
        <f t="shared" si="12"/>
        <v>0</v>
      </c>
      <c r="FI22" s="4">
        <f t="shared" si="12"/>
        <v>0</v>
      </c>
      <c r="FJ22" s="4">
        <f t="shared" si="12"/>
        <v>0</v>
      </c>
      <c r="FK22" s="4">
        <f t="shared" si="12"/>
        <v>0</v>
      </c>
      <c r="FL22" s="4">
        <f t="shared" si="12"/>
        <v>0</v>
      </c>
      <c r="FM22" s="4">
        <f t="shared" si="12"/>
        <v>0</v>
      </c>
      <c r="FN22" s="4">
        <f t="shared" si="12"/>
        <v>0</v>
      </c>
      <c r="FO22" s="4">
        <f t="shared" si="12"/>
        <v>0</v>
      </c>
      <c r="FP22" s="4">
        <f t="shared" si="12"/>
        <v>0</v>
      </c>
      <c r="FQ22" s="4">
        <f t="shared" si="12"/>
        <v>0</v>
      </c>
      <c r="FR22" s="4">
        <f t="shared" si="12"/>
        <v>0</v>
      </c>
      <c r="FS22" s="4">
        <f t="shared" ref="FS22:GX22" si="13">FS283</f>
        <v>0</v>
      </c>
      <c r="FT22" s="4">
        <f t="shared" si="13"/>
        <v>0</v>
      </c>
      <c r="FU22" s="4">
        <f t="shared" si="13"/>
        <v>0</v>
      </c>
      <c r="FV22" s="4">
        <f t="shared" si="13"/>
        <v>0</v>
      </c>
      <c r="FW22" s="4">
        <f t="shared" si="13"/>
        <v>0</v>
      </c>
      <c r="FX22" s="4">
        <f t="shared" si="13"/>
        <v>0</v>
      </c>
      <c r="FY22" s="4">
        <f t="shared" si="13"/>
        <v>0</v>
      </c>
      <c r="FZ22" s="4">
        <f t="shared" si="13"/>
        <v>0</v>
      </c>
      <c r="GA22" s="4">
        <f t="shared" si="13"/>
        <v>0</v>
      </c>
      <c r="GB22" s="4">
        <f t="shared" si="13"/>
        <v>0</v>
      </c>
      <c r="GC22" s="4">
        <f t="shared" si="13"/>
        <v>0</v>
      </c>
      <c r="GD22" s="4">
        <f t="shared" si="13"/>
        <v>0</v>
      </c>
      <c r="GE22" s="4">
        <f t="shared" si="13"/>
        <v>0</v>
      </c>
      <c r="GF22" s="4">
        <f t="shared" si="13"/>
        <v>0</v>
      </c>
      <c r="GG22" s="4">
        <f t="shared" si="13"/>
        <v>0</v>
      </c>
      <c r="GH22" s="4">
        <f t="shared" si="13"/>
        <v>0</v>
      </c>
      <c r="GI22" s="4">
        <f t="shared" si="13"/>
        <v>0</v>
      </c>
      <c r="GJ22" s="4">
        <f t="shared" si="13"/>
        <v>0</v>
      </c>
      <c r="GK22" s="4">
        <f t="shared" si="13"/>
        <v>0</v>
      </c>
      <c r="GL22" s="4">
        <f t="shared" si="13"/>
        <v>0</v>
      </c>
      <c r="GM22" s="4">
        <f t="shared" si="13"/>
        <v>0</v>
      </c>
      <c r="GN22" s="4">
        <f t="shared" si="13"/>
        <v>0</v>
      </c>
      <c r="GO22" s="4">
        <f t="shared" si="13"/>
        <v>0</v>
      </c>
      <c r="GP22" s="4">
        <f t="shared" si="13"/>
        <v>0</v>
      </c>
      <c r="GQ22" s="4">
        <f t="shared" si="13"/>
        <v>0</v>
      </c>
      <c r="GR22" s="4">
        <f t="shared" si="13"/>
        <v>0</v>
      </c>
      <c r="GS22" s="4">
        <f t="shared" si="13"/>
        <v>0</v>
      </c>
      <c r="GT22" s="4">
        <f t="shared" si="13"/>
        <v>0</v>
      </c>
      <c r="GU22" s="4">
        <f t="shared" si="13"/>
        <v>0</v>
      </c>
      <c r="GV22" s="4">
        <f t="shared" si="13"/>
        <v>0</v>
      </c>
      <c r="GW22" s="4">
        <f t="shared" si="13"/>
        <v>0</v>
      </c>
      <c r="GX22" s="4">
        <f t="shared" si="13"/>
        <v>0</v>
      </c>
    </row>
    <row r="24" spans="1:255">
      <c r="A24" s="1">
        <v>4</v>
      </c>
      <c r="B24" s="1">
        <v>1</v>
      </c>
      <c r="C24" s="1"/>
      <c r="D24" s="1">
        <f>ROW(A43)</f>
        <v>43</v>
      </c>
      <c r="E24" s="1"/>
      <c r="F24" s="1" t="s">
        <v>17</v>
      </c>
      <c r="G24" s="1" t="s">
        <v>18</v>
      </c>
      <c r="H24" s="1" t="s">
        <v>4</v>
      </c>
      <c r="I24" s="1">
        <v>0</v>
      </c>
      <c r="J24" s="1"/>
      <c r="K24" s="1">
        <v>0</v>
      </c>
      <c r="L24" s="1"/>
      <c r="M24" s="1" t="s">
        <v>4</v>
      </c>
      <c r="N24" s="1"/>
      <c r="O24" s="1"/>
      <c r="P24" s="1"/>
      <c r="Q24" s="1"/>
      <c r="R24" s="1"/>
      <c r="S24" s="1">
        <v>0</v>
      </c>
      <c r="T24" s="1">
        <v>0</v>
      </c>
      <c r="U24" s="1" t="s">
        <v>4</v>
      </c>
      <c r="V24" s="1">
        <v>0</v>
      </c>
      <c r="W24" s="1"/>
      <c r="X24" s="1"/>
      <c r="Y24" s="1"/>
      <c r="Z24" s="1"/>
      <c r="AA24" s="1"/>
      <c r="AB24" s="1" t="s">
        <v>4</v>
      </c>
      <c r="AC24" s="1" t="s">
        <v>4</v>
      </c>
      <c r="AD24" s="1" t="s">
        <v>4</v>
      </c>
      <c r="AE24" s="1" t="s">
        <v>4</v>
      </c>
      <c r="AF24" s="1" t="s">
        <v>4</v>
      </c>
      <c r="AG24" s="1" t="s">
        <v>4</v>
      </c>
      <c r="AH24" s="1"/>
      <c r="AI24" s="1"/>
      <c r="AJ24" s="1"/>
      <c r="AK24" s="1"/>
      <c r="AL24" s="1"/>
      <c r="AM24" s="1"/>
      <c r="AN24" s="1"/>
      <c r="AO24" s="1"/>
      <c r="AP24" s="1" t="s">
        <v>4</v>
      </c>
      <c r="AQ24" s="1" t="s">
        <v>4</v>
      </c>
      <c r="AR24" s="1" t="s">
        <v>4</v>
      </c>
      <c r="AS24" s="1"/>
      <c r="AT24" s="1"/>
      <c r="AU24" s="1"/>
      <c r="AV24" s="1"/>
      <c r="AW24" s="1"/>
      <c r="AX24" s="1"/>
      <c r="AY24" s="1"/>
      <c r="AZ24" s="1" t="s">
        <v>4</v>
      </c>
      <c r="BA24" s="1"/>
      <c r="BB24" s="1" t="s">
        <v>4</v>
      </c>
      <c r="BC24" s="1" t="s">
        <v>4</v>
      </c>
      <c r="BD24" s="1" t="s">
        <v>4</v>
      </c>
      <c r="BE24" s="1" t="s">
        <v>4</v>
      </c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1" t="s">
        <v>4</v>
      </c>
      <c r="BL24" s="1" t="s">
        <v>4</v>
      </c>
      <c r="BM24" s="1" t="s">
        <v>4</v>
      </c>
      <c r="BN24" s="1" t="s">
        <v>4</v>
      </c>
      <c r="BO24" s="1" t="s">
        <v>4</v>
      </c>
      <c r="BP24" s="1" t="s">
        <v>4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55">
      <c r="A26" s="3">
        <v>52</v>
      </c>
      <c r="B26" s="3">
        <f t="shared" ref="B26:G26" si="14">B43</f>
        <v>1</v>
      </c>
      <c r="C26" s="3">
        <f t="shared" si="14"/>
        <v>4</v>
      </c>
      <c r="D26" s="3">
        <f t="shared" si="14"/>
        <v>24</v>
      </c>
      <c r="E26" s="3">
        <f t="shared" si="14"/>
        <v>0</v>
      </c>
      <c r="F26" s="3" t="str">
        <f t="shared" si="14"/>
        <v>Новый раздел</v>
      </c>
      <c r="G26" s="3" t="str">
        <f t="shared" si="14"/>
        <v>Земляные работы</v>
      </c>
      <c r="H26" s="3"/>
      <c r="I26" s="3"/>
      <c r="J26" s="3"/>
      <c r="K26" s="3"/>
      <c r="L26" s="3"/>
      <c r="M26" s="3"/>
      <c r="N26" s="3"/>
      <c r="O26" s="3">
        <f t="shared" ref="O26:AT26" si="15">O43</f>
        <v>23851.11</v>
      </c>
      <c r="P26" s="3">
        <f t="shared" si="15"/>
        <v>16630.419999999998</v>
      </c>
      <c r="Q26" s="3">
        <f t="shared" si="15"/>
        <v>4786.2299999999996</v>
      </c>
      <c r="R26" s="3">
        <f t="shared" si="15"/>
        <v>723.27</v>
      </c>
      <c r="S26" s="3">
        <f t="shared" si="15"/>
        <v>2434.46</v>
      </c>
      <c r="T26" s="3">
        <f t="shared" si="15"/>
        <v>0</v>
      </c>
      <c r="U26" s="3">
        <f t="shared" si="15"/>
        <v>229.6156608</v>
      </c>
      <c r="V26" s="3">
        <f t="shared" si="15"/>
        <v>0</v>
      </c>
      <c r="W26" s="3">
        <f t="shared" si="15"/>
        <v>0</v>
      </c>
      <c r="X26" s="3">
        <f t="shared" si="15"/>
        <v>2527.48</v>
      </c>
      <c r="Y26" s="3">
        <f t="shared" si="15"/>
        <v>1874.53</v>
      </c>
      <c r="Z26" s="3">
        <f t="shared" si="15"/>
        <v>0</v>
      </c>
      <c r="AA26" s="3">
        <f t="shared" si="15"/>
        <v>0</v>
      </c>
      <c r="AB26" s="3">
        <f t="shared" si="15"/>
        <v>23851.11</v>
      </c>
      <c r="AC26" s="3">
        <f t="shared" si="15"/>
        <v>16630.419999999998</v>
      </c>
      <c r="AD26" s="3">
        <f t="shared" si="15"/>
        <v>4786.2299999999996</v>
      </c>
      <c r="AE26" s="3">
        <f t="shared" si="15"/>
        <v>723.27</v>
      </c>
      <c r="AF26" s="3">
        <f t="shared" si="15"/>
        <v>2434.46</v>
      </c>
      <c r="AG26" s="3">
        <f t="shared" si="15"/>
        <v>0</v>
      </c>
      <c r="AH26" s="3">
        <f t="shared" si="15"/>
        <v>229.6156608</v>
      </c>
      <c r="AI26" s="3">
        <f t="shared" si="15"/>
        <v>0</v>
      </c>
      <c r="AJ26" s="3">
        <f t="shared" si="15"/>
        <v>0</v>
      </c>
      <c r="AK26" s="3">
        <f t="shared" si="15"/>
        <v>2527.48</v>
      </c>
      <c r="AL26" s="3">
        <f t="shared" si="15"/>
        <v>1874.53</v>
      </c>
      <c r="AM26" s="3">
        <f t="shared" si="15"/>
        <v>0</v>
      </c>
      <c r="AN26" s="3">
        <f t="shared" si="15"/>
        <v>0</v>
      </c>
      <c r="AO26" s="3">
        <f t="shared" si="15"/>
        <v>0</v>
      </c>
      <c r="AP26" s="3">
        <f t="shared" si="15"/>
        <v>0</v>
      </c>
      <c r="AQ26" s="3">
        <f t="shared" si="15"/>
        <v>0</v>
      </c>
      <c r="AR26" s="3">
        <f t="shared" si="15"/>
        <v>29518.84</v>
      </c>
      <c r="AS26" s="3">
        <f t="shared" si="15"/>
        <v>29518.84</v>
      </c>
      <c r="AT26" s="3">
        <f t="shared" si="15"/>
        <v>0</v>
      </c>
      <c r="AU26" s="3">
        <f t="shared" ref="AU26:BZ26" si="16">AU43</f>
        <v>0</v>
      </c>
      <c r="AV26" s="3">
        <f t="shared" si="16"/>
        <v>16630.419999999998</v>
      </c>
      <c r="AW26" s="3">
        <f t="shared" si="16"/>
        <v>16630.419999999998</v>
      </c>
      <c r="AX26" s="3">
        <f t="shared" si="16"/>
        <v>0</v>
      </c>
      <c r="AY26" s="3">
        <f t="shared" si="16"/>
        <v>16630.419999999998</v>
      </c>
      <c r="AZ26" s="3">
        <f t="shared" si="16"/>
        <v>0</v>
      </c>
      <c r="BA26" s="3">
        <f t="shared" si="16"/>
        <v>0</v>
      </c>
      <c r="BB26" s="3">
        <f t="shared" si="16"/>
        <v>0</v>
      </c>
      <c r="BC26" s="3">
        <f t="shared" si="16"/>
        <v>0</v>
      </c>
      <c r="BD26" s="3">
        <f t="shared" si="16"/>
        <v>0</v>
      </c>
      <c r="BE26" s="3">
        <f t="shared" si="16"/>
        <v>0</v>
      </c>
      <c r="BF26" s="3">
        <f t="shared" si="16"/>
        <v>0</v>
      </c>
      <c r="BG26" s="3">
        <f t="shared" si="16"/>
        <v>0</v>
      </c>
      <c r="BH26" s="3">
        <f t="shared" si="16"/>
        <v>0</v>
      </c>
      <c r="BI26" s="3">
        <f t="shared" si="16"/>
        <v>0</v>
      </c>
      <c r="BJ26" s="3">
        <f t="shared" si="16"/>
        <v>0</v>
      </c>
      <c r="BK26" s="3">
        <f t="shared" si="16"/>
        <v>0</v>
      </c>
      <c r="BL26" s="3">
        <f t="shared" si="16"/>
        <v>0</v>
      </c>
      <c r="BM26" s="3">
        <f t="shared" si="16"/>
        <v>0</v>
      </c>
      <c r="BN26" s="3">
        <f t="shared" si="16"/>
        <v>0</v>
      </c>
      <c r="BO26" s="3">
        <f t="shared" si="16"/>
        <v>0</v>
      </c>
      <c r="BP26" s="3">
        <f t="shared" si="16"/>
        <v>0</v>
      </c>
      <c r="BQ26" s="3">
        <f t="shared" si="16"/>
        <v>0</v>
      </c>
      <c r="BR26" s="3">
        <f t="shared" si="16"/>
        <v>0</v>
      </c>
      <c r="BS26" s="3">
        <f t="shared" si="16"/>
        <v>0</v>
      </c>
      <c r="BT26" s="3">
        <f t="shared" si="16"/>
        <v>0</v>
      </c>
      <c r="BU26" s="3">
        <f t="shared" si="16"/>
        <v>0</v>
      </c>
      <c r="BV26" s="3">
        <f t="shared" si="16"/>
        <v>0</v>
      </c>
      <c r="BW26" s="3">
        <f t="shared" si="16"/>
        <v>0</v>
      </c>
      <c r="BX26" s="3">
        <f t="shared" si="16"/>
        <v>0</v>
      </c>
      <c r="BY26" s="3">
        <f t="shared" si="16"/>
        <v>0</v>
      </c>
      <c r="BZ26" s="3">
        <f t="shared" si="16"/>
        <v>0</v>
      </c>
      <c r="CA26" s="3">
        <f t="shared" ref="CA26:DF26" si="17">CA43</f>
        <v>29518.84</v>
      </c>
      <c r="CB26" s="3">
        <f t="shared" si="17"/>
        <v>29518.84</v>
      </c>
      <c r="CC26" s="3">
        <f t="shared" si="17"/>
        <v>0</v>
      </c>
      <c r="CD26" s="3">
        <f t="shared" si="17"/>
        <v>0</v>
      </c>
      <c r="CE26" s="3">
        <f t="shared" si="17"/>
        <v>16630.419999999998</v>
      </c>
      <c r="CF26" s="3">
        <f t="shared" si="17"/>
        <v>16630.419999999998</v>
      </c>
      <c r="CG26" s="3">
        <f t="shared" si="17"/>
        <v>0</v>
      </c>
      <c r="CH26" s="3">
        <f t="shared" si="17"/>
        <v>16630.419999999998</v>
      </c>
      <c r="CI26" s="3">
        <f t="shared" si="17"/>
        <v>0</v>
      </c>
      <c r="CJ26" s="3">
        <f t="shared" si="17"/>
        <v>0</v>
      </c>
      <c r="CK26" s="3">
        <f t="shared" si="17"/>
        <v>0</v>
      </c>
      <c r="CL26" s="3">
        <f t="shared" si="17"/>
        <v>0</v>
      </c>
      <c r="CM26" s="3">
        <f t="shared" si="17"/>
        <v>0</v>
      </c>
      <c r="CN26" s="3">
        <f t="shared" si="17"/>
        <v>0</v>
      </c>
      <c r="CO26" s="3">
        <f t="shared" si="17"/>
        <v>0</v>
      </c>
      <c r="CP26" s="3">
        <f t="shared" si="17"/>
        <v>0</v>
      </c>
      <c r="CQ26" s="3">
        <f t="shared" si="17"/>
        <v>0</v>
      </c>
      <c r="CR26" s="3">
        <f t="shared" si="17"/>
        <v>0</v>
      </c>
      <c r="CS26" s="3">
        <f t="shared" si="17"/>
        <v>0</v>
      </c>
      <c r="CT26" s="3">
        <f t="shared" si="17"/>
        <v>0</v>
      </c>
      <c r="CU26" s="3">
        <f t="shared" si="17"/>
        <v>0</v>
      </c>
      <c r="CV26" s="3">
        <f t="shared" si="17"/>
        <v>0</v>
      </c>
      <c r="CW26" s="3">
        <f t="shared" si="17"/>
        <v>0</v>
      </c>
      <c r="CX26" s="3">
        <f t="shared" si="17"/>
        <v>0</v>
      </c>
      <c r="CY26" s="3">
        <f t="shared" si="17"/>
        <v>0</v>
      </c>
      <c r="CZ26" s="3">
        <f t="shared" si="17"/>
        <v>0</v>
      </c>
      <c r="DA26" s="3">
        <f t="shared" si="17"/>
        <v>0</v>
      </c>
      <c r="DB26" s="3">
        <f t="shared" si="17"/>
        <v>0</v>
      </c>
      <c r="DC26" s="3">
        <f t="shared" si="17"/>
        <v>0</v>
      </c>
      <c r="DD26" s="3">
        <f t="shared" si="17"/>
        <v>0</v>
      </c>
      <c r="DE26" s="3">
        <f t="shared" si="17"/>
        <v>0</v>
      </c>
      <c r="DF26" s="3">
        <f t="shared" si="17"/>
        <v>0</v>
      </c>
      <c r="DG26" s="4">
        <f t="shared" ref="DG26:EL26" si="18">DG43</f>
        <v>331758.03999999998</v>
      </c>
      <c r="DH26" s="4">
        <f t="shared" si="18"/>
        <v>142356.4</v>
      </c>
      <c r="DI26" s="4">
        <f t="shared" si="18"/>
        <v>75785.399999999994</v>
      </c>
      <c r="DJ26" s="4">
        <f t="shared" si="18"/>
        <v>33755.019999999997</v>
      </c>
      <c r="DK26" s="4">
        <f t="shared" si="18"/>
        <v>113616.24</v>
      </c>
      <c r="DL26" s="4">
        <f t="shared" si="18"/>
        <v>0</v>
      </c>
      <c r="DM26" s="4">
        <f t="shared" si="18"/>
        <v>229.6156608</v>
      </c>
      <c r="DN26" s="4">
        <f t="shared" si="18"/>
        <v>0</v>
      </c>
      <c r="DO26" s="4">
        <f t="shared" si="18"/>
        <v>0</v>
      </c>
      <c r="DP26" s="4">
        <f t="shared" si="18"/>
        <v>100186.02</v>
      </c>
      <c r="DQ26" s="4">
        <f t="shared" si="18"/>
        <v>48496.78</v>
      </c>
      <c r="DR26" s="4">
        <f t="shared" si="18"/>
        <v>0</v>
      </c>
      <c r="DS26" s="4">
        <f t="shared" si="18"/>
        <v>0</v>
      </c>
      <c r="DT26" s="4">
        <f t="shared" si="18"/>
        <v>331758.03999999998</v>
      </c>
      <c r="DU26" s="4">
        <f t="shared" si="18"/>
        <v>142356.4</v>
      </c>
      <c r="DV26" s="4">
        <f t="shared" si="18"/>
        <v>75785.399999999994</v>
      </c>
      <c r="DW26" s="4">
        <f t="shared" si="18"/>
        <v>33755.019999999997</v>
      </c>
      <c r="DX26" s="4">
        <f t="shared" si="18"/>
        <v>113616.24</v>
      </c>
      <c r="DY26" s="4">
        <f t="shared" si="18"/>
        <v>0</v>
      </c>
      <c r="DZ26" s="4">
        <f t="shared" si="18"/>
        <v>229.6156608</v>
      </c>
      <c r="EA26" s="4">
        <f t="shared" si="18"/>
        <v>0</v>
      </c>
      <c r="EB26" s="4">
        <f t="shared" si="18"/>
        <v>0</v>
      </c>
      <c r="EC26" s="4">
        <f t="shared" si="18"/>
        <v>100186.02</v>
      </c>
      <c r="ED26" s="4">
        <f t="shared" si="18"/>
        <v>48496.78</v>
      </c>
      <c r="EE26" s="4">
        <f t="shared" si="18"/>
        <v>0</v>
      </c>
      <c r="EF26" s="4">
        <f t="shared" si="18"/>
        <v>0</v>
      </c>
      <c r="EG26" s="4">
        <f t="shared" si="18"/>
        <v>0</v>
      </c>
      <c r="EH26" s="4">
        <f t="shared" si="18"/>
        <v>0</v>
      </c>
      <c r="EI26" s="4">
        <f t="shared" si="18"/>
        <v>0</v>
      </c>
      <c r="EJ26" s="4">
        <f t="shared" si="18"/>
        <v>534448.87</v>
      </c>
      <c r="EK26" s="4">
        <f t="shared" si="18"/>
        <v>534448.87</v>
      </c>
      <c r="EL26" s="4">
        <f t="shared" si="18"/>
        <v>0</v>
      </c>
      <c r="EM26" s="4">
        <f t="shared" ref="EM26:FR26" si="19">EM43</f>
        <v>0</v>
      </c>
      <c r="EN26" s="4">
        <f t="shared" si="19"/>
        <v>142356.4</v>
      </c>
      <c r="EO26" s="4">
        <f t="shared" si="19"/>
        <v>142356.4</v>
      </c>
      <c r="EP26" s="4">
        <f t="shared" si="19"/>
        <v>0</v>
      </c>
      <c r="EQ26" s="4">
        <f t="shared" si="19"/>
        <v>142356.4</v>
      </c>
      <c r="ER26" s="4">
        <f t="shared" si="19"/>
        <v>0</v>
      </c>
      <c r="ES26" s="4">
        <f t="shared" si="19"/>
        <v>0</v>
      </c>
      <c r="ET26" s="4">
        <f t="shared" si="19"/>
        <v>0</v>
      </c>
      <c r="EU26" s="4">
        <f t="shared" si="19"/>
        <v>0</v>
      </c>
      <c r="EV26" s="4">
        <f t="shared" si="19"/>
        <v>0</v>
      </c>
      <c r="EW26" s="4">
        <f t="shared" si="19"/>
        <v>0</v>
      </c>
      <c r="EX26" s="4">
        <f t="shared" si="19"/>
        <v>0</v>
      </c>
      <c r="EY26" s="4">
        <f t="shared" si="19"/>
        <v>0</v>
      </c>
      <c r="EZ26" s="4">
        <f t="shared" si="19"/>
        <v>0</v>
      </c>
      <c r="FA26" s="4">
        <f t="shared" si="19"/>
        <v>0</v>
      </c>
      <c r="FB26" s="4">
        <f t="shared" si="19"/>
        <v>0</v>
      </c>
      <c r="FC26" s="4">
        <f t="shared" si="19"/>
        <v>0</v>
      </c>
      <c r="FD26" s="4">
        <f t="shared" si="19"/>
        <v>0</v>
      </c>
      <c r="FE26" s="4">
        <f t="shared" si="19"/>
        <v>0</v>
      </c>
      <c r="FF26" s="4">
        <f t="shared" si="19"/>
        <v>0</v>
      </c>
      <c r="FG26" s="4">
        <f t="shared" si="19"/>
        <v>0</v>
      </c>
      <c r="FH26" s="4">
        <f t="shared" si="19"/>
        <v>0</v>
      </c>
      <c r="FI26" s="4">
        <f t="shared" si="19"/>
        <v>0</v>
      </c>
      <c r="FJ26" s="4">
        <f t="shared" si="19"/>
        <v>0</v>
      </c>
      <c r="FK26" s="4">
        <f t="shared" si="19"/>
        <v>0</v>
      </c>
      <c r="FL26" s="4">
        <f t="shared" si="19"/>
        <v>0</v>
      </c>
      <c r="FM26" s="4">
        <f t="shared" si="19"/>
        <v>0</v>
      </c>
      <c r="FN26" s="4">
        <f t="shared" si="19"/>
        <v>0</v>
      </c>
      <c r="FO26" s="4">
        <f t="shared" si="19"/>
        <v>0</v>
      </c>
      <c r="FP26" s="4">
        <f t="shared" si="19"/>
        <v>0</v>
      </c>
      <c r="FQ26" s="4">
        <f t="shared" si="19"/>
        <v>0</v>
      </c>
      <c r="FR26" s="4">
        <f t="shared" si="19"/>
        <v>0</v>
      </c>
      <c r="FS26" s="4">
        <f t="shared" ref="FS26:GX26" si="20">FS43</f>
        <v>534448.87</v>
      </c>
      <c r="FT26" s="4">
        <f t="shared" si="20"/>
        <v>534448.87</v>
      </c>
      <c r="FU26" s="4">
        <f t="shared" si="20"/>
        <v>0</v>
      </c>
      <c r="FV26" s="4">
        <f t="shared" si="20"/>
        <v>0</v>
      </c>
      <c r="FW26" s="4">
        <f t="shared" si="20"/>
        <v>142356.4</v>
      </c>
      <c r="FX26" s="4">
        <f t="shared" si="20"/>
        <v>142356.4</v>
      </c>
      <c r="FY26" s="4">
        <f t="shared" si="20"/>
        <v>0</v>
      </c>
      <c r="FZ26" s="4">
        <f t="shared" si="20"/>
        <v>142356.4</v>
      </c>
      <c r="GA26" s="4">
        <f t="shared" si="20"/>
        <v>0</v>
      </c>
      <c r="GB26" s="4">
        <f t="shared" si="20"/>
        <v>0</v>
      </c>
      <c r="GC26" s="4">
        <f t="shared" si="20"/>
        <v>0</v>
      </c>
      <c r="GD26" s="4">
        <f t="shared" si="20"/>
        <v>0</v>
      </c>
      <c r="GE26" s="4">
        <f t="shared" si="20"/>
        <v>0</v>
      </c>
      <c r="GF26" s="4">
        <f t="shared" si="20"/>
        <v>0</v>
      </c>
      <c r="GG26" s="4">
        <f t="shared" si="20"/>
        <v>0</v>
      </c>
      <c r="GH26" s="4">
        <f t="shared" si="20"/>
        <v>0</v>
      </c>
      <c r="GI26" s="4">
        <f t="shared" si="20"/>
        <v>0</v>
      </c>
      <c r="GJ26" s="4">
        <f t="shared" si="20"/>
        <v>0</v>
      </c>
      <c r="GK26" s="4">
        <f t="shared" si="20"/>
        <v>0</v>
      </c>
      <c r="GL26" s="4">
        <f t="shared" si="20"/>
        <v>0</v>
      </c>
      <c r="GM26" s="4">
        <f t="shared" si="20"/>
        <v>0</v>
      </c>
      <c r="GN26" s="4">
        <f t="shared" si="20"/>
        <v>0</v>
      </c>
      <c r="GO26" s="4">
        <f t="shared" si="20"/>
        <v>0</v>
      </c>
      <c r="GP26" s="4">
        <f t="shared" si="20"/>
        <v>0</v>
      </c>
      <c r="GQ26" s="4">
        <f t="shared" si="20"/>
        <v>0</v>
      </c>
      <c r="GR26" s="4">
        <f t="shared" si="20"/>
        <v>0</v>
      </c>
      <c r="GS26" s="4">
        <f t="shared" si="20"/>
        <v>0</v>
      </c>
      <c r="GT26" s="4">
        <f t="shared" si="20"/>
        <v>0</v>
      </c>
      <c r="GU26" s="4">
        <f t="shared" si="20"/>
        <v>0</v>
      </c>
      <c r="GV26" s="4">
        <f t="shared" si="20"/>
        <v>0</v>
      </c>
      <c r="GW26" s="4">
        <f t="shared" si="20"/>
        <v>0</v>
      </c>
      <c r="GX26" s="4">
        <f t="shared" si="20"/>
        <v>0</v>
      </c>
    </row>
    <row r="28" spans="1:255">
      <c r="A28" s="2">
        <v>17</v>
      </c>
      <c r="B28" s="2">
        <v>1</v>
      </c>
      <c r="C28" s="2"/>
      <c r="D28" s="2">
        <f>ROW(EtalonRes!A3)</f>
        <v>3</v>
      </c>
      <c r="E28" s="2" t="s">
        <v>19</v>
      </c>
      <c r="F28" s="2" t="s">
        <v>20</v>
      </c>
      <c r="G28" s="2" t="s">
        <v>21</v>
      </c>
      <c r="H28" s="2" t="s">
        <v>22</v>
      </c>
      <c r="I28" s="2">
        <f>ROUND((600*0.6*0.8)/100*0.5,9)</f>
        <v>1.44</v>
      </c>
      <c r="J28" s="2">
        <v>0</v>
      </c>
      <c r="K28" s="2">
        <f>ROUND((600*0.6*0.8)/100*0.5,9)</f>
        <v>1.44</v>
      </c>
      <c r="L28" s="2"/>
      <c r="M28" s="2"/>
      <c r="N28" s="2"/>
      <c r="O28" s="2">
        <f t="shared" ref="O28:O41" si="21">ROUND(CP28,2)</f>
        <v>2352.91</v>
      </c>
      <c r="P28" s="2">
        <f t="shared" ref="P28:P41" si="22">ROUND((ROUND((AC28*AW28*I28),2)*BC28),2)</f>
        <v>0</v>
      </c>
      <c r="Q28" s="2">
        <f>(ROUND((ROUND(((ET28)*AV28*I28),2)*BB28),2)+ROUND((ROUND(((AE28-(EU28))*AV28*I28),2)*BS28),2))</f>
        <v>2301.16</v>
      </c>
      <c r="R28" s="2">
        <f t="shared" ref="R28:R41" si="23">ROUND((ROUND((AE28*AV28*I28),2)*BS28),2)</f>
        <v>227.4</v>
      </c>
      <c r="S28" s="2">
        <f t="shared" ref="S28:S41" si="24">ROUND((ROUND((AF28*AV28*I28),2)*BA28),2)</f>
        <v>51.75</v>
      </c>
      <c r="T28" s="2">
        <f t="shared" ref="T28:T41" si="25">ROUND(CU28*I28,2)</f>
        <v>0</v>
      </c>
      <c r="U28" s="2">
        <f t="shared" ref="U28:U41" si="26">CV28*I28</f>
        <v>5.0636159999999997</v>
      </c>
      <c r="V28" s="2">
        <f t="shared" ref="V28:V41" si="27">CW28*I28</f>
        <v>0</v>
      </c>
      <c r="W28" s="2">
        <f t="shared" ref="W28:W41" si="28">ROUND(CX28*I28,2)</f>
        <v>0</v>
      </c>
      <c r="X28" s="2">
        <f t="shared" ref="X28:X41" si="29">ROUND(CY28,2)</f>
        <v>50.72</v>
      </c>
      <c r="Y28" s="2">
        <f t="shared" ref="Y28:Y41" si="30">ROUND(CZ28,2)</f>
        <v>39.85</v>
      </c>
      <c r="Z28" s="2"/>
      <c r="AA28" s="2">
        <v>70305038</v>
      </c>
      <c r="AB28" s="2">
        <f t="shared" ref="AB28:AB41" si="31">ROUND((AC28+AD28+AF28),6)</f>
        <v>1370.78</v>
      </c>
      <c r="AC28" s="2">
        <f t="shared" ref="AC28:AC41" si="32">ROUND((ES28),6)</f>
        <v>0</v>
      </c>
      <c r="AD28" s="2">
        <f>ROUND((((ET28)-(EU28))+AE28),6)</f>
        <v>1340.63</v>
      </c>
      <c r="AE28" s="2">
        <f>ROUND((EU28),6)</f>
        <v>132.47999999999999</v>
      </c>
      <c r="AF28" s="2">
        <f>ROUND((EV28),6)</f>
        <v>30.15</v>
      </c>
      <c r="AG28" s="2">
        <f t="shared" ref="AG28:AG41" si="33">ROUND((AP28),6)</f>
        <v>0</v>
      </c>
      <c r="AH28" s="2">
        <f>(EW28)</f>
        <v>2.95</v>
      </c>
      <c r="AI28" s="2">
        <f>(EX28)</f>
        <v>0</v>
      </c>
      <c r="AJ28" s="2">
        <f t="shared" ref="AJ28:AJ41" si="34">(AS28)</f>
        <v>0</v>
      </c>
      <c r="AK28" s="2">
        <v>1370.78</v>
      </c>
      <c r="AL28" s="2">
        <v>0</v>
      </c>
      <c r="AM28" s="2">
        <v>1340.63</v>
      </c>
      <c r="AN28" s="2">
        <v>132.47999999999999</v>
      </c>
      <c r="AO28" s="2">
        <v>30.15</v>
      </c>
      <c r="AP28" s="2">
        <v>0</v>
      </c>
      <c r="AQ28" s="2">
        <v>2.95</v>
      </c>
      <c r="AR28" s="2">
        <v>0</v>
      </c>
      <c r="AS28" s="2">
        <v>0</v>
      </c>
      <c r="AT28" s="2">
        <v>98</v>
      </c>
      <c r="AU28" s="2">
        <v>77</v>
      </c>
      <c r="AV28" s="2">
        <v>1.1919999999999999</v>
      </c>
      <c r="AW28" s="2">
        <v>1</v>
      </c>
      <c r="AX28" s="2"/>
      <c r="AY28" s="2"/>
      <c r="AZ28" s="2">
        <v>1</v>
      </c>
      <c r="BA28" s="2">
        <v>1</v>
      </c>
      <c r="BB28" s="2">
        <v>1</v>
      </c>
      <c r="BC28" s="2">
        <v>1</v>
      </c>
      <c r="BD28" s="2" t="s">
        <v>4</v>
      </c>
      <c r="BE28" s="2" t="s">
        <v>4</v>
      </c>
      <c r="BF28" s="2" t="s">
        <v>4</v>
      </c>
      <c r="BG28" s="2" t="s">
        <v>4</v>
      </c>
      <c r="BH28" s="2">
        <v>0</v>
      </c>
      <c r="BI28" s="2">
        <v>1</v>
      </c>
      <c r="BJ28" s="2" t="s">
        <v>23</v>
      </c>
      <c r="BK28" s="2"/>
      <c r="BL28" s="2"/>
      <c r="BM28" s="2">
        <v>2</v>
      </c>
      <c r="BN28" s="2">
        <v>0</v>
      </c>
      <c r="BO28" s="2" t="s">
        <v>4</v>
      </c>
      <c r="BP28" s="2">
        <v>0</v>
      </c>
      <c r="BQ28" s="2">
        <v>30</v>
      </c>
      <c r="BR28" s="2">
        <v>0</v>
      </c>
      <c r="BS28" s="2">
        <v>1</v>
      </c>
      <c r="BT28" s="2">
        <v>1</v>
      </c>
      <c r="BU28" s="2">
        <v>1</v>
      </c>
      <c r="BV28" s="2">
        <v>1</v>
      </c>
      <c r="BW28" s="2">
        <v>1</v>
      </c>
      <c r="BX28" s="2">
        <v>1</v>
      </c>
      <c r="BY28" s="2" t="s">
        <v>4</v>
      </c>
      <c r="BZ28" s="2">
        <v>98</v>
      </c>
      <c r="CA28" s="2">
        <v>77</v>
      </c>
      <c r="CB28" s="2" t="s">
        <v>4</v>
      </c>
      <c r="CC28" s="2"/>
      <c r="CD28" s="2"/>
      <c r="CE28" s="2">
        <v>30</v>
      </c>
      <c r="CF28" s="2">
        <v>0</v>
      </c>
      <c r="CG28" s="2">
        <v>0</v>
      </c>
      <c r="CH28" s="2"/>
      <c r="CI28" s="2"/>
      <c r="CJ28" s="2"/>
      <c r="CK28" s="2"/>
      <c r="CL28" s="2"/>
      <c r="CM28" s="2">
        <v>0</v>
      </c>
      <c r="CN28" s="2" t="s">
        <v>4</v>
      </c>
      <c r="CO28" s="2">
        <v>0</v>
      </c>
      <c r="CP28" s="2">
        <f t="shared" ref="CP28:CP41" si="35">(P28+Q28+S28)</f>
        <v>2352.91</v>
      </c>
      <c r="CQ28" s="2">
        <f t="shared" ref="CQ28:CQ41" si="36">ROUND((ROUND((AC28*AW28*1),2)*BC28),2)</f>
        <v>0</v>
      </c>
      <c r="CR28" s="2">
        <f>(ROUND((ROUND(((ET28)*AV28*1),2)*BB28),2)+ROUND((ROUND(((AE28-(EU28))*AV28*1),2)*BS28),2))</f>
        <v>1598.03</v>
      </c>
      <c r="CS28" s="2">
        <f t="shared" ref="CS28:CS41" si="37">ROUND((ROUND((AE28*AV28*1),2)*BS28),2)</f>
        <v>157.91999999999999</v>
      </c>
      <c r="CT28" s="2">
        <f t="shared" ref="CT28:CT41" si="38">ROUND((ROUND((AF28*AV28*1),2)*BA28),2)</f>
        <v>35.94</v>
      </c>
      <c r="CU28" s="2">
        <f t="shared" ref="CU28:CU41" si="39">AG28</f>
        <v>0</v>
      </c>
      <c r="CV28" s="2">
        <f t="shared" ref="CV28:CV41" si="40">(AH28*AV28)</f>
        <v>3.5164</v>
      </c>
      <c r="CW28" s="2">
        <f t="shared" ref="CW28:CW41" si="41">AI28</f>
        <v>0</v>
      </c>
      <c r="CX28" s="2">
        <f t="shared" ref="CX28:CX41" si="42">AJ28</f>
        <v>0</v>
      </c>
      <c r="CY28" s="2">
        <f>((S28*BZ28)/100)</f>
        <v>50.715000000000003</v>
      </c>
      <c r="CZ28" s="2">
        <f>((S28*CA28)/100)</f>
        <v>39.847499999999997</v>
      </c>
      <c r="DA28" s="2"/>
      <c r="DB28" s="2"/>
      <c r="DC28" s="2" t="s">
        <v>4</v>
      </c>
      <c r="DD28" s="2" t="s">
        <v>4</v>
      </c>
      <c r="DE28" s="2" t="s">
        <v>4</v>
      </c>
      <c r="DF28" s="2" t="s">
        <v>4</v>
      </c>
      <c r="DG28" s="2" t="s">
        <v>4</v>
      </c>
      <c r="DH28" s="2" t="s">
        <v>4</v>
      </c>
      <c r="DI28" s="2" t="s">
        <v>4</v>
      </c>
      <c r="DJ28" s="2" t="s">
        <v>4</v>
      </c>
      <c r="DK28" s="2" t="s">
        <v>4</v>
      </c>
      <c r="DL28" s="2" t="s">
        <v>4</v>
      </c>
      <c r="DM28" s="2" t="s">
        <v>4</v>
      </c>
      <c r="DN28" s="2">
        <v>0</v>
      </c>
      <c r="DO28" s="2">
        <v>0</v>
      </c>
      <c r="DP28" s="2">
        <v>1</v>
      </c>
      <c r="DQ28" s="2">
        <v>1</v>
      </c>
      <c r="DR28" s="2"/>
      <c r="DS28" s="2"/>
      <c r="DT28" s="2"/>
      <c r="DU28" s="2">
        <v>1013</v>
      </c>
      <c r="DV28" s="2" t="s">
        <v>22</v>
      </c>
      <c r="DW28" s="2" t="s">
        <v>22</v>
      </c>
      <c r="DX28" s="2">
        <v>1</v>
      </c>
      <c r="DY28" s="2"/>
      <c r="DZ28" s="2" t="s">
        <v>4</v>
      </c>
      <c r="EA28" s="2" t="s">
        <v>4</v>
      </c>
      <c r="EB28" s="2" t="s">
        <v>4</v>
      </c>
      <c r="EC28" s="2" t="s">
        <v>4</v>
      </c>
      <c r="ED28" s="2"/>
      <c r="EE28" s="2">
        <v>69252671</v>
      </c>
      <c r="EF28" s="2">
        <v>30</v>
      </c>
      <c r="EG28" s="2" t="s">
        <v>24</v>
      </c>
      <c r="EH28" s="2">
        <v>0</v>
      </c>
      <c r="EI28" s="2" t="s">
        <v>4</v>
      </c>
      <c r="EJ28" s="2">
        <v>1</v>
      </c>
      <c r="EK28" s="2">
        <v>2</v>
      </c>
      <c r="EL28" s="2" t="s">
        <v>25</v>
      </c>
      <c r="EM28" s="2" t="s">
        <v>26</v>
      </c>
      <c r="EN28" s="2"/>
      <c r="EO28" s="2" t="s">
        <v>4</v>
      </c>
      <c r="EP28" s="2"/>
      <c r="EQ28" s="2">
        <v>0</v>
      </c>
      <c r="ER28" s="2">
        <v>1370.78</v>
      </c>
      <c r="ES28" s="2">
        <v>0</v>
      </c>
      <c r="ET28" s="2">
        <v>1340.63</v>
      </c>
      <c r="EU28" s="2">
        <v>132.47999999999999</v>
      </c>
      <c r="EV28" s="2">
        <v>30.15</v>
      </c>
      <c r="EW28" s="2">
        <v>2.95</v>
      </c>
      <c r="EX28" s="2">
        <v>0</v>
      </c>
      <c r="EY28" s="2">
        <v>0</v>
      </c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>
        <v>0</v>
      </c>
      <c r="FR28" s="2">
        <f t="shared" ref="FR28:FR41" si="43">ROUND(IF(BI28=3,GM28,0),2)</f>
        <v>0</v>
      </c>
      <c r="FS28" s="2">
        <v>0</v>
      </c>
      <c r="FT28" s="2"/>
      <c r="FU28" s="2"/>
      <c r="FV28" s="2"/>
      <c r="FW28" s="2"/>
      <c r="FX28" s="2">
        <v>98</v>
      </c>
      <c r="FY28" s="2">
        <v>77</v>
      </c>
      <c r="FZ28" s="2"/>
      <c r="GA28" s="2" t="s">
        <v>4</v>
      </c>
      <c r="GB28" s="2"/>
      <c r="GC28" s="2"/>
      <c r="GD28" s="2">
        <v>0</v>
      </c>
      <c r="GE28" s="2"/>
      <c r="GF28" s="2">
        <v>-2100291655</v>
      </c>
      <c r="GG28" s="2">
        <v>2</v>
      </c>
      <c r="GH28" s="2">
        <v>1</v>
      </c>
      <c r="GI28" s="2">
        <v>-2</v>
      </c>
      <c r="GJ28" s="2">
        <v>0</v>
      </c>
      <c r="GK28" s="2">
        <f>ROUND(R28*(R12)/100,2)</f>
        <v>397.95</v>
      </c>
      <c r="GL28" s="2">
        <f t="shared" ref="GL28:GL41" si="44">ROUND(IF(AND(BH28=3,BI28=3,FS28&lt;&gt;0),P28,0),2)</f>
        <v>0</v>
      </c>
      <c r="GM28" s="2">
        <f t="shared" ref="GM28:GM41" si="45">ROUND(O28+X28+Y28+GK28,2)+GX28</f>
        <v>2841.43</v>
      </c>
      <c r="GN28" s="2">
        <f t="shared" ref="GN28:GN41" si="46">IF(OR(BI28=0,BI28=1),GM28-GX28,0)</f>
        <v>2841.43</v>
      </c>
      <c r="GO28" s="2">
        <f t="shared" ref="GO28:GO41" si="47">IF(BI28=2,GM28-GX28,0)</f>
        <v>0</v>
      </c>
      <c r="GP28" s="2">
        <f t="shared" ref="GP28:GP41" si="48">IF(BI28=4,GM28-GX28,0)</f>
        <v>0</v>
      </c>
      <c r="GQ28" s="2"/>
      <c r="GR28" s="2">
        <v>0</v>
      </c>
      <c r="GS28" s="2">
        <v>0</v>
      </c>
      <c r="GT28" s="2">
        <v>0</v>
      </c>
      <c r="GU28" s="2" t="s">
        <v>4</v>
      </c>
      <c r="GV28" s="2">
        <f t="shared" ref="GV28:GV41" si="49">ROUND((GT28),6)</f>
        <v>0</v>
      </c>
      <c r="GW28" s="2">
        <v>1</v>
      </c>
      <c r="GX28" s="2">
        <f t="shared" ref="GX28:GX41" si="50">ROUND(HC28*I28,2)</f>
        <v>0</v>
      </c>
      <c r="GY28" s="2"/>
      <c r="GZ28" s="2"/>
      <c r="HA28" s="2">
        <v>0</v>
      </c>
      <c r="HB28" s="2">
        <v>0</v>
      </c>
      <c r="HC28" s="2">
        <f t="shared" ref="HC28:HC41" si="51">GV28*GW28</f>
        <v>0</v>
      </c>
      <c r="HD28" s="2"/>
      <c r="HE28" s="2" t="s">
        <v>4</v>
      </c>
      <c r="HF28" s="2" t="s">
        <v>4</v>
      </c>
      <c r="HG28" s="2"/>
      <c r="HH28" s="2"/>
      <c r="HI28" s="2"/>
      <c r="HJ28" s="2"/>
      <c r="HK28" s="2"/>
      <c r="HL28" s="2"/>
      <c r="HM28" s="2" t="s">
        <v>4</v>
      </c>
      <c r="HN28" s="2" t="s">
        <v>4</v>
      </c>
      <c r="HO28" s="2" t="s">
        <v>4</v>
      </c>
      <c r="HP28" s="2" t="s">
        <v>4</v>
      </c>
      <c r="HQ28" s="2" t="s">
        <v>4</v>
      </c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>
        <v>0</v>
      </c>
      <c r="IL28" s="2"/>
      <c r="IM28" s="2"/>
      <c r="IN28" s="2"/>
      <c r="IO28" s="2"/>
      <c r="IP28" s="2"/>
      <c r="IQ28" s="2"/>
      <c r="IR28" s="2"/>
      <c r="IS28" s="2"/>
      <c r="IT28" s="2"/>
      <c r="IU28" s="2"/>
    </row>
    <row r="29" spans="1:255">
      <c r="A29">
        <v>17</v>
      </c>
      <c r="B29">
        <v>1</v>
      </c>
      <c r="D29">
        <f>ROW(EtalonRes!A6)</f>
        <v>6</v>
      </c>
      <c r="E29" t="s">
        <v>19</v>
      </c>
      <c r="F29" t="s">
        <v>20</v>
      </c>
      <c r="G29" t="s">
        <v>21</v>
      </c>
      <c r="H29" t="s">
        <v>22</v>
      </c>
      <c r="I29">
        <f>ROUND((600*0.6*0.8)/100*0.5,9)</f>
        <v>1.44</v>
      </c>
      <c r="J29">
        <v>0</v>
      </c>
      <c r="K29">
        <f>ROUND((600*0.6*0.8)/100*0.5,9)</f>
        <v>1.44</v>
      </c>
      <c r="O29">
        <f t="shared" si="21"/>
        <v>34102.14</v>
      </c>
      <c r="P29">
        <f t="shared" si="22"/>
        <v>0</v>
      </c>
      <c r="Q29">
        <f>(ROUND((ROUND(((ET29)*AV29*I29),2)*BB29),2)+ROUND((ROUND(((AE29-(EU29))*AV29*I29),2)*BS29),2))</f>
        <v>31686.97</v>
      </c>
      <c r="R29">
        <f t="shared" si="23"/>
        <v>10612.76</v>
      </c>
      <c r="S29">
        <f t="shared" si="24"/>
        <v>2415.17</v>
      </c>
      <c r="T29">
        <f t="shared" si="25"/>
        <v>0</v>
      </c>
      <c r="U29">
        <f t="shared" si="26"/>
        <v>5.0636159999999997</v>
      </c>
      <c r="V29">
        <f t="shared" si="27"/>
        <v>0</v>
      </c>
      <c r="W29">
        <f t="shared" si="28"/>
        <v>0</v>
      </c>
      <c r="X29">
        <f t="shared" si="29"/>
        <v>2270.2600000000002</v>
      </c>
      <c r="Y29">
        <f t="shared" si="30"/>
        <v>1231.74</v>
      </c>
      <c r="AA29">
        <v>70305036</v>
      </c>
      <c r="AB29">
        <f t="shared" si="31"/>
        <v>1370.78</v>
      </c>
      <c r="AC29">
        <f t="shared" si="32"/>
        <v>0</v>
      </c>
      <c r="AD29">
        <f>ROUND((((ET29)-(EU29))+AE29),6)</f>
        <v>1340.63</v>
      </c>
      <c r="AE29">
        <f>ROUND((EU29),6)</f>
        <v>132.47999999999999</v>
      </c>
      <c r="AF29">
        <f>ROUND((EV29),6)</f>
        <v>30.15</v>
      </c>
      <c r="AG29">
        <f t="shared" si="33"/>
        <v>0</v>
      </c>
      <c r="AH29">
        <f>(EW29)</f>
        <v>2.95</v>
      </c>
      <c r="AI29">
        <f>(EX29)</f>
        <v>0</v>
      </c>
      <c r="AJ29">
        <f t="shared" si="34"/>
        <v>0</v>
      </c>
      <c r="AK29">
        <v>1370.78</v>
      </c>
      <c r="AL29">
        <v>0</v>
      </c>
      <c r="AM29">
        <v>1340.63</v>
      </c>
      <c r="AN29">
        <v>132.47999999999999</v>
      </c>
      <c r="AO29">
        <v>30.15</v>
      </c>
      <c r="AP29">
        <v>0</v>
      </c>
      <c r="AQ29">
        <v>2.95</v>
      </c>
      <c r="AR29">
        <v>0</v>
      </c>
      <c r="AS29">
        <v>0</v>
      </c>
      <c r="AT29">
        <v>94</v>
      </c>
      <c r="AU29">
        <v>51</v>
      </c>
      <c r="AV29">
        <v>1.1919999999999999</v>
      </c>
      <c r="AW29">
        <v>1</v>
      </c>
      <c r="AZ29">
        <v>1</v>
      </c>
      <c r="BA29">
        <v>46.67</v>
      </c>
      <c r="BB29">
        <v>13.77</v>
      </c>
      <c r="BC29">
        <v>1</v>
      </c>
      <c r="BD29" t="s">
        <v>4</v>
      </c>
      <c r="BE29" t="s">
        <v>4</v>
      </c>
      <c r="BF29" t="s">
        <v>4</v>
      </c>
      <c r="BG29" t="s">
        <v>4</v>
      </c>
      <c r="BH29">
        <v>0</v>
      </c>
      <c r="BI29">
        <v>1</v>
      </c>
      <c r="BJ29" t="s">
        <v>23</v>
      </c>
      <c r="BM29">
        <v>2</v>
      </c>
      <c r="BN29">
        <v>0</v>
      </c>
      <c r="BO29" t="s">
        <v>20</v>
      </c>
      <c r="BP29">
        <v>1</v>
      </c>
      <c r="BQ29">
        <v>30</v>
      </c>
      <c r="BR29">
        <v>0</v>
      </c>
      <c r="BS29">
        <v>46.67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4</v>
      </c>
      <c r="BZ29">
        <v>94</v>
      </c>
      <c r="CA29">
        <v>51</v>
      </c>
      <c r="CB29" t="s">
        <v>4</v>
      </c>
      <c r="CE29">
        <v>30</v>
      </c>
      <c r="CF29">
        <v>0</v>
      </c>
      <c r="CG29">
        <v>0</v>
      </c>
      <c r="CM29">
        <v>0</v>
      </c>
      <c r="CN29" t="s">
        <v>4</v>
      </c>
      <c r="CO29">
        <v>0</v>
      </c>
      <c r="CP29">
        <f t="shared" si="35"/>
        <v>34102.14</v>
      </c>
      <c r="CQ29">
        <f t="shared" si="36"/>
        <v>0</v>
      </c>
      <c r="CR29">
        <f>(ROUND((ROUND(((ET29)*AV29*1),2)*BB29),2)+ROUND((ROUND(((AE29-(EU29))*AV29*1),2)*BS29),2))</f>
        <v>22004.87</v>
      </c>
      <c r="CS29">
        <f t="shared" si="37"/>
        <v>7370.13</v>
      </c>
      <c r="CT29">
        <f t="shared" si="38"/>
        <v>1677.32</v>
      </c>
      <c r="CU29">
        <f t="shared" si="39"/>
        <v>0</v>
      </c>
      <c r="CV29">
        <f t="shared" si="40"/>
        <v>3.5164</v>
      </c>
      <c r="CW29">
        <f t="shared" si="41"/>
        <v>0</v>
      </c>
      <c r="CX29">
        <f t="shared" si="42"/>
        <v>0</v>
      </c>
      <c r="CY29">
        <f>S29*(BZ29/100)</f>
        <v>2270.2597999999998</v>
      </c>
      <c r="CZ29">
        <f>S29*(CA29/100)</f>
        <v>1231.7367000000002</v>
      </c>
      <c r="DC29" t="s">
        <v>4</v>
      </c>
      <c r="DD29" t="s">
        <v>4</v>
      </c>
      <c r="DE29" t="s">
        <v>4</v>
      </c>
      <c r="DF29" t="s">
        <v>4</v>
      </c>
      <c r="DG29" t="s">
        <v>4</v>
      </c>
      <c r="DH29" t="s">
        <v>4</v>
      </c>
      <c r="DI29" t="s">
        <v>4</v>
      </c>
      <c r="DJ29" t="s">
        <v>4</v>
      </c>
      <c r="DK29" t="s">
        <v>4</v>
      </c>
      <c r="DL29" t="s">
        <v>4</v>
      </c>
      <c r="DM29" t="s">
        <v>4</v>
      </c>
      <c r="DN29">
        <v>98</v>
      </c>
      <c r="DO29">
        <v>77</v>
      </c>
      <c r="DP29">
        <v>1.1919999999999999</v>
      </c>
      <c r="DQ29">
        <v>1</v>
      </c>
      <c r="DU29">
        <v>1013</v>
      </c>
      <c r="DV29" t="s">
        <v>22</v>
      </c>
      <c r="DW29" t="s">
        <v>22</v>
      </c>
      <c r="DX29">
        <v>1</v>
      </c>
      <c r="DZ29" t="s">
        <v>4</v>
      </c>
      <c r="EA29" t="s">
        <v>4</v>
      </c>
      <c r="EB29" t="s">
        <v>4</v>
      </c>
      <c r="EC29" t="s">
        <v>4</v>
      </c>
      <c r="EE29">
        <v>69252671</v>
      </c>
      <c r="EF29">
        <v>30</v>
      </c>
      <c r="EG29" t="s">
        <v>24</v>
      </c>
      <c r="EH29">
        <v>0</v>
      </c>
      <c r="EI29" t="s">
        <v>4</v>
      </c>
      <c r="EJ29">
        <v>1</v>
      </c>
      <c r="EK29">
        <v>2</v>
      </c>
      <c r="EL29" t="s">
        <v>25</v>
      </c>
      <c r="EM29" t="s">
        <v>26</v>
      </c>
      <c r="EO29" t="s">
        <v>4</v>
      </c>
      <c r="EQ29">
        <v>0</v>
      </c>
      <c r="ER29">
        <v>1370.78</v>
      </c>
      <c r="ES29">
        <v>0</v>
      </c>
      <c r="ET29">
        <v>1340.63</v>
      </c>
      <c r="EU29">
        <v>132.47999999999999</v>
      </c>
      <c r="EV29">
        <v>30.15</v>
      </c>
      <c r="EW29">
        <v>2.95</v>
      </c>
      <c r="EX29">
        <v>0</v>
      </c>
      <c r="EY29">
        <v>0</v>
      </c>
      <c r="FQ29">
        <v>0</v>
      </c>
      <c r="FR29">
        <f t="shared" si="43"/>
        <v>0</v>
      </c>
      <c r="FS29">
        <v>0</v>
      </c>
      <c r="FX29">
        <v>98</v>
      </c>
      <c r="FY29">
        <v>77</v>
      </c>
      <c r="GA29" t="s">
        <v>4</v>
      </c>
      <c r="GD29">
        <v>0</v>
      </c>
      <c r="GF29">
        <v>-2100291655</v>
      </c>
      <c r="GG29">
        <v>2</v>
      </c>
      <c r="GH29">
        <v>1</v>
      </c>
      <c r="GI29">
        <v>2</v>
      </c>
      <c r="GJ29">
        <v>0</v>
      </c>
      <c r="GK29">
        <f>ROUND(R29*(S12)/100,2)</f>
        <v>16980.419999999998</v>
      </c>
      <c r="GL29">
        <f t="shared" si="44"/>
        <v>0</v>
      </c>
      <c r="GM29">
        <f t="shared" si="45"/>
        <v>54584.56</v>
      </c>
      <c r="GN29">
        <f t="shared" si="46"/>
        <v>54584.56</v>
      </c>
      <c r="GO29">
        <f t="shared" si="47"/>
        <v>0</v>
      </c>
      <c r="GP29">
        <f t="shared" si="48"/>
        <v>0</v>
      </c>
      <c r="GR29">
        <v>0</v>
      </c>
      <c r="GS29">
        <v>3</v>
      </c>
      <c r="GT29">
        <v>0</v>
      </c>
      <c r="GU29" t="s">
        <v>4</v>
      </c>
      <c r="GV29">
        <f t="shared" si="49"/>
        <v>0</v>
      </c>
      <c r="GW29">
        <v>1</v>
      </c>
      <c r="GX29">
        <f t="shared" si="50"/>
        <v>0</v>
      </c>
      <c r="HA29">
        <v>0</v>
      </c>
      <c r="HB29">
        <v>0</v>
      </c>
      <c r="HC29">
        <f t="shared" si="51"/>
        <v>0</v>
      </c>
      <c r="HE29" t="s">
        <v>4</v>
      </c>
      <c r="HF29" t="s">
        <v>4</v>
      </c>
      <c r="HM29" t="s">
        <v>4</v>
      </c>
      <c r="HN29" t="s">
        <v>4</v>
      </c>
      <c r="HO29" t="s">
        <v>4</v>
      </c>
      <c r="HP29" t="s">
        <v>4</v>
      </c>
      <c r="HQ29" t="s">
        <v>4</v>
      </c>
      <c r="IK29">
        <v>0</v>
      </c>
    </row>
    <row r="30" spans="1:255">
      <c r="A30" s="2">
        <v>17</v>
      </c>
      <c r="B30" s="2">
        <v>1</v>
      </c>
      <c r="C30" s="2"/>
      <c r="D30" s="2">
        <f>ROW(EtalonRes!A8)</f>
        <v>8</v>
      </c>
      <c r="E30" s="2" t="s">
        <v>27</v>
      </c>
      <c r="F30" s="2" t="s">
        <v>28</v>
      </c>
      <c r="G30" s="2" t="s">
        <v>29</v>
      </c>
      <c r="H30" s="2" t="s">
        <v>22</v>
      </c>
      <c r="I30" s="2">
        <f>ROUND((600*0.6*0.8)/100*0.25,9)</f>
        <v>0.72</v>
      </c>
      <c r="J30" s="2">
        <v>0</v>
      </c>
      <c r="K30" s="2">
        <f>ROUND((600*0.6*0.8)/100*0.25,9)</f>
        <v>0.72</v>
      </c>
      <c r="L30" s="2"/>
      <c r="M30" s="2"/>
      <c r="N30" s="2"/>
      <c r="O30" s="2">
        <f t="shared" si="21"/>
        <v>972.44</v>
      </c>
      <c r="P30" s="2">
        <f t="shared" si="22"/>
        <v>0</v>
      </c>
      <c r="Q30" s="2">
        <f>(ROUND((ROUND((((ET30*1.2))*AV30*I30),2)*BB30),2)+ROUND((ROUND(((AE30-((EU30*1.2)))*AV30*I30),2)*BS30),2))</f>
        <v>959.92</v>
      </c>
      <c r="R30" s="2">
        <f t="shared" si="23"/>
        <v>94.64</v>
      </c>
      <c r="S30" s="2">
        <f t="shared" si="24"/>
        <v>12.52</v>
      </c>
      <c r="T30" s="2">
        <f t="shared" si="25"/>
        <v>0</v>
      </c>
      <c r="U30" s="2">
        <f t="shared" si="26"/>
        <v>1.22556672</v>
      </c>
      <c r="V30" s="2">
        <f t="shared" si="27"/>
        <v>0</v>
      </c>
      <c r="W30" s="2">
        <f t="shared" si="28"/>
        <v>0</v>
      </c>
      <c r="X30" s="2">
        <f t="shared" si="29"/>
        <v>12.27</v>
      </c>
      <c r="Y30" s="2">
        <f t="shared" si="30"/>
        <v>9.64</v>
      </c>
      <c r="Z30" s="2"/>
      <c r="AA30" s="2">
        <v>70305038</v>
      </c>
      <c r="AB30" s="2">
        <f t="shared" si="31"/>
        <v>1133.0640000000001</v>
      </c>
      <c r="AC30" s="2">
        <f t="shared" si="32"/>
        <v>0</v>
      </c>
      <c r="AD30" s="2">
        <f>ROUND(((((ET30*1.2))-((EU30*1.2)))+AE30),6)</f>
        <v>1118.472</v>
      </c>
      <c r="AE30" s="2">
        <f>ROUND(((EU30*1.2)),6)</f>
        <v>110.268</v>
      </c>
      <c r="AF30" s="2">
        <f>ROUND(((EV30*1.2)),6)</f>
        <v>14.592000000000001</v>
      </c>
      <c r="AG30" s="2">
        <f t="shared" si="33"/>
        <v>0</v>
      </c>
      <c r="AH30" s="2">
        <f>((EW30*1.2))</f>
        <v>1.4279999999999999</v>
      </c>
      <c r="AI30" s="2">
        <f>((EX30*1.2))</f>
        <v>0</v>
      </c>
      <c r="AJ30" s="2">
        <f t="shared" si="34"/>
        <v>0</v>
      </c>
      <c r="AK30" s="2">
        <v>944.22</v>
      </c>
      <c r="AL30" s="2">
        <v>0</v>
      </c>
      <c r="AM30" s="2">
        <v>932.06</v>
      </c>
      <c r="AN30" s="2">
        <v>91.89</v>
      </c>
      <c r="AO30" s="2">
        <v>12.16</v>
      </c>
      <c r="AP30" s="2">
        <v>0</v>
      </c>
      <c r="AQ30" s="2">
        <v>1.19</v>
      </c>
      <c r="AR30" s="2">
        <v>0</v>
      </c>
      <c r="AS30" s="2">
        <v>0</v>
      </c>
      <c r="AT30" s="2">
        <v>98</v>
      </c>
      <c r="AU30" s="2">
        <v>77</v>
      </c>
      <c r="AV30" s="2">
        <v>1.1919999999999999</v>
      </c>
      <c r="AW30" s="2">
        <v>1</v>
      </c>
      <c r="AX30" s="2"/>
      <c r="AY30" s="2"/>
      <c r="AZ30" s="2">
        <v>1</v>
      </c>
      <c r="BA30" s="2">
        <v>1</v>
      </c>
      <c r="BB30" s="2">
        <v>1</v>
      </c>
      <c r="BC30" s="2">
        <v>1</v>
      </c>
      <c r="BD30" s="2" t="s">
        <v>4</v>
      </c>
      <c r="BE30" s="2" t="s">
        <v>4</v>
      </c>
      <c r="BF30" s="2" t="s">
        <v>4</v>
      </c>
      <c r="BG30" s="2" t="s">
        <v>4</v>
      </c>
      <c r="BH30" s="2">
        <v>0</v>
      </c>
      <c r="BI30" s="2">
        <v>1</v>
      </c>
      <c r="BJ30" s="2" t="s">
        <v>30</v>
      </c>
      <c r="BK30" s="2"/>
      <c r="BL30" s="2"/>
      <c r="BM30" s="2">
        <v>2</v>
      </c>
      <c r="BN30" s="2">
        <v>0</v>
      </c>
      <c r="BO30" s="2" t="s">
        <v>4</v>
      </c>
      <c r="BP30" s="2">
        <v>0</v>
      </c>
      <c r="BQ30" s="2">
        <v>30</v>
      </c>
      <c r="BR30" s="2">
        <v>0</v>
      </c>
      <c r="BS30" s="2">
        <v>1</v>
      </c>
      <c r="BT30" s="2">
        <v>1</v>
      </c>
      <c r="BU30" s="2">
        <v>1</v>
      </c>
      <c r="BV30" s="2">
        <v>1</v>
      </c>
      <c r="BW30" s="2">
        <v>1</v>
      </c>
      <c r="BX30" s="2">
        <v>1</v>
      </c>
      <c r="BY30" s="2" t="s">
        <v>4</v>
      </c>
      <c r="BZ30" s="2">
        <v>98</v>
      </c>
      <c r="CA30" s="2">
        <v>77</v>
      </c>
      <c r="CB30" s="2" t="s">
        <v>4</v>
      </c>
      <c r="CC30" s="2"/>
      <c r="CD30" s="2"/>
      <c r="CE30" s="2">
        <v>30</v>
      </c>
      <c r="CF30" s="2">
        <v>0</v>
      </c>
      <c r="CG30" s="2">
        <v>0</v>
      </c>
      <c r="CH30" s="2"/>
      <c r="CI30" s="2"/>
      <c r="CJ30" s="2"/>
      <c r="CK30" s="2"/>
      <c r="CL30" s="2"/>
      <c r="CM30" s="2">
        <v>0</v>
      </c>
      <c r="CN30" s="2" t="s">
        <v>521</v>
      </c>
      <c r="CO30" s="2">
        <v>0</v>
      </c>
      <c r="CP30" s="2">
        <f t="shared" si="35"/>
        <v>972.43999999999994</v>
      </c>
      <c r="CQ30" s="2">
        <f t="shared" si="36"/>
        <v>0</v>
      </c>
      <c r="CR30" s="2">
        <f>(ROUND((ROUND((((ET30*1.2))*AV30*1),2)*BB30),2)+ROUND((ROUND(((AE30-((EU30*1.2)))*AV30*1),2)*BS30),2))</f>
        <v>1333.22</v>
      </c>
      <c r="CS30" s="2">
        <f t="shared" si="37"/>
        <v>131.44</v>
      </c>
      <c r="CT30" s="2">
        <f t="shared" si="38"/>
        <v>17.39</v>
      </c>
      <c r="CU30" s="2">
        <f t="shared" si="39"/>
        <v>0</v>
      </c>
      <c r="CV30" s="2">
        <f t="shared" si="40"/>
        <v>1.7021759999999999</v>
      </c>
      <c r="CW30" s="2">
        <f t="shared" si="41"/>
        <v>0</v>
      </c>
      <c r="CX30" s="2">
        <f t="shared" si="42"/>
        <v>0</v>
      </c>
      <c r="CY30" s="2">
        <f>((S30*BZ30)/100)</f>
        <v>12.269600000000001</v>
      </c>
      <c r="CZ30" s="2">
        <f>((S30*CA30)/100)</f>
        <v>9.6403999999999996</v>
      </c>
      <c r="DA30" s="2"/>
      <c r="DB30" s="2"/>
      <c r="DC30" s="2" t="s">
        <v>4</v>
      </c>
      <c r="DD30" s="2" t="s">
        <v>4</v>
      </c>
      <c r="DE30" s="2" t="s">
        <v>31</v>
      </c>
      <c r="DF30" s="2" t="s">
        <v>31</v>
      </c>
      <c r="DG30" s="2" t="s">
        <v>31</v>
      </c>
      <c r="DH30" s="2" t="s">
        <v>4</v>
      </c>
      <c r="DI30" s="2" t="s">
        <v>31</v>
      </c>
      <c r="DJ30" s="2" t="s">
        <v>31</v>
      </c>
      <c r="DK30" s="2" t="s">
        <v>4</v>
      </c>
      <c r="DL30" s="2" t="s">
        <v>4</v>
      </c>
      <c r="DM30" s="2" t="s">
        <v>4</v>
      </c>
      <c r="DN30" s="2">
        <v>0</v>
      </c>
      <c r="DO30" s="2">
        <v>0</v>
      </c>
      <c r="DP30" s="2">
        <v>1</v>
      </c>
      <c r="DQ30" s="2">
        <v>1</v>
      </c>
      <c r="DR30" s="2"/>
      <c r="DS30" s="2"/>
      <c r="DT30" s="2"/>
      <c r="DU30" s="2">
        <v>1013</v>
      </c>
      <c r="DV30" s="2" t="s">
        <v>22</v>
      </c>
      <c r="DW30" s="2" t="s">
        <v>22</v>
      </c>
      <c r="DX30" s="2">
        <v>1</v>
      </c>
      <c r="DY30" s="2"/>
      <c r="DZ30" s="2" t="s">
        <v>4</v>
      </c>
      <c r="EA30" s="2" t="s">
        <v>4</v>
      </c>
      <c r="EB30" s="2" t="s">
        <v>4</v>
      </c>
      <c r="EC30" s="2" t="s">
        <v>4</v>
      </c>
      <c r="ED30" s="2"/>
      <c r="EE30" s="2">
        <v>69252671</v>
      </c>
      <c r="EF30" s="2">
        <v>30</v>
      </c>
      <c r="EG30" s="2" t="s">
        <v>24</v>
      </c>
      <c r="EH30" s="2">
        <v>0</v>
      </c>
      <c r="EI30" s="2" t="s">
        <v>4</v>
      </c>
      <c r="EJ30" s="2">
        <v>1</v>
      </c>
      <c r="EK30" s="2">
        <v>2</v>
      </c>
      <c r="EL30" s="2" t="s">
        <v>25</v>
      </c>
      <c r="EM30" s="2" t="s">
        <v>26</v>
      </c>
      <c r="EN30" s="2"/>
      <c r="EO30" s="2" t="s">
        <v>32</v>
      </c>
      <c r="EP30" s="2"/>
      <c r="EQ30" s="2">
        <v>131072</v>
      </c>
      <c r="ER30" s="2">
        <v>944.22</v>
      </c>
      <c r="ES30" s="2">
        <v>0</v>
      </c>
      <c r="ET30" s="2">
        <v>932.06</v>
      </c>
      <c r="EU30" s="2">
        <v>91.89</v>
      </c>
      <c r="EV30" s="2">
        <v>12.16</v>
      </c>
      <c r="EW30" s="2">
        <v>1.19</v>
      </c>
      <c r="EX30" s="2">
        <v>0</v>
      </c>
      <c r="EY30" s="2">
        <v>0</v>
      </c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>
        <v>0</v>
      </c>
      <c r="FR30" s="2">
        <f t="shared" si="43"/>
        <v>0</v>
      </c>
      <c r="FS30" s="2">
        <v>0</v>
      </c>
      <c r="FT30" s="2"/>
      <c r="FU30" s="2"/>
      <c r="FV30" s="2"/>
      <c r="FW30" s="2"/>
      <c r="FX30" s="2">
        <v>98</v>
      </c>
      <c r="FY30" s="2">
        <v>77</v>
      </c>
      <c r="FZ30" s="2"/>
      <c r="GA30" s="2" t="s">
        <v>4</v>
      </c>
      <c r="GB30" s="2"/>
      <c r="GC30" s="2"/>
      <c r="GD30" s="2">
        <v>0</v>
      </c>
      <c r="GE30" s="2"/>
      <c r="GF30" s="2">
        <v>-1493966349</v>
      </c>
      <c r="GG30" s="2">
        <v>2</v>
      </c>
      <c r="GH30" s="2">
        <v>1</v>
      </c>
      <c r="GI30" s="2">
        <v>-2</v>
      </c>
      <c r="GJ30" s="2">
        <v>0</v>
      </c>
      <c r="GK30" s="2">
        <f>ROUND(R30*(R12)/100,2)</f>
        <v>165.62</v>
      </c>
      <c r="GL30" s="2">
        <f t="shared" si="44"/>
        <v>0</v>
      </c>
      <c r="GM30" s="2">
        <f t="shared" si="45"/>
        <v>1159.97</v>
      </c>
      <c r="GN30" s="2">
        <f t="shared" si="46"/>
        <v>1159.97</v>
      </c>
      <c r="GO30" s="2">
        <f t="shared" si="47"/>
        <v>0</v>
      </c>
      <c r="GP30" s="2">
        <f t="shared" si="48"/>
        <v>0</v>
      </c>
      <c r="GQ30" s="2"/>
      <c r="GR30" s="2">
        <v>0</v>
      </c>
      <c r="GS30" s="2">
        <v>0</v>
      </c>
      <c r="GT30" s="2">
        <v>0</v>
      </c>
      <c r="GU30" s="2" t="s">
        <v>4</v>
      </c>
      <c r="GV30" s="2">
        <f t="shared" si="49"/>
        <v>0</v>
      </c>
      <c r="GW30" s="2">
        <v>1</v>
      </c>
      <c r="GX30" s="2">
        <f t="shared" si="50"/>
        <v>0</v>
      </c>
      <c r="GY30" s="2"/>
      <c r="GZ30" s="2"/>
      <c r="HA30" s="2">
        <v>0</v>
      </c>
      <c r="HB30" s="2">
        <v>0</v>
      </c>
      <c r="HC30" s="2">
        <f t="shared" si="51"/>
        <v>0</v>
      </c>
      <c r="HD30" s="2"/>
      <c r="HE30" s="2" t="s">
        <v>4</v>
      </c>
      <c r="HF30" s="2" t="s">
        <v>4</v>
      </c>
      <c r="HG30" s="2"/>
      <c r="HH30" s="2"/>
      <c r="HI30" s="2"/>
      <c r="HJ30" s="2"/>
      <c r="HK30" s="2"/>
      <c r="HL30" s="2"/>
      <c r="HM30" s="2" t="s">
        <v>4</v>
      </c>
      <c r="HN30" s="2" t="s">
        <v>4</v>
      </c>
      <c r="HO30" s="2" t="s">
        <v>4</v>
      </c>
      <c r="HP30" s="2" t="s">
        <v>4</v>
      </c>
      <c r="HQ30" s="2" t="s">
        <v>4</v>
      </c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>
        <v>0</v>
      </c>
      <c r="IL30" s="2"/>
      <c r="IM30" s="2"/>
      <c r="IN30" s="2"/>
      <c r="IO30" s="2"/>
      <c r="IP30" s="2"/>
      <c r="IQ30" s="2"/>
      <c r="IR30" s="2"/>
      <c r="IS30" s="2"/>
      <c r="IT30" s="2"/>
      <c r="IU30" s="2"/>
    </row>
    <row r="31" spans="1:255">
      <c r="A31">
        <v>17</v>
      </c>
      <c r="B31">
        <v>1</v>
      </c>
      <c r="D31">
        <f>ROW(EtalonRes!A10)</f>
        <v>10</v>
      </c>
      <c r="E31" t="s">
        <v>27</v>
      </c>
      <c r="F31" t="s">
        <v>28</v>
      </c>
      <c r="G31" t="s">
        <v>29</v>
      </c>
      <c r="H31" t="s">
        <v>22</v>
      </c>
      <c r="I31">
        <f>ROUND((600*0.6*0.8)/100*0.25,9)</f>
        <v>0.72</v>
      </c>
      <c r="J31">
        <v>0</v>
      </c>
      <c r="K31">
        <f>ROUND((600*0.6*0.8)/100*0.25,9)</f>
        <v>0.72</v>
      </c>
      <c r="O31">
        <f t="shared" si="21"/>
        <v>13821.61</v>
      </c>
      <c r="P31">
        <f t="shared" si="22"/>
        <v>0</v>
      </c>
      <c r="Q31">
        <f>(ROUND((ROUND((((ET31*1.2))*AV31*I31),2)*BB31),2)+ROUND((ROUND(((AE31-((EU31*1.2)))*AV31*I31),2)*BS31),2))</f>
        <v>13237.3</v>
      </c>
      <c r="R31">
        <f t="shared" si="23"/>
        <v>4416.8500000000004</v>
      </c>
      <c r="S31">
        <f t="shared" si="24"/>
        <v>584.30999999999995</v>
      </c>
      <c r="T31">
        <f t="shared" si="25"/>
        <v>0</v>
      </c>
      <c r="U31">
        <f t="shared" si="26"/>
        <v>1.22556672</v>
      </c>
      <c r="V31">
        <f t="shared" si="27"/>
        <v>0</v>
      </c>
      <c r="W31">
        <f t="shared" si="28"/>
        <v>0</v>
      </c>
      <c r="X31">
        <f t="shared" si="29"/>
        <v>549.25</v>
      </c>
      <c r="Y31">
        <f t="shared" si="30"/>
        <v>298</v>
      </c>
      <c r="AA31">
        <v>70305036</v>
      </c>
      <c r="AB31">
        <f t="shared" si="31"/>
        <v>1133.0640000000001</v>
      </c>
      <c r="AC31">
        <f t="shared" si="32"/>
        <v>0</v>
      </c>
      <c r="AD31">
        <f>ROUND(((((ET31*1.2))-((EU31*1.2)))+AE31),6)</f>
        <v>1118.472</v>
      </c>
      <c r="AE31">
        <f>ROUND(((EU31*1.2)),6)</f>
        <v>110.268</v>
      </c>
      <c r="AF31">
        <f>ROUND(((EV31*1.2)),6)</f>
        <v>14.592000000000001</v>
      </c>
      <c r="AG31">
        <f t="shared" si="33"/>
        <v>0</v>
      </c>
      <c r="AH31">
        <f>((EW31*1.2))</f>
        <v>1.4279999999999999</v>
      </c>
      <c r="AI31">
        <f>((EX31*1.2))</f>
        <v>0</v>
      </c>
      <c r="AJ31">
        <f t="shared" si="34"/>
        <v>0</v>
      </c>
      <c r="AK31">
        <v>944.22</v>
      </c>
      <c r="AL31">
        <v>0</v>
      </c>
      <c r="AM31">
        <v>932.06</v>
      </c>
      <c r="AN31">
        <v>91.89</v>
      </c>
      <c r="AO31">
        <v>12.16</v>
      </c>
      <c r="AP31">
        <v>0</v>
      </c>
      <c r="AQ31">
        <v>1.19</v>
      </c>
      <c r="AR31">
        <v>0</v>
      </c>
      <c r="AS31">
        <v>0</v>
      </c>
      <c r="AT31">
        <v>94</v>
      </c>
      <c r="AU31">
        <v>51</v>
      </c>
      <c r="AV31">
        <v>1.1919999999999999</v>
      </c>
      <c r="AW31">
        <v>1</v>
      </c>
      <c r="AZ31">
        <v>1</v>
      </c>
      <c r="BA31">
        <v>46.67</v>
      </c>
      <c r="BB31">
        <v>13.79</v>
      </c>
      <c r="BC31">
        <v>1</v>
      </c>
      <c r="BD31" t="s">
        <v>4</v>
      </c>
      <c r="BE31" t="s">
        <v>4</v>
      </c>
      <c r="BF31" t="s">
        <v>4</v>
      </c>
      <c r="BG31" t="s">
        <v>4</v>
      </c>
      <c r="BH31">
        <v>0</v>
      </c>
      <c r="BI31">
        <v>1</v>
      </c>
      <c r="BJ31" t="s">
        <v>30</v>
      </c>
      <c r="BM31">
        <v>2</v>
      </c>
      <c r="BN31">
        <v>0</v>
      </c>
      <c r="BO31" t="s">
        <v>28</v>
      </c>
      <c r="BP31">
        <v>1</v>
      </c>
      <c r="BQ31">
        <v>30</v>
      </c>
      <c r="BR31">
        <v>0</v>
      </c>
      <c r="BS31">
        <v>46.67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4</v>
      </c>
      <c r="BZ31">
        <v>94</v>
      </c>
      <c r="CA31">
        <v>51</v>
      </c>
      <c r="CB31" t="s">
        <v>4</v>
      </c>
      <c r="CE31">
        <v>30</v>
      </c>
      <c r="CF31">
        <v>0</v>
      </c>
      <c r="CG31">
        <v>0</v>
      </c>
      <c r="CM31">
        <v>0</v>
      </c>
      <c r="CN31" t="s">
        <v>521</v>
      </c>
      <c r="CO31">
        <v>0</v>
      </c>
      <c r="CP31">
        <f t="shared" si="35"/>
        <v>13821.609999999999</v>
      </c>
      <c r="CQ31">
        <f t="shared" si="36"/>
        <v>0</v>
      </c>
      <c r="CR31">
        <f>(ROUND((ROUND((((ET31*1.2))*AV31*1),2)*BB31),2)+ROUND((ROUND(((AE31-((EU31*1.2)))*AV31*1),2)*BS31),2))</f>
        <v>18385.099999999999</v>
      </c>
      <c r="CS31">
        <f t="shared" si="37"/>
        <v>6134.3</v>
      </c>
      <c r="CT31">
        <f t="shared" si="38"/>
        <v>811.59</v>
      </c>
      <c r="CU31">
        <f t="shared" si="39"/>
        <v>0</v>
      </c>
      <c r="CV31">
        <f t="shared" si="40"/>
        <v>1.7021759999999999</v>
      </c>
      <c r="CW31">
        <f t="shared" si="41"/>
        <v>0</v>
      </c>
      <c r="CX31">
        <f t="shared" si="42"/>
        <v>0</v>
      </c>
      <c r="CY31">
        <f>S31*(BZ31/100)</f>
        <v>549.25139999999988</v>
      </c>
      <c r="CZ31">
        <f>S31*(CA31/100)</f>
        <v>297.99809999999997</v>
      </c>
      <c r="DC31" t="s">
        <v>4</v>
      </c>
      <c r="DD31" t="s">
        <v>4</v>
      </c>
      <c r="DE31" t="s">
        <v>31</v>
      </c>
      <c r="DF31" t="s">
        <v>31</v>
      </c>
      <c r="DG31" t="s">
        <v>31</v>
      </c>
      <c r="DH31" t="s">
        <v>4</v>
      </c>
      <c r="DI31" t="s">
        <v>31</v>
      </c>
      <c r="DJ31" t="s">
        <v>31</v>
      </c>
      <c r="DK31" t="s">
        <v>4</v>
      </c>
      <c r="DL31" t="s">
        <v>4</v>
      </c>
      <c r="DM31" t="s">
        <v>4</v>
      </c>
      <c r="DN31">
        <v>98</v>
      </c>
      <c r="DO31">
        <v>77</v>
      </c>
      <c r="DP31">
        <v>1.1919999999999999</v>
      </c>
      <c r="DQ31">
        <v>1</v>
      </c>
      <c r="DU31">
        <v>1013</v>
      </c>
      <c r="DV31" t="s">
        <v>22</v>
      </c>
      <c r="DW31" t="s">
        <v>22</v>
      </c>
      <c r="DX31">
        <v>1</v>
      </c>
      <c r="DZ31" t="s">
        <v>4</v>
      </c>
      <c r="EA31" t="s">
        <v>4</v>
      </c>
      <c r="EB31" t="s">
        <v>4</v>
      </c>
      <c r="EC31" t="s">
        <v>4</v>
      </c>
      <c r="EE31">
        <v>69252671</v>
      </c>
      <c r="EF31">
        <v>30</v>
      </c>
      <c r="EG31" t="s">
        <v>24</v>
      </c>
      <c r="EH31">
        <v>0</v>
      </c>
      <c r="EI31" t="s">
        <v>4</v>
      </c>
      <c r="EJ31">
        <v>1</v>
      </c>
      <c r="EK31">
        <v>2</v>
      </c>
      <c r="EL31" t="s">
        <v>25</v>
      </c>
      <c r="EM31" t="s">
        <v>26</v>
      </c>
      <c r="EO31" t="s">
        <v>32</v>
      </c>
      <c r="EQ31">
        <v>131072</v>
      </c>
      <c r="ER31">
        <v>944.22</v>
      </c>
      <c r="ES31">
        <v>0</v>
      </c>
      <c r="ET31">
        <v>932.06</v>
      </c>
      <c r="EU31">
        <v>91.89</v>
      </c>
      <c r="EV31">
        <v>12.16</v>
      </c>
      <c r="EW31">
        <v>1.19</v>
      </c>
      <c r="EX31">
        <v>0</v>
      </c>
      <c r="EY31">
        <v>0</v>
      </c>
      <c r="FQ31">
        <v>0</v>
      </c>
      <c r="FR31">
        <f t="shared" si="43"/>
        <v>0</v>
      </c>
      <c r="FS31">
        <v>0</v>
      </c>
      <c r="FX31">
        <v>98</v>
      </c>
      <c r="FY31">
        <v>77</v>
      </c>
      <c r="GA31" t="s">
        <v>4</v>
      </c>
      <c r="GD31">
        <v>0</v>
      </c>
      <c r="GF31">
        <v>-1493966349</v>
      </c>
      <c r="GG31">
        <v>2</v>
      </c>
      <c r="GH31">
        <v>1</v>
      </c>
      <c r="GI31">
        <v>2</v>
      </c>
      <c r="GJ31">
        <v>0</v>
      </c>
      <c r="GK31">
        <f>ROUND(R31*(S12)/100,2)</f>
        <v>7066.96</v>
      </c>
      <c r="GL31">
        <f t="shared" si="44"/>
        <v>0</v>
      </c>
      <c r="GM31">
        <f t="shared" si="45"/>
        <v>21735.82</v>
      </c>
      <c r="GN31">
        <f t="shared" si="46"/>
        <v>21735.82</v>
      </c>
      <c r="GO31">
        <f t="shared" si="47"/>
        <v>0</v>
      </c>
      <c r="GP31">
        <f t="shared" si="48"/>
        <v>0</v>
      </c>
      <c r="GR31">
        <v>0</v>
      </c>
      <c r="GS31">
        <v>3</v>
      </c>
      <c r="GT31">
        <v>0</v>
      </c>
      <c r="GU31" t="s">
        <v>4</v>
      </c>
      <c r="GV31">
        <f t="shared" si="49"/>
        <v>0</v>
      </c>
      <c r="GW31">
        <v>1</v>
      </c>
      <c r="GX31">
        <f t="shared" si="50"/>
        <v>0</v>
      </c>
      <c r="HA31">
        <v>0</v>
      </c>
      <c r="HB31">
        <v>0</v>
      </c>
      <c r="HC31">
        <f t="shared" si="51"/>
        <v>0</v>
      </c>
      <c r="HE31" t="s">
        <v>4</v>
      </c>
      <c r="HF31" t="s">
        <v>4</v>
      </c>
      <c r="HM31" t="s">
        <v>4</v>
      </c>
      <c r="HN31" t="s">
        <v>4</v>
      </c>
      <c r="HO31" t="s">
        <v>4</v>
      </c>
      <c r="HP31" t="s">
        <v>4</v>
      </c>
      <c r="HQ31" t="s">
        <v>4</v>
      </c>
      <c r="IK31">
        <v>0</v>
      </c>
    </row>
    <row r="32" spans="1:255">
      <c r="A32" s="2">
        <v>17</v>
      </c>
      <c r="B32" s="2">
        <v>1</v>
      </c>
      <c r="C32" s="2"/>
      <c r="D32" s="2">
        <f>ROW(EtalonRes!A11)</f>
        <v>11</v>
      </c>
      <c r="E32" s="2" t="s">
        <v>33</v>
      </c>
      <c r="F32" s="2" t="s">
        <v>34</v>
      </c>
      <c r="G32" s="2" t="s">
        <v>35</v>
      </c>
      <c r="H32" s="2" t="s">
        <v>22</v>
      </c>
      <c r="I32" s="2">
        <f>ROUND((600*0.6*0.8)/100*0.25,9)</f>
        <v>0.72</v>
      </c>
      <c r="J32" s="2">
        <v>0</v>
      </c>
      <c r="K32" s="2">
        <f>ROUND((600*0.6*0.8)/100*0.25,9)</f>
        <v>0.72</v>
      </c>
      <c r="L32" s="2"/>
      <c r="M32" s="2"/>
      <c r="N32" s="2"/>
      <c r="O32" s="2">
        <f t="shared" si="21"/>
        <v>1835.42</v>
      </c>
      <c r="P32" s="2">
        <f t="shared" si="22"/>
        <v>0</v>
      </c>
      <c r="Q32" s="2">
        <f t="shared" ref="Q32:Q41" si="52">(ROUND((ROUND(((ET32)*AV32*I32),2)*BB32),2)+ROUND((ROUND(((AE32-(EU32))*AV32*I32),2)*BS32),2))</f>
        <v>0</v>
      </c>
      <c r="R32" s="2">
        <f t="shared" si="23"/>
        <v>0</v>
      </c>
      <c r="S32" s="2">
        <f t="shared" si="24"/>
        <v>1835.42</v>
      </c>
      <c r="T32" s="2">
        <f t="shared" si="25"/>
        <v>0</v>
      </c>
      <c r="U32" s="2">
        <f t="shared" si="26"/>
        <v>173.152512</v>
      </c>
      <c r="V32" s="2">
        <f t="shared" si="27"/>
        <v>0</v>
      </c>
      <c r="W32" s="2">
        <f t="shared" si="28"/>
        <v>0</v>
      </c>
      <c r="X32" s="2">
        <f t="shared" si="29"/>
        <v>1927.19</v>
      </c>
      <c r="Y32" s="2">
        <f t="shared" si="30"/>
        <v>1413.27</v>
      </c>
      <c r="Z32" s="2"/>
      <c r="AA32" s="2">
        <v>70305038</v>
      </c>
      <c r="AB32" s="2">
        <f t="shared" si="31"/>
        <v>2042.62</v>
      </c>
      <c r="AC32" s="2">
        <f t="shared" si="32"/>
        <v>0</v>
      </c>
      <c r="AD32" s="2">
        <f t="shared" ref="AD32:AD41" si="53">ROUND((((ET32)-(EU32))+AE32),6)</f>
        <v>0</v>
      </c>
      <c r="AE32" s="2">
        <f t="shared" ref="AE32:AE41" si="54">ROUND((EU32),6)</f>
        <v>0</v>
      </c>
      <c r="AF32" s="2">
        <f t="shared" ref="AF32:AF41" si="55">ROUND((EV32),6)</f>
        <v>2042.62</v>
      </c>
      <c r="AG32" s="2">
        <f t="shared" si="33"/>
        <v>0</v>
      </c>
      <c r="AH32" s="2">
        <f t="shared" ref="AH32:AH41" si="56">(EW32)</f>
        <v>192.7</v>
      </c>
      <c r="AI32" s="2">
        <f t="shared" ref="AI32:AI41" si="57">(EX32)</f>
        <v>0</v>
      </c>
      <c r="AJ32" s="2">
        <f t="shared" si="34"/>
        <v>0</v>
      </c>
      <c r="AK32" s="2">
        <v>2042.62</v>
      </c>
      <c r="AL32" s="2">
        <v>0</v>
      </c>
      <c r="AM32" s="2">
        <v>0</v>
      </c>
      <c r="AN32" s="2">
        <v>0</v>
      </c>
      <c r="AO32" s="2">
        <v>2042.62</v>
      </c>
      <c r="AP32" s="2">
        <v>0</v>
      </c>
      <c r="AQ32" s="2">
        <v>192.7</v>
      </c>
      <c r="AR32" s="2">
        <v>0</v>
      </c>
      <c r="AS32" s="2">
        <v>0</v>
      </c>
      <c r="AT32" s="2">
        <v>105</v>
      </c>
      <c r="AU32" s="2">
        <v>77</v>
      </c>
      <c r="AV32" s="2">
        <v>1.248</v>
      </c>
      <c r="AW32" s="2">
        <v>1</v>
      </c>
      <c r="AX32" s="2"/>
      <c r="AY32" s="2"/>
      <c r="AZ32" s="2">
        <v>1</v>
      </c>
      <c r="BA32" s="2">
        <v>1</v>
      </c>
      <c r="BB32" s="2">
        <v>1</v>
      </c>
      <c r="BC32" s="2">
        <v>1</v>
      </c>
      <c r="BD32" s="2" t="s">
        <v>4</v>
      </c>
      <c r="BE32" s="2" t="s">
        <v>4</v>
      </c>
      <c r="BF32" s="2" t="s">
        <v>4</v>
      </c>
      <c r="BG32" s="2" t="s">
        <v>4</v>
      </c>
      <c r="BH32" s="2">
        <v>0</v>
      </c>
      <c r="BI32" s="2">
        <v>1</v>
      </c>
      <c r="BJ32" s="2" t="s">
        <v>36</v>
      </c>
      <c r="BK32" s="2"/>
      <c r="BL32" s="2"/>
      <c r="BM32" s="2">
        <v>16</v>
      </c>
      <c r="BN32" s="2">
        <v>0</v>
      </c>
      <c r="BO32" s="2" t="s">
        <v>4</v>
      </c>
      <c r="BP32" s="2">
        <v>0</v>
      </c>
      <c r="BQ32" s="2">
        <v>30</v>
      </c>
      <c r="BR32" s="2">
        <v>0</v>
      </c>
      <c r="BS32" s="2">
        <v>1</v>
      </c>
      <c r="BT32" s="2">
        <v>1</v>
      </c>
      <c r="BU32" s="2">
        <v>1</v>
      </c>
      <c r="BV32" s="2">
        <v>1</v>
      </c>
      <c r="BW32" s="2">
        <v>1</v>
      </c>
      <c r="BX32" s="2">
        <v>1</v>
      </c>
      <c r="BY32" s="2" t="s">
        <v>4</v>
      </c>
      <c r="BZ32" s="2">
        <v>105</v>
      </c>
      <c r="CA32" s="2">
        <v>77</v>
      </c>
      <c r="CB32" s="2" t="s">
        <v>4</v>
      </c>
      <c r="CC32" s="2"/>
      <c r="CD32" s="2"/>
      <c r="CE32" s="2">
        <v>30</v>
      </c>
      <c r="CF32" s="2">
        <v>0</v>
      </c>
      <c r="CG32" s="2">
        <v>0</v>
      </c>
      <c r="CH32" s="2"/>
      <c r="CI32" s="2"/>
      <c r="CJ32" s="2"/>
      <c r="CK32" s="2"/>
      <c r="CL32" s="2"/>
      <c r="CM32" s="2">
        <v>0</v>
      </c>
      <c r="CN32" s="2" t="s">
        <v>4</v>
      </c>
      <c r="CO32" s="2">
        <v>0</v>
      </c>
      <c r="CP32" s="2">
        <f t="shared" si="35"/>
        <v>1835.42</v>
      </c>
      <c r="CQ32" s="2">
        <f t="shared" si="36"/>
        <v>0</v>
      </c>
      <c r="CR32" s="2">
        <f t="shared" ref="CR32:CR41" si="58">(ROUND((ROUND(((ET32)*AV32*1),2)*BB32),2)+ROUND((ROUND(((AE32-(EU32))*AV32*1),2)*BS32),2))</f>
        <v>0</v>
      </c>
      <c r="CS32" s="2">
        <f t="shared" si="37"/>
        <v>0</v>
      </c>
      <c r="CT32" s="2">
        <f t="shared" si="38"/>
        <v>2549.19</v>
      </c>
      <c r="CU32" s="2">
        <f t="shared" si="39"/>
        <v>0</v>
      </c>
      <c r="CV32" s="2">
        <f t="shared" si="40"/>
        <v>240.4896</v>
      </c>
      <c r="CW32" s="2">
        <f t="shared" si="41"/>
        <v>0</v>
      </c>
      <c r="CX32" s="2">
        <f t="shared" si="42"/>
        <v>0</v>
      </c>
      <c r="CY32" s="2">
        <f>((S32*BZ32)/100)</f>
        <v>1927.191</v>
      </c>
      <c r="CZ32" s="2">
        <f>((S32*CA32)/100)</f>
        <v>1413.2734</v>
      </c>
      <c r="DA32" s="2"/>
      <c r="DB32" s="2"/>
      <c r="DC32" s="2" t="s">
        <v>4</v>
      </c>
      <c r="DD32" s="2" t="s">
        <v>4</v>
      </c>
      <c r="DE32" s="2" t="s">
        <v>4</v>
      </c>
      <c r="DF32" s="2" t="s">
        <v>4</v>
      </c>
      <c r="DG32" s="2" t="s">
        <v>4</v>
      </c>
      <c r="DH32" s="2" t="s">
        <v>4</v>
      </c>
      <c r="DI32" s="2" t="s">
        <v>4</v>
      </c>
      <c r="DJ32" s="2" t="s">
        <v>4</v>
      </c>
      <c r="DK32" s="2" t="s">
        <v>4</v>
      </c>
      <c r="DL32" s="2" t="s">
        <v>4</v>
      </c>
      <c r="DM32" s="2" t="s">
        <v>4</v>
      </c>
      <c r="DN32" s="2">
        <v>0</v>
      </c>
      <c r="DO32" s="2">
        <v>0</v>
      </c>
      <c r="DP32" s="2">
        <v>1</v>
      </c>
      <c r="DQ32" s="2">
        <v>1</v>
      </c>
      <c r="DR32" s="2"/>
      <c r="DS32" s="2"/>
      <c r="DT32" s="2"/>
      <c r="DU32" s="2">
        <v>1013</v>
      </c>
      <c r="DV32" s="2" t="s">
        <v>22</v>
      </c>
      <c r="DW32" s="2" t="s">
        <v>22</v>
      </c>
      <c r="DX32" s="2">
        <v>1</v>
      </c>
      <c r="DY32" s="2"/>
      <c r="DZ32" s="2" t="s">
        <v>4</v>
      </c>
      <c r="EA32" s="2" t="s">
        <v>4</v>
      </c>
      <c r="EB32" s="2" t="s">
        <v>4</v>
      </c>
      <c r="EC32" s="2" t="s">
        <v>4</v>
      </c>
      <c r="ED32" s="2"/>
      <c r="EE32" s="2">
        <v>69252685</v>
      </c>
      <c r="EF32" s="2">
        <v>30</v>
      </c>
      <c r="EG32" s="2" t="s">
        <v>24</v>
      </c>
      <c r="EH32" s="2">
        <v>0</v>
      </c>
      <c r="EI32" s="2" t="s">
        <v>4</v>
      </c>
      <c r="EJ32" s="2">
        <v>1</v>
      </c>
      <c r="EK32" s="2">
        <v>16</v>
      </c>
      <c r="EL32" s="2" t="s">
        <v>37</v>
      </c>
      <c r="EM32" s="2" t="s">
        <v>38</v>
      </c>
      <c r="EN32" s="2"/>
      <c r="EO32" s="2" t="s">
        <v>4</v>
      </c>
      <c r="EP32" s="2"/>
      <c r="EQ32" s="2">
        <v>131072</v>
      </c>
      <c r="ER32" s="2">
        <v>2042.62</v>
      </c>
      <c r="ES32" s="2">
        <v>0</v>
      </c>
      <c r="ET32" s="2">
        <v>0</v>
      </c>
      <c r="EU32" s="2">
        <v>0</v>
      </c>
      <c r="EV32" s="2">
        <v>2042.62</v>
      </c>
      <c r="EW32" s="2">
        <v>192.7</v>
      </c>
      <c r="EX32" s="2">
        <v>0</v>
      </c>
      <c r="EY32" s="2">
        <v>0</v>
      </c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>
        <v>0</v>
      </c>
      <c r="FR32" s="2">
        <f t="shared" si="43"/>
        <v>0</v>
      </c>
      <c r="FS32" s="2">
        <v>0</v>
      </c>
      <c r="FT32" s="2"/>
      <c r="FU32" s="2"/>
      <c r="FV32" s="2"/>
      <c r="FW32" s="2"/>
      <c r="FX32" s="2">
        <v>105</v>
      </c>
      <c r="FY32" s="2">
        <v>77</v>
      </c>
      <c r="FZ32" s="2"/>
      <c r="GA32" s="2" t="s">
        <v>4</v>
      </c>
      <c r="GB32" s="2"/>
      <c r="GC32" s="2"/>
      <c r="GD32" s="2">
        <v>0</v>
      </c>
      <c r="GE32" s="2"/>
      <c r="GF32" s="2">
        <v>-739433044</v>
      </c>
      <c r="GG32" s="2">
        <v>2</v>
      </c>
      <c r="GH32" s="2">
        <v>1</v>
      </c>
      <c r="GI32" s="2">
        <v>-2</v>
      </c>
      <c r="GJ32" s="2">
        <v>0</v>
      </c>
      <c r="GK32" s="2">
        <f>ROUND(R32*(R12)/100,2)</f>
        <v>0</v>
      </c>
      <c r="GL32" s="2">
        <f t="shared" si="44"/>
        <v>0</v>
      </c>
      <c r="GM32" s="2">
        <f t="shared" si="45"/>
        <v>5175.88</v>
      </c>
      <c r="GN32" s="2">
        <f t="shared" si="46"/>
        <v>5175.88</v>
      </c>
      <c r="GO32" s="2">
        <f t="shared" si="47"/>
        <v>0</v>
      </c>
      <c r="GP32" s="2">
        <f t="shared" si="48"/>
        <v>0</v>
      </c>
      <c r="GQ32" s="2"/>
      <c r="GR32" s="2">
        <v>0</v>
      </c>
      <c r="GS32" s="2">
        <v>0</v>
      </c>
      <c r="GT32" s="2">
        <v>0</v>
      </c>
      <c r="GU32" s="2" t="s">
        <v>4</v>
      </c>
      <c r="GV32" s="2">
        <f t="shared" si="49"/>
        <v>0</v>
      </c>
      <c r="GW32" s="2">
        <v>1</v>
      </c>
      <c r="GX32" s="2">
        <f t="shared" si="50"/>
        <v>0</v>
      </c>
      <c r="GY32" s="2"/>
      <c r="GZ32" s="2"/>
      <c r="HA32" s="2">
        <v>0</v>
      </c>
      <c r="HB32" s="2">
        <v>0</v>
      </c>
      <c r="HC32" s="2">
        <f t="shared" si="51"/>
        <v>0</v>
      </c>
      <c r="HD32" s="2"/>
      <c r="HE32" s="2" t="s">
        <v>4</v>
      </c>
      <c r="HF32" s="2" t="s">
        <v>4</v>
      </c>
      <c r="HG32" s="2"/>
      <c r="HH32" s="2"/>
      <c r="HI32" s="2"/>
      <c r="HJ32" s="2"/>
      <c r="HK32" s="2"/>
      <c r="HL32" s="2"/>
      <c r="HM32" s="2" t="s">
        <v>4</v>
      </c>
      <c r="HN32" s="2" t="s">
        <v>4</v>
      </c>
      <c r="HO32" s="2" t="s">
        <v>4</v>
      </c>
      <c r="HP32" s="2" t="s">
        <v>4</v>
      </c>
      <c r="HQ32" s="2" t="s">
        <v>4</v>
      </c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>
        <v>0</v>
      </c>
      <c r="IL32" s="2"/>
      <c r="IM32" s="2"/>
      <c r="IN32" s="2"/>
      <c r="IO32" s="2"/>
      <c r="IP32" s="2"/>
      <c r="IQ32" s="2"/>
      <c r="IR32" s="2"/>
      <c r="IS32" s="2"/>
      <c r="IT32" s="2"/>
      <c r="IU32" s="2"/>
    </row>
    <row r="33" spans="1:255">
      <c r="A33">
        <v>17</v>
      </c>
      <c r="B33">
        <v>1</v>
      </c>
      <c r="D33">
        <f>ROW(EtalonRes!A12)</f>
        <v>12</v>
      </c>
      <c r="E33" t="s">
        <v>33</v>
      </c>
      <c r="F33" t="s">
        <v>34</v>
      </c>
      <c r="G33" t="s">
        <v>35</v>
      </c>
      <c r="H33" t="s">
        <v>22</v>
      </c>
      <c r="I33">
        <f>ROUND((600*0.6*0.8)/100*0.25,9)</f>
        <v>0.72</v>
      </c>
      <c r="J33">
        <v>0</v>
      </c>
      <c r="K33">
        <f>ROUND((600*0.6*0.8)/100*0.25,9)</f>
        <v>0.72</v>
      </c>
      <c r="O33">
        <f t="shared" si="21"/>
        <v>85659.05</v>
      </c>
      <c r="P33">
        <f t="shared" si="22"/>
        <v>0</v>
      </c>
      <c r="Q33">
        <f t="shared" si="52"/>
        <v>0</v>
      </c>
      <c r="R33">
        <f t="shared" si="23"/>
        <v>0</v>
      </c>
      <c r="S33">
        <f t="shared" si="24"/>
        <v>85659.05</v>
      </c>
      <c r="T33">
        <f t="shared" si="25"/>
        <v>0</v>
      </c>
      <c r="U33">
        <f t="shared" si="26"/>
        <v>173.152512</v>
      </c>
      <c r="V33">
        <f t="shared" si="27"/>
        <v>0</v>
      </c>
      <c r="W33">
        <f t="shared" si="28"/>
        <v>0</v>
      </c>
      <c r="X33">
        <f t="shared" si="29"/>
        <v>74523.37</v>
      </c>
      <c r="Y33">
        <f t="shared" si="30"/>
        <v>35120.21</v>
      </c>
      <c r="AA33">
        <v>70305036</v>
      </c>
      <c r="AB33">
        <f t="shared" si="31"/>
        <v>2042.62</v>
      </c>
      <c r="AC33">
        <f t="shared" si="32"/>
        <v>0</v>
      </c>
      <c r="AD33">
        <f t="shared" si="53"/>
        <v>0</v>
      </c>
      <c r="AE33">
        <f t="shared" si="54"/>
        <v>0</v>
      </c>
      <c r="AF33">
        <f t="shared" si="55"/>
        <v>2042.62</v>
      </c>
      <c r="AG33">
        <f t="shared" si="33"/>
        <v>0</v>
      </c>
      <c r="AH33">
        <f t="shared" si="56"/>
        <v>192.7</v>
      </c>
      <c r="AI33">
        <f t="shared" si="57"/>
        <v>0</v>
      </c>
      <c r="AJ33">
        <f t="shared" si="34"/>
        <v>0</v>
      </c>
      <c r="AK33">
        <v>2042.62</v>
      </c>
      <c r="AL33">
        <v>0</v>
      </c>
      <c r="AM33">
        <v>0</v>
      </c>
      <c r="AN33">
        <v>0</v>
      </c>
      <c r="AO33">
        <v>2042.62</v>
      </c>
      <c r="AP33">
        <v>0</v>
      </c>
      <c r="AQ33">
        <v>192.7</v>
      </c>
      <c r="AR33">
        <v>0</v>
      </c>
      <c r="AS33">
        <v>0</v>
      </c>
      <c r="AT33">
        <v>87</v>
      </c>
      <c r="AU33">
        <v>41</v>
      </c>
      <c r="AV33">
        <v>1.248</v>
      </c>
      <c r="AW33">
        <v>1</v>
      </c>
      <c r="AZ33">
        <v>1</v>
      </c>
      <c r="BA33">
        <v>46.67</v>
      </c>
      <c r="BB33">
        <v>1</v>
      </c>
      <c r="BC33">
        <v>1</v>
      </c>
      <c r="BD33" t="s">
        <v>4</v>
      </c>
      <c r="BE33" t="s">
        <v>4</v>
      </c>
      <c r="BF33" t="s">
        <v>4</v>
      </c>
      <c r="BG33" t="s">
        <v>4</v>
      </c>
      <c r="BH33">
        <v>0</v>
      </c>
      <c r="BI33">
        <v>1</v>
      </c>
      <c r="BJ33" t="s">
        <v>36</v>
      </c>
      <c r="BM33">
        <v>16</v>
      </c>
      <c r="BN33">
        <v>0</v>
      </c>
      <c r="BO33" t="s">
        <v>34</v>
      </c>
      <c r="BP33">
        <v>1</v>
      </c>
      <c r="BQ33">
        <v>30</v>
      </c>
      <c r="BR33">
        <v>0</v>
      </c>
      <c r="BS33">
        <v>46.67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4</v>
      </c>
      <c r="BZ33">
        <v>87</v>
      </c>
      <c r="CA33">
        <v>41</v>
      </c>
      <c r="CB33" t="s">
        <v>4</v>
      </c>
      <c r="CE33">
        <v>30</v>
      </c>
      <c r="CF33">
        <v>0</v>
      </c>
      <c r="CG33">
        <v>0</v>
      </c>
      <c r="CM33">
        <v>0</v>
      </c>
      <c r="CN33" t="s">
        <v>4</v>
      </c>
      <c r="CO33">
        <v>0</v>
      </c>
      <c r="CP33">
        <f t="shared" si="35"/>
        <v>85659.05</v>
      </c>
      <c r="CQ33">
        <f t="shared" si="36"/>
        <v>0</v>
      </c>
      <c r="CR33">
        <f t="shared" si="58"/>
        <v>0</v>
      </c>
      <c r="CS33">
        <f t="shared" si="37"/>
        <v>0</v>
      </c>
      <c r="CT33">
        <f t="shared" si="38"/>
        <v>118970.7</v>
      </c>
      <c r="CU33">
        <f t="shared" si="39"/>
        <v>0</v>
      </c>
      <c r="CV33">
        <f t="shared" si="40"/>
        <v>240.4896</v>
      </c>
      <c r="CW33">
        <f t="shared" si="41"/>
        <v>0</v>
      </c>
      <c r="CX33">
        <f t="shared" si="42"/>
        <v>0</v>
      </c>
      <c r="CY33">
        <f>S33*(BZ33/100)</f>
        <v>74523.373500000002</v>
      </c>
      <c r="CZ33">
        <f>S33*(CA33/100)</f>
        <v>35120.210500000001</v>
      </c>
      <c r="DC33" t="s">
        <v>4</v>
      </c>
      <c r="DD33" t="s">
        <v>4</v>
      </c>
      <c r="DE33" t="s">
        <v>4</v>
      </c>
      <c r="DF33" t="s">
        <v>4</v>
      </c>
      <c r="DG33" t="s">
        <v>4</v>
      </c>
      <c r="DH33" t="s">
        <v>4</v>
      </c>
      <c r="DI33" t="s">
        <v>4</v>
      </c>
      <c r="DJ33" t="s">
        <v>4</v>
      </c>
      <c r="DK33" t="s">
        <v>4</v>
      </c>
      <c r="DL33" t="s">
        <v>4</v>
      </c>
      <c r="DM33" t="s">
        <v>4</v>
      </c>
      <c r="DN33">
        <v>105</v>
      </c>
      <c r="DO33">
        <v>77</v>
      </c>
      <c r="DP33">
        <v>1.248</v>
      </c>
      <c r="DQ33">
        <v>1</v>
      </c>
      <c r="DU33">
        <v>1013</v>
      </c>
      <c r="DV33" t="s">
        <v>22</v>
      </c>
      <c r="DW33" t="s">
        <v>22</v>
      </c>
      <c r="DX33">
        <v>1</v>
      </c>
      <c r="DZ33" t="s">
        <v>4</v>
      </c>
      <c r="EA33" t="s">
        <v>4</v>
      </c>
      <c r="EB33" t="s">
        <v>4</v>
      </c>
      <c r="EC33" t="s">
        <v>4</v>
      </c>
      <c r="EE33">
        <v>69252685</v>
      </c>
      <c r="EF33">
        <v>30</v>
      </c>
      <c r="EG33" t="s">
        <v>24</v>
      </c>
      <c r="EH33">
        <v>0</v>
      </c>
      <c r="EI33" t="s">
        <v>4</v>
      </c>
      <c r="EJ33">
        <v>1</v>
      </c>
      <c r="EK33">
        <v>16</v>
      </c>
      <c r="EL33" t="s">
        <v>37</v>
      </c>
      <c r="EM33" t="s">
        <v>38</v>
      </c>
      <c r="EO33" t="s">
        <v>4</v>
      </c>
      <c r="EQ33">
        <v>131072</v>
      </c>
      <c r="ER33">
        <v>2042.62</v>
      </c>
      <c r="ES33">
        <v>0</v>
      </c>
      <c r="ET33">
        <v>0</v>
      </c>
      <c r="EU33">
        <v>0</v>
      </c>
      <c r="EV33">
        <v>2042.62</v>
      </c>
      <c r="EW33">
        <v>192.7</v>
      </c>
      <c r="EX33">
        <v>0</v>
      </c>
      <c r="EY33">
        <v>0</v>
      </c>
      <c r="FQ33">
        <v>0</v>
      </c>
      <c r="FR33">
        <f t="shared" si="43"/>
        <v>0</v>
      </c>
      <c r="FS33">
        <v>0</v>
      </c>
      <c r="FX33">
        <v>105</v>
      </c>
      <c r="FY33">
        <v>77</v>
      </c>
      <c r="GA33" t="s">
        <v>4</v>
      </c>
      <c r="GD33">
        <v>0</v>
      </c>
      <c r="GF33">
        <v>-739433044</v>
      </c>
      <c r="GG33">
        <v>2</v>
      </c>
      <c r="GH33">
        <v>1</v>
      </c>
      <c r="GI33">
        <v>2</v>
      </c>
      <c r="GJ33">
        <v>0</v>
      </c>
      <c r="GK33">
        <f>ROUND(R33*(S12)/100,2)</f>
        <v>0</v>
      </c>
      <c r="GL33">
        <f t="shared" si="44"/>
        <v>0</v>
      </c>
      <c r="GM33">
        <f t="shared" si="45"/>
        <v>195302.63</v>
      </c>
      <c r="GN33">
        <f t="shared" si="46"/>
        <v>195302.63</v>
      </c>
      <c r="GO33">
        <f t="shared" si="47"/>
        <v>0</v>
      </c>
      <c r="GP33">
        <f t="shared" si="48"/>
        <v>0</v>
      </c>
      <c r="GR33">
        <v>0</v>
      </c>
      <c r="GS33">
        <v>3</v>
      </c>
      <c r="GT33">
        <v>0</v>
      </c>
      <c r="GU33" t="s">
        <v>4</v>
      </c>
      <c r="GV33">
        <f t="shared" si="49"/>
        <v>0</v>
      </c>
      <c r="GW33">
        <v>1</v>
      </c>
      <c r="GX33">
        <f t="shared" si="50"/>
        <v>0</v>
      </c>
      <c r="HA33">
        <v>0</v>
      </c>
      <c r="HB33">
        <v>0</v>
      </c>
      <c r="HC33">
        <f t="shared" si="51"/>
        <v>0</v>
      </c>
      <c r="HE33" t="s">
        <v>4</v>
      </c>
      <c r="HF33" t="s">
        <v>4</v>
      </c>
      <c r="HM33" t="s">
        <v>4</v>
      </c>
      <c r="HN33" t="s">
        <v>4</v>
      </c>
      <c r="HO33" t="s">
        <v>4</v>
      </c>
      <c r="HP33" t="s">
        <v>4</v>
      </c>
      <c r="HQ33" t="s">
        <v>4</v>
      </c>
      <c r="IK33">
        <v>0</v>
      </c>
    </row>
    <row r="34" spans="1:255">
      <c r="A34" s="2">
        <v>17</v>
      </c>
      <c r="B34" s="2">
        <v>1</v>
      </c>
      <c r="C34" s="2"/>
      <c r="D34" s="2">
        <f>ROW(EtalonRes!A13)</f>
        <v>13</v>
      </c>
      <c r="E34" s="2" t="s">
        <v>39</v>
      </c>
      <c r="F34" s="2" t="s">
        <v>40</v>
      </c>
      <c r="G34" s="2" t="s">
        <v>41</v>
      </c>
      <c r="H34" s="2" t="s">
        <v>22</v>
      </c>
      <c r="I34" s="2">
        <f>ROUND((600*0.6*0.8)/100*0.95,9)</f>
        <v>2.7360000000000002</v>
      </c>
      <c r="J34" s="2">
        <v>0</v>
      </c>
      <c r="K34" s="2">
        <f>ROUND((600*0.6*0.8)/100*0.95,9)</f>
        <v>2.7360000000000002</v>
      </c>
      <c r="L34" s="2"/>
      <c r="M34" s="2"/>
      <c r="N34" s="2"/>
      <c r="O34" s="2">
        <f t="shared" si="21"/>
        <v>272.38</v>
      </c>
      <c r="P34" s="2">
        <f t="shared" si="22"/>
        <v>0</v>
      </c>
      <c r="Q34" s="2">
        <f t="shared" si="52"/>
        <v>272.38</v>
      </c>
      <c r="R34" s="2">
        <f t="shared" si="23"/>
        <v>21.64</v>
      </c>
      <c r="S34" s="2">
        <f t="shared" si="24"/>
        <v>0</v>
      </c>
      <c r="T34" s="2">
        <f t="shared" si="25"/>
        <v>0</v>
      </c>
      <c r="U34" s="2">
        <f t="shared" si="26"/>
        <v>0</v>
      </c>
      <c r="V34" s="2">
        <f t="shared" si="27"/>
        <v>0</v>
      </c>
      <c r="W34" s="2">
        <f t="shared" si="28"/>
        <v>0</v>
      </c>
      <c r="X34" s="2">
        <f t="shared" si="29"/>
        <v>0</v>
      </c>
      <c r="Y34" s="2">
        <f t="shared" si="30"/>
        <v>0</v>
      </c>
      <c r="Z34" s="2"/>
      <c r="AA34" s="2">
        <v>70305038</v>
      </c>
      <c r="AB34" s="2">
        <f t="shared" si="31"/>
        <v>98.18</v>
      </c>
      <c r="AC34" s="2">
        <f t="shared" si="32"/>
        <v>0</v>
      </c>
      <c r="AD34" s="2">
        <f t="shared" si="53"/>
        <v>98.18</v>
      </c>
      <c r="AE34" s="2">
        <f t="shared" si="54"/>
        <v>7.8</v>
      </c>
      <c r="AF34" s="2">
        <f t="shared" si="55"/>
        <v>0</v>
      </c>
      <c r="AG34" s="2">
        <f t="shared" si="33"/>
        <v>0</v>
      </c>
      <c r="AH34" s="2">
        <f t="shared" si="56"/>
        <v>0</v>
      </c>
      <c r="AI34" s="2">
        <f t="shared" si="57"/>
        <v>0</v>
      </c>
      <c r="AJ34" s="2">
        <f t="shared" si="34"/>
        <v>0</v>
      </c>
      <c r="AK34" s="2">
        <v>98.18</v>
      </c>
      <c r="AL34" s="2">
        <v>0</v>
      </c>
      <c r="AM34" s="2">
        <v>98.18</v>
      </c>
      <c r="AN34" s="2">
        <v>7.8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98</v>
      </c>
      <c r="AU34" s="2">
        <v>77</v>
      </c>
      <c r="AV34" s="2">
        <v>1.014</v>
      </c>
      <c r="AW34" s="2">
        <v>1</v>
      </c>
      <c r="AX34" s="2"/>
      <c r="AY34" s="2"/>
      <c r="AZ34" s="2">
        <v>1</v>
      </c>
      <c r="BA34" s="2">
        <v>1</v>
      </c>
      <c r="BB34" s="2">
        <v>1</v>
      </c>
      <c r="BC34" s="2">
        <v>1</v>
      </c>
      <c r="BD34" s="2" t="s">
        <v>4</v>
      </c>
      <c r="BE34" s="2" t="s">
        <v>4</v>
      </c>
      <c r="BF34" s="2" t="s">
        <v>4</v>
      </c>
      <c r="BG34" s="2" t="s">
        <v>4</v>
      </c>
      <c r="BH34" s="2">
        <v>0</v>
      </c>
      <c r="BI34" s="2">
        <v>1</v>
      </c>
      <c r="BJ34" s="2" t="s">
        <v>42</v>
      </c>
      <c r="BK34" s="2"/>
      <c r="BL34" s="2"/>
      <c r="BM34" s="2">
        <v>5</v>
      </c>
      <c r="BN34" s="2">
        <v>0</v>
      </c>
      <c r="BO34" s="2" t="s">
        <v>4</v>
      </c>
      <c r="BP34" s="2">
        <v>0</v>
      </c>
      <c r="BQ34" s="2">
        <v>30</v>
      </c>
      <c r="BR34" s="2">
        <v>0</v>
      </c>
      <c r="BS34" s="2">
        <v>1</v>
      </c>
      <c r="BT34" s="2">
        <v>1</v>
      </c>
      <c r="BU34" s="2">
        <v>1</v>
      </c>
      <c r="BV34" s="2">
        <v>1</v>
      </c>
      <c r="BW34" s="2">
        <v>1</v>
      </c>
      <c r="BX34" s="2">
        <v>1</v>
      </c>
      <c r="BY34" s="2" t="s">
        <v>4</v>
      </c>
      <c r="BZ34" s="2">
        <v>98</v>
      </c>
      <c r="CA34" s="2">
        <v>77</v>
      </c>
      <c r="CB34" s="2" t="s">
        <v>4</v>
      </c>
      <c r="CC34" s="2"/>
      <c r="CD34" s="2"/>
      <c r="CE34" s="2">
        <v>30</v>
      </c>
      <c r="CF34" s="2">
        <v>0</v>
      </c>
      <c r="CG34" s="2">
        <v>0</v>
      </c>
      <c r="CH34" s="2"/>
      <c r="CI34" s="2"/>
      <c r="CJ34" s="2"/>
      <c r="CK34" s="2"/>
      <c r="CL34" s="2"/>
      <c r="CM34" s="2">
        <v>0</v>
      </c>
      <c r="CN34" s="2" t="s">
        <v>4</v>
      </c>
      <c r="CO34" s="2">
        <v>0</v>
      </c>
      <c r="CP34" s="2">
        <f t="shared" si="35"/>
        <v>272.38</v>
      </c>
      <c r="CQ34" s="2">
        <f t="shared" si="36"/>
        <v>0</v>
      </c>
      <c r="CR34" s="2">
        <f t="shared" si="58"/>
        <v>99.55</v>
      </c>
      <c r="CS34" s="2">
        <f t="shared" si="37"/>
        <v>7.91</v>
      </c>
      <c r="CT34" s="2">
        <f t="shared" si="38"/>
        <v>0</v>
      </c>
      <c r="CU34" s="2">
        <f t="shared" si="39"/>
        <v>0</v>
      </c>
      <c r="CV34" s="2">
        <f t="shared" si="40"/>
        <v>0</v>
      </c>
      <c r="CW34" s="2">
        <f t="shared" si="41"/>
        <v>0</v>
      </c>
      <c r="CX34" s="2">
        <f t="shared" si="42"/>
        <v>0</v>
      </c>
      <c r="CY34" s="2">
        <f>((S34*BZ34)/100)</f>
        <v>0</v>
      </c>
      <c r="CZ34" s="2">
        <f>((S34*CA34)/100)</f>
        <v>0</v>
      </c>
      <c r="DA34" s="2"/>
      <c r="DB34" s="2"/>
      <c r="DC34" s="2" t="s">
        <v>4</v>
      </c>
      <c r="DD34" s="2" t="s">
        <v>4</v>
      </c>
      <c r="DE34" s="2" t="s">
        <v>4</v>
      </c>
      <c r="DF34" s="2" t="s">
        <v>4</v>
      </c>
      <c r="DG34" s="2" t="s">
        <v>4</v>
      </c>
      <c r="DH34" s="2" t="s">
        <v>4</v>
      </c>
      <c r="DI34" s="2" t="s">
        <v>4</v>
      </c>
      <c r="DJ34" s="2" t="s">
        <v>4</v>
      </c>
      <c r="DK34" s="2" t="s">
        <v>4</v>
      </c>
      <c r="DL34" s="2" t="s">
        <v>4</v>
      </c>
      <c r="DM34" s="2" t="s">
        <v>4</v>
      </c>
      <c r="DN34" s="2">
        <v>0</v>
      </c>
      <c r="DO34" s="2">
        <v>0</v>
      </c>
      <c r="DP34" s="2">
        <v>1</v>
      </c>
      <c r="DQ34" s="2">
        <v>1</v>
      </c>
      <c r="DR34" s="2"/>
      <c r="DS34" s="2"/>
      <c r="DT34" s="2"/>
      <c r="DU34" s="2">
        <v>1013</v>
      </c>
      <c r="DV34" s="2" t="s">
        <v>22</v>
      </c>
      <c r="DW34" s="2" t="s">
        <v>22</v>
      </c>
      <c r="DX34" s="2">
        <v>1</v>
      </c>
      <c r="DY34" s="2"/>
      <c r="DZ34" s="2" t="s">
        <v>4</v>
      </c>
      <c r="EA34" s="2" t="s">
        <v>4</v>
      </c>
      <c r="EB34" s="2" t="s">
        <v>4</v>
      </c>
      <c r="EC34" s="2" t="s">
        <v>4</v>
      </c>
      <c r="ED34" s="2"/>
      <c r="EE34" s="2">
        <v>69252674</v>
      </c>
      <c r="EF34" s="2">
        <v>30</v>
      </c>
      <c r="EG34" s="2" t="s">
        <v>24</v>
      </c>
      <c r="EH34" s="2">
        <v>0</v>
      </c>
      <c r="EI34" s="2" t="s">
        <v>4</v>
      </c>
      <c r="EJ34" s="2">
        <v>1</v>
      </c>
      <c r="EK34" s="2">
        <v>5</v>
      </c>
      <c r="EL34" s="2" t="s">
        <v>43</v>
      </c>
      <c r="EM34" s="2" t="s">
        <v>44</v>
      </c>
      <c r="EN34" s="2"/>
      <c r="EO34" s="2" t="s">
        <v>4</v>
      </c>
      <c r="EP34" s="2"/>
      <c r="EQ34" s="2">
        <v>131072</v>
      </c>
      <c r="ER34" s="2">
        <v>98.18</v>
      </c>
      <c r="ES34" s="2">
        <v>0</v>
      </c>
      <c r="ET34" s="2">
        <v>98.18</v>
      </c>
      <c r="EU34" s="2">
        <v>7.8</v>
      </c>
      <c r="EV34" s="2">
        <v>0</v>
      </c>
      <c r="EW34" s="2">
        <v>0</v>
      </c>
      <c r="EX34" s="2">
        <v>0</v>
      </c>
      <c r="EY34" s="2">
        <v>0</v>
      </c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>
        <v>0</v>
      </c>
      <c r="FR34" s="2">
        <f t="shared" si="43"/>
        <v>0</v>
      </c>
      <c r="FS34" s="2">
        <v>0</v>
      </c>
      <c r="FT34" s="2"/>
      <c r="FU34" s="2"/>
      <c r="FV34" s="2"/>
      <c r="FW34" s="2"/>
      <c r="FX34" s="2">
        <v>98</v>
      </c>
      <c r="FY34" s="2">
        <v>77</v>
      </c>
      <c r="FZ34" s="2"/>
      <c r="GA34" s="2" t="s">
        <v>4</v>
      </c>
      <c r="GB34" s="2"/>
      <c r="GC34" s="2"/>
      <c r="GD34" s="2">
        <v>0</v>
      </c>
      <c r="GE34" s="2"/>
      <c r="GF34" s="2">
        <v>2121062146</v>
      </c>
      <c r="GG34" s="2">
        <v>2</v>
      </c>
      <c r="GH34" s="2">
        <v>1</v>
      </c>
      <c r="GI34" s="2">
        <v>-2</v>
      </c>
      <c r="GJ34" s="2">
        <v>0</v>
      </c>
      <c r="GK34" s="2">
        <f>ROUND(R34*(R12)/100,2)</f>
        <v>37.869999999999997</v>
      </c>
      <c r="GL34" s="2">
        <f t="shared" si="44"/>
        <v>0</v>
      </c>
      <c r="GM34" s="2">
        <f t="shared" si="45"/>
        <v>310.25</v>
      </c>
      <c r="GN34" s="2">
        <f t="shared" si="46"/>
        <v>310.25</v>
      </c>
      <c r="GO34" s="2">
        <f t="shared" si="47"/>
        <v>0</v>
      </c>
      <c r="GP34" s="2">
        <f t="shared" si="48"/>
        <v>0</v>
      </c>
      <c r="GQ34" s="2"/>
      <c r="GR34" s="2">
        <v>0</v>
      </c>
      <c r="GS34" s="2">
        <v>0</v>
      </c>
      <c r="GT34" s="2">
        <v>0</v>
      </c>
      <c r="GU34" s="2" t="s">
        <v>4</v>
      </c>
      <c r="GV34" s="2">
        <f t="shared" si="49"/>
        <v>0</v>
      </c>
      <c r="GW34" s="2">
        <v>1</v>
      </c>
      <c r="GX34" s="2">
        <f t="shared" si="50"/>
        <v>0</v>
      </c>
      <c r="GY34" s="2"/>
      <c r="GZ34" s="2"/>
      <c r="HA34" s="2">
        <v>0</v>
      </c>
      <c r="HB34" s="2">
        <v>0</v>
      </c>
      <c r="HC34" s="2">
        <f t="shared" si="51"/>
        <v>0</v>
      </c>
      <c r="HD34" s="2"/>
      <c r="HE34" s="2" t="s">
        <v>4</v>
      </c>
      <c r="HF34" s="2" t="s">
        <v>4</v>
      </c>
      <c r="HG34" s="2"/>
      <c r="HH34" s="2"/>
      <c r="HI34" s="2"/>
      <c r="HJ34" s="2"/>
      <c r="HK34" s="2"/>
      <c r="HL34" s="2"/>
      <c r="HM34" s="2" t="s">
        <v>4</v>
      </c>
      <c r="HN34" s="2" t="s">
        <v>4</v>
      </c>
      <c r="HO34" s="2" t="s">
        <v>4</v>
      </c>
      <c r="HP34" s="2" t="s">
        <v>4</v>
      </c>
      <c r="HQ34" s="2" t="s">
        <v>4</v>
      </c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>
        <v>0</v>
      </c>
      <c r="IL34" s="2"/>
      <c r="IM34" s="2"/>
      <c r="IN34" s="2"/>
      <c r="IO34" s="2"/>
      <c r="IP34" s="2"/>
      <c r="IQ34" s="2"/>
      <c r="IR34" s="2"/>
      <c r="IS34" s="2"/>
      <c r="IT34" s="2"/>
      <c r="IU34" s="2"/>
    </row>
    <row r="35" spans="1:255">
      <c r="A35">
        <v>17</v>
      </c>
      <c r="B35">
        <v>1</v>
      </c>
      <c r="D35">
        <f>ROW(EtalonRes!A14)</f>
        <v>14</v>
      </c>
      <c r="E35" t="s">
        <v>39</v>
      </c>
      <c r="F35" t="s">
        <v>40</v>
      </c>
      <c r="G35" t="s">
        <v>41</v>
      </c>
      <c r="H35" t="s">
        <v>22</v>
      </c>
      <c r="I35">
        <f>ROUND((600*0.6*0.8)/100*0.95,9)</f>
        <v>2.7360000000000002</v>
      </c>
      <c r="J35">
        <v>0</v>
      </c>
      <c r="K35">
        <f>ROUND((600*0.6*0.8)/100*0.95,9)</f>
        <v>2.7360000000000002</v>
      </c>
      <c r="O35">
        <f t="shared" si="21"/>
        <v>3538.22</v>
      </c>
      <c r="P35">
        <f t="shared" si="22"/>
        <v>0</v>
      </c>
      <c r="Q35">
        <f t="shared" si="52"/>
        <v>3538.22</v>
      </c>
      <c r="R35">
        <f t="shared" si="23"/>
        <v>1009.94</v>
      </c>
      <c r="S35">
        <f t="shared" si="24"/>
        <v>0</v>
      </c>
      <c r="T35">
        <f t="shared" si="25"/>
        <v>0</v>
      </c>
      <c r="U35">
        <f t="shared" si="26"/>
        <v>0</v>
      </c>
      <c r="V35">
        <f t="shared" si="27"/>
        <v>0</v>
      </c>
      <c r="W35">
        <f t="shared" si="28"/>
        <v>0</v>
      </c>
      <c r="X35">
        <f t="shared" si="29"/>
        <v>0</v>
      </c>
      <c r="Y35">
        <f t="shared" si="30"/>
        <v>0</v>
      </c>
      <c r="AA35">
        <v>70305036</v>
      </c>
      <c r="AB35">
        <f t="shared" si="31"/>
        <v>98.18</v>
      </c>
      <c r="AC35">
        <f t="shared" si="32"/>
        <v>0</v>
      </c>
      <c r="AD35">
        <f t="shared" si="53"/>
        <v>98.18</v>
      </c>
      <c r="AE35">
        <f t="shared" si="54"/>
        <v>7.8</v>
      </c>
      <c r="AF35">
        <f t="shared" si="55"/>
        <v>0</v>
      </c>
      <c r="AG35">
        <f t="shared" si="33"/>
        <v>0</v>
      </c>
      <c r="AH35">
        <f t="shared" si="56"/>
        <v>0</v>
      </c>
      <c r="AI35">
        <f t="shared" si="57"/>
        <v>0</v>
      </c>
      <c r="AJ35">
        <f t="shared" si="34"/>
        <v>0</v>
      </c>
      <c r="AK35">
        <v>98.18</v>
      </c>
      <c r="AL35">
        <v>0</v>
      </c>
      <c r="AM35">
        <v>98.18</v>
      </c>
      <c r="AN35">
        <v>7.8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94</v>
      </c>
      <c r="AU35">
        <v>51</v>
      </c>
      <c r="AV35">
        <v>1.014</v>
      </c>
      <c r="AW35">
        <v>1</v>
      </c>
      <c r="AZ35">
        <v>1</v>
      </c>
      <c r="BA35">
        <v>46.67</v>
      </c>
      <c r="BB35">
        <v>12.99</v>
      </c>
      <c r="BC35">
        <v>1</v>
      </c>
      <c r="BD35" t="s">
        <v>4</v>
      </c>
      <c r="BE35" t="s">
        <v>4</v>
      </c>
      <c r="BF35" t="s">
        <v>4</v>
      </c>
      <c r="BG35" t="s">
        <v>4</v>
      </c>
      <c r="BH35">
        <v>0</v>
      </c>
      <c r="BI35">
        <v>1</v>
      </c>
      <c r="BJ35" t="s">
        <v>42</v>
      </c>
      <c r="BM35">
        <v>5</v>
      </c>
      <c r="BN35">
        <v>0</v>
      </c>
      <c r="BO35" t="s">
        <v>40</v>
      </c>
      <c r="BP35">
        <v>1</v>
      </c>
      <c r="BQ35">
        <v>30</v>
      </c>
      <c r="BR35">
        <v>0</v>
      </c>
      <c r="BS35">
        <v>46.67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4</v>
      </c>
      <c r="BZ35">
        <v>94</v>
      </c>
      <c r="CA35">
        <v>51</v>
      </c>
      <c r="CB35" t="s">
        <v>4</v>
      </c>
      <c r="CE35">
        <v>30</v>
      </c>
      <c r="CF35">
        <v>0</v>
      </c>
      <c r="CG35">
        <v>0</v>
      </c>
      <c r="CM35">
        <v>0</v>
      </c>
      <c r="CN35" t="s">
        <v>4</v>
      </c>
      <c r="CO35">
        <v>0</v>
      </c>
      <c r="CP35">
        <f t="shared" si="35"/>
        <v>3538.22</v>
      </c>
      <c r="CQ35">
        <f t="shared" si="36"/>
        <v>0</v>
      </c>
      <c r="CR35">
        <f t="shared" si="58"/>
        <v>1293.1500000000001</v>
      </c>
      <c r="CS35">
        <f t="shared" si="37"/>
        <v>369.16</v>
      </c>
      <c r="CT35">
        <f t="shared" si="38"/>
        <v>0</v>
      </c>
      <c r="CU35">
        <f t="shared" si="39"/>
        <v>0</v>
      </c>
      <c r="CV35">
        <f t="shared" si="40"/>
        <v>0</v>
      </c>
      <c r="CW35">
        <f t="shared" si="41"/>
        <v>0</v>
      </c>
      <c r="CX35">
        <f t="shared" si="42"/>
        <v>0</v>
      </c>
      <c r="CY35">
        <f>S35*(BZ35/100)</f>
        <v>0</v>
      </c>
      <c r="CZ35">
        <f>S35*(CA35/100)</f>
        <v>0</v>
      </c>
      <c r="DC35" t="s">
        <v>4</v>
      </c>
      <c r="DD35" t="s">
        <v>4</v>
      </c>
      <c r="DE35" t="s">
        <v>4</v>
      </c>
      <c r="DF35" t="s">
        <v>4</v>
      </c>
      <c r="DG35" t="s">
        <v>4</v>
      </c>
      <c r="DH35" t="s">
        <v>4</v>
      </c>
      <c r="DI35" t="s">
        <v>4</v>
      </c>
      <c r="DJ35" t="s">
        <v>4</v>
      </c>
      <c r="DK35" t="s">
        <v>4</v>
      </c>
      <c r="DL35" t="s">
        <v>4</v>
      </c>
      <c r="DM35" t="s">
        <v>4</v>
      </c>
      <c r="DN35">
        <v>98</v>
      </c>
      <c r="DO35">
        <v>77</v>
      </c>
      <c r="DP35">
        <v>1.014</v>
      </c>
      <c r="DQ35">
        <v>1</v>
      </c>
      <c r="DU35">
        <v>1013</v>
      </c>
      <c r="DV35" t="s">
        <v>22</v>
      </c>
      <c r="DW35" t="s">
        <v>22</v>
      </c>
      <c r="DX35">
        <v>1</v>
      </c>
      <c r="DZ35" t="s">
        <v>4</v>
      </c>
      <c r="EA35" t="s">
        <v>4</v>
      </c>
      <c r="EB35" t="s">
        <v>4</v>
      </c>
      <c r="EC35" t="s">
        <v>4</v>
      </c>
      <c r="EE35">
        <v>69252674</v>
      </c>
      <c r="EF35">
        <v>30</v>
      </c>
      <c r="EG35" t="s">
        <v>24</v>
      </c>
      <c r="EH35">
        <v>0</v>
      </c>
      <c r="EI35" t="s">
        <v>4</v>
      </c>
      <c r="EJ35">
        <v>1</v>
      </c>
      <c r="EK35">
        <v>5</v>
      </c>
      <c r="EL35" t="s">
        <v>43</v>
      </c>
      <c r="EM35" t="s">
        <v>44</v>
      </c>
      <c r="EO35" t="s">
        <v>4</v>
      </c>
      <c r="EQ35">
        <v>131072</v>
      </c>
      <c r="ER35">
        <v>98.18</v>
      </c>
      <c r="ES35">
        <v>0</v>
      </c>
      <c r="ET35">
        <v>98.18</v>
      </c>
      <c r="EU35">
        <v>7.8</v>
      </c>
      <c r="EV35">
        <v>0</v>
      </c>
      <c r="EW35">
        <v>0</v>
      </c>
      <c r="EX35">
        <v>0</v>
      </c>
      <c r="EY35">
        <v>0</v>
      </c>
      <c r="FQ35">
        <v>0</v>
      </c>
      <c r="FR35">
        <f t="shared" si="43"/>
        <v>0</v>
      </c>
      <c r="FS35">
        <v>0</v>
      </c>
      <c r="FX35">
        <v>98</v>
      </c>
      <c r="FY35">
        <v>77</v>
      </c>
      <c r="GA35" t="s">
        <v>4</v>
      </c>
      <c r="GD35">
        <v>0</v>
      </c>
      <c r="GF35">
        <v>2121062146</v>
      </c>
      <c r="GG35">
        <v>2</v>
      </c>
      <c r="GH35">
        <v>1</v>
      </c>
      <c r="GI35">
        <v>2</v>
      </c>
      <c r="GJ35">
        <v>0</v>
      </c>
      <c r="GK35">
        <f>ROUND(R35*(S12)/100,2)</f>
        <v>1615.9</v>
      </c>
      <c r="GL35">
        <f t="shared" si="44"/>
        <v>0</v>
      </c>
      <c r="GM35">
        <f t="shared" si="45"/>
        <v>5154.12</v>
      </c>
      <c r="GN35">
        <f t="shared" si="46"/>
        <v>5154.12</v>
      </c>
      <c r="GO35">
        <f t="shared" si="47"/>
        <v>0</v>
      </c>
      <c r="GP35">
        <f t="shared" si="48"/>
        <v>0</v>
      </c>
      <c r="GR35">
        <v>0</v>
      </c>
      <c r="GS35">
        <v>3</v>
      </c>
      <c r="GT35">
        <v>0</v>
      </c>
      <c r="GU35" t="s">
        <v>4</v>
      </c>
      <c r="GV35">
        <f t="shared" si="49"/>
        <v>0</v>
      </c>
      <c r="GW35">
        <v>1</v>
      </c>
      <c r="GX35">
        <f t="shared" si="50"/>
        <v>0</v>
      </c>
      <c r="HA35">
        <v>0</v>
      </c>
      <c r="HB35">
        <v>0</v>
      </c>
      <c r="HC35">
        <f t="shared" si="51"/>
        <v>0</v>
      </c>
      <c r="HE35" t="s">
        <v>4</v>
      </c>
      <c r="HF35" t="s">
        <v>4</v>
      </c>
      <c r="HM35" t="s">
        <v>4</v>
      </c>
      <c r="HN35" t="s">
        <v>4</v>
      </c>
      <c r="HO35" t="s">
        <v>4</v>
      </c>
      <c r="HP35" t="s">
        <v>4</v>
      </c>
      <c r="HQ35" t="s">
        <v>4</v>
      </c>
      <c r="IK35">
        <v>0</v>
      </c>
    </row>
    <row r="36" spans="1:255">
      <c r="A36" s="2">
        <v>17</v>
      </c>
      <c r="B36" s="2">
        <v>1</v>
      </c>
      <c r="C36" s="2"/>
      <c r="D36" s="2">
        <f>ROW(EtalonRes!A15)</f>
        <v>15</v>
      </c>
      <c r="E36" s="2" t="s">
        <v>45</v>
      </c>
      <c r="F36" s="2" t="s">
        <v>46</v>
      </c>
      <c r="G36" s="2" t="s">
        <v>47</v>
      </c>
      <c r="H36" s="2" t="s">
        <v>22</v>
      </c>
      <c r="I36" s="2">
        <f>ROUND((600*0.6*0.8)/100*0.05,9)</f>
        <v>0.14399999999999999</v>
      </c>
      <c r="J36" s="2">
        <v>0</v>
      </c>
      <c r="K36" s="2">
        <f>ROUND((600*0.6*0.8)/100*0.05,9)</f>
        <v>0.14399999999999999</v>
      </c>
      <c r="L36" s="2"/>
      <c r="M36" s="2"/>
      <c r="N36" s="2"/>
      <c r="O36" s="2">
        <f t="shared" si="21"/>
        <v>188.9</v>
      </c>
      <c r="P36" s="2">
        <f t="shared" si="22"/>
        <v>0</v>
      </c>
      <c r="Q36" s="2">
        <f t="shared" si="52"/>
        <v>0</v>
      </c>
      <c r="R36" s="2">
        <f t="shared" si="23"/>
        <v>0</v>
      </c>
      <c r="S36" s="2">
        <f t="shared" si="24"/>
        <v>188.9</v>
      </c>
      <c r="T36" s="2">
        <f t="shared" si="25"/>
        <v>0</v>
      </c>
      <c r="U36" s="2">
        <f t="shared" si="26"/>
        <v>19.23637248</v>
      </c>
      <c r="V36" s="2">
        <f t="shared" si="27"/>
        <v>0</v>
      </c>
      <c r="W36" s="2">
        <f t="shared" si="28"/>
        <v>0</v>
      </c>
      <c r="X36" s="2">
        <f t="shared" si="29"/>
        <v>198.35</v>
      </c>
      <c r="Y36" s="2">
        <f t="shared" si="30"/>
        <v>145.44999999999999</v>
      </c>
      <c r="Z36" s="2"/>
      <c r="AA36" s="2">
        <v>70305038</v>
      </c>
      <c r="AB36" s="2">
        <f t="shared" si="31"/>
        <v>1051.1300000000001</v>
      </c>
      <c r="AC36" s="2">
        <f t="shared" si="32"/>
        <v>0</v>
      </c>
      <c r="AD36" s="2">
        <f t="shared" si="53"/>
        <v>0</v>
      </c>
      <c r="AE36" s="2">
        <f t="shared" si="54"/>
        <v>0</v>
      </c>
      <c r="AF36" s="2">
        <f t="shared" si="55"/>
        <v>1051.1300000000001</v>
      </c>
      <c r="AG36" s="2">
        <f t="shared" si="33"/>
        <v>0</v>
      </c>
      <c r="AH36" s="2">
        <f t="shared" si="56"/>
        <v>107.04</v>
      </c>
      <c r="AI36" s="2">
        <f t="shared" si="57"/>
        <v>0</v>
      </c>
      <c r="AJ36" s="2">
        <f t="shared" si="34"/>
        <v>0</v>
      </c>
      <c r="AK36" s="2">
        <v>1051.1300000000001</v>
      </c>
      <c r="AL36" s="2">
        <v>0</v>
      </c>
      <c r="AM36" s="2">
        <v>0</v>
      </c>
      <c r="AN36" s="2">
        <v>0</v>
      </c>
      <c r="AO36" s="2">
        <v>1051.1300000000001</v>
      </c>
      <c r="AP36" s="2">
        <v>0</v>
      </c>
      <c r="AQ36" s="2">
        <v>107.04</v>
      </c>
      <c r="AR36" s="2">
        <v>0</v>
      </c>
      <c r="AS36" s="2">
        <v>0</v>
      </c>
      <c r="AT36" s="2">
        <v>105</v>
      </c>
      <c r="AU36" s="2">
        <v>77</v>
      </c>
      <c r="AV36" s="2">
        <v>1.248</v>
      </c>
      <c r="AW36" s="2">
        <v>1</v>
      </c>
      <c r="AX36" s="2"/>
      <c r="AY36" s="2"/>
      <c r="AZ36" s="2">
        <v>1</v>
      </c>
      <c r="BA36" s="2">
        <v>1</v>
      </c>
      <c r="BB36" s="2">
        <v>1</v>
      </c>
      <c r="BC36" s="2">
        <v>1</v>
      </c>
      <c r="BD36" s="2" t="s">
        <v>4</v>
      </c>
      <c r="BE36" s="2" t="s">
        <v>4</v>
      </c>
      <c r="BF36" s="2" t="s">
        <v>4</v>
      </c>
      <c r="BG36" s="2" t="s">
        <v>4</v>
      </c>
      <c r="BH36" s="2">
        <v>0</v>
      </c>
      <c r="BI36" s="2">
        <v>1</v>
      </c>
      <c r="BJ36" s="2" t="s">
        <v>48</v>
      </c>
      <c r="BK36" s="2"/>
      <c r="BL36" s="2"/>
      <c r="BM36" s="2">
        <v>16</v>
      </c>
      <c r="BN36" s="2">
        <v>0</v>
      </c>
      <c r="BO36" s="2" t="s">
        <v>4</v>
      </c>
      <c r="BP36" s="2">
        <v>0</v>
      </c>
      <c r="BQ36" s="2">
        <v>30</v>
      </c>
      <c r="BR36" s="2">
        <v>0</v>
      </c>
      <c r="BS36" s="2">
        <v>1</v>
      </c>
      <c r="BT36" s="2">
        <v>1</v>
      </c>
      <c r="BU36" s="2">
        <v>1</v>
      </c>
      <c r="BV36" s="2">
        <v>1</v>
      </c>
      <c r="BW36" s="2">
        <v>1</v>
      </c>
      <c r="BX36" s="2">
        <v>1</v>
      </c>
      <c r="BY36" s="2" t="s">
        <v>4</v>
      </c>
      <c r="BZ36" s="2">
        <v>105</v>
      </c>
      <c r="CA36" s="2">
        <v>77</v>
      </c>
      <c r="CB36" s="2" t="s">
        <v>4</v>
      </c>
      <c r="CC36" s="2"/>
      <c r="CD36" s="2"/>
      <c r="CE36" s="2">
        <v>30</v>
      </c>
      <c r="CF36" s="2">
        <v>0</v>
      </c>
      <c r="CG36" s="2">
        <v>0</v>
      </c>
      <c r="CH36" s="2"/>
      <c r="CI36" s="2"/>
      <c r="CJ36" s="2"/>
      <c r="CK36" s="2"/>
      <c r="CL36" s="2"/>
      <c r="CM36" s="2">
        <v>0</v>
      </c>
      <c r="CN36" s="2" t="s">
        <v>4</v>
      </c>
      <c r="CO36" s="2">
        <v>0</v>
      </c>
      <c r="CP36" s="2">
        <f t="shared" si="35"/>
        <v>188.9</v>
      </c>
      <c r="CQ36" s="2">
        <f t="shared" si="36"/>
        <v>0</v>
      </c>
      <c r="CR36" s="2">
        <f t="shared" si="58"/>
        <v>0</v>
      </c>
      <c r="CS36" s="2">
        <f t="shared" si="37"/>
        <v>0</v>
      </c>
      <c r="CT36" s="2">
        <f t="shared" si="38"/>
        <v>1311.81</v>
      </c>
      <c r="CU36" s="2">
        <f t="shared" si="39"/>
        <v>0</v>
      </c>
      <c r="CV36" s="2">
        <f t="shared" si="40"/>
        <v>133.58592000000002</v>
      </c>
      <c r="CW36" s="2">
        <f t="shared" si="41"/>
        <v>0</v>
      </c>
      <c r="CX36" s="2">
        <f t="shared" si="42"/>
        <v>0</v>
      </c>
      <c r="CY36" s="2">
        <f>((S36*BZ36)/100)</f>
        <v>198.345</v>
      </c>
      <c r="CZ36" s="2">
        <f>((S36*CA36)/100)</f>
        <v>145.453</v>
      </c>
      <c r="DA36" s="2"/>
      <c r="DB36" s="2"/>
      <c r="DC36" s="2" t="s">
        <v>4</v>
      </c>
      <c r="DD36" s="2" t="s">
        <v>4</v>
      </c>
      <c r="DE36" s="2" t="s">
        <v>4</v>
      </c>
      <c r="DF36" s="2" t="s">
        <v>4</v>
      </c>
      <c r="DG36" s="2" t="s">
        <v>4</v>
      </c>
      <c r="DH36" s="2" t="s">
        <v>4</v>
      </c>
      <c r="DI36" s="2" t="s">
        <v>4</v>
      </c>
      <c r="DJ36" s="2" t="s">
        <v>4</v>
      </c>
      <c r="DK36" s="2" t="s">
        <v>4</v>
      </c>
      <c r="DL36" s="2" t="s">
        <v>4</v>
      </c>
      <c r="DM36" s="2" t="s">
        <v>4</v>
      </c>
      <c r="DN36" s="2">
        <v>0</v>
      </c>
      <c r="DO36" s="2">
        <v>0</v>
      </c>
      <c r="DP36" s="2">
        <v>1</v>
      </c>
      <c r="DQ36" s="2">
        <v>1</v>
      </c>
      <c r="DR36" s="2"/>
      <c r="DS36" s="2"/>
      <c r="DT36" s="2"/>
      <c r="DU36" s="2">
        <v>1013</v>
      </c>
      <c r="DV36" s="2" t="s">
        <v>22</v>
      </c>
      <c r="DW36" s="2" t="s">
        <v>22</v>
      </c>
      <c r="DX36" s="2">
        <v>1</v>
      </c>
      <c r="DY36" s="2"/>
      <c r="DZ36" s="2" t="s">
        <v>4</v>
      </c>
      <c r="EA36" s="2" t="s">
        <v>4</v>
      </c>
      <c r="EB36" s="2" t="s">
        <v>4</v>
      </c>
      <c r="EC36" s="2" t="s">
        <v>4</v>
      </c>
      <c r="ED36" s="2"/>
      <c r="EE36" s="2">
        <v>69252685</v>
      </c>
      <c r="EF36" s="2">
        <v>30</v>
      </c>
      <c r="EG36" s="2" t="s">
        <v>24</v>
      </c>
      <c r="EH36" s="2">
        <v>0</v>
      </c>
      <c r="EI36" s="2" t="s">
        <v>4</v>
      </c>
      <c r="EJ36" s="2">
        <v>1</v>
      </c>
      <c r="EK36" s="2">
        <v>16</v>
      </c>
      <c r="EL36" s="2" t="s">
        <v>37</v>
      </c>
      <c r="EM36" s="2" t="s">
        <v>38</v>
      </c>
      <c r="EN36" s="2"/>
      <c r="EO36" s="2" t="s">
        <v>4</v>
      </c>
      <c r="EP36" s="2"/>
      <c r="EQ36" s="2">
        <v>0</v>
      </c>
      <c r="ER36" s="2">
        <v>1051.1300000000001</v>
      </c>
      <c r="ES36" s="2">
        <v>0</v>
      </c>
      <c r="ET36" s="2">
        <v>0</v>
      </c>
      <c r="EU36" s="2">
        <v>0</v>
      </c>
      <c r="EV36" s="2">
        <v>1051.1300000000001</v>
      </c>
      <c r="EW36" s="2">
        <v>107.04</v>
      </c>
      <c r="EX36" s="2">
        <v>0</v>
      </c>
      <c r="EY36" s="2">
        <v>0</v>
      </c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>
        <v>0</v>
      </c>
      <c r="FR36" s="2">
        <f t="shared" si="43"/>
        <v>0</v>
      </c>
      <c r="FS36" s="2">
        <v>0</v>
      </c>
      <c r="FT36" s="2"/>
      <c r="FU36" s="2"/>
      <c r="FV36" s="2"/>
      <c r="FW36" s="2"/>
      <c r="FX36" s="2">
        <v>105</v>
      </c>
      <c r="FY36" s="2">
        <v>77</v>
      </c>
      <c r="FZ36" s="2"/>
      <c r="GA36" s="2" t="s">
        <v>4</v>
      </c>
      <c r="GB36" s="2"/>
      <c r="GC36" s="2"/>
      <c r="GD36" s="2">
        <v>0</v>
      </c>
      <c r="GE36" s="2"/>
      <c r="GF36" s="2">
        <v>-510725757</v>
      </c>
      <c r="GG36" s="2">
        <v>2</v>
      </c>
      <c r="GH36" s="2">
        <v>1</v>
      </c>
      <c r="GI36" s="2">
        <v>-2</v>
      </c>
      <c r="GJ36" s="2">
        <v>0</v>
      </c>
      <c r="GK36" s="2">
        <f>ROUND(R36*(R12)/100,2)</f>
        <v>0</v>
      </c>
      <c r="GL36" s="2">
        <f t="shared" si="44"/>
        <v>0</v>
      </c>
      <c r="GM36" s="2">
        <f t="shared" si="45"/>
        <v>532.70000000000005</v>
      </c>
      <c r="GN36" s="2">
        <f t="shared" si="46"/>
        <v>532.70000000000005</v>
      </c>
      <c r="GO36" s="2">
        <f t="shared" si="47"/>
        <v>0</v>
      </c>
      <c r="GP36" s="2">
        <f t="shared" si="48"/>
        <v>0</v>
      </c>
      <c r="GQ36" s="2"/>
      <c r="GR36" s="2">
        <v>0</v>
      </c>
      <c r="GS36" s="2">
        <v>0</v>
      </c>
      <c r="GT36" s="2">
        <v>0</v>
      </c>
      <c r="GU36" s="2" t="s">
        <v>4</v>
      </c>
      <c r="GV36" s="2">
        <f t="shared" si="49"/>
        <v>0</v>
      </c>
      <c r="GW36" s="2">
        <v>1</v>
      </c>
      <c r="GX36" s="2">
        <f t="shared" si="50"/>
        <v>0</v>
      </c>
      <c r="GY36" s="2"/>
      <c r="GZ36" s="2"/>
      <c r="HA36" s="2">
        <v>0</v>
      </c>
      <c r="HB36" s="2">
        <v>0</v>
      </c>
      <c r="HC36" s="2">
        <f t="shared" si="51"/>
        <v>0</v>
      </c>
      <c r="HD36" s="2"/>
      <c r="HE36" s="2" t="s">
        <v>4</v>
      </c>
      <c r="HF36" s="2" t="s">
        <v>4</v>
      </c>
      <c r="HG36" s="2"/>
      <c r="HH36" s="2"/>
      <c r="HI36" s="2"/>
      <c r="HJ36" s="2"/>
      <c r="HK36" s="2"/>
      <c r="HL36" s="2"/>
      <c r="HM36" s="2" t="s">
        <v>4</v>
      </c>
      <c r="HN36" s="2" t="s">
        <v>4</v>
      </c>
      <c r="HO36" s="2" t="s">
        <v>4</v>
      </c>
      <c r="HP36" s="2" t="s">
        <v>4</v>
      </c>
      <c r="HQ36" s="2" t="s">
        <v>4</v>
      </c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>
        <v>0</v>
      </c>
      <c r="IL36" s="2"/>
      <c r="IM36" s="2"/>
      <c r="IN36" s="2"/>
      <c r="IO36" s="2"/>
      <c r="IP36" s="2"/>
      <c r="IQ36" s="2"/>
      <c r="IR36" s="2"/>
      <c r="IS36" s="2"/>
      <c r="IT36" s="2"/>
      <c r="IU36" s="2"/>
    </row>
    <row r="37" spans="1:255">
      <c r="A37">
        <v>17</v>
      </c>
      <c r="B37">
        <v>1</v>
      </c>
      <c r="D37">
        <f>ROW(EtalonRes!A16)</f>
        <v>16</v>
      </c>
      <c r="E37" t="s">
        <v>45</v>
      </c>
      <c r="F37" t="s">
        <v>46</v>
      </c>
      <c r="G37" t="s">
        <v>47</v>
      </c>
      <c r="H37" t="s">
        <v>22</v>
      </c>
      <c r="I37">
        <f>ROUND((600*0.6*0.8)/100*0.05,9)</f>
        <v>0.14399999999999999</v>
      </c>
      <c r="J37">
        <v>0</v>
      </c>
      <c r="K37">
        <f>ROUND((600*0.6*0.8)/100*0.05,9)</f>
        <v>0.14399999999999999</v>
      </c>
      <c r="O37">
        <f t="shared" si="21"/>
        <v>8815.9599999999991</v>
      </c>
      <c r="P37">
        <f t="shared" si="22"/>
        <v>0</v>
      </c>
      <c r="Q37">
        <f t="shared" si="52"/>
        <v>0</v>
      </c>
      <c r="R37">
        <f t="shared" si="23"/>
        <v>0</v>
      </c>
      <c r="S37">
        <f t="shared" si="24"/>
        <v>8815.9599999999991</v>
      </c>
      <c r="T37">
        <f t="shared" si="25"/>
        <v>0</v>
      </c>
      <c r="U37">
        <f t="shared" si="26"/>
        <v>19.23637248</v>
      </c>
      <c r="V37">
        <f t="shared" si="27"/>
        <v>0</v>
      </c>
      <c r="W37">
        <f t="shared" si="28"/>
        <v>0</v>
      </c>
      <c r="X37">
        <f t="shared" si="29"/>
        <v>7669.89</v>
      </c>
      <c r="Y37">
        <f t="shared" si="30"/>
        <v>3614.54</v>
      </c>
      <c r="AA37">
        <v>70305036</v>
      </c>
      <c r="AB37">
        <f t="shared" si="31"/>
        <v>1051.1300000000001</v>
      </c>
      <c r="AC37">
        <f t="shared" si="32"/>
        <v>0</v>
      </c>
      <c r="AD37">
        <f t="shared" si="53"/>
        <v>0</v>
      </c>
      <c r="AE37">
        <f t="shared" si="54"/>
        <v>0</v>
      </c>
      <c r="AF37">
        <f t="shared" si="55"/>
        <v>1051.1300000000001</v>
      </c>
      <c r="AG37">
        <f t="shared" si="33"/>
        <v>0</v>
      </c>
      <c r="AH37">
        <f t="shared" si="56"/>
        <v>107.04</v>
      </c>
      <c r="AI37">
        <f t="shared" si="57"/>
        <v>0</v>
      </c>
      <c r="AJ37">
        <f t="shared" si="34"/>
        <v>0</v>
      </c>
      <c r="AK37">
        <v>1051.1300000000001</v>
      </c>
      <c r="AL37">
        <v>0</v>
      </c>
      <c r="AM37">
        <v>0</v>
      </c>
      <c r="AN37">
        <v>0</v>
      </c>
      <c r="AO37">
        <v>1051.1300000000001</v>
      </c>
      <c r="AP37">
        <v>0</v>
      </c>
      <c r="AQ37">
        <v>107.04</v>
      </c>
      <c r="AR37">
        <v>0</v>
      </c>
      <c r="AS37">
        <v>0</v>
      </c>
      <c r="AT37">
        <v>87</v>
      </c>
      <c r="AU37">
        <v>41</v>
      </c>
      <c r="AV37">
        <v>1.248</v>
      </c>
      <c r="AW37">
        <v>1</v>
      </c>
      <c r="AZ37">
        <v>1</v>
      </c>
      <c r="BA37">
        <v>46.67</v>
      </c>
      <c r="BB37">
        <v>1</v>
      </c>
      <c r="BC37">
        <v>1</v>
      </c>
      <c r="BD37" t="s">
        <v>4</v>
      </c>
      <c r="BE37" t="s">
        <v>4</v>
      </c>
      <c r="BF37" t="s">
        <v>4</v>
      </c>
      <c r="BG37" t="s">
        <v>4</v>
      </c>
      <c r="BH37">
        <v>0</v>
      </c>
      <c r="BI37">
        <v>1</v>
      </c>
      <c r="BJ37" t="s">
        <v>48</v>
      </c>
      <c r="BM37">
        <v>16</v>
      </c>
      <c r="BN37">
        <v>0</v>
      </c>
      <c r="BO37" t="s">
        <v>46</v>
      </c>
      <c r="BP37">
        <v>1</v>
      </c>
      <c r="BQ37">
        <v>30</v>
      </c>
      <c r="BR37">
        <v>0</v>
      </c>
      <c r="BS37">
        <v>46.67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4</v>
      </c>
      <c r="BZ37">
        <v>87</v>
      </c>
      <c r="CA37">
        <v>41</v>
      </c>
      <c r="CB37" t="s">
        <v>4</v>
      </c>
      <c r="CE37">
        <v>30</v>
      </c>
      <c r="CF37">
        <v>0</v>
      </c>
      <c r="CG37">
        <v>0</v>
      </c>
      <c r="CM37">
        <v>0</v>
      </c>
      <c r="CN37" t="s">
        <v>4</v>
      </c>
      <c r="CO37">
        <v>0</v>
      </c>
      <c r="CP37">
        <f t="shared" si="35"/>
        <v>8815.9599999999991</v>
      </c>
      <c r="CQ37">
        <f t="shared" si="36"/>
        <v>0</v>
      </c>
      <c r="CR37">
        <f t="shared" si="58"/>
        <v>0</v>
      </c>
      <c r="CS37">
        <f t="shared" si="37"/>
        <v>0</v>
      </c>
      <c r="CT37">
        <f t="shared" si="38"/>
        <v>61222.17</v>
      </c>
      <c r="CU37">
        <f t="shared" si="39"/>
        <v>0</v>
      </c>
      <c r="CV37">
        <f t="shared" si="40"/>
        <v>133.58592000000002</v>
      </c>
      <c r="CW37">
        <f t="shared" si="41"/>
        <v>0</v>
      </c>
      <c r="CX37">
        <f t="shared" si="42"/>
        <v>0</v>
      </c>
      <c r="CY37">
        <f>S37*(BZ37/100)</f>
        <v>7669.8851999999988</v>
      </c>
      <c r="CZ37">
        <f>S37*(CA37/100)</f>
        <v>3614.5435999999995</v>
      </c>
      <c r="DC37" t="s">
        <v>4</v>
      </c>
      <c r="DD37" t="s">
        <v>4</v>
      </c>
      <c r="DE37" t="s">
        <v>4</v>
      </c>
      <c r="DF37" t="s">
        <v>4</v>
      </c>
      <c r="DG37" t="s">
        <v>4</v>
      </c>
      <c r="DH37" t="s">
        <v>4</v>
      </c>
      <c r="DI37" t="s">
        <v>4</v>
      </c>
      <c r="DJ37" t="s">
        <v>4</v>
      </c>
      <c r="DK37" t="s">
        <v>4</v>
      </c>
      <c r="DL37" t="s">
        <v>4</v>
      </c>
      <c r="DM37" t="s">
        <v>4</v>
      </c>
      <c r="DN37">
        <v>105</v>
      </c>
      <c r="DO37">
        <v>77</v>
      </c>
      <c r="DP37">
        <v>1.248</v>
      </c>
      <c r="DQ37">
        <v>1</v>
      </c>
      <c r="DU37">
        <v>1013</v>
      </c>
      <c r="DV37" t="s">
        <v>22</v>
      </c>
      <c r="DW37" t="s">
        <v>22</v>
      </c>
      <c r="DX37">
        <v>1</v>
      </c>
      <c r="DZ37" t="s">
        <v>4</v>
      </c>
      <c r="EA37" t="s">
        <v>4</v>
      </c>
      <c r="EB37" t="s">
        <v>4</v>
      </c>
      <c r="EC37" t="s">
        <v>4</v>
      </c>
      <c r="EE37">
        <v>69252685</v>
      </c>
      <c r="EF37">
        <v>30</v>
      </c>
      <c r="EG37" t="s">
        <v>24</v>
      </c>
      <c r="EH37">
        <v>0</v>
      </c>
      <c r="EI37" t="s">
        <v>4</v>
      </c>
      <c r="EJ37">
        <v>1</v>
      </c>
      <c r="EK37">
        <v>16</v>
      </c>
      <c r="EL37" t="s">
        <v>37</v>
      </c>
      <c r="EM37" t="s">
        <v>38</v>
      </c>
      <c r="EO37" t="s">
        <v>4</v>
      </c>
      <c r="EQ37">
        <v>0</v>
      </c>
      <c r="ER37">
        <v>1051.1300000000001</v>
      </c>
      <c r="ES37">
        <v>0</v>
      </c>
      <c r="ET37">
        <v>0</v>
      </c>
      <c r="EU37">
        <v>0</v>
      </c>
      <c r="EV37">
        <v>1051.1300000000001</v>
      </c>
      <c r="EW37">
        <v>107.04</v>
      </c>
      <c r="EX37">
        <v>0</v>
      </c>
      <c r="EY37">
        <v>0</v>
      </c>
      <c r="FQ37">
        <v>0</v>
      </c>
      <c r="FR37">
        <f t="shared" si="43"/>
        <v>0</v>
      </c>
      <c r="FS37">
        <v>0</v>
      </c>
      <c r="FX37">
        <v>105</v>
      </c>
      <c r="FY37">
        <v>77</v>
      </c>
      <c r="GA37" t="s">
        <v>4</v>
      </c>
      <c r="GD37">
        <v>0</v>
      </c>
      <c r="GF37">
        <v>-510725757</v>
      </c>
      <c r="GG37">
        <v>2</v>
      </c>
      <c r="GH37">
        <v>1</v>
      </c>
      <c r="GI37">
        <v>2</v>
      </c>
      <c r="GJ37">
        <v>0</v>
      </c>
      <c r="GK37">
        <f>ROUND(R37*(S12)/100,2)</f>
        <v>0</v>
      </c>
      <c r="GL37">
        <f t="shared" si="44"/>
        <v>0</v>
      </c>
      <c r="GM37">
        <f t="shared" si="45"/>
        <v>20100.39</v>
      </c>
      <c r="GN37">
        <f t="shared" si="46"/>
        <v>20100.39</v>
      </c>
      <c r="GO37">
        <f t="shared" si="47"/>
        <v>0</v>
      </c>
      <c r="GP37">
        <f t="shared" si="48"/>
        <v>0</v>
      </c>
      <c r="GR37">
        <v>0</v>
      </c>
      <c r="GS37">
        <v>3</v>
      </c>
      <c r="GT37">
        <v>0</v>
      </c>
      <c r="GU37" t="s">
        <v>4</v>
      </c>
      <c r="GV37">
        <f t="shared" si="49"/>
        <v>0</v>
      </c>
      <c r="GW37">
        <v>1</v>
      </c>
      <c r="GX37">
        <f t="shared" si="50"/>
        <v>0</v>
      </c>
      <c r="HA37">
        <v>0</v>
      </c>
      <c r="HB37">
        <v>0</v>
      </c>
      <c r="HC37">
        <f t="shared" si="51"/>
        <v>0</v>
      </c>
      <c r="HE37" t="s">
        <v>4</v>
      </c>
      <c r="HF37" t="s">
        <v>4</v>
      </c>
      <c r="HM37" t="s">
        <v>4</v>
      </c>
      <c r="HN37" t="s">
        <v>4</v>
      </c>
      <c r="HO37" t="s">
        <v>4</v>
      </c>
      <c r="HP37" t="s">
        <v>4</v>
      </c>
      <c r="HQ37" t="s">
        <v>4</v>
      </c>
      <c r="IK37">
        <v>0</v>
      </c>
    </row>
    <row r="38" spans="1:255">
      <c r="A38" s="2">
        <v>17</v>
      </c>
      <c r="B38" s="2">
        <v>1</v>
      </c>
      <c r="C38" s="2"/>
      <c r="D38" s="2"/>
      <c r="E38" s="2" t="s">
        <v>49</v>
      </c>
      <c r="F38" s="2" t="s">
        <v>50</v>
      </c>
      <c r="G38" s="2" t="s">
        <v>51</v>
      </c>
      <c r="H38" s="2" t="s">
        <v>52</v>
      </c>
      <c r="I38" s="2">
        <f>ROUND(I28*100*1.1,9)</f>
        <v>158.4</v>
      </c>
      <c r="J38" s="2">
        <v>0</v>
      </c>
      <c r="K38" s="2">
        <f>ROUND(I28*100*1.1,9)</f>
        <v>158.4</v>
      </c>
      <c r="L38" s="2"/>
      <c r="M38" s="2"/>
      <c r="N38" s="2"/>
      <c r="O38" s="2">
        <f t="shared" si="21"/>
        <v>16630.419999999998</v>
      </c>
      <c r="P38" s="2">
        <f t="shared" si="22"/>
        <v>16630.419999999998</v>
      </c>
      <c r="Q38" s="2">
        <f t="shared" si="52"/>
        <v>0</v>
      </c>
      <c r="R38" s="2">
        <f t="shared" si="23"/>
        <v>0</v>
      </c>
      <c r="S38" s="2">
        <f t="shared" si="24"/>
        <v>0</v>
      </c>
      <c r="T38" s="2">
        <f t="shared" si="25"/>
        <v>0</v>
      </c>
      <c r="U38" s="2">
        <f t="shared" si="26"/>
        <v>0</v>
      </c>
      <c r="V38" s="2">
        <f t="shared" si="27"/>
        <v>0</v>
      </c>
      <c r="W38" s="2">
        <f t="shared" si="28"/>
        <v>0</v>
      </c>
      <c r="X38" s="2">
        <f t="shared" si="29"/>
        <v>0</v>
      </c>
      <c r="Y38" s="2">
        <f t="shared" si="30"/>
        <v>0</v>
      </c>
      <c r="Z38" s="2"/>
      <c r="AA38" s="2">
        <v>70305038</v>
      </c>
      <c r="AB38" s="2">
        <f t="shared" si="31"/>
        <v>104.99</v>
      </c>
      <c r="AC38" s="2">
        <f t="shared" si="32"/>
        <v>104.99</v>
      </c>
      <c r="AD38" s="2">
        <f t="shared" si="53"/>
        <v>0</v>
      </c>
      <c r="AE38" s="2">
        <f t="shared" si="54"/>
        <v>0</v>
      </c>
      <c r="AF38" s="2">
        <f t="shared" si="55"/>
        <v>0</v>
      </c>
      <c r="AG38" s="2">
        <f t="shared" si="33"/>
        <v>0</v>
      </c>
      <c r="AH38" s="2">
        <f t="shared" si="56"/>
        <v>0</v>
      </c>
      <c r="AI38" s="2">
        <f t="shared" si="57"/>
        <v>0</v>
      </c>
      <c r="AJ38" s="2">
        <f t="shared" si="34"/>
        <v>0</v>
      </c>
      <c r="AK38" s="2">
        <v>104.99</v>
      </c>
      <c r="AL38" s="2">
        <v>104.99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1</v>
      </c>
      <c r="AW38" s="2">
        <v>1</v>
      </c>
      <c r="AX38" s="2"/>
      <c r="AY38" s="2"/>
      <c r="AZ38" s="2">
        <v>1</v>
      </c>
      <c r="BA38" s="2">
        <v>1</v>
      </c>
      <c r="BB38" s="2">
        <v>1</v>
      </c>
      <c r="BC38" s="2">
        <v>1</v>
      </c>
      <c r="BD38" s="2" t="s">
        <v>4</v>
      </c>
      <c r="BE38" s="2" t="s">
        <v>4</v>
      </c>
      <c r="BF38" s="2" t="s">
        <v>4</v>
      </c>
      <c r="BG38" s="2" t="s">
        <v>4</v>
      </c>
      <c r="BH38" s="2">
        <v>3</v>
      </c>
      <c r="BI38" s="2">
        <v>1</v>
      </c>
      <c r="BJ38" s="2" t="s">
        <v>53</v>
      </c>
      <c r="BK38" s="2"/>
      <c r="BL38" s="2"/>
      <c r="BM38" s="2">
        <v>1617</v>
      </c>
      <c r="BN38" s="2">
        <v>0</v>
      </c>
      <c r="BO38" s="2" t="s">
        <v>4</v>
      </c>
      <c r="BP38" s="2">
        <v>0</v>
      </c>
      <c r="BQ38" s="2">
        <v>200</v>
      </c>
      <c r="BR38" s="2">
        <v>0</v>
      </c>
      <c r="BS38" s="2">
        <v>1</v>
      </c>
      <c r="BT38" s="2">
        <v>1</v>
      </c>
      <c r="BU38" s="2">
        <v>1</v>
      </c>
      <c r="BV38" s="2">
        <v>1</v>
      </c>
      <c r="BW38" s="2">
        <v>1</v>
      </c>
      <c r="BX38" s="2">
        <v>1</v>
      </c>
      <c r="BY38" s="2" t="s">
        <v>4</v>
      </c>
      <c r="BZ38" s="2">
        <v>0</v>
      </c>
      <c r="CA38" s="2">
        <v>0</v>
      </c>
      <c r="CB38" s="2" t="s">
        <v>4</v>
      </c>
      <c r="CC38" s="2"/>
      <c r="CD38" s="2"/>
      <c r="CE38" s="2">
        <v>30</v>
      </c>
      <c r="CF38" s="2">
        <v>0</v>
      </c>
      <c r="CG38" s="2">
        <v>0</v>
      </c>
      <c r="CH38" s="2"/>
      <c r="CI38" s="2"/>
      <c r="CJ38" s="2"/>
      <c r="CK38" s="2"/>
      <c r="CL38" s="2"/>
      <c r="CM38" s="2">
        <v>0</v>
      </c>
      <c r="CN38" s="2" t="s">
        <v>4</v>
      </c>
      <c r="CO38" s="2">
        <v>0</v>
      </c>
      <c r="CP38" s="2">
        <f t="shared" si="35"/>
        <v>16630.419999999998</v>
      </c>
      <c r="CQ38" s="2">
        <f t="shared" si="36"/>
        <v>104.99</v>
      </c>
      <c r="CR38" s="2">
        <f t="shared" si="58"/>
        <v>0</v>
      </c>
      <c r="CS38" s="2">
        <f t="shared" si="37"/>
        <v>0</v>
      </c>
      <c r="CT38" s="2">
        <f t="shared" si="38"/>
        <v>0</v>
      </c>
      <c r="CU38" s="2">
        <f t="shared" si="39"/>
        <v>0</v>
      </c>
      <c r="CV38" s="2">
        <f t="shared" si="40"/>
        <v>0</v>
      </c>
      <c r="CW38" s="2">
        <f t="shared" si="41"/>
        <v>0</v>
      </c>
      <c r="CX38" s="2">
        <f t="shared" si="42"/>
        <v>0</v>
      </c>
      <c r="CY38" s="2">
        <f>((S38*BZ38)/100)</f>
        <v>0</v>
      </c>
      <c r="CZ38" s="2">
        <f>((S38*CA38)/100)</f>
        <v>0</v>
      </c>
      <c r="DA38" s="2"/>
      <c r="DB38" s="2"/>
      <c r="DC38" s="2" t="s">
        <v>4</v>
      </c>
      <c r="DD38" s="2" t="s">
        <v>4</v>
      </c>
      <c r="DE38" s="2" t="s">
        <v>4</v>
      </c>
      <c r="DF38" s="2" t="s">
        <v>4</v>
      </c>
      <c r="DG38" s="2" t="s">
        <v>4</v>
      </c>
      <c r="DH38" s="2" t="s">
        <v>4</v>
      </c>
      <c r="DI38" s="2" t="s">
        <v>4</v>
      </c>
      <c r="DJ38" s="2" t="s">
        <v>4</v>
      </c>
      <c r="DK38" s="2" t="s">
        <v>4</v>
      </c>
      <c r="DL38" s="2" t="s">
        <v>4</v>
      </c>
      <c r="DM38" s="2" t="s">
        <v>4</v>
      </c>
      <c r="DN38" s="2">
        <v>0</v>
      </c>
      <c r="DO38" s="2">
        <v>0</v>
      </c>
      <c r="DP38" s="2">
        <v>1</v>
      </c>
      <c r="DQ38" s="2">
        <v>1</v>
      </c>
      <c r="DR38" s="2"/>
      <c r="DS38" s="2"/>
      <c r="DT38" s="2"/>
      <c r="DU38" s="2">
        <v>1007</v>
      </c>
      <c r="DV38" s="2" t="s">
        <v>52</v>
      </c>
      <c r="DW38" s="2" t="s">
        <v>52</v>
      </c>
      <c r="DX38" s="2">
        <v>1</v>
      </c>
      <c r="DY38" s="2"/>
      <c r="DZ38" s="2" t="s">
        <v>4</v>
      </c>
      <c r="EA38" s="2" t="s">
        <v>4</v>
      </c>
      <c r="EB38" s="2" t="s">
        <v>4</v>
      </c>
      <c r="EC38" s="2" t="s">
        <v>4</v>
      </c>
      <c r="ED38" s="2"/>
      <c r="EE38" s="2">
        <v>69254242</v>
      </c>
      <c r="EF38" s="2">
        <v>200</v>
      </c>
      <c r="EG38" s="2" t="s">
        <v>54</v>
      </c>
      <c r="EH38" s="2">
        <v>0</v>
      </c>
      <c r="EI38" s="2" t="s">
        <v>4</v>
      </c>
      <c r="EJ38" s="2">
        <v>1</v>
      </c>
      <c r="EK38" s="2">
        <v>1617</v>
      </c>
      <c r="EL38" s="2" t="s">
        <v>55</v>
      </c>
      <c r="EM38" s="2" t="s">
        <v>56</v>
      </c>
      <c r="EN38" s="2"/>
      <c r="EO38" s="2" t="s">
        <v>4</v>
      </c>
      <c r="EP38" s="2"/>
      <c r="EQ38" s="2">
        <v>131072</v>
      </c>
      <c r="ER38" s="2">
        <v>104.99</v>
      </c>
      <c r="ES38" s="2">
        <v>104.99</v>
      </c>
      <c r="ET38" s="2">
        <v>0</v>
      </c>
      <c r="EU38" s="2">
        <v>0</v>
      </c>
      <c r="EV38" s="2">
        <v>0</v>
      </c>
      <c r="EW38" s="2">
        <v>0</v>
      </c>
      <c r="EX38" s="2">
        <v>0</v>
      </c>
      <c r="EY38" s="2">
        <v>0</v>
      </c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>
        <v>0</v>
      </c>
      <c r="FR38" s="2">
        <f t="shared" si="43"/>
        <v>0</v>
      </c>
      <c r="FS38" s="2">
        <v>0</v>
      </c>
      <c r="FT38" s="2"/>
      <c r="FU38" s="2"/>
      <c r="FV38" s="2"/>
      <c r="FW38" s="2"/>
      <c r="FX38" s="2">
        <v>0</v>
      </c>
      <c r="FY38" s="2">
        <v>0</v>
      </c>
      <c r="FZ38" s="2"/>
      <c r="GA38" s="2" t="s">
        <v>4</v>
      </c>
      <c r="GB38" s="2"/>
      <c r="GC38" s="2"/>
      <c r="GD38" s="2">
        <v>0</v>
      </c>
      <c r="GE38" s="2"/>
      <c r="GF38" s="2">
        <v>1061610425</v>
      </c>
      <c r="GG38" s="2">
        <v>2</v>
      </c>
      <c r="GH38" s="2">
        <v>1</v>
      </c>
      <c r="GI38" s="2">
        <v>-2</v>
      </c>
      <c r="GJ38" s="2">
        <v>0</v>
      </c>
      <c r="GK38" s="2">
        <f>ROUND(R38*(R12)/100,2)</f>
        <v>0</v>
      </c>
      <c r="GL38" s="2">
        <f t="shared" si="44"/>
        <v>0</v>
      </c>
      <c r="GM38" s="2">
        <f t="shared" si="45"/>
        <v>16630.419999999998</v>
      </c>
      <c r="GN38" s="2">
        <f t="shared" si="46"/>
        <v>16630.419999999998</v>
      </c>
      <c r="GO38" s="2">
        <f t="shared" si="47"/>
        <v>0</v>
      </c>
      <c r="GP38" s="2">
        <f t="shared" si="48"/>
        <v>0</v>
      </c>
      <c r="GQ38" s="2"/>
      <c r="GR38" s="2">
        <v>0</v>
      </c>
      <c r="GS38" s="2">
        <v>0</v>
      </c>
      <c r="GT38" s="2">
        <v>0</v>
      </c>
      <c r="GU38" s="2" t="s">
        <v>4</v>
      </c>
      <c r="GV38" s="2">
        <f t="shared" si="49"/>
        <v>0</v>
      </c>
      <c r="GW38" s="2">
        <v>1</v>
      </c>
      <c r="GX38" s="2">
        <f t="shared" si="50"/>
        <v>0</v>
      </c>
      <c r="GY38" s="2"/>
      <c r="GZ38" s="2"/>
      <c r="HA38" s="2">
        <v>0</v>
      </c>
      <c r="HB38" s="2">
        <v>0</v>
      </c>
      <c r="HC38" s="2">
        <f t="shared" si="51"/>
        <v>0</v>
      </c>
      <c r="HD38" s="2"/>
      <c r="HE38" s="2" t="s">
        <v>4</v>
      </c>
      <c r="HF38" s="2" t="s">
        <v>4</v>
      </c>
      <c r="HG38" s="2"/>
      <c r="HH38" s="2"/>
      <c r="HI38" s="2"/>
      <c r="HJ38" s="2"/>
      <c r="HK38" s="2"/>
      <c r="HL38" s="2"/>
      <c r="HM38" s="2" t="s">
        <v>4</v>
      </c>
      <c r="HN38" s="2" t="s">
        <v>4</v>
      </c>
      <c r="HO38" s="2" t="s">
        <v>4</v>
      </c>
      <c r="HP38" s="2" t="s">
        <v>4</v>
      </c>
      <c r="HQ38" s="2" t="s">
        <v>4</v>
      </c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>
        <v>0</v>
      </c>
      <c r="IL38" s="2"/>
      <c r="IM38" s="2"/>
      <c r="IN38" s="2"/>
      <c r="IO38" s="2"/>
      <c r="IP38" s="2"/>
      <c r="IQ38" s="2"/>
      <c r="IR38" s="2"/>
      <c r="IS38" s="2"/>
      <c r="IT38" s="2"/>
      <c r="IU38" s="2"/>
    </row>
    <row r="39" spans="1:255">
      <c r="A39">
        <v>17</v>
      </c>
      <c r="B39">
        <v>1</v>
      </c>
      <c r="E39" t="s">
        <v>49</v>
      </c>
      <c r="F39" t="s">
        <v>50</v>
      </c>
      <c r="G39" t="s">
        <v>51</v>
      </c>
      <c r="H39" t="s">
        <v>52</v>
      </c>
      <c r="I39">
        <f>ROUND(I29*100*1.1,9)</f>
        <v>158.4</v>
      </c>
      <c r="J39">
        <v>0</v>
      </c>
      <c r="K39">
        <f>ROUND(I29*100*1.1,9)</f>
        <v>158.4</v>
      </c>
      <c r="O39">
        <f t="shared" si="21"/>
        <v>142356.4</v>
      </c>
      <c r="P39">
        <f t="shared" si="22"/>
        <v>142356.4</v>
      </c>
      <c r="Q39">
        <f t="shared" si="52"/>
        <v>0</v>
      </c>
      <c r="R39">
        <f t="shared" si="23"/>
        <v>0</v>
      </c>
      <c r="S39">
        <f t="shared" si="24"/>
        <v>0</v>
      </c>
      <c r="T39">
        <f t="shared" si="25"/>
        <v>0</v>
      </c>
      <c r="U39">
        <f t="shared" si="26"/>
        <v>0</v>
      </c>
      <c r="V39">
        <f t="shared" si="27"/>
        <v>0</v>
      </c>
      <c r="W39">
        <f t="shared" si="28"/>
        <v>0</v>
      </c>
      <c r="X39">
        <f t="shared" si="29"/>
        <v>0</v>
      </c>
      <c r="Y39">
        <f t="shared" si="30"/>
        <v>0</v>
      </c>
      <c r="AA39">
        <v>70305036</v>
      </c>
      <c r="AB39">
        <f t="shared" si="31"/>
        <v>104.99</v>
      </c>
      <c r="AC39">
        <f t="shared" si="32"/>
        <v>104.99</v>
      </c>
      <c r="AD39">
        <f t="shared" si="53"/>
        <v>0</v>
      </c>
      <c r="AE39">
        <f t="shared" si="54"/>
        <v>0</v>
      </c>
      <c r="AF39">
        <f t="shared" si="55"/>
        <v>0</v>
      </c>
      <c r="AG39">
        <f t="shared" si="33"/>
        <v>0</v>
      </c>
      <c r="AH39">
        <f t="shared" si="56"/>
        <v>0</v>
      </c>
      <c r="AI39">
        <f t="shared" si="57"/>
        <v>0</v>
      </c>
      <c r="AJ39">
        <f t="shared" si="34"/>
        <v>0</v>
      </c>
      <c r="AK39">
        <v>104.99</v>
      </c>
      <c r="AL39">
        <v>104.99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8.56</v>
      </c>
      <c r="BD39" t="s">
        <v>4</v>
      </c>
      <c r="BE39" t="s">
        <v>4</v>
      </c>
      <c r="BF39" t="s">
        <v>4</v>
      </c>
      <c r="BG39" t="s">
        <v>4</v>
      </c>
      <c r="BH39">
        <v>3</v>
      </c>
      <c r="BI39">
        <v>1</v>
      </c>
      <c r="BJ39" t="s">
        <v>53</v>
      </c>
      <c r="BM39">
        <v>1617</v>
      </c>
      <c r="BN39">
        <v>0</v>
      </c>
      <c r="BO39" t="s">
        <v>50</v>
      </c>
      <c r="BP39">
        <v>1</v>
      </c>
      <c r="BQ39">
        <v>200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4</v>
      </c>
      <c r="BZ39">
        <v>0</v>
      </c>
      <c r="CA39">
        <v>0</v>
      </c>
      <c r="CB39" t="s">
        <v>4</v>
      </c>
      <c r="CE39">
        <v>30</v>
      </c>
      <c r="CF39">
        <v>0</v>
      </c>
      <c r="CG39">
        <v>0</v>
      </c>
      <c r="CM39">
        <v>0</v>
      </c>
      <c r="CN39" t="s">
        <v>4</v>
      </c>
      <c r="CO39">
        <v>0</v>
      </c>
      <c r="CP39">
        <f t="shared" si="35"/>
        <v>142356.4</v>
      </c>
      <c r="CQ39">
        <f t="shared" si="36"/>
        <v>898.71</v>
      </c>
      <c r="CR39">
        <f t="shared" si="58"/>
        <v>0</v>
      </c>
      <c r="CS39">
        <f t="shared" si="37"/>
        <v>0</v>
      </c>
      <c r="CT39">
        <f t="shared" si="38"/>
        <v>0</v>
      </c>
      <c r="CU39">
        <f t="shared" si="39"/>
        <v>0</v>
      </c>
      <c r="CV39">
        <f t="shared" si="40"/>
        <v>0</v>
      </c>
      <c r="CW39">
        <f t="shared" si="41"/>
        <v>0</v>
      </c>
      <c r="CX39">
        <f t="shared" si="42"/>
        <v>0</v>
      </c>
      <c r="CY39">
        <f>S39*(BZ39/100)</f>
        <v>0</v>
      </c>
      <c r="CZ39">
        <f>S39*(CA39/100)</f>
        <v>0</v>
      </c>
      <c r="DC39" t="s">
        <v>4</v>
      </c>
      <c r="DD39" t="s">
        <v>4</v>
      </c>
      <c r="DE39" t="s">
        <v>4</v>
      </c>
      <c r="DF39" t="s">
        <v>4</v>
      </c>
      <c r="DG39" t="s">
        <v>4</v>
      </c>
      <c r="DH39" t="s">
        <v>4</v>
      </c>
      <c r="DI39" t="s">
        <v>4</v>
      </c>
      <c r="DJ39" t="s">
        <v>4</v>
      </c>
      <c r="DK39" t="s">
        <v>4</v>
      </c>
      <c r="DL39" t="s">
        <v>4</v>
      </c>
      <c r="DM39" t="s">
        <v>4</v>
      </c>
      <c r="DN39">
        <v>0</v>
      </c>
      <c r="DO39">
        <v>0</v>
      </c>
      <c r="DP39">
        <v>1</v>
      </c>
      <c r="DQ39">
        <v>1</v>
      </c>
      <c r="DU39">
        <v>1007</v>
      </c>
      <c r="DV39" t="s">
        <v>52</v>
      </c>
      <c r="DW39" t="s">
        <v>52</v>
      </c>
      <c r="DX39">
        <v>1</v>
      </c>
      <c r="DZ39" t="s">
        <v>4</v>
      </c>
      <c r="EA39" t="s">
        <v>4</v>
      </c>
      <c r="EB39" t="s">
        <v>4</v>
      </c>
      <c r="EC39" t="s">
        <v>4</v>
      </c>
      <c r="EE39">
        <v>69254242</v>
      </c>
      <c r="EF39">
        <v>200</v>
      </c>
      <c r="EG39" t="s">
        <v>54</v>
      </c>
      <c r="EH39">
        <v>0</v>
      </c>
      <c r="EI39" t="s">
        <v>4</v>
      </c>
      <c r="EJ39">
        <v>1</v>
      </c>
      <c r="EK39">
        <v>1617</v>
      </c>
      <c r="EL39" t="s">
        <v>55</v>
      </c>
      <c r="EM39" t="s">
        <v>56</v>
      </c>
      <c r="EO39" t="s">
        <v>4</v>
      </c>
      <c r="EQ39">
        <v>131072</v>
      </c>
      <c r="ER39">
        <v>104.99</v>
      </c>
      <c r="ES39">
        <v>104.99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FQ39">
        <v>0</v>
      </c>
      <c r="FR39">
        <f t="shared" si="43"/>
        <v>0</v>
      </c>
      <c r="FS39">
        <v>0</v>
      </c>
      <c r="FX39">
        <v>0</v>
      </c>
      <c r="FY39">
        <v>0</v>
      </c>
      <c r="GA39" t="s">
        <v>4</v>
      </c>
      <c r="GD39">
        <v>0</v>
      </c>
      <c r="GF39">
        <v>1061610425</v>
      </c>
      <c r="GG39">
        <v>2</v>
      </c>
      <c r="GH39">
        <v>1</v>
      </c>
      <c r="GI39">
        <v>2</v>
      </c>
      <c r="GJ39">
        <v>0</v>
      </c>
      <c r="GK39">
        <f>ROUND(R39*(S12)/100,2)</f>
        <v>0</v>
      </c>
      <c r="GL39">
        <f t="shared" si="44"/>
        <v>0</v>
      </c>
      <c r="GM39">
        <f t="shared" si="45"/>
        <v>142356.4</v>
      </c>
      <c r="GN39">
        <f t="shared" si="46"/>
        <v>142356.4</v>
      </c>
      <c r="GO39">
        <f t="shared" si="47"/>
        <v>0</v>
      </c>
      <c r="GP39">
        <f t="shared" si="48"/>
        <v>0</v>
      </c>
      <c r="GR39">
        <v>0</v>
      </c>
      <c r="GS39">
        <v>3</v>
      </c>
      <c r="GT39">
        <v>0</v>
      </c>
      <c r="GU39" t="s">
        <v>4</v>
      </c>
      <c r="GV39">
        <f t="shared" si="49"/>
        <v>0</v>
      </c>
      <c r="GW39">
        <v>1</v>
      </c>
      <c r="GX39">
        <f t="shared" si="50"/>
        <v>0</v>
      </c>
      <c r="HA39">
        <v>0</v>
      </c>
      <c r="HB39">
        <v>0</v>
      </c>
      <c r="HC39">
        <f t="shared" si="51"/>
        <v>0</v>
      </c>
      <c r="HE39" t="s">
        <v>4</v>
      </c>
      <c r="HF39" t="s">
        <v>4</v>
      </c>
      <c r="HM39" t="s">
        <v>4</v>
      </c>
      <c r="HN39" t="s">
        <v>4</v>
      </c>
      <c r="HO39" t="s">
        <v>4</v>
      </c>
      <c r="HP39" t="s">
        <v>4</v>
      </c>
      <c r="HQ39" t="s">
        <v>4</v>
      </c>
      <c r="IK39">
        <v>0</v>
      </c>
    </row>
    <row r="40" spans="1:255">
      <c r="A40" s="2">
        <v>17</v>
      </c>
      <c r="B40" s="2">
        <v>1</v>
      </c>
      <c r="C40" s="2"/>
      <c r="D40" s="2">
        <f>ROW(EtalonRes!A19)</f>
        <v>19</v>
      </c>
      <c r="E40" s="2" t="s">
        <v>57</v>
      </c>
      <c r="F40" s="2" t="s">
        <v>58</v>
      </c>
      <c r="G40" s="2" t="s">
        <v>59</v>
      </c>
      <c r="H40" s="2" t="s">
        <v>60</v>
      </c>
      <c r="I40" s="2">
        <f>ROUND(I34,9)</f>
        <v>2.7360000000000002</v>
      </c>
      <c r="J40" s="2">
        <v>0</v>
      </c>
      <c r="K40" s="2">
        <f>ROUND(I34,9)</f>
        <v>2.7360000000000002</v>
      </c>
      <c r="L40" s="2"/>
      <c r="M40" s="2"/>
      <c r="N40" s="2"/>
      <c r="O40" s="2">
        <f t="shared" si="21"/>
        <v>1598.64</v>
      </c>
      <c r="P40" s="2">
        <f t="shared" si="22"/>
        <v>0</v>
      </c>
      <c r="Q40" s="2">
        <f t="shared" si="52"/>
        <v>1252.77</v>
      </c>
      <c r="R40" s="2">
        <f t="shared" si="23"/>
        <v>379.59</v>
      </c>
      <c r="S40" s="2">
        <f t="shared" si="24"/>
        <v>345.87</v>
      </c>
      <c r="T40" s="2">
        <f t="shared" si="25"/>
        <v>0</v>
      </c>
      <c r="U40" s="2">
        <f t="shared" si="26"/>
        <v>30.937593600000003</v>
      </c>
      <c r="V40" s="2">
        <f t="shared" si="27"/>
        <v>0</v>
      </c>
      <c r="W40" s="2">
        <f t="shared" si="28"/>
        <v>0</v>
      </c>
      <c r="X40" s="2">
        <f t="shared" si="29"/>
        <v>338.95</v>
      </c>
      <c r="Y40" s="2">
        <f t="shared" si="30"/>
        <v>266.32</v>
      </c>
      <c r="Z40" s="2"/>
      <c r="AA40" s="2">
        <v>70305038</v>
      </c>
      <c r="AB40" s="2">
        <f t="shared" si="31"/>
        <v>558.07000000000005</v>
      </c>
      <c r="AC40" s="2">
        <f t="shared" si="32"/>
        <v>0</v>
      </c>
      <c r="AD40" s="2">
        <f t="shared" si="53"/>
        <v>437.33</v>
      </c>
      <c r="AE40" s="2">
        <f t="shared" si="54"/>
        <v>132.51</v>
      </c>
      <c r="AF40" s="2">
        <f t="shared" si="55"/>
        <v>120.74</v>
      </c>
      <c r="AG40" s="2">
        <f t="shared" si="33"/>
        <v>0</v>
      </c>
      <c r="AH40" s="2">
        <f t="shared" si="56"/>
        <v>10.8</v>
      </c>
      <c r="AI40" s="2">
        <f t="shared" si="57"/>
        <v>0</v>
      </c>
      <c r="AJ40" s="2">
        <f t="shared" si="34"/>
        <v>0</v>
      </c>
      <c r="AK40" s="2">
        <v>558.07000000000005</v>
      </c>
      <c r="AL40" s="2">
        <v>0</v>
      </c>
      <c r="AM40" s="2">
        <v>437.33</v>
      </c>
      <c r="AN40" s="2">
        <v>132.51</v>
      </c>
      <c r="AO40" s="2">
        <v>120.74</v>
      </c>
      <c r="AP40" s="2">
        <v>0</v>
      </c>
      <c r="AQ40" s="2">
        <v>10.8</v>
      </c>
      <c r="AR40" s="2">
        <v>0</v>
      </c>
      <c r="AS40" s="2">
        <v>0</v>
      </c>
      <c r="AT40" s="2">
        <v>98</v>
      </c>
      <c r="AU40" s="2">
        <v>77</v>
      </c>
      <c r="AV40" s="2">
        <v>1.0469999999999999</v>
      </c>
      <c r="AW40" s="2">
        <v>1</v>
      </c>
      <c r="AX40" s="2"/>
      <c r="AY40" s="2"/>
      <c r="AZ40" s="2">
        <v>1</v>
      </c>
      <c r="BA40" s="2">
        <v>1</v>
      </c>
      <c r="BB40" s="2">
        <v>1</v>
      </c>
      <c r="BC40" s="2">
        <v>1</v>
      </c>
      <c r="BD40" s="2" t="s">
        <v>4</v>
      </c>
      <c r="BE40" s="2" t="s">
        <v>4</v>
      </c>
      <c r="BF40" s="2" t="s">
        <v>4</v>
      </c>
      <c r="BG40" s="2" t="s">
        <v>4</v>
      </c>
      <c r="BH40" s="2">
        <v>0</v>
      </c>
      <c r="BI40" s="2">
        <v>1</v>
      </c>
      <c r="BJ40" s="2" t="s">
        <v>61</v>
      </c>
      <c r="BK40" s="2"/>
      <c r="BL40" s="2"/>
      <c r="BM40" s="2">
        <v>10</v>
      </c>
      <c r="BN40" s="2">
        <v>0</v>
      </c>
      <c r="BO40" s="2" t="s">
        <v>4</v>
      </c>
      <c r="BP40" s="2">
        <v>0</v>
      </c>
      <c r="BQ40" s="2">
        <v>30</v>
      </c>
      <c r="BR40" s="2">
        <v>0</v>
      </c>
      <c r="BS40" s="2">
        <v>1</v>
      </c>
      <c r="BT40" s="2">
        <v>1</v>
      </c>
      <c r="BU40" s="2">
        <v>1</v>
      </c>
      <c r="BV40" s="2">
        <v>1</v>
      </c>
      <c r="BW40" s="2">
        <v>1</v>
      </c>
      <c r="BX40" s="2">
        <v>1</v>
      </c>
      <c r="BY40" s="2" t="s">
        <v>4</v>
      </c>
      <c r="BZ40" s="2">
        <v>98</v>
      </c>
      <c r="CA40" s="2">
        <v>77</v>
      </c>
      <c r="CB40" s="2" t="s">
        <v>4</v>
      </c>
      <c r="CC40" s="2"/>
      <c r="CD40" s="2"/>
      <c r="CE40" s="2">
        <v>30</v>
      </c>
      <c r="CF40" s="2">
        <v>0</v>
      </c>
      <c r="CG40" s="2">
        <v>0</v>
      </c>
      <c r="CH40" s="2"/>
      <c r="CI40" s="2"/>
      <c r="CJ40" s="2"/>
      <c r="CK40" s="2"/>
      <c r="CL40" s="2"/>
      <c r="CM40" s="2">
        <v>0</v>
      </c>
      <c r="CN40" s="2" t="s">
        <v>4</v>
      </c>
      <c r="CO40" s="2">
        <v>0</v>
      </c>
      <c r="CP40" s="2">
        <f t="shared" si="35"/>
        <v>1598.6399999999999</v>
      </c>
      <c r="CQ40" s="2">
        <f t="shared" si="36"/>
        <v>0</v>
      </c>
      <c r="CR40" s="2">
        <f t="shared" si="58"/>
        <v>457.88</v>
      </c>
      <c r="CS40" s="2">
        <f t="shared" si="37"/>
        <v>138.74</v>
      </c>
      <c r="CT40" s="2">
        <f t="shared" si="38"/>
        <v>126.41</v>
      </c>
      <c r="CU40" s="2">
        <f t="shared" si="39"/>
        <v>0</v>
      </c>
      <c r="CV40" s="2">
        <f t="shared" si="40"/>
        <v>11.307600000000001</v>
      </c>
      <c r="CW40" s="2">
        <f t="shared" si="41"/>
        <v>0</v>
      </c>
      <c r="CX40" s="2">
        <f t="shared" si="42"/>
        <v>0</v>
      </c>
      <c r="CY40" s="2">
        <f>((S40*BZ40)/100)</f>
        <v>338.95260000000002</v>
      </c>
      <c r="CZ40" s="2">
        <f>((S40*CA40)/100)</f>
        <v>266.31990000000002</v>
      </c>
      <c r="DA40" s="2"/>
      <c r="DB40" s="2"/>
      <c r="DC40" s="2" t="s">
        <v>4</v>
      </c>
      <c r="DD40" s="2" t="s">
        <v>4</v>
      </c>
      <c r="DE40" s="2" t="s">
        <v>4</v>
      </c>
      <c r="DF40" s="2" t="s">
        <v>4</v>
      </c>
      <c r="DG40" s="2" t="s">
        <v>4</v>
      </c>
      <c r="DH40" s="2" t="s">
        <v>4</v>
      </c>
      <c r="DI40" s="2" t="s">
        <v>4</v>
      </c>
      <c r="DJ40" s="2" t="s">
        <v>4</v>
      </c>
      <c r="DK40" s="2" t="s">
        <v>4</v>
      </c>
      <c r="DL40" s="2" t="s">
        <v>4</v>
      </c>
      <c r="DM40" s="2" t="s">
        <v>4</v>
      </c>
      <c r="DN40" s="2">
        <v>0</v>
      </c>
      <c r="DO40" s="2">
        <v>0</v>
      </c>
      <c r="DP40" s="2">
        <v>1</v>
      </c>
      <c r="DQ40" s="2">
        <v>1</v>
      </c>
      <c r="DR40" s="2"/>
      <c r="DS40" s="2"/>
      <c r="DT40" s="2"/>
      <c r="DU40" s="2">
        <v>1013</v>
      </c>
      <c r="DV40" s="2" t="s">
        <v>60</v>
      </c>
      <c r="DW40" s="2" t="s">
        <v>60</v>
      </c>
      <c r="DX40" s="2">
        <v>1</v>
      </c>
      <c r="DY40" s="2"/>
      <c r="DZ40" s="2" t="s">
        <v>4</v>
      </c>
      <c r="EA40" s="2" t="s">
        <v>4</v>
      </c>
      <c r="EB40" s="2" t="s">
        <v>4</v>
      </c>
      <c r="EC40" s="2" t="s">
        <v>4</v>
      </c>
      <c r="ED40" s="2"/>
      <c r="EE40" s="2">
        <v>69252679</v>
      </c>
      <c r="EF40" s="2">
        <v>30</v>
      </c>
      <c r="EG40" s="2" t="s">
        <v>24</v>
      </c>
      <c r="EH40" s="2">
        <v>0</v>
      </c>
      <c r="EI40" s="2" t="s">
        <v>4</v>
      </c>
      <c r="EJ40" s="2">
        <v>1</v>
      </c>
      <c r="EK40" s="2">
        <v>10</v>
      </c>
      <c r="EL40" s="2" t="s">
        <v>62</v>
      </c>
      <c r="EM40" s="2" t="s">
        <v>63</v>
      </c>
      <c r="EN40" s="2"/>
      <c r="EO40" s="2" t="s">
        <v>4</v>
      </c>
      <c r="EP40" s="2"/>
      <c r="EQ40" s="2">
        <v>131072</v>
      </c>
      <c r="ER40" s="2">
        <v>558.07000000000005</v>
      </c>
      <c r="ES40" s="2">
        <v>0</v>
      </c>
      <c r="ET40" s="2">
        <v>437.33</v>
      </c>
      <c r="EU40" s="2">
        <v>132.51</v>
      </c>
      <c r="EV40" s="2">
        <v>120.74</v>
      </c>
      <c r="EW40" s="2">
        <v>10.8</v>
      </c>
      <c r="EX40" s="2">
        <v>0</v>
      </c>
      <c r="EY40" s="2">
        <v>0</v>
      </c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>
        <v>0</v>
      </c>
      <c r="FR40" s="2">
        <f t="shared" si="43"/>
        <v>0</v>
      </c>
      <c r="FS40" s="2">
        <v>0</v>
      </c>
      <c r="FT40" s="2"/>
      <c r="FU40" s="2"/>
      <c r="FV40" s="2"/>
      <c r="FW40" s="2"/>
      <c r="FX40" s="2">
        <v>98</v>
      </c>
      <c r="FY40" s="2">
        <v>77</v>
      </c>
      <c r="FZ40" s="2"/>
      <c r="GA40" s="2" t="s">
        <v>4</v>
      </c>
      <c r="GB40" s="2"/>
      <c r="GC40" s="2"/>
      <c r="GD40" s="2">
        <v>0</v>
      </c>
      <c r="GE40" s="2"/>
      <c r="GF40" s="2">
        <v>102535675</v>
      </c>
      <c r="GG40" s="2">
        <v>2</v>
      </c>
      <c r="GH40" s="2">
        <v>1</v>
      </c>
      <c r="GI40" s="2">
        <v>-2</v>
      </c>
      <c r="GJ40" s="2">
        <v>0</v>
      </c>
      <c r="GK40" s="2">
        <f>ROUND(R40*(R12)/100,2)</f>
        <v>664.28</v>
      </c>
      <c r="GL40" s="2">
        <f t="shared" si="44"/>
        <v>0</v>
      </c>
      <c r="GM40" s="2">
        <f t="shared" si="45"/>
        <v>2868.19</v>
      </c>
      <c r="GN40" s="2">
        <f t="shared" si="46"/>
        <v>2868.19</v>
      </c>
      <c r="GO40" s="2">
        <f t="shared" si="47"/>
        <v>0</v>
      </c>
      <c r="GP40" s="2">
        <f t="shared" si="48"/>
        <v>0</v>
      </c>
      <c r="GQ40" s="2"/>
      <c r="GR40" s="2">
        <v>0</v>
      </c>
      <c r="GS40" s="2">
        <v>0</v>
      </c>
      <c r="GT40" s="2">
        <v>0</v>
      </c>
      <c r="GU40" s="2" t="s">
        <v>4</v>
      </c>
      <c r="GV40" s="2">
        <f t="shared" si="49"/>
        <v>0</v>
      </c>
      <c r="GW40" s="2">
        <v>1</v>
      </c>
      <c r="GX40" s="2">
        <f t="shared" si="50"/>
        <v>0</v>
      </c>
      <c r="GY40" s="2"/>
      <c r="GZ40" s="2"/>
      <c r="HA40" s="2">
        <v>0</v>
      </c>
      <c r="HB40" s="2">
        <v>0</v>
      </c>
      <c r="HC40" s="2">
        <f t="shared" si="51"/>
        <v>0</v>
      </c>
      <c r="HD40" s="2"/>
      <c r="HE40" s="2" t="s">
        <v>4</v>
      </c>
      <c r="HF40" s="2" t="s">
        <v>4</v>
      </c>
      <c r="HG40" s="2"/>
      <c r="HH40" s="2"/>
      <c r="HI40" s="2"/>
      <c r="HJ40" s="2"/>
      <c r="HK40" s="2"/>
      <c r="HL40" s="2"/>
      <c r="HM40" s="2" t="s">
        <v>4</v>
      </c>
      <c r="HN40" s="2" t="s">
        <v>4</v>
      </c>
      <c r="HO40" s="2" t="s">
        <v>4</v>
      </c>
      <c r="HP40" s="2" t="s">
        <v>4</v>
      </c>
      <c r="HQ40" s="2" t="s">
        <v>4</v>
      </c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>
        <v>0</v>
      </c>
      <c r="IL40" s="2"/>
      <c r="IM40" s="2"/>
      <c r="IN40" s="2"/>
      <c r="IO40" s="2"/>
      <c r="IP40" s="2"/>
      <c r="IQ40" s="2"/>
      <c r="IR40" s="2"/>
      <c r="IS40" s="2"/>
      <c r="IT40" s="2"/>
      <c r="IU40" s="2"/>
    </row>
    <row r="41" spans="1:255">
      <c r="A41">
        <v>17</v>
      </c>
      <c r="B41">
        <v>1</v>
      </c>
      <c r="D41">
        <f>ROW(EtalonRes!A22)</f>
        <v>22</v>
      </c>
      <c r="E41" t="s">
        <v>57</v>
      </c>
      <c r="F41" t="s">
        <v>58</v>
      </c>
      <c r="G41" t="s">
        <v>59</v>
      </c>
      <c r="H41" t="s">
        <v>60</v>
      </c>
      <c r="I41">
        <f>ROUND(I35,9)</f>
        <v>2.7360000000000002</v>
      </c>
      <c r="J41">
        <v>0</v>
      </c>
      <c r="K41">
        <f>ROUND(I35,9)</f>
        <v>2.7360000000000002</v>
      </c>
      <c r="O41">
        <f t="shared" si="21"/>
        <v>43464.66</v>
      </c>
      <c r="P41">
        <f t="shared" si="22"/>
        <v>0</v>
      </c>
      <c r="Q41">
        <f t="shared" si="52"/>
        <v>27322.91</v>
      </c>
      <c r="R41">
        <f t="shared" si="23"/>
        <v>17715.47</v>
      </c>
      <c r="S41">
        <f t="shared" si="24"/>
        <v>16141.75</v>
      </c>
      <c r="T41">
        <f t="shared" si="25"/>
        <v>0</v>
      </c>
      <c r="U41">
        <f t="shared" si="26"/>
        <v>30.937593600000003</v>
      </c>
      <c r="V41">
        <f t="shared" si="27"/>
        <v>0</v>
      </c>
      <c r="W41">
        <f t="shared" si="28"/>
        <v>0</v>
      </c>
      <c r="X41">
        <f t="shared" si="29"/>
        <v>15173.25</v>
      </c>
      <c r="Y41">
        <f t="shared" si="30"/>
        <v>8232.2900000000009</v>
      </c>
      <c r="AA41">
        <v>70305036</v>
      </c>
      <c r="AB41">
        <f t="shared" si="31"/>
        <v>558.07000000000005</v>
      </c>
      <c r="AC41">
        <f t="shared" si="32"/>
        <v>0</v>
      </c>
      <c r="AD41">
        <f t="shared" si="53"/>
        <v>437.33</v>
      </c>
      <c r="AE41">
        <f t="shared" si="54"/>
        <v>132.51</v>
      </c>
      <c r="AF41">
        <f t="shared" si="55"/>
        <v>120.74</v>
      </c>
      <c r="AG41">
        <f t="shared" si="33"/>
        <v>0</v>
      </c>
      <c r="AH41">
        <f t="shared" si="56"/>
        <v>10.8</v>
      </c>
      <c r="AI41">
        <f t="shared" si="57"/>
        <v>0</v>
      </c>
      <c r="AJ41">
        <f t="shared" si="34"/>
        <v>0</v>
      </c>
      <c r="AK41">
        <v>558.07000000000005</v>
      </c>
      <c r="AL41">
        <v>0</v>
      </c>
      <c r="AM41">
        <v>437.33</v>
      </c>
      <c r="AN41">
        <v>132.51</v>
      </c>
      <c r="AO41">
        <v>120.74</v>
      </c>
      <c r="AP41">
        <v>0</v>
      </c>
      <c r="AQ41">
        <v>10.8</v>
      </c>
      <c r="AR41">
        <v>0</v>
      </c>
      <c r="AS41">
        <v>0</v>
      </c>
      <c r="AT41">
        <v>94</v>
      </c>
      <c r="AU41">
        <v>51</v>
      </c>
      <c r="AV41">
        <v>1.0469999999999999</v>
      </c>
      <c r="AW41">
        <v>1</v>
      </c>
      <c r="AZ41">
        <v>1</v>
      </c>
      <c r="BA41">
        <v>46.67</v>
      </c>
      <c r="BB41">
        <v>21.81</v>
      </c>
      <c r="BC41">
        <v>1</v>
      </c>
      <c r="BD41" t="s">
        <v>4</v>
      </c>
      <c r="BE41" t="s">
        <v>4</v>
      </c>
      <c r="BF41" t="s">
        <v>4</v>
      </c>
      <c r="BG41" t="s">
        <v>4</v>
      </c>
      <c r="BH41">
        <v>0</v>
      </c>
      <c r="BI41">
        <v>1</v>
      </c>
      <c r="BJ41" t="s">
        <v>61</v>
      </c>
      <c r="BM41">
        <v>10</v>
      </c>
      <c r="BN41">
        <v>0</v>
      </c>
      <c r="BO41" t="s">
        <v>58</v>
      </c>
      <c r="BP41">
        <v>1</v>
      </c>
      <c r="BQ41">
        <v>30</v>
      </c>
      <c r="BR41">
        <v>0</v>
      </c>
      <c r="BS41">
        <v>46.67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4</v>
      </c>
      <c r="BZ41">
        <v>94</v>
      </c>
      <c r="CA41">
        <v>51</v>
      </c>
      <c r="CB41" t="s">
        <v>4</v>
      </c>
      <c r="CE41">
        <v>30</v>
      </c>
      <c r="CF41">
        <v>0</v>
      </c>
      <c r="CG41">
        <v>0</v>
      </c>
      <c r="CM41">
        <v>0</v>
      </c>
      <c r="CN41" t="s">
        <v>4</v>
      </c>
      <c r="CO41">
        <v>0</v>
      </c>
      <c r="CP41">
        <f t="shared" si="35"/>
        <v>43464.66</v>
      </c>
      <c r="CQ41">
        <f t="shared" si="36"/>
        <v>0</v>
      </c>
      <c r="CR41">
        <f t="shared" si="58"/>
        <v>9986.36</v>
      </c>
      <c r="CS41">
        <f t="shared" si="37"/>
        <v>6475</v>
      </c>
      <c r="CT41">
        <f t="shared" si="38"/>
        <v>5899.55</v>
      </c>
      <c r="CU41">
        <f t="shared" si="39"/>
        <v>0</v>
      </c>
      <c r="CV41">
        <f t="shared" si="40"/>
        <v>11.307600000000001</v>
      </c>
      <c r="CW41">
        <f t="shared" si="41"/>
        <v>0</v>
      </c>
      <c r="CX41">
        <f t="shared" si="42"/>
        <v>0</v>
      </c>
      <c r="CY41">
        <f>S41*(BZ41/100)</f>
        <v>15173.244999999999</v>
      </c>
      <c r="CZ41">
        <f>S41*(CA41/100)</f>
        <v>8232.2924999999996</v>
      </c>
      <c r="DC41" t="s">
        <v>4</v>
      </c>
      <c r="DD41" t="s">
        <v>4</v>
      </c>
      <c r="DE41" t="s">
        <v>4</v>
      </c>
      <c r="DF41" t="s">
        <v>4</v>
      </c>
      <c r="DG41" t="s">
        <v>4</v>
      </c>
      <c r="DH41" t="s">
        <v>4</v>
      </c>
      <c r="DI41" t="s">
        <v>4</v>
      </c>
      <c r="DJ41" t="s">
        <v>4</v>
      </c>
      <c r="DK41" t="s">
        <v>4</v>
      </c>
      <c r="DL41" t="s">
        <v>4</v>
      </c>
      <c r="DM41" t="s">
        <v>4</v>
      </c>
      <c r="DN41">
        <v>98</v>
      </c>
      <c r="DO41">
        <v>77</v>
      </c>
      <c r="DP41">
        <v>1.0469999999999999</v>
      </c>
      <c r="DQ41">
        <v>1</v>
      </c>
      <c r="DU41">
        <v>1013</v>
      </c>
      <c r="DV41" t="s">
        <v>60</v>
      </c>
      <c r="DW41" t="s">
        <v>60</v>
      </c>
      <c r="DX41">
        <v>1</v>
      </c>
      <c r="DZ41" t="s">
        <v>4</v>
      </c>
      <c r="EA41" t="s">
        <v>4</v>
      </c>
      <c r="EB41" t="s">
        <v>4</v>
      </c>
      <c r="EC41" t="s">
        <v>4</v>
      </c>
      <c r="EE41">
        <v>69252679</v>
      </c>
      <c r="EF41">
        <v>30</v>
      </c>
      <c r="EG41" t="s">
        <v>24</v>
      </c>
      <c r="EH41">
        <v>0</v>
      </c>
      <c r="EI41" t="s">
        <v>4</v>
      </c>
      <c r="EJ41">
        <v>1</v>
      </c>
      <c r="EK41">
        <v>10</v>
      </c>
      <c r="EL41" t="s">
        <v>62</v>
      </c>
      <c r="EM41" t="s">
        <v>63</v>
      </c>
      <c r="EO41" t="s">
        <v>4</v>
      </c>
      <c r="EQ41">
        <v>131072</v>
      </c>
      <c r="ER41">
        <v>558.07000000000005</v>
      </c>
      <c r="ES41">
        <v>0</v>
      </c>
      <c r="ET41">
        <v>437.33</v>
      </c>
      <c r="EU41">
        <v>132.51</v>
      </c>
      <c r="EV41">
        <v>120.74</v>
      </c>
      <c r="EW41">
        <v>10.8</v>
      </c>
      <c r="EX41">
        <v>0</v>
      </c>
      <c r="EY41">
        <v>0</v>
      </c>
      <c r="FQ41">
        <v>0</v>
      </c>
      <c r="FR41">
        <f t="shared" si="43"/>
        <v>0</v>
      </c>
      <c r="FS41">
        <v>0</v>
      </c>
      <c r="FX41">
        <v>98</v>
      </c>
      <c r="FY41">
        <v>77</v>
      </c>
      <c r="GA41" t="s">
        <v>4</v>
      </c>
      <c r="GD41">
        <v>0</v>
      </c>
      <c r="GF41">
        <v>102535675</v>
      </c>
      <c r="GG41">
        <v>2</v>
      </c>
      <c r="GH41">
        <v>1</v>
      </c>
      <c r="GI41">
        <v>2</v>
      </c>
      <c r="GJ41">
        <v>0</v>
      </c>
      <c r="GK41">
        <f>ROUND(R41*(S12)/100,2)</f>
        <v>28344.75</v>
      </c>
      <c r="GL41">
        <f t="shared" si="44"/>
        <v>0</v>
      </c>
      <c r="GM41">
        <f t="shared" si="45"/>
        <v>95214.95</v>
      </c>
      <c r="GN41">
        <f t="shared" si="46"/>
        <v>95214.95</v>
      </c>
      <c r="GO41">
        <f t="shared" si="47"/>
        <v>0</v>
      </c>
      <c r="GP41">
        <f t="shared" si="48"/>
        <v>0</v>
      </c>
      <c r="GR41">
        <v>0</v>
      </c>
      <c r="GS41">
        <v>3</v>
      </c>
      <c r="GT41">
        <v>0</v>
      </c>
      <c r="GU41" t="s">
        <v>4</v>
      </c>
      <c r="GV41">
        <f t="shared" si="49"/>
        <v>0</v>
      </c>
      <c r="GW41">
        <v>1</v>
      </c>
      <c r="GX41">
        <f t="shared" si="50"/>
        <v>0</v>
      </c>
      <c r="HA41">
        <v>0</v>
      </c>
      <c r="HB41">
        <v>0</v>
      </c>
      <c r="HC41">
        <f t="shared" si="51"/>
        <v>0</v>
      </c>
      <c r="HE41" t="s">
        <v>4</v>
      </c>
      <c r="HF41" t="s">
        <v>4</v>
      </c>
      <c r="HM41" t="s">
        <v>4</v>
      </c>
      <c r="HN41" t="s">
        <v>4</v>
      </c>
      <c r="HO41" t="s">
        <v>4</v>
      </c>
      <c r="HP41" t="s">
        <v>4</v>
      </c>
      <c r="HQ41" t="s">
        <v>4</v>
      </c>
      <c r="IK41">
        <v>0</v>
      </c>
    </row>
    <row r="43" spans="1:255">
      <c r="A43" s="3">
        <v>51</v>
      </c>
      <c r="B43" s="3">
        <f>B24</f>
        <v>1</v>
      </c>
      <c r="C43" s="3">
        <f>A24</f>
        <v>4</v>
      </c>
      <c r="D43" s="3">
        <f>ROW(A24)</f>
        <v>24</v>
      </c>
      <c r="E43" s="3"/>
      <c r="F43" s="3" t="str">
        <f>IF(F24&lt;&gt;"",F24,"")</f>
        <v>Новый раздел</v>
      </c>
      <c r="G43" s="3" t="str">
        <f>IF(G24&lt;&gt;"",G24,"")</f>
        <v>Земляные работы</v>
      </c>
      <c r="H43" s="3">
        <v>0</v>
      </c>
      <c r="I43" s="3"/>
      <c r="J43" s="3"/>
      <c r="K43" s="3"/>
      <c r="L43" s="3"/>
      <c r="M43" s="3"/>
      <c r="N43" s="3"/>
      <c r="O43" s="3">
        <f t="shared" ref="O43:T43" si="59">ROUND(AB43,2)</f>
        <v>23851.11</v>
      </c>
      <c r="P43" s="3">
        <f t="shared" si="59"/>
        <v>16630.419999999998</v>
      </c>
      <c r="Q43" s="3">
        <f t="shared" si="59"/>
        <v>4786.2299999999996</v>
      </c>
      <c r="R43" s="3">
        <f t="shared" si="59"/>
        <v>723.27</v>
      </c>
      <c r="S43" s="3">
        <f t="shared" si="59"/>
        <v>2434.46</v>
      </c>
      <c r="T43" s="3">
        <f t="shared" si="59"/>
        <v>0</v>
      </c>
      <c r="U43" s="3">
        <f>AH43</f>
        <v>229.6156608</v>
      </c>
      <c r="V43" s="3">
        <f>AI43</f>
        <v>0</v>
      </c>
      <c r="W43" s="3">
        <f>ROUND(AJ43,2)</f>
        <v>0</v>
      </c>
      <c r="X43" s="3">
        <f>ROUND(AK43,2)</f>
        <v>2527.48</v>
      </c>
      <c r="Y43" s="3">
        <f>ROUND(AL43,2)</f>
        <v>1874.53</v>
      </c>
      <c r="Z43" s="3"/>
      <c r="AA43" s="3"/>
      <c r="AB43" s="3">
        <f>ROUND(SUMIF(AA28:AA41,"=70305038",O28:O41),2)</f>
        <v>23851.11</v>
      </c>
      <c r="AC43" s="3">
        <f>ROUND(SUMIF(AA28:AA41,"=70305038",P28:P41),2)</f>
        <v>16630.419999999998</v>
      </c>
      <c r="AD43" s="3">
        <f>ROUND(SUMIF(AA28:AA41,"=70305038",Q28:Q41),2)</f>
        <v>4786.2299999999996</v>
      </c>
      <c r="AE43" s="3">
        <f>ROUND(SUMIF(AA28:AA41,"=70305038",R28:R41),2)</f>
        <v>723.27</v>
      </c>
      <c r="AF43" s="3">
        <f>ROUND(SUMIF(AA28:AA41,"=70305038",S28:S41),2)</f>
        <v>2434.46</v>
      </c>
      <c r="AG43" s="3">
        <f>ROUND(SUMIF(AA28:AA41,"=70305038",T28:T41),2)</f>
        <v>0</v>
      </c>
      <c r="AH43" s="3">
        <f>SUMIF(AA28:AA41,"=70305038",U28:U41)</f>
        <v>229.6156608</v>
      </c>
      <c r="AI43" s="3">
        <f>SUMIF(AA28:AA41,"=70305038",V28:V41)</f>
        <v>0</v>
      </c>
      <c r="AJ43" s="3">
        <f>ROUND(SUMIF(AA28:AA41,"=70305038",W28:W41),2)</f>
        <v>0</v>
      </c>
      <c r="AK43" s="3">
        <f>ROUND(SUMIF(AA28:AA41,"=70305038",X28:X41),2)</f>
        <v>2527.48</v>
      </c>
      <c r="AL43" s="3">
        <f>ROUND(SUMIF(AA28:AA41,"=70305038",Y28:Y41),2)</f>
        <v>1874.53</v>
      </c>
      <c r="AM43" s="3"/>
      <c r="AN43" s="3"/>
      <c r="AO43" s="3">
        <f t="shared" ref="AO43:BD43" si="60">ROUND(BX43,2)</f>
        <v>0</v>
      </c>
      <c r="AP43" s="3">
        <f t="shared" si="60"/>
        <v>0</v>
      </c>
      <c r="AQ43" s="3">
        <f t="shared" si="60"/>
        <v>0</v>
      </c>
      <c r="AR43" s="3">
        <f t="shared" si="60"/>
        <v>29518.84</v>
      </c>
      <c r="AS43" s="3">
        <f t="shared" si="60"/>
        <v>29518.84</v>
      </c>
      <c r="AT43" s="3">
        <f t="shared" si="60"/>
        <v>0</v>
      </c>
      <c r="AU43" s="3">
        <f t="shared" si="60"/>
        <v>0</v>
      </c>
      <c r="AV43" s="3">
        <f t="shared" si="60"/>
        <v>16630.419999999998</v>
      </c>
      <c r="AW43" s="3">
        <f t="shared" si="60"/>
        <v>16630.419999999998</v>
      </c>
      <c r="AX43" s="3">
        <f t="shared" si="60"/>
        <v>0</v>
      </c>
      <c r="AY43" s="3">
        <f t="shared" si="60"/>
        <v>16630.419999999998</v>
      </c>
      <c r="AZ43" s="3">
        <f t="shared" si="60"/>
        <v>0</v>
      </c>
      <c r="BA43" s="3">
        <f t="shared" si="60"/>
        <v>0</v>
      </c>
      <c r="BB43" s="3">
        <f t="shared" si="60"/>
        <v>0</v>
      </c>
      <c r="BC43" s="3">
        <f t="shared" si="60"/>
        <v>0</v>
      </c>
      <c r="BD43" s="3">
        <f t="shared" si="60"/>
        <v>0</v>
      </c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>
        <f>ROUND(SUMIF(AA28:AA41,"=70305038",FQ28:FQ41),2)</f>
        <v>0</v>
      </c>
      <c r="BY43" s="3">
        <f>ROUND(SUMIF(AA28:AA41,"=70305038",FR28:FR41),2)</f>
        <v>0</v>
      </c>
      <c r="BZ43" s="3">
        <f>ROUND(SUMIF(AA28:AA41,"=70305038",GL28:GL41),2)</f>
        <v>0</v>
      </c>
      <c r="CA43" s="3">
        <f>ROUND(SUMIF(AA28:AA41,"=70305038",GM28:GM41),2)</f>
        <v>29518.84</v>
      </c>
      <c r="CB43" s="3">
        <f>ROUND(SUMIF(AA28:AA41,"=70305038",GN28:GN41),2)</f>
        <v>29518.84</v>
      </c>
      <c r="CC43" s="3">
        <f>ROUND(SUMIF(AA28:AA41,"=70305038",GO28:GO41),2)</f>
        <v>0</v>
      </c>
      <c r="CD43" s="3">
        <f>ROUND(SUMIF(AA28:AA41,"=70305038",GP28:GP41),2)</f>
        <v>0</v>
      </c>
      <c r="CE43" s="3">
        <f>AC43-BX43</f>
        <v>16630.419999999998</v>
      </c>
      <c r="CF43" s="3">
        <f>AC43-BY43</f>
        <v>16630.419999999998</v>
      </c>
      <c r="CG43" s="3">
        <f>BX43-BZ43</f>
        <v>0</v>
      </c>
      <c r="CH43" s="3">
        <f>AC43-BX43-BY43+BZ43</f>
        <v>16630.419999999998</v>
      </c>
      <c r="CI43" s="3">
        <f>BY43-BZ43</f>
        <v>0</v>
      </c>
      <c r="CJ43" s="3">
        <f>ROUND(SUMIF(AA28:AA41,"=70305038",GX28:GX41),2)</f>
        <v>0</v>
      </c>
      <c r="CK43" s="3">
        <f>ROUND(SUMIF(AA28:AA41,"=70305038",GY28:GY41),2)</f>
        <v>0</v>
      </c>
      <c r="CL43" s="3">
        <f>ROUND(SUMIF(AA28:AA41,"=70305038",GZ28:GZ41),2)</f>
        <v>0</v>
      </c>
      <c r="CM43" s="3">
        <f>ROUND(SUMIF(AA28:AA41,"=70305038",HD28:HD41),2)</f>
        <v>0</v>
      </c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4">
        <f t="shared" ref="DG43:DL43" si="61">ROUND(DT43,2)</f>
        <v>331758.03999999998</v>
      </c>
      <c r="DH43" s="4">
        <f t="shared" si="61"/>
        <v>142356.4</v>
      </c>
      <c r="DI43" s="4">
        <f t="shared" si="61"/>
        <v>75785.399999999994</v>
      </c>
      <c r="DJ43" s="4">
        <f t="shared" si="61"/>
        <v>33755.019999999997</v>
      </c>
      <c r="DK43" s="4">
        <f t="shared" si="61"/>
        <v>113616.24</v>
      </c>
      <c r="DL43" s="4">
        <f t="shared" si="61"/>
        <v>0</v>
      </c>
      <c r="DM43" s="4">
        <f>DZ43</f>
        <v>229.6156608</v>
      </c>
      <c r="DN43" s="4">
        <f>EA43</f>
        <v>0</v>
      </c>
      <c r="DO43" s="4">
        <f>ROUND(EB43,2)</f>
        <v>0</v>
      </c>
      <c r="DP43" s="4">
        <f>ROUND(EC43,2)</f>
        <v>100186.02</v>
      </c>
      <c r="DQ43" s="4">
        <f>ROUND(ED43,2)</f>
        <v>48496.78</v>
      </c>
      <c r="DR43" s="4"/>
      <c r="DS43" s="4"/>
      <c r="DT43" s="4">
        <f>ROUND(SUMIF(AA28:AA41,"=70305036",O28:O41),2)</f>
        <v>331758.03999999998</v>
      </c>
      <c r="DU43" s="4">
        <f>ROUND(SUMIF(AA28:AA41,"=70305036",P28:P41),2)</f>
        <v>142356.4</v>
      </c>
      <c r="DV43" s="4">
        <f>ROUND(SUMIF(AA28:AA41,"=70305036",Q28:Q41),2)</f>
        <v>75785.399999999994</v>
      </c>
      <c r="DW43" s="4">
        <f>ROUND(SUMIF(AA28:AA41,"=70305036",R28:R41),2)</f>
        <v>33755.019999999997</v>
      </c>
      <c r="DX43" s="4">
        <f>ROUND(SUMIF(AA28:AA41,"=70305036",S28:S41),2)</f>
        <v>113616.24</v>
      </c>
      <c r="DY43" s="4">
        <f>ROUND(SUMIF(AA28:AA41,"=70305036",T28:T41),2)</f>
        <v>0</v>
      </c>
      <c r="DZ43" s="4">
        <f>SUMIF(AA28:AA41,"=70305036",U28:U41)</f>
        <v>229.6156608</v>
      </c>
      <c r="EA43" s="4">
        <f>SUMIF(AA28:AA41,"=70305036",V28:V41)</f>
        <v>0</v>
      </c>
      <c r="EB43" s="4">
        <f>ROUND(SUMIF(AA28:AA41,"=70305036",W28:W41),2)</f>
        <v>0</v>
      </c>
      <c r="EC43" s="4">
        <f>ROUND(SUMIF(AA28:AA41,"=70305036",X28:X41),2)</f>
        <v>100186.02</v>
      </c>
      <c r="ED43" s="4">
        <f>ROUND(SUMIF(AA28:AA41,"=70305036",Y28:Y41),2)</f>
        <v>48496.78</v>
      </c>
      <c r="EE43" s="4"/>
      <c r="EF43" s="4"/>
      <c r="EG43" s="4">
        <f t="shared" ref="EG43:EV43" si="62">ROUND(FP43,2)</f>
        <v>0</v>
      </c>
      <c r="EH43" s="4">
        <f t="shared" si="62"/>
        <v>0</v>
      </c>
      <c r="EI43" s="4">
        <f t="shared" si="62"/>
        <v>0</v>
      </c>
      <c r="EJ43" s="4">
        <f t="shared" si="62"/>
        <v>534448.87</v>
      </c>
      <c r="EK43" s="4">
        <f t="shared" si="62"/>
        <v>534448.87</v>
      </c>
      <c r="EL43" s="4">
        <f t="shared" si="62"/>
        <v>0</v>
      </c>
      <c r="EM43" s="4">
        <f t="shared" si="62"/>
        <v>0</v>
      </c>
      <c r="EN43" s="4">
        <f t="shared" si="62"/>
        <v>142356.4</v>
      </c>
      <c r="EO43" s="4">
        <f t="shared" si="62"/>
        <v>142356.4</v>
      </c>
      <c r="EP43" s="4">
        <f t="shared" si="62"/>
        <v>0</v>
      </c>
      <c r="EQ43" s="4">
        <f t="shared" si="62"/>
        <v>142356.4</v>
      </c>
      <c r="ER43" s="4">
        <f t="shared" si="62"/>
        <v>0</v>
      </c>
      <c r="ES43" s="4">
        <f t="shared" si="62"/>
        <v>0</v>
      </c>
      <c r="ET43" s="4">
        <f t="shared" si="62"/>
        <v>0</v>
      </c>
      <c r="EU43" s="4">
        <f t="shared" si="62"/>
        <v>0</v>
      </c>
      <c r="EV43" s="4">
        <f t="shared" si="62"/>
        <v>0</v>
      </c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>
        <f>ROUND(SUMIF(AA28:AA41,"=70305036",FQ28:FQ41),2)</f>
        <v>0</v>
      </c>
      <c r="FQ43" s="4">
        <f>ROUND(SUMIF(AA28:AA41,"=70305036",FR28:FR41),2)</f>
        <v>0</v>
      </c>
      <c r="FR43" s="4">
        <f>ROUND(SUMIF(AA28:AA41,"=70305036",GL28:GL41),2)</f>
        <v>0</v>
      </c>
      <c r="FS43" s="4">
        <f>ROUND(SUMIF(AA28:AA41,"=70305036",GM28:GM41),2)</f>
        <v>534448.87</v>
      </c>
      <c r="FT43" s="4">
        <f>ROUND(SUMIF(AA28:AA41,"=70305036",GN28:GN41),2)</f>
        <v>534448.87</v>
      </c>
      <c r="FU43" s="4">
        <f>ROUND(SUMIF(AA28:AA41,"=70305036",GO28:GO41),2)</f>
        <v>0</v>
      </c>
      <c r="FV43" s="4">
        <f>ROUND(SUMIF(AA28:AA41,"=70305036",GP28:GP41),2)</f>
        <v>0</v>
      </c>
      <c r="FW43" s="4">
        <f>DU43-FP43</f>
        <v>142356.4</v>
      </c>
      <c r="FX43" s="4">
        <f>DU43-FQ43</f>
        <v>142356.4</v>
      </c>
      <c r="FY43" s="4">
        <f>FP43-FR43</f>
        <v>0</v>
      </c>
      <c r="FZ43" s="4">
        <f>DU43-FP43-FQ43+FR43</f>
        <v>142356.4</v>
      </c>
      <c r="GA43" s="4">
        <f>FQ43-FR43</f>
        <v>0</v>
      </c>
      <c r="GB43" s="4">
        <f>ROUND(SUMIF(AA28:AA41,"=70305036",GX28:GX41),2)</f>
        <v>0</v>
      </c>
      <c r="GC43" s="4">
        <f>ROUND(SUMIF(AA28:AA41,"=70305036",GY28:GY41),2)</f>
        <v>0</v>
      </c>
      <c r="GD43" s="4">
        <f>ROUND(SUMIF(AA28:AA41,"=70305036",GZ28:GZ41),2)</f>
        <v>0</v>
      </c>
      <c r="GE43" s="4">
        <f>ROUND(SUMIF(AA28:AA41,"=70305036",HD28:HD41),2)</f>
        <v>0</v>
      </c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>
        <v>0</v>
      </c>
    </row>
    <row r="45" spans="1:255">
      <c r="A45" s="5">
        <v>50</v>
      </c>
      <c r="B45" s="5">
        <v>0</v>
      </c>
      <c r="C45" s="5">
        <v>0</v>
      </c>
      <c r="D45" s="5">
        <v>1</v>
      </c>
      <c r="E45" s="5">
        <v>201</v>
      </c>
      <c r="F45" s="5">
        <f>ROUND(Source!O43,O45)</f>
        <v>23851.11</v>
      </c>
      <c r="G45" s="5" t="s">
        <v>64</v>
      </c>
      <c r="H45" s="5" t="s">
        <v>65</v>
      </c>
      <c r="I45" s="5"/>
      <c r="J45" s="5"/>
      <c r="K45" s="5">
        <v>201</v>
      </c>
      <c r="L45" s="5">
        <v>1</v>
      </c>
      <c r="M45" s="5">
        <v>3</v>
      </c>
      <c r="N45" s="5" t="s">
        <v>4</v>
      </c>
      <c r="O45" s="5">
        <v>2</v>
      </c>
      <c r="P45" s="5">
        <f>ROUND(Source!DG43,O45)</f>
        <v>331758.03999999998</v>
      </c>
      <c r="Q45" s="5"/>
      <c r="R45" s="5"/>
      <c r="S45" s="5"/>
      <c r="T45" s="5"/>
      <c r="U45" s="5"/>
      <c r="V45" s="5"/>
      <c r="W45" s="5">
        <v>23851.11</v>
      </c>
      <c r="X45" s="5">
        <v>1</v>
      </c>
      <c r="Y45" s="5">
        <v>23851.11</v>
      </c>
      <c r="Z45" s="5">
        <v>331758.03999999998</v>
      </c>
      <c r="AA45" s="5">
        <v>1</v>
      </c>
      <c r="AB45" s="5">
        <v>331758.03999999998</v>
      </c>
    </row>
    <row r="46" spans="1:255">
      <c r="A46" s="5">
        <v>50</v>
      </c>
      <c r="B46" s="5">
        <v>0</v>
      </c>
      <c r="C46" s="5">
        <v>0</v>
      </c>
      <c r="D46" s="5">
        <v>1</v>
      </c>
      <c r="E46" s="5">
        <v>202</v>
      </c>
      <c r="F46" s="5">
        <f>ROUND(Source!P43,O46)</f>
        <v>16630.419999999998</v>
      </c>
      <c r="G46" s="5" t="s">
        <v>66</v>
      </c>
      <c r="H46" s="5" t="s">
        <v>67</v>
      </c>
      <c r="I46" s="5"/>
      <c r="J46" s="5"/>
      <c r="K46" s="5">
        <v>202</v>
      </c>
      <c r="L46" s="5">
        <v>2</v>
      </c>
      <c r="M46" s="5">
        <v>3</v>
      </c>
      <c r="N46" s="5" t="s">
        <v>4</v>
      </c>
      <c r="O46" s="5">
        <v>2</v>
      </c>
      <c r="P46" s="5">
        <f>ROUND(Source!DH43,O46)</f>
        <v>142356.4</v>
      </c>
      <c r="Q46" s="5"/>
      <c r="R46" s="5"/>
      <c r="S46" s="5"/>
      <c r="T46" s="5"/>
      <c r="U46" s="5"/>
      <c r="V46" s="5"/>
      <c r="W46" s="5">
        <v>16630.419999999998</v>
      </c>
      <c r="X46" s="5">
        <v>1</v>
      </c>
      <c r="Y46" s="5">
        <v>16630.419999999998</v>
      </c>
      <c r="Z46" s="5">
        <v>142356.4</v>
      </c>
      <c r="AA46" s="5">
        <v>1</v>
      </c>
      <c r="AB46" s="5">
        <v>142356.4</v>
      </c>
    </row>
    <row r="47" spans="1:255">
      <c r="A47" s="5">
        <v>50</v>
      </c>
      <c r="B47" s="5">
        <v>0</v>
      </c>
      <c r="C47" s="5">
        <v>0</v>
      </c>
      <c r="D47" s="5">
        <v>1</v>
      </c>
      <c r="E47" s="5">
        <v>222</v>
      </c>
      <c r="F47" s="5">
        <f>ROUND(Source!AO43,O47)</f>
        <v>0</v>
      </c>
      <c r="G47" s="5" t="s">
        <v>68</v>
      </c>
      <c r="H47" s="5" t="s">
        <v>69</v>
      </c>
      <c r="I47" s="5"/>
      <c r="J47" s="5"/>
      <c r="K47" s="5">
        <v>222</v>
      </c>
      <c r="L47" s="5">
        <v>3</v>
      </c>
      <c r="M47" s="5">
        <v>3</v>
      </c>
      <c r="N47" s="5" t="s">
        <v>4</v>
      </c>
      <c r="O47" s="5">
        <v>2</v>
      </c>
      <c r="P47" s="5">
        <f>ROUND(Source!EG43,O47)</f>
        <v>0</v>
      </c>
      <c r="Q47" s="5"/>
      <c r="R47" s="5"/>
      <c r="S47" s="5"/>
      <c r="T47" s="5"/>
      <c r="U47" s="5"/>
      <c r="V47" s="5"/>
      <c r="W47" s="5">
        <v>0</v>
      </c>
      <c r="X47" s="5">
        <v>1</v>
      </c>
      <c r="Y47" s="5">
        <v>0</v>
      </c>
      <c r="Z47" s="5">
        <v>0</v>
      </c>
      <c r="AA47" s="5">
        <v>1</v>
      </c>
      <c r="AB47" s="5">
        <v>0</v>
      </c>
    </row>
    <row r="48" spans="1:255">
      <c r="A48" s="5">
        <v>50</v>
      </c>
      <c r="B48" s="5">
        <v>0</v>
      </c>
      <c r="C48" s="5">
        <v>0</v>
      </c>
      <c r="D48" s="5">
        <v>1</v>
      </c>
      <c r="E48" s="5">
        <v>225</v>
      </c>
      <c r="F48" s="5">
        <f>ROUND(Source!AV43,O48)</f>
        <v>16630.419999999998</v>
      </c>
      <c r="G48" s="5" t="s">
        <v>70</v>
      </c>
      <c r="H48" s="5" t="s">
        <v>71</v>
      </c>
      <c r="I48" s="5"/>
      <c r="J48" s="5"/>
      <c r="K48" s="5">
        <v>225</v>
      </c>
      <c r="L48" s="5">
        <v>4</v>
      </c>
      <c r="M48" s="5">
        <v>3</v>
      </c>
      <c r="N48" s="5" t="s">
        <v>4</v>
      </c>
      <c r="O48" s="5">
        <v>2</v>
      </c>
      <c r="P48" s="5">
        <f>ROUND(Source!EN43,O48)</f>
        <v>142356.4</v>
      </c>
      <c r="Q48" s="5"/>
      <c r="R48" s="5"/>
      <c r="S48" s="5"/>
      <c r="T48" s="5"/>
      <c r="U48" s="5"/>
      <c r="V48" s="5"/>
      <c r="W48" s="5">
        <v>16630.419999999998</v>
      </c>
      <c r="X48" s="5">
        <v>1</v>
      </c>
      <c r="Y48" s="5">
        <v>16630.419999999998</v>
      </c>
      <c r="Z48" s="5">
        <v>142356.4</v>
      </c>
      <c r="AA48" s="5">
        <v>1</v>
      </c>
      <c r="AB48" s="5">
        <v>142356.4</v>
      </c>
    </row>
    <row r="49" spans="1:28">
      <c r="A49" s="5">
        <v>50</v>
      </c>
      <c r="B49" s="5">
        <v>0</v>
      </c>
      <c r="C49" s="5">
        <v>0</v>
      </c>
      <c r="D49" s="5">
        <v>1</v>
      </c>
      <c r="E49" s="5">
        <v>226</v>
      </c>
      <c r="F49" s="5">
        <f>ROUND(Source!AW43,O49)</f>
        <v>16630.419999999998</v>
      </c>
      <c r="G49" s="5" t="s">
        <v>72</v>
      </c>
      <c r="H49" s="5" t="s">
        <v>73</v>
      </c>
      <c r="I49" s="5"/>
      <c r="J49" s="5"/>
      <c r="K49" s="5">
        <v>226</v>
      </c>
      <c r="L49" s="5">
        <v>5</v>
      </c>
      <c r="M49" s="5">
        <v>3</v>
      </c>
      <c r="N49" s="5" t="s">
        <v>4</v>
      </c>
      <c r="O49" s="5">
        <v>2</v>
      </c>
      <c r="P49" s="5">
        <f>ROUND(Source!EO43,O49)</f>
        <v>142356.4</v>
      </c>
      <c r="Q49" s="5"/>
      <c r="R49" s="5"/>
      <c r="S49" s="5"/>
      <c r="T49" s="5"/>
      <c r="U49" s="5"/>
      <c r="V49" s="5"/>
      <c r="W49" s="5">
        <v>16630.419999999998</v>
      </c>
      <c r="X49" s="5">
        <v>1</v>
      </c>
      <c r="Y49" s="5">
        <v>16630.419999999998</v>
      </c>
      <c r="Z49" s="5">
        <v>142356.4</v>
      </c>
      <c r="AA49" s="5">
        <v>1</v>
      </c>
      <c r="AB49" s="5">
        <v>142356.4</v>
      </c>
    </row>
    <row r="50" spans="1:28">
      <c r="A50" s="5">
        <v>50</v>
      </c>
      <c r="B50" s="5">
        <v>0</v>
      </c>
      <c r="C50" s="5">
        <v>0</v>
      </c>
      <c r="D50" s="5">
        <v>1</v>
      </c>
      <c r="E50" s="5">
        <v>227</v>
      </c>
      <c r="F50" s="5">
        <f>ROUND(Source!AX43,O50)</f>
        <v>0</v>
      </c>
      <c r="G50" s="5" t="s">
        <v>74</v>
      </c>
      <c r="H50" s="5" t="s">
        <v>75</v>
      </c>
      <c r="I50" s="5"/>
      <c r="J50" s="5"/>
      <c r="K50" s="5">
        <v>227</v>
      </c>
      <c r="L50" s="5">
        <v>6</v>
      </c>
      <c r="M50" s="5">
        <v>3</v>
      </c>
      <c r="N50" s="5" t="s">
        <v>4</v>
      </c>
      <c r="O50" s="5">
        <v>2</v>
      </c>
      <c r="P50" s="5">
        <f>ROUND(Source!EP43,O50)</f>
        <v>0</v>
      </c>
      <c r="Q50" s="5"/>
      <c r="R50" s="5"/>
      <c r="S50" s="5"/>
      <c r="T50" s="5"/>
      <c r="U50" s="5"/>
      <c r="V50" s="5"/>
      <c r="W50" s="5">
        <v>0</v>
      </c>
      <c r="X50" s="5">
        <v>1</v>
      </c>
      <c r="Y50" s="5">
        <v>0</v>
      </c>
      <c r="Z50" s="5">
        <v>0</v>
      </c>
      <c r="AA50" s="5">
        <v>1</v>
      </c>
      <c r="AB50" s="5">
        <v>0</v>
      </c>
    </row>
    <row r="51" spans="1:28">
      <c r="A51" s="5">
        <v>50</v>
      </c>
      <c r="B51" s="5">
        <v>0</v>
      </c>
      <c r="C51" s="5">
        <v>0</v>
      </c>
      <c r="D51" s="5">
        <v>1</v>
      </c>
      <c r="E51" s="5">
        <v>228</v>
      </c>
      <c r="F51" s="5">
        <f>ROUND(Source!AY43,O51)</f>
        <v>16630.419999999998</v>
      </c>
      <c r="G51" s="5" t="s">
        <v>76</v>
      </c>
      <c r="H51" s="5" t="s">
        <v>77</v>
      </c>
      <c r="I51" s="5"/>
      <c r="J51" s="5"/>
      <c r="K51" s="5">
        <v>228</v>
      </c>
      <c r="L51" s="5">
        <v>7</v>
      </c>
      <c r="M51" s="5">
        <v>3</v>
      </c>
      <c r="N51" s="5" t="s">
        <v>4</v>
      </c>
      <c r="O51" s="5">
        <v>2</v>
      </c>
      <c r="P51" s="5">
        <f>ROUND(Source!EQ43,O51)</f>
        <v>142356.4</v>
      </c>
      <c r="Q51" s="5"/>
      <c r="R51" s="5"/>
      <c r="S51" s="5"/>
      <c r="T51" s="5"/>
      <c r="U51" s="5"/>
      <c r="V51" s="5"/>
      <c r="W51" s="5">
        <v>16630.419999999998</v>
      </c>
      <c r="X51" s="5">
        <v>1</v>
      </c>
      <c r="Y51" s="5">
        <v>16630.419999999998</v>
      </c>
      <c r="Z51" s="5">
        <v>142356.4</v>
      </c>
      <c r="AA51" s="5">
        <v>1</v>
      </c>
      <c r="AB51" s="5">
        <v>142356.4</v>
      </c>
    </row>
    <row r="52" spans="1:28">
      <c r="A52" s="5">
        <v>50</v>
      </c>
      <c r="B52" s="5">
        <v>0</v>
      </c>
      <c r="C52" s="5">
        <v>0</v>
      </c>
      <c r="D52" s="5">
        <v>1</v>
      </c>
      <c r="E52" s="5">
        <v>216</v>
      </c>
      <c r="F52" s="5">
        <f>ROUND(Source!AP43,O52)</f>
        <v>0</v>
      </c>
      <c r="G52" s="5" t="s">
        <v>78</v>
      </c>
      <c r="H52" s="5" t="s">
        <v>79</v>
      </c>
      <c r="I52" s="5"/>
      <c r="J52" s="5"/>
      <c r="K52" s="5">
        <v>216</v>
      </c>
      <c r="L52" s="5">
        <v>8</v>
      </c>
      <c r="M52" s="5">
        <v>3</v>
      </c>
      <c r="N52" s="5" t="s">
        <v>4</v>
      </c>
      <c r="O52" s="5">
        <v>2</v>
      </c>
      <c r="P52" s="5">
        <f>ROUND(Source!EH43,O52)</f>
        <v>0</v>
      </c>
      <c r="Q52" s="5"/>
      <c r="R52" s="5"/>
      <c r="S52" s="5"/>
      <c r="T52" s="5"/>
      <c r="U52" s="5"/>
      <c r="V52" s="5"/>
      <c r="W52" s="5">
        <v>0</v>
      </c>
      <c r="X52" s="5">
        <v>1</v>
      </c>
      <c r="Y52" s="5">
        <v>0</v>
      </c>
      <c r="Z52" s="5">
        <v>0</v>
      </c>
      <c r="AA52" s="5">
        <v>1</v>
      </c>
      <c r="AB52" s="5">
        <v>0</v>
      </c>
    </row>
    <row r="53" spans="1:28">
      <c r="A53" s="5">
        <v>50</v>
      </c>
      <c r="B53" s="5">
        <v>0</v>
      </c>
      <c r="C53" s="5">
        <v>0</v>
      </c>
      <c r="D53" s="5">
        <v>1</v>
      </c>
      <c r="E53" s="5">
        <v>223</v>
      </c>
      <c r="F53" s="5">
        <f>ROUND(Source!AQ43,O53)</f>
        <v>0</v>
      </c>
      <c r="G53" s="5" t="s">
        <v>80</v>
      </c>
      <c r="H53" s="5" t="s">
        <v>81</v>
      </c>
      <c r="I53" s="5"/>
      <c r="J53" s="5"/>
      <c r="K53" s="5">
        <v>223</v>
      </c>
      <c r="L53" s="5">
        <v>9</v>
      </c>
      <c r="M53" s="5">
        <v>3</v>
      </c>
      <c r="N53" s="5" t="s">
        <v>4</v>
      </c>
      <c r="O53" s="5">
        <v>2</v>
      </c>
      <c r="P53" s="5">
        <f>ROUND(Source!EI43,O53)</f>
        <v>0</v>
      </c>
      <c r="Q53" s="5"/>
      <c r="R53" s="5"/>
      <c r="S53" s="5"/>
      <c r="T53" s="5"/>
      <c r="U53" s="5"/>
      <c r="V53" s="5"/>
      <c r="W53" s="5">
        <v>0</v>
      </c>
      <c r="X53" s="5">
        <v>1</v>
      </c>
      <c r="Y53" s="5">
        <v>0</v>
      </c>
      <c r="Z53" s="5">
        <v>0</v>
      </c>
      <c r="AA53" s="5">
        <v>1</v>
      </c>
      <c r="AB53" s="5">
        <v>0</v>
      </c>
    </row>
    <row r="54" spans="1:28">
      <c r="A54" s="5">
        <v>50</v>
      </c>
      <c r="B54" s="5">
        <v>0</v>
      </c>
      <c r="C54" s="5">
        <v>0</v>
      </c>
      <c r="D54" s="5">
        <v>1</v>
      </c>
      <c r="E54" s="5">
        <v>229</v>
      </c>
      <c r="F54" s="5">
        <f>ROUND(Source!AZ43,O54)</f>
        <v>0</v>
      </c>
      <c r="G54" s="5" t="s">
        <v>82</v>
      </c>
      <c r="H54" s="5" t="s">
        <v>83</v>
      </c>
      <c r="I54" s="5"/>
      <c r="J54" s="5"/>
      <c r="K54" s="5">
        <v>229</v>
      </c>
      <c r="L54" s="5">
        <v>10</v>
      </c>
      <c r="M54" s="5">
        <v>3</v>
      </c>
      <c r="N54" s="5" t="s">
        <v>4</v>
      </c>
      <c r="O54" s="5">
        <v>2</v>
      </c>
      <c r="P54" s="5">
        <f>ROUND(Source!ER43,O54)</f>
        <v>0</v>
      </c>
      <c r="Q54" s="5"/>
      <c r="R54" s="5"/>
      <c r="S54" s="5"/>
      <c r="T54" s="5"/>
      <c r="U54" s="5"/>
      <c r="V54" s="5"/>
      <c r="W54" s="5">
        <v>0</v>
      </c>
      <c r="X54" s="5">
        <v>1</v>
      </c>
      <c r="Y54" s="5">
        <v>0</v>
      </c>
      <c r="Z54" s="5">
        <v>0</v>
      </c>
      <c r="AA54" s="5">
        <v>1</v>
      </c>
      <c r="AB54" s="5">
        <v>0</v>
      </c>
    </row>
    <row r="55" spans="1:28">
      <c r="A55" s="5">
        <v>50</v>
      </c>
      <c r="B55" s="5">
        <v>0</v>
      </c>
      <c r="C55" s="5">
        <v>0</v>
      </c>
      <c r="D55" s="5">
        <v>1</v>
      </c>
      <c r="E55" s="5">
        <v>203</v>
      </c>
      <c r="F55" s="5">
        <f>ROUND(Source!Q43,O55)</f>
        <v>4786.2299999999996</v>
      </c>
      <c r="G55" s="5" t="s">
        <v>84</v>
      </c>
      <c r="H55" s="5" t="s">
        <v>85</v>
      </c>
      <c r="I55" s="5"/>
      <c r="J55" s="5"/>
      <c r="K55" s="5">
        <v>203</v>
      </c>
      <c r="L55" s="5">
        <v>11</v>
      </c>
      <c r="M55" s="5">
        <v>3</v>
      </c>
      <c r="N55" s="5" t="s">
        <v>4</v>
      </c>
      <c r="O55" s="5">
        <v>2</v>
      </c>
      <c r="P55" s="5">
        <f>ROUND(Source!DI43,O55)</f>
        <v>75785.399999999994</v>
      </c>
      <c r="Q55" s="5"/>
      <c r="R55" s="5"/>
      <c r="S55" s="5"/>
      <c r="T55" s="5"/>
      <c r="U55" s="5"/>
      <c r="V55" s="5"/>
      <c r="W55" s="5">
        <v>4786.2299999999996</v>
      </c>
      <c r="X55" s="5">
        <v>1</v>
      </c>
      <c r="Y55" s="5">
        <v>4786.2299999999996</v>
      </c>
      <c r="Z55" s="5">
        <v>75785.399999999994</v>
      </c>
      <c r="AA55" s="5">
        <v>1</v>
      </c>
      <c r="AB55" s="5">
        <v>75785.399999999994</v>
      </c>
    </row>
    <row r="56" spans="1:28">
      <c r="A56" s="5">
        <v>50</v>
      </c>
      <c r="B56" s="5">
        <v>0</v>
      </c>
      <c r="C56" s="5">
        <v>0</v>
      </c>
      <c r="D56" s="5">
        <v>1</v>
      </c>
      <c r="E56" s="5">
        <v>231</v>
      </c>
      <c r="F56" s="5">
        <f>ROUND(Source!BB43,O56)</f>
        <v>0</v>
      </c>
      <c r="G56" s="5" t="s">
        <v>86</v>
      </c>
      <c r="H56" s="5" t="s">
        <v>87</v>
      </c>
      <c r="I56" s="5"/>
      <c r="J56" s="5"/>
      <c r="K56" s="5">
        <v>231</v>
      </c>
      <c r="L56" s="5">
        <v>12</v>
      </c>
      <c r="M56" s="5">
        <v>3</v>
      </c>
      <c r="N56" s="5" t="s">
        <v>4</v>
      </c>
      <c r="O56" s="5">
        <v>2</v>
      </c>
      <c r="P56" s="5">
        <f>ROUND(Source!ET43,O56)</f>
        <v>0</v>
      </c>
      <c r="Q56" s="5"/>
      <c r="R56" s="5"/>
      <c r="S56" s="5"/>
      <c r="T56" s="5"/>
      <c r="U56" s="5"/>
      <c r="V56" s="5"/>
      <c r="W56" s="5">
        <v>0</v>
      </c>
      <c r="X56" s="5">
        <v>1</v>
      </c>
      <c r="Y56" s="5">
        <v>0</v>
      </c>
      <c r="Z56" s="5">
        <v>0</v>
      </c>
      <c r="AA56" s="5">
        <v>1</v>
      </c>
      <c r="AB56" s="5">
        <v>0</v>
      </c>
    </row>
    <row r="57" spans="1:28">
      <c r="A57" s="5">
        <v>50</v>
      </c>
      <c r="B57" s="5">
        <v>0</v>
      </c>
      <c r="C57" s="5">
        <v>0</v>
      </c>
      <c r="D57" s="5">
        <v>1</v>
      </c>
      <c r="E57" s="5">
        <v>204</v>
      </c>
      <c r="F57" s="5">
        <f>ROUND(Source!R43,O57)</f>
        <v>723.27</v>
      </c>
      <c r="G57" s="5" t="s">
        <v>88</v>
      </c>
      <c r="H57" s="5" t="s">
        <v>89</v>
      </c>
      <c r="I57" s="5"/>
      <c r="J57" s="5"/>
      <c r="K57" s="5">
        <v>204</v>
      </c>
      <c r="L57" s="5">
        <v>13</v>
      </c>
      <c r="M57" s="5">
        <v>3</v>
      </c>
      <c r="N57" s="5" t="s">
        <v>4</v>
      </c>
      <c r="O57" s="5">
        <v>2</v>
      </c>
      <c r="P57" s="5">
        <f>ROUND(Source!DJ43,O57)</f>
        <v>33755.019999999997</v>
      </c>
      <c r="Q57" s="5"/>
      <c r="R57" s="5"/>
      <c r="S57" s="5"/>
      <c r="T57" s="5"/>
      <c r="U57" s="5"/>
      <c r="V57" s="5"/>
      <c r="W57" s="5">
        <v>723.27</v>
      </c>
      <c r="X57" s="5">
        <v>1</v>
      </c>
      <c r="Y57" s="5">
        <v>723.27</v>
      </c>
      <c r="Z57" s="5">
        <v>33755.019999999997</v>
      </c>
      <c r="AA57" s="5">
        <v>1</v>
      </c>
      <c r="AB57" s="5">
        <v>33755.019999999997</v>
      </c>
    </row>
    <row r="58" spans="1:28">
      <c r="A58" s="5">
        <v>50</v>
      </c>
      <c r="B58" s="5">
        <v>0</v>
      </c>
      <c r="C58" s="5">
        <v>0</v>
      </c>
      <c r="D58" s="5">
        <v>1</v>
      </c>
      <c r="E58" s="5">
        <v>205</v>
      </c>
      <c r="F58" s="5">
        <f>ROUND(Source!S43,O58)</f>
        <v>2434.46</v>
      </c>
      <c r="G58" s="5" t="s">
        <v>90</v>
      </c>
      <c r="H58" s="5" t="s">
        <v>91</v>
      </c>
      <c r="I58" s="5"/>
      <c r="J58" s="5"/>
      <c r="K58" s="5">
        <v>205</v>
      </c>
      <c r="L58" s="5">
        <v>14</v>
      </c>
      <c r="M58" s="5">
        <v>3</v>
      </c>
      <c r="N58" s="5" t="s">
        <v>4</v>
      </c>
      <c r="O58" s="5">
        <v>2</v>
      </c>
      <c r="P58" s="5">
        <f>ROUND(Source!DK43,O58)</f>
        <v>113616.24</v>
      </c>
      <c r="Q58" s="5"/>
      <c r="R58" s="5"/>
      <c r="S58" s="5"/>
      <c r="T58" s="5"/>
      <c r="U58" s="5"/>
      <c r="V58" s="5"/>
      <c r="W58" s="5">
        <v>2434.46</v>
      </c>
      <c r="X58" s="5">
        <v>1</v>
      </c>
      <c r="Y58" s="5">
        <v>2434.46</v>
      </c>
      <c r="Z58" s="5">
        <v>113616.24</v>
      </c>
      <c r="AA58" s="5">
        <v>1</v>
      </c>
      <c r="AB58" s="5">
        <v>113616.24</v>
      </c>
    </row>
    <row r="59" spans="1:28">
      <c r="A59" s="5">
        <v>50</v>
      </c>
      <c r="B59" s="5">
        <v>0</v>
      </c>
      <c r="C59" s="5">
        <v>0</v>
      </c>
      <c r="D59" s="5">
        <v>1</v>
      </c>
      <c r="E59" s="5">
        <v>232</v>
      </c>
      <c r="F59" s="5">
        <f>ROUND(Source!BC43,O59)</f>
        <v>0</v>
      </c>
      <c r="G59" s="5" t="s">
        <v>92</v>
      </c>
      <c r="H59" s="5" t="s">
        <v>93</v>
      </c>
      <c r="I59" s="5"/>
      <c r="J59" s="5"/>
      <c r="K59" s="5">
        <v>232</v>
      </c>
      <c r="L59" s="5">
        <v>15</v>
      </c>
      <c r="M59" s="5">
        <v>3</v>
      </c>
      <c r="N59" s="5" t="s">
        <v>4</v>
      </c>
      <c r="O59" s="5">
        <v>2</v>
      </c>
      <c r="P59" s="5">
        <f>ROUND(Source!EU43,O59)</f>
        <v>0</v>
      </c>
      <c r="Q59" s="5"/>
      <c r="R59" s="5"/>
      <c r="S59" s="5"/>
      <c r="T59" s="5"/>
      <c r="U59" s="5"/>
      <c r="V59" s="5"/>
      <c r="W59" s="5">
        <v>0</v>
      </c>
      <c r="X59" s="5">
        <v>1</v>
      </c>
      <c r="Y59" s="5">
        <v>0</v>
      </c>
      <c r="Z59" s="5">
        <v>0</v>
      </c>
      <c r="AA59" s="5">
        <v>1</v>
      </c>
      <c r="AB59" s="5">
        <v>0</v>
      </c>
    </row>
    <row r="60" spans="1:28">
      <c r="A60" s="5">
        <v>50</v>
      </c>
      <c r="B60" s="5">
        <v>0</v>
      </c>
      <c r="C60" s="5">
        <v>0</v>
      </c>
      <c r="D60" s="5">
        <v>1</v>
      </c>
      <c r="E60" s="5">
        <v>214</v>
      </c>
      <c r="F60" s="5">
        <f>ROUND(Source!AS43,O60)</f>
        <v>29518.84</v>
      </c>
      <c r="G60" s="5" t="s">
        <v>94</v>
      </c>
      <c r="H60" s="5" t="s">
        <v>95</v>
      </c>
      <c r="I60" s="5"/>
      <c r="J60" s="5"/>
      <c r="K60" s="5">
        <v>214</v>
      </c>
      <c r="L60" s="5">
        <v>16</v>
      </c>
      <c r="M60" s="5">
        <v>3</v>
      </c>
      <c r="N60" s="5" t="s">
        <v>4</v>
      </c>
      <c r="O60" s="5">
        <v>2</v>
      </c>
      <c r="P60" s="5">
        <f>ROUND(Source!EK43,O60)</f>
        <v>534448.87</v>
      </c>
      <c r="Q60" s="5"/>
      <c r="R60" s="5"/>
      <c r="S60" s="5"/>
      <c r="T60" s="5"/>
      <c r="U60" s="5"/>
      <c r="V60" s="5"/>
      <c r="W60" s="5">
        <v>29518.84</v>
      </c>
      <c r="X60" s="5">
        <v>1</v>
      </c>
      <c r="Y60" s="5">
        <v>29518.84</v>
      </c>
      <c r="Z60" s="5">
        <v>534448.87</v>
      </c>
      <c r="AA60" s="5">
        <v>1</v>
      </c>
      <c r="AB60" s="5">
        <v>534448.87</v>
      </c>
    </row>
    <row r="61" spans="1:28">
      <c r="A61" s="5">
        <v>50</v>
      </c>
      <c r="B61" s="5">
        <v>0</v>
      </c>
      <c r="C61" s="5">
        <v>0</v>
      </c>
      <c r="D61" s="5">
        <v>1</v>
      </c>
      <c r="E61" s="5">
        <v>215</v>
      </c>
      <c r="F61" s="5">
        <f>ROUND(Source!AT43,O61)</f>
        <v>0</v>
      </c>
      <c r="G61" s="5" t="s">
        <v>96</v>
      </c>
      <c r="H61" s="5" t="s">
        <v>97</v>
      </c>
      <c r="I61" s="5"/>
      <c r="J61" s="5"/>
      <c r="K61" s="5">
        <v>215</v>
      </c>
      <c r="L61" s="5">
        <v>17</v>
      </c>
      <c r="M61" s="5">
        <v>3</v>
      </c>
      <c r="N61" s="5" t="s">
        <v>4</v>
      </c>
      <c r="O61" s="5">
        <v>2</v>
      </c>
      <c r="P61" s="5">
        <f>ROUND(Source!EL43,O61)</f>
        <v>0</v>
      </c>
      <c r="Q61" s="5"/>
      <c r="R61" s="5"/>
      <c r="S61" s="5"/>
      <c r="T61" s="5"/>
      <c r="U61" s="5"/>
      <c r="V61" s="5"/>
      <c r="W61" s="5">
        <v>0</v>
      </c>
      <c r="X61" s="5">
        <v>1</v>
      </c>
      <c r="Y61" s="5">
        <v>0</v>
      </c>
      <c r="Z61" s="5">
        <v>0</v>
      </c>
      <c r="AA61" s="5">
        <v>1</v>
      </c>
      <c r="AB61" s="5">
        <v>0</v>
      </c>
    </row>
    <row r="62" spans="1:28">
      <c r="A62" s="5">
        <v>50</v>
      </c>
      <c r="B62" s="5">
        <v>0</v>
      </c>
      <c r="C62" s="5">
        <v>0</v>
      </c>
      <c r="D62" s="5">
        <v>1</v>
      </c>
      <c r="E62" s="5">
        <v>217</v>
      </c>
      <c r="F62" s="5">
        <f>ROUND(Source!AU43,O62)</f>
        <v>0</v>
      </c>
      <c r="G62" s="5" t="s">
        <v>98</v>
      </c>
      <c r="H62" s="5" t="s">
        <v>99</v>
      </c>
      <c r="I62" s="5"/>
      <c r="J62" s="5"/>
      <c r="K62" s="5">
        <v>217</v>
      </c>
      <c r="L62" s="5">
        <v>18</v>
      </c>
      <c r="M62" s="5">
        <v>3</v>
      </c>
      <c r="N62" s="5" t="s">
        <v>4</v>
      </c>
      <c r="O62" s="5">
        <v>2</v>
      </c>
      <c r="P62" s="5">
        <f>ROUND(Source!EM43,O62)</f>
        <v>0</v>
      </c>
      <c r="Q62" s="5"/>
      <c r="R62" s="5"/>
      <c r="S62" s="5"/>
      <c r="T62" s="5"/>
      <c r="U62" s="5"/>
      <c r="V62" s="5"/>
      <c r="W62" s="5">
        <v>0</v>
      </c>
      <c r="X62" s="5">
        <v>1</v>
      </c>
      <c r="Y62" s="5">
        <v>0</v>
      </c>
      <c r="Z62" s="5">
        <v>0</v>
      </c>
      <c r="AA62" s="5">
        <v>1</v>
      </c>
      <c r="AB62" s="5">
        <v>0</v>
      </c>
    </row>
    <row r="63" spans="1:28">
      <c r="A63" s="5">
        <v>50</v>
      </c>
      <c r="B63" s="5">
        <v>0</v>
      </c>
      <c r="C63" s="5">
        <v>0</v>
      </c>
      <c r="D63" s="5">
        <v>1</v>
      </c>
      <c r="E63" s="5">
        <v>230</v>
      </c>
      <c r="F63" s="5">
        <f>ROUND(Source!BA43,O63)</f>
        <v>0</v>
      </c>
      <c r="G63" s="5" t="s">
        <v>100</v>
      </c>
      <c r="H63" s="5" t="s">
        <v>101</v>
      </c>
      <c r="I63" s="5"/>
      <c r="J63" s="5"/>
      <c r="K63" s="5">
        <v>230</v>
      </c>
      <c r="L63" s="5">
        <v>19</v>
      </c>
      <c r="M63" s="5">
        <v>3</v>
      </c>
      <c r="N63" s="5" t="s">
        <v>4</v>
      </c>
      <c r="O63" s="5">
        <v>2</v>
      </c>
      <c r="P63" s="5">
        <f>ROUND(Source!ES43,O63)</f>
        <v>0</v>
      </c>
      <c r="Q63" s="5"/>
      <c r="R63" s="5"/>
      <c r="S63" s="5"/>
      <c r="T63" s="5"/>
      <c r="U63" s="5"/>
      <c r="V63" s="5"/>
      <c r="W63" s="5">
        <v>0</v>
      </c>
      <c r="X63" s="5">
        <v>1</v>
      </c>
      <c r="Y63" s="5">
        <v>0</v>
      </c>
      <c r="Z63" s="5">
        <v>0</v>
      </c>
      <c r="AA63" s="5">
        <v>1</v>
      </c>
      <c r="AB63" s="5">
        <v>0</v>
      </c>
    </row>
    <row r="64" spans="1:28">
      <c r="A64" s="5">
        <v>50</v>
      </c>
      <c r="B64" s="5">
        <v>0</v>
      </c>
      <c r="C64" s="5">
        <v>0</v>
      </c>
      <c r="D64" s="5">
        <v>1</v>
      </c>
      <c r="E64" s="5">
        <v>206</v>
      </c>
      <c r="F64" s="5">
        <f>ROUND(Source!T43,O64)</f>
        <v>0</v>
      </c>
      <c r="G64" s="5" t="s">
        <v>102</v>
      </c>
      <c r="H64" s="5" t="s">
        <v>103</v>
      </c>
      <c r="I64" s="5"/>
      <c r="J64" s="5"/>
      <c r="K64" s="5">
        <v>206</v>
      </c>
      <c r="L64" s="5">
        <v>20</v>
      </c>
      <c r="M64" s="5">
        <v>3</v>
      </c>
      <c r="N64" s="5" t="s">
        <v>4</v>
      </c>
      <c r="O64" s="5">
        <v>2</v>
      </c>
      <c r="P64" s="5">
        <f>ROUND(Source!DL43,O64)</f>
        <v>0</v>
      </c>
      <c r="Q64" s="5"/>
      <c r="R64" s="5"/>
      <c r="S64" s="5"/>
      <c r="T64" s="5"/>
      <c r="U64" s="5"/>
      <c r="V64" s="5"/>
      <c r="W64" s="5">
        <v>0</v>
      </c>
      <c r="X64" s="5">
        <v>1</v>
      </c>
      <c r="Y64" s="5">
        <v>0</v>
      </c>
      <c r="Z64" s="5">
        <v>0</v>
      </c>
      <c r="AA64" s="5">
        <v>1</v>
      </c>
      <c r="AB64" s="5">
        <v>0</v>
      </c>
    </row>
    <row r="65" spans="1:255">
      <c r="A65" s="5">
        <v>50</v>
      </c>
      <c r="B65" s="5">
        <v>0</v>
      </c>
      <c r="C65" s="5">
        <v>0</v>
      </c>
      <c r="D65" s="5">
        <v>1</v>
      </c>
      <c r="E65" s="5">
        <v>207</v>
      </c>
      <c r="F65" s="5">
        <f>Source!U43</f>
        <v>229.6156608</v>
      </c>
      <c r="G65" s="5" t="s">
        <v>104</v>
      </c>
      <c r="H65" s="5" t="s">
        <v>105</v>
      </c>
      <c r="I65" s="5"/>
      <c r="J65" s="5"/>
      <c r="K65" s="5">
        <v>207</v>
      </c>
      <c r="L65" s="5">
        <v>21</v>
      </c>
      <c r="M65" s="5">
        <v>3</v>
      </c>
      <c r="N65" s="5" t="s">
        <v>4</v>
      </c>
      <c r="O65" s="5">
        <v>-1</v>
      </c>
      <c r="P65" s="5">
        <f>Source!DM43</f>
        <v>229.6156608</v>
      </c>
      <c r="Q65" s="5"/>
      <c r="R65" s="5"/>
      <c r="S65" s="5"/>
      <c r="T65" s="5"/>
      <c r="U65" s="5"/>
      <c r="V65" s="5"/>
      <c r="W65" s="5">
        <v>229.6156608</v>
      </c>
      <c r="X65" s="5">
        <v>1</v>
      </c>
      <c r="Y65" s="5">
        <v>229.6156608</v>
      </c>
      <c r="Z65" s="5">
        <v>229.6156608</v>
      </c>
      <c r="AA65" s="5">
        <v>1</v>
      </c>
      <c r="AB65" s="5">
        <v>229.6156608</v>
      </c>
    </row>
    <row r="66" spans="1:255">
      <c r="A66" s="5">
        <v>50</v>
      </c>
      <c r="B66" s="5">
        <v>0</v>
      </c>
      <c r="C66" s="5">
        <v>0</v>
      </c>
      <c r="D66" s="5">
        <v>1</v>
      </c>
      <c r="E66" s="5">
        <v>208</v>
      </c>
      <c r="F66" s="5">
        <f>Source!V43</f>
        <v>0</v>
      </c>
      <c r="G66" s="5" t="s">
        <v>106</v>
      </c>
      <c r="H66" s="5" t="s">
        <v>107</v>
      </c>
      <c r="I66" s="5"/>
      <c r="J66" s="5"/>
      <c r="K66" s="5">
        <v>208</v>
      </c>
      <c r="L66" s="5">
        <v>22</v>
      </c>
      <c r="M66" s="5">
        <v>3</v>
      </c>
      <c r="N66" s="5" t="s">
        <v>4</v>
      </c>
      <c r="O66" s="5">
        <v>-1</v>
      </c>
      <c r="P66" s="5">
        <f>Source!DN43</f>
        <v>0</v>
      </c>
      <c r="Q66" s="5"/>
      <c r="R66" s="5"/>
      <c r="S66" s="5"/>
      <c r="T66" s="5"/>
      <c r="U66" s="5"/>
      <c r="V66" s="5"/>
      <c r="W66" s="5">
        <v>0</v>
      </c>
      <c r="X66" s="5">
        <v>1</v>
      </c>
      <c r="Y66" s="5">
        <v>0</v>
      </c>
      <c r="Z66" s="5">
        <v>0</v>
      </c>
      <c r="AA66" s="5">
        <v>1</v>
      </c>
      <c r="AB66" s="5">
        <v>0</v>
      </c>
    </row>
    <row r="67" spans="1:255">
      <c r="A67" s="5">
        <v>50</v>
      </c>
      <c r="B67" s="5">
        <v>0</v>
      </c>
      <c r="C67" s="5">
        <v>0</v>
      </c>
      <c r="D67" s="5">
        <v>1</v>
      </c>
      <c r="E67" s="5">
        <v>209</v>
      </c>
      <c r="F67" s="5">
        <f>ROUND(Source!W43,O67)</f>
        <v>0</v>
      </c>
      <c r="G67" s="5" t="s">
        <v>108</v>
      </c>
      <c r="H67" s="5" t="s">
        <v>109</v>
      </c>
      <c r="I67" s="5"/>
      <c r="J67" s="5"/>
      <c r="K67" s="5">
        <v>209</v>
      </c>
      <c r="L67" s="5">
        <v>23</v>
      </c>
      <c r="M67" s="5">
        <v>3</v>
      </c>
      <c r="N67" s="5" t="s">
        <v>4</v>
      </c>
      <c r="O67" s="5">
        <v>2</v>
      </c>
      <c r="P67" s="5">
        <f>ROUND(Source!DO43,O67)</f>
        <v>0</v>
      </c>
      <c r="Q67" s="5"/>
      <c r="R67" s="5"/>
      <c r="S67" s="5"/>
      <c r="T67" s="5"/>
      <c r="U67" s="5"/>
      <c r="V67" s="5"/>
      <c r="W67" s="5">
        <v>0</v>
      </c>
      <c r="X67" s="5">
        <v>1</v>
      </c>
      <c r="Y67" s="5">
        <v>0</v>
      </c>
      <c r="Z67" s="5">
        <v>0</v>
      </c>
      <c r="AA67" s="5">
        <v>1</v>
      </c>
      <c r="AB67" s="5">
        <v>0</v>
      </c>
    </row>
    <row r="68" spans="1:255">
      <c r="A68" s="5">
        <v>50</v>
      </c>
      <c r="B68" s="5">
        <v>0</v>
      </c>
      <c r="C68" s="5">
        <v>0</v>
      </c>
      <c r="D68" s="5">
        <v>1</v>
      </c>
      <c r="E68" s="5">
        <v>233</v>
      </c>
      <c r="F68" s="5">
        <f>ROUND(Source!BD43,O68)</f>
        <v>0</v>
      </c>
      <c r="G68" s="5" t="s">
        <v>110</v>
      </c>
      <c r="H68" s="5" t="s">
        <v>111</v>
      </c>
      <c r="I68" s="5"/>
      <c r="J68" s="5"/>
      <c r="K68" s="5">
        <v>233</v>
      </c>
      <c r="L68" s="5">
        <v>24</v>
      </c>
      <c r="M68" s="5">
        <v>3</v>
      </c>
      <c r="N68" s="5" t="s">
        <v>4</v>
      </c>
      <c r="O68" s="5">
        <v>2</v>
      </c>
      <c r="P68" s="5">
        <f>ROUND(Source!EV43,O68)</f>
        <v>0</v>
      </c>
      <c r="Q68" s="5"/>
      <c r="R68" s="5"/>
      <c r="S68" s="5"/>
      <c r="T68" s="5"/>
      <c r="U68" s="5"/>
      <c r="V68" s="5"/>
      <c r="W68" s="5">
        <v>0</v>
      </c>
      <c r="X68" s="5">
        <v>1</v>
      </c>
      <c r="Y68" s="5">
        <v>0</v>
      </c>
      <c r="Z68" s="5">
        <v>0</v>
      </c>
      <c r="AA68" s="5">
        <v>1</v>
      </c>
      <c r="AB68" s="5">
        <v>0</v>
      </c>
    </row>
    <row r="69" spans="1:255">
      <c r="A69" s="5">
        <v>50</v>
      </c>
      <c r="B69" s="5">
        <v>0</v>
      </c>
      <c r="C69" s="5">
        <v>0</v>
      </c>
      <c r="D69" s="5">
        <v>1</v>
      </c>
      <c r="E69" s="5">
        <v>210</v>
      </c>
      <c r="F69" s="5">
        <f>ROUND(Source!X43,O69)</f>
        <v>2527.48</v>
      </c>
      <c r="G69" s="5" t="s">
        <v>112</v>
      </c>
      <c r="H69" s="5" t="s">
        <v>113</v>
      </c>
      <c r="I69" s="5"/>
      <c r="J69" s="5"/>
      <c r="K69" s="5">
        <v>210</v>
      </c>
      <c r="L69" s="5">
        <v>25</v>
      </c>
      <c r="M69" s="5">
        <v>3</v>
      </c>
      <c r="N69" s="5" t="s">
        <v>4</v>
      </c>
      <c r="O69" s="5">
        <v>2</v>
      </c>
      <c r="P69" s="5">
        <f>ROUND(Source!DP43,O69)</f>
        <v>100186.02</v>
      </c>
      <c r="Q69" s="5"/>
      <c r="R69" s="5"/>
      <c r="S69" s="5"/>
      <c r="T69" s="5"/>
      <c r="U69" s="5"/>
      <c r="V69" s="5"/>
      <c r="W69" s="5">
        <v>2527.48</v>
      </c>
      <c r="X69" s="5">
        <v>1</v>
      </c>
      <c r="Y69" s="5">
        <v>2527.48</v>
      </c>
      <c r="Z69" s="5">
        <v>100186.02</v>
      </c>
      <c r="AA69" s="5">
        <v>1</v>
      </c>
      <c r="AB69" s="5">
        <v>100186.02</v>
      </c>
    </row>
    <row r="70" spans="1:255">
      <c r="A70" s="5">
        <v>50</v>
      </c>
      <c r="B70" s="5">
        <v>0</v>
      </c>
      <c r="C70" s="5">
        <v>0</v>
      </c>
      <c r="D70" s="5">
        <v>1</v>
      </c>
      <c r="E70" s="5">
        <v>211</v>
      </c>
      <c r="F70" s="5">
        <f>ROUND(Source!Y43,O70)</f>
        <v>1874.53</v>
      </c>
      <c r="G70" s="5" t="s">
        <v>114</v>
      </c>
      <c r="H70" s="5" t="s">
        <v>115</v>
      </c>
      <c r="I70" s="5"/>
      <c r="J70" s="5"/>
      <c r="K70" s="5">
        <v>211</v>
      </c>
      <c r="L70" s="5">
        <v>26</v>
      </c>
      <c r="M70" s="5">
        <v>3</v>
      </c>
      <c r="N70" s="5" t="s">
        <v>4</v>
      </c>
      <c r="O70" s="5">
        <v>2</v>
      </c>
      <c r="P70" s="5">
        <f>ROUND(Source!DQ43,O70)</f>
        <v>48496.78</v>
      </c>
      <c r="Q70" s="5"/>
      <c r="R70" s="5"/>
      <c r="S70" s="5"/>
      <c r="T70" s="5"/>
      <c r="U70" s="5"/>
      <c r="V70" s="5"/>
      <c r="W70" s="5">
        <v>1874.53</v>
      </c>
      <c r="X70" s="5">
        <v>1</v>
      </c>
      <c r="Y70" s="5">
        <v>1874.53</v>
      </c>
      <c r="Z70" s="5">
        <v>48496.78</v>
      </c>
      <c r="AA70" s="5">
        <v>1</v>
      </c>
      <c r="AB70" s="5">
        <v>48496.78</v>
      </c>
    </row>
    <row r="71" spans="1:255">
      <c r="A71" s="5">
        <v>50</v>
      </c>
      <c r="B71" s="5">
        <v>0</v>
      </c>
      <c r="C71" s="5">
        <v>0</v>
      </c>
      <c r="D71" s="5">
        <v>1</v>
      </c>
      <c r="E71" s="5">
        <v>224</v>
      </c>
      <c r="F71" s="5">
        <f>ROUND(Source!AR43,O71)</f>
        <v>29518.84</v>
      </c>
      <c r="G71" s="5" t="s">
        <v>116</v>
      </c>
      <c r="H71" s="5" t="s">
        <v>117</v>
      </c>
      <c r="I71" s="5"/>
      <c r="J71" s="5"/>
      <c r="K71" s="5">
        <v>224</v>
      </c>
      <c r="L71" s="5">
        <v>27</v>
      </c>
      <c r="M71" s="5">
        <v>3</v>
      </c>
      <c r="N71" s="5" t="s">
        <v>4</v>
      </c>
      <c r="O71" s="5">
        <v>2</v>
      </c>
      <c r="P71" s="5">
        <f>ROUND(Source!EJ43,O71)</f>
        <v>534448.87</v>
      </c>
      <c r="Q71" s="5"/>
      <c r="R71" s="5"/>
      <c r="S71" s="5"/>
      <c r="T71" s="5"/>
      <c r="U71" s="5"/>
      <c r="V71" s="5"/>
      <c r="W71" s="5">
        <v>29518.84</v>
      </c>
      <c r="X71" s="5">
        <v>1</v>
      </c>
      <c r="Y71" s="5">
        <v>29518.84</v>
      </c>
      <c r="Z71" s="5">
        <v>534448.87</v>
      </c>
      <c r="AA71" s="5">
        <v>1</v>
      </c>
      <c r="AB71" s="5">
        <v>534448.87</v>
      </c>
    </row>
    <row r="73" spans="1:255">
      <c r="A73" s="1">
        <v>4</v>
      </c>
      <c r="B73" s="1">
        <v>1</v>
      </c>
      <c r="C73" s="1"/>
      <c r="D73" s="1">
        <f>ROW(A121)</f>
        <v>121</v>
      </c>
      <c r="E73" s="1"/>
      <c r="F73" s="1" t="s">
        <v>17</v>
      </c>
      <c r="G73" s="1" t="s">
        <v>24</v>
      </c>
      <c r="H73" s="1" t="s">
        <v>4</v>
      </c>
      <c r="I73" s="1">
        <v>0</v>
      </c>
      <c r="J73" s="1"/>
      <c r="K73" s="1">
        <v>0</v>
      </c>
      <c r="L73" s="1"/>
      <c r="M73" s="1" t="s">
        <v>4</v>
      </c>
      <c r="N73" s="1"/>
      <c r="O73" s="1"/>
      <c r="P73" s="1"/>
      <c r="Q73" s="1"/>
      <c r="R73" s="1"/>
      <c r="S73" s="1">
        <v>0</v>
      </c>
      <c r="T73" s="1">
        <v>0</v>
      </c>
      <c r="U73" s="1" t="s">
        <v>4</v>
      </c>
      <c r="V73" s="1">
        <v>0</v>
      </c>
      <c r="W73" s="1"/>
      <c r="X73" s="1"/>
      <c r="Y73" s="1"/>
      <c r="Z73" s="1"/>
      <c r="AA73" s="1"/>
      <c r="AB73" s="1" t="s">
        <v>4</v>
      </c>
      <c r="AC73" s="1" t="s">
        <v>4</v>
      </c>
      <c r="AD73" s="1" t="s">
        <v>4</v>
      </c>
      <c r="AE73" s="1" t="s">
        <v>4</v>
      </c>
      <c r="AF73" s="1" t="s">
        <v>4</v>
      </c>
      <c r="AG73" s="1" t="s">
        <v>4</v>
      </c>
      <c r="AH73" s="1"/>
      <c r="AI73" s="1"/>
      <c r="AJ73" s="1"/>
      <c r="AK73" s="1"/>
      <c r="AL73" s="1"/>
      <c r="AM73" s="1"/>
      <c r="AN73" s="1"/>
      <c r="AO73" s="1"/>
      <c r="AP73" s="1" t="s">
        <v>4</v>
      </c>
      <c r="AQ73" s="1" t="s">
        <v>4</v>
      </c>
      <c r="AR73" s="1" t="s">
        <v>4</v>
      </c>
      <c r="AS73" s="1"/>
      <c r="AT73" s="1"/>
      <c r="AU73" s="1"/>
      <c r="AV73" s="1"/>
      <c r="AW73" s="1"/>
      <c r="AX73" s="1"/>
      <c r="AY73" s="1"/>
      <c r="AZ73" s="1" t="s">
        <v>4</v>
      </c>
      <c r="BA73" s="1"/>
      <c r="BB73" s="1" t="s">
        <v>4</v>
      </c>
      <c r="BC73" s="1" t="s">
        <v>4</v>
      </c>
      <c r="BD73" s="1" t="s">
        <v>4</v>
      </c>
      <c r="BE73" s="1" t="s">
        <v>4</v>
      </c>
      <c r="BF73" s="1" t="s">
        <v>4</v>
      </c>
      <c r="BG73" s="1" t="s">
        <v>4</v>
      </c>
      <c r="BH73" s="1" t="s">
        <v>4</v>
      </c>
      <c r="BI73" s="1" t="s">
        <v>4</v>
      </c>
      <c r="BJ73" s="1" t="s">
        <v>4</v>
      </c>
      <c r="BK73" s="1" t="s">
        <v>4</v>
      </c>
      <c r="BL73" s="1" t="s">
        <v>4</v>
      </c>
      <c r="BM73" s="1" t="s">
        <v>4</v>
      </c>
      <c r="BN73" s="1" t="s">
        <v>4</v>
      </c>
      <c r="BO73" s="1" t="s">
        <v>4</v>
      </c>
      <c r="BP73" s="1" t="s">
        <v>4</v>
      </c>
      <c r="BQ73" s="1"/>
      <c r="BR73" s="1"/>
      <c r="BS73" s="1"/>
      <c r="BT73" s="1"/>
      <c r="BU73" s="1"/>
      <c r="BV73" s="1"/>
      <c r="BW73" s="1"/>
      <c r="BX73" s="1">
        <v>0</v>
      </c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>
        <v>0</v>
      </c>
    </row>
    <row r="75" spans="1:255">
      <c r="A75" s="3">
        <v>52</v>
      </c>
      <c r="B75" s="3">
        <f t="shared" ref="B75:G75" si="63">B121</f>
        <v>1</v>
      </c>
      <c r="C75" s="3">
        <f t="shared" si="63"/>
        <v>4</v>
      </c>
      <c r="D75" s="3">
        <f t="shared" si="63"/>
        <v>73</v>
      </c>
      <c r="E75" s="3">
        <f t="shared" si="63"/>
        <v>0</v>
      </c>
      <c r="F75" s="3" t="str">
        <f t="shared" si="63"/>
        <v>Новый раздел</v>
      </c>
      <c r="G75" s="3" t="str">
        <f t="shared" si="63"/>
        <v>Строительные работы</v>
      </c>
      <c r="H75" s="3"/>
      <c r="I75" s="3"/>
      <c r="J75" s="3"/>
      <c r="K75" s="3"/>
      <c r="L75" s="3"/>
      <c r="M75" s="3"/>
      <c r="N75" s="3"/>
      <c r="O75" s="3">
        <f t="shared" ref="O75:AT75" si="64">O121</f>
        <v>285408.58</v>
      </c>
      <c r="P75" s="3">
        <f t="shared" si="64"/>
        <v>281982.82</v>
      </c>
      <c r="Q75" s="3">
        <f t="shared" si="64"/>
        <v>565.37</v>
      </c>
      <c r="R75" s="3">
        <f t="shared" si="64"/>
        <v>53.87</v>
      </c>
      <c r="S75" s="3">
        <f t="shared" si="64"/>
        <v>2860.39</v>
      </c>
      <c r="T75" s="3">
        <f t="shared" si="64"/>
        <v>0</v>
      </c>
      <c r="U75" s="3">
        <f t="shared" si="64"/>
        <v>239.74571349999997</v>
      </c>
      <c r="V75" s="3">
        <f t="shared" si="64"/>
        <v>0</v>
      </c>
      <c r="W75" s="3">
        <f t="shared" si="64"/>
        <v>0</v>
      </c>
      <c r="X75" s="3">
        <f t="shared" si="64"/>
        <v>3421.31</v>
      </c>
      <c r="Y75" s="3">
        <f t="shared" si="64"/>
        <v>2546.7600000000002</v>
      </c>
      <c r="Z75" s="3">
        <f t="shared" si="64"/>
        <v>0</v>
      </c>
      <c r="AA75" s="3">
        <f t="shared" si="64"/>
        <v>0</v>
      </c>
      <c r="AB75" s="3">
        <f t="shared" si="64"/>
        <v>285408.58</v>
      </c>
      <c r="AC75" s="3">
        <f t="shared" si="64"/>
        <v>281982.82</v>
      </c>
      <c r="AD75" s="3">
        <f t="shared" si="64"/>
        <v>565.37</v>
      </c>
      <c r="AE75" s="3">
        <f t="shared" si="64"/>
        <v>53.87</v>
      </c>
      <c r="AF75" s="3">
        <f t="shared" si="64"/>
        <v>2860.39</v>
      </c>
      <c r="AG75" s="3">
        <f t="shared" si="64"/>
        <v>0</v>
      </c>
      <c r="AH75" s="3">
        <f t="shared" si="64"/>
        <v>239.74571349999997</v>
      </c>
      <c r="AI75" s="3">
        <f t="shared" si="64"/>
        <v>0</v>
      </c>
      <c r="AJ75" s="3">
        <f t="shared" si="64"/>
        <v>0</v>
      </c>
      <c r="AK75" s="3">
        <f t="shared" si="64"/>
        <v>3421.31</v>
      </c>
      <c r="AL75" s="3">
        <f t="shared" si="64"/>
        <v>2546.7600000000002</v>
      </c>
      <c r="AM75" s="3">
        <f t="shared" si="64"/>
        <v>0</v>
      </c>
      <c r="AN75" s="3">
        <f t="shared" si="64"/>
        <v>0</v>
      </c>
      <c r="AO75" s="3">
        <f t="shared" si="64"/>
        <v>0</v>
      </c>
      <c r="AP75" s="3">
        <f t="shared" si="64"/>
        <v>0</v>
      </c>
      <c r="AQ75" s="3">
        <f t="shared" si="64"/>
        <v>0</v>
      </c>
      <c r="AR75" s="3">
        <f t="shared" si="64"/>
        <v>291470.93</v>
      </c>
      <c r="AS75" s="3">
        <f t="shared" si="64"/>
        <v>291470.93</v>
      </c>
      <c r="AT75" s="3">
        <f t="shared" si="64"/>
        <v>0</v>
      </c>
      <c r="AU75" s="3">
        <f t="shared" ref="AU75:BZ75" si="65">AU121</f>
        <v>0</v>
      </c>
      <c r="AV75" s="3">
        <f t="shared" si="65"/>
        <v>281982.82</v>
      </c>
      <c r="AW75" s="3">
        <f t="shared" si="65"/>
        <v>281982.82</v>
      </c>
      <c r="AX75" s="3">
        <f t="shared" si="65"/>
        <v>0</v>
      </c>
      <c r="AY75" s="3">
        <f t="shared" si="65"/>
        <v>281982.82</v>
      </c>
      <c r="AZ75" s="3">
        <f t="shared" si="65"/>
        <v>0</v>
      </c>
      <c r="BA75" s="3">
        <f t="shared" si="65"/>
        <v>0</v>
      </c>
      <c r="BB75" s="3">
        <f t="shared" si="65"/>
        <v>0</v>
      </c>
      <c r="BC75" s="3">
        <f t="shared" si="65"/>
        <v>0</v>
      </c>
      <c r="BD75" s="3">
        <f t="shared" si="65"/>
        <v>0</v>
      </c>
      <c r="BE75" s="3">
        <f t="shared" si="65"/>
        <v>0</v>
      </c>
      <c r="BF75" s="3">
        <f t="shared" si="65"/>
        <v>0</v>
      </c>
      <c r="BG75" s="3">
        <f t="shared" si="65"/>
        <v>0</v>
      </c>
      <c r="BH75" s="3">
        <f t="shared" si="65"/>
        <v>0</v>
      </c>
      <c r="BI75" s="3">
        <f t="shared" si="65"/>
        <v>0</v>
      </c>
      <c r="BJ75" s="3">
        <f t="shared" si="65"/>
        <v>0</v>
      </c>
      <c r="BK75" s="3">
        <f t="shared" si="65"/>
        <v>0</v>
      </c>
      <c r="BL75" s="3">
        <f t="shared" si="65"/>
        <v>0</v>
      </c>
      <c r="BM75" s="3">
        <f t="shared" si="65"/>
        <v>0</v>
      </c>
      <c r="BN75" s="3">
        <f t="shared" si="65"/>
        <v>0</v>
      </c>
      <c r="BO75" s="3">
        <f t="shared" si="65"/>
        <v>0</v>
      </c>
      <c r="BP75" s="3">
        <f t="shared" si="65"/>
        <v>0</v>
      </c>
      <c r="BQ75" s="3">
        <f t="shared" si="65"/>
        <v>0</v>
      </c>
      <c r="BR75" s="3">
        <f t="shared" si="65"/>
        <v>0</v>
      </c>
      <c r="BS75" s="3">
        <f t="shared" si="65"/>
        <v>0</v>
      </c>
      <c r="BT75" s="3">
        <f t="shared" si="65"/>
        <v>0</v>
      </c>
      <c r="BU75" s="3">
        <f t="shared" si="65"/>
        <v>0</v>
      </c>
      <c r="BV75" s="3">
        <f t="shared" si="65"/>
        <v>0</v>
      </c>
      <c r="BW75" s="3">
        <f t="shared" si="65"/>
        <v>0</v>
      </c>
      <c r="BX75" s="3">
        <f t="shared" si="65"/>
        <v>0</v>
      </c>
      <c r="BY75" s="3">
        <f t="shared" si="65"/>
        <v>0</v>
      </c>
      <c r="BZ75" s="3">
        <f t="shared" si="65"/>
        <v>0</v>
      </c>
      <c r="CA75" s="3">
        <f t="shared" ref="CA75:DF75" si="66">CA121</f>
        <v>291470.93</v>
      </c>
      <c r="CB75" s="3">
        <f t="shared" si="66"/>
        <v>291470.93</v>
      </c>
      <c r="CC75" s="3">
        <f t="shared" si="66"/>
        <v>0</v>
      </c>
      <c r="CD75" s="3">
        <f t="shared" si="66"/>
        <v>0</v>
      </c>
      <c r="CE75" s="3">
        <f t="shared" si="66"/>
        <v>281982.82</v>
      </c>
      <c r="CF75" s="3">
        <f t="shared" si="66"/>
        <v>281982.82</v>
      </c>
      <c r="CG75" s="3">
        <f t="shared" si="66"/>
        <v>0</v>
      </c>
      <c r="CH75" s="3">
        <f t="shared" si="66"/>
        <v>281982.82</v>
      </c>
      <c r="CI75" s="3">
        <f t="shared" si="66"/>
        <v>0</v>
      </c>
      <c r="CJ75" s="3">
        <f t="shared" si="66"/>
        <v>0</v>
      </c>
      <c r="CK75" s="3">
        <f t="shared" si="66"/>
        <v>0</v>
      </c>
      <c r="CL75" s="3">
        <f t="shared" si="66"/>
        <v>0</v>
      </c>
      <c r="CM75" s="3">
        <f t="shared" si="66"/>
        <v>0</v>
      </c>
      <c r="CN75" s="3">
        <f t="shared" si="66"/>
        <v>0</v>
      </c>
      <c r="CO75" s="3">
        <f t="shared" si="66"/>
        <v>0</v>
      </c>
      <c r="CP75" s="3">
        <f t="shared" si="66"/>
        <v>0</v>
      </c>
      <c r="CQ75" s="3">
        <f t="shared" si="66"/>
        <v>0</v>
      </c>
      <c r="CR75" s="3">
        <f t="shared" si="66"/>
        <v>0</v>
      </c>
      <c r="CS75" s="3">
        <f t="shared" si="66"/>
        <v>0</v>
      </c>
      <c r="CT75" s="3">
        <f t="shared" si="66"/>
        <v>0</v>
      </c>
      <c r="CU75" s="3">
        <f t="shared" si="66"/>
        <v>0</v>
      </c>
      <c r="CV75" s="3">
        <f t="shared" si="66"/>
        <v>0</v>
      </c>
      <c r="CW75" s="3">
        <f t="shared" si="66"/>
        <v>0</v>
      </c>
      <c r="CX75" s="3">
        <f t="shared" si="66"/>
        <v>0</v>
      </c>
      <c r="CY75" s="3">
        <f t="shared" si="66"/>
        <v>0</v>
      </c>
      <c r="CZ75" s="3">
        <f t="shared" si="66"/>
        <v>0</v>
      </c>
      <c r="DA75" s="3">
        <f t="shared" si="66"/>
        <v>0</v>
      </c>
      <c r="DB75" s="3">
        <f t="shared" si="66"/>
        <v>0</v>
      </c>
      <c r="DC75" s="3">
        <f t="shared" si="66"/>
        <v>0</v>
      </c>
      <c r="DD75" s="3">
        <f t="shared" si="66"/>
        <v>0</v>
      </c>
      <c r="DE75" s="3">
        <f t="shared" si="66"/>
        <v>0</v>
      </c>
      <c r="DF75" s="3">
        <f t="shared" si="66"/>
        <v>0</v>
      </c>
      <c r="DG75" s="4">
        <f t="shared" ref="DG75:EL75" si="67">DG121</f>
        <v>1945022.11</v>
      </c>
      <c r="DH75" s="4">
        <f t="shared" si="67"/>
        <v>1804097.01</v>
      </c>
      <c r="DI75" s="4">
        <f t="shared" si="67"/>
        <v>7430.7</v>
      </c>
      <c r="DJ75" s="4">
        <f t="shared" si="67"/>
        <v>2514.11</v>
      </c>
      <c r="DK75" s="4">
        <f t="shared" si="67"/>
        <v>133494.39999999999</v>
      </c>
      <c r="DL75" s="4">
        <f t="shared" si="67"/>
        <v>0</v>
      </c>
      <c r="DM75" s="4">
        <f t="shared" si="67"/>
        <v>239.74571349999997</v>
      </c>
      <c r="DN75" s="4">
        <f t="shared" si="67"/>
        <v>0</v>
      </c>
      <c r="DO75" s="4">
        <f t="shared" si="67"/>
        <v>0</v>
      </c>
      <c r="DP75" s="4">
        <f t="shared" si="67"/>
        <v>131130.51</v>
      </c>
      <c r="DQ75" s="4">
        <f t="shared" si="67"/>
        <v>62124.98</v>
      </c>
      <c r="DR75" s="4">
        <f t="shared" si="67"/>
        <v>0</v>
      </c>
      <c r="DS75" s="4">
        <f t="shared" si="67"/>
        <v>0</v>
      </c>
      <c r="DT75" s="4">
        <f t="shared" si="67"/>
        <v>1945022.11</v>
      </c>
      <c r="DU75" s="4">
        <f t="shared" si="67"/>
        <v>1804097.01</v>
      </c>
      <c r="DV75" s="4">
        <f t="shared" si="67"/>
        <v>7430.7</v>
      </c>
      <c r="DW75" s="4">
        <f t="shared" si="67"/>
        <v>2514.11</v>
      </c>
      <c r="DX75" s="4">
        <f t="shared" si="67"/>
        <v>133494.39999999999</v>
      </c>
      <c r="DY75" s="4">
        <f t="shared" si="67"/>
        <v>0</v>
      </c>
      <c r="DZ75" s="4">
        <f t="shared" si="67"/>
        <v>239.74571349999997</v>
      </c>
      <c r="EA75" s="4">
        <f t="shared" si="67"/>
        <v>0</v>
      </c>
      <c r="EB75" s="4">
        <f t="shared" si="67"/>
        <v>0</v>
      </c>
      <c r="EC75" s="4">
        <f t="shared" si="67"/>
        <v>131130.51</v>
      </c>
      <c r="ED75" s="4">
        <f t="shared" si="67"/>
        <v>62124.98</v>
      </c>
      <c r="EE75" s="4">
        <f t="shared" si="67"/>
        <v>0</v>
      </c>
      <c r="EF75" s="4">
        <f t="shared" si="67"/>
        <v>0</v>
      </c>
      <c r="EG75" s="4">
        <f t="shared" si="67"/>
        <v>0</v>
      </c>
      <c r="EH75" s="4">
        <f t="shared" si="67"/>
        <v>0</v>
      </c>
      <c r="EI75" s="4">
        <f t="shared" si="67"/>
        <v>0</v>
      </c>
      <c r="EJ75" s="4">
        <f t="shared" si="67"/>
        <v>2142300.1800000002</v>
      </c>
      <c r="EK75" s="4">
        <f t="shared" si="67"/>
        <v>2142300.1800000002</v>
      </c>
      <c r="EL75" s="4">
        <f t="shared" si="67"/>
        <v>0</v>
      </c>
      <c r="EM75" s="4">
        <f t="shared" ref="EM75:FR75" si="68">EM121</f>
        <v>0</v>
      </c>
      <c r="EN75" s="4">
        <f t="shared" si="68"/>
        <v>1804097.01</v>
      </c>
      <c r="EO75" s="4">
        <f t="shared" si="68"/>
        <v>1804097.01</v>
      </c>
      <c r="EP75" s="4">
        <f t="shared" si="68"/>
        <v>0</v>
      </c>
      <c r="EQ75" s="4">
        <f t="shared" si="68"/>
        <v>1804097.01</v>
      </c>
      <c r="ER75" s="4">
        <f t="shared" si="68"/>
        <v>0</v>
      </c>
      <c r="ES75" s="4">
        <f t="shared" si="68"/>
        <v>0</v>
      </c>
      <c r="ET75" s="4">
        <f t="shared" si="68"/>
        <v>0</v>
      </c>
      <c r="EU75" s="4">
        <f t="shared" si="68"/>
        <v>0</v>
      </c>
      <c r="EV75" s="4">
        <f t="shared" si="68"/>
        <v>0</v>
      </c>
      <c r="EW75" s="4">
        <f t="shared" si="68"/>
        <v>0</v>
      </c>
      <c r="EX75" s="4">
        <f t="shared" si="68"/>
        <v>0</v>
      </c>
      <c r="EY75" s="4">
        <f t="shared" si="68"/>
        <v>0</v>
      </c>
      <c r="EZ75" s="4">
        <f t="shared" si="68"/>
        <v>0</v>
      </c>
      <c r="FA75" s="4">
        <f t="shared" si="68"/>
        <v>0</v>
      </c>
      <c r="FB75" s="4">
        <f t="shared" si="68"/>
        <v>0</v>
      </c>
      <c r="FC75" s="4">
        <f t="shared" si="68"/>
        <v>0</v>
      </c>
      <c r="FD75" s="4">
        <f t="shared" si="68"/>
        <v>0</v>
      </c>
      <c r="FE75" s="4">
        <f t="shared" si="68"/>
        <v>0</v>
      </c>
      <c r="FF75" s="4">
        <f t="shared" si="68"/>
        <v>0</v>
      </c>
      <c r="FG75" s="4">
        <f t="shared" si="68"/>
        <v>0</v>
      </c>
      <c r="FH75" s="4">
        <f t="shared" si="68"/>
        <v>0</v>
      </c>
      <c r="FI75" s="4">
        <f t="shared" si="68"/>
        <v>0</v>
      </c>
      <c r="FJ75" s="4">
        <f t="shared" si="68"/>
        <v>0</v>
      </c>
      <c r="FK75" s="4">
        <f t="shared" si="68"/>
        <v>0</v>
      </c>
      <c r="FL75" s="4">
        <f t="shared" si="68"/>
        <v>0</v>
      </c>
      <c r="FM75" s="4">
        <f t="shared" si="68"/>
        <v>0</v>
      </c>
      <c r="FN75" s="4">
        <f t="shared" si="68"/>
        <v>0</v>
      </c>
      <c r="FO75" s="4">
        <f t="shared" si="68"/>
        <v>0</v>
      </c>
      <c r="FP75" s="4">
        <f t="shared" si="68"/>
        <v>0</v>
      </c>
      <c r="FQ75" s="4">
        <f t="shared" si="68"/>
        <v>0</v>
      </c>
      <c r="FR75" s="4">
        <f t="shared" si="68"/>
        <v>0</v>
      </c>
      <c r="FS75" s="4">
        <f t="shared" ref="FS75:GX75" si="69">FS121</f>
        <v>2142300.1800000002</v>
      </c>
      <c r="FT75" s="4">
        <f t="shared" si="69"/>
        <v>2142300.1800000002</v>
      </c>
      <c r="FU75" s="4">
        <f t="shared" si="69"/>
        <v>0</v>
      </c>
      <c r="FV75" s="4">
        <f t="shared" si="69"/>
        <v>0</v>
      </c>
      <c r="FW75" s="4">
        <f t="shared" si="69"/>
        <v>1804097.01</v>
      </c>
      <c r="FX75" s="4">
        <f t="shared" si="69"/>
        <v>1804097.01</v>
      </c>
      <c r="FY75" s="4">
        <f t="shared" si="69"/>
        <v>0</v>
      </c>
      <c r="FZ75" s="4">
        <f t="shared" si="69"/>
        <v>1804097.01</v>
      </c>
      <c r="GA75" s="4">
        <f t="shared" si="69"/>
        <v>0</v>
      </c>
      <c r="GB75" s="4">
        <f t="shared" si="69"/>
        <v>0</v>
      </c>
      <c r="GC75" s="4">
        <f t="shared" si="69"/>
        <v>0</v>
      </c>
      <c r="GD75" s="4">
        <f t="shared" si="69"/>
        <v>0</v>
      </c>
      <c r="GE75" s="4">
        <f t="shared" si="69"/>
        <v>0</v>
      </c>
      <c r="GF75" s="4">
        <f t="shared" si="69"/>
        <v>0</v>
      </c>
      <c r="GG75" s="4">
        <f t="shared" si="69"/>
        <v>0</v>
      </c>
      <c r="GH75" s="4">
        <f t="shared" si="69"/>
        <v>0</v>
      </c>
      <c r="GI75" s="4">
        <f t="shared" si="69"/>
        <v>0</v>
      </c>
      <c r="GJ75" s="4">
        <f t="shared" si="69"/>
        <v>0</v>
      </c>
      <c r="GK75" s="4">
        <f t="shared" si="69"/>
        <v>0</v>
      </c>
      <c r="GL75" s="4">
        <f t="shared" si="69"/>
        <v>0</v>
      </c>
      <c r="GM75" s="4">
        <f t="shared" si="69"/>
        <v>0</v>
      </c>
      <c r="GN75" s="4">
        <f t="shared" si="69"/>
        <v>0</v>
      </c>
      <c r="GO75" s="4">
        <f t="shared" si="69"/>
        <v>0</v>
      </c>
      <c r="GP75" s="4">
        <f t="shared" si="69"/>
        <v>0</v>
      </c>
      <c r="GQ75" s="4">
        <f t="shared" si="69"/>
        <v>0</v>
      </c>
      <c r="GR75" s="4">
        <f t="shared" si="69"/>
        <v>0</v>
      </c>
      <c r="GS75" s="4">
        <f t="shared" si="69"/>
        <v>0</v>
      </c>
      <c r="GT75" s="4">
        <f t="shared" si="69"/>
        <v>0</v>
      </c>
      <c r="GU75" s="4">
        <f t="shared" si="69"/>
        <v>0</v>
      </c>
      <c r="GV75" s="4">
        <f t="shared" si="69"/>
        <v>0</v>
      </c>
      <c r="GW75" s="4">
        <f t="shared" si="69"/>
        <v>0</v>
      </c>
      <c r="GX75" s="4">
        <f t="shared" si="69"/>
        <v>0</v>
      </c>
    </row>
    <row r="77" spans="1:255">
      <c r="A77" s="2">
        <v>19</v>
      </c>
      <c r="B77" s="2">
        <v>1</v>
      </c>
      <c r="C77" s="2"/>
      <c r="D77" s="2"/>
      <c r="E77" s="2"/>
      <c r="F77" s="2" t="s">
        <v>4</v>
      </c>
      <c r="G77" s="2" t="s">
        <v>118</v>
      </c>
      <c r="H77" s="2" t="s">
        <v>4</v>
      </c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>
        <v>1</v>
      </c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  <c r="IH77" s="2"/>
      <c r="II77" s="2"/>
      <c r="IJ77" s="2"/>
      <c r="IK77" s="2">
        <v>0</v>
      </c>
      <c r="IL77" s="2"/>
      <c r="IM77" s="2"/>
      <c r="IN77" s="2"/>
      <c r="IO77" s="2"/>
      <c r="IP77" s="2"/>
      <c r="IQ77" s="2"/>
      <c r="IR77" s="2"/>
      <c r="IS77" s="2"/>
      <c r="IT77" s="2"/>
      <c r="IU77" s="2"/>
    </row>
    <row r="78" spans="1:255">
      <c r="A78" s="2">
        <v>17</v>
      </c>
      <c r="B78" s="2">
        <v>1</v>
      </c>
      <c r="C78" s="2">
        <f>ROW(SmtRes!A3)</f>
        <v>3</v>
      </c>
      <c r="D78" s="2">
        <f>ROW(EtalonRes!A25)</f>
        <v>25</v>
      </c>
      <c r="E78" s="2" t="s">
        <v>119</v>
      </c>
      <c r="F78" s="2" t="s">
        <v>120</v>
      </c>
      <c r="G78" s="2" t="s">
        <v>121</v>
      </c>
      <c r="H78" s="2" t="s">
        <v>122</v>
      </c>
      <c r="I78" s="2">
        <f>ROUND((2)/100,9)</f>
        <v>0.02</v>
      </c>
      <c r="J78" s="2">
        <v>0</v>
      </c>
      <c r="K78" s="2">
        <f>ROUND((2)/100,9)</f>
        <v>0.02</v>
      </c>
      <c r="L78" s="2"/>
      <c r="M78" s="2"/>
      <c r="N78" s="2"/>
      <c r="O78" s="2">
        <f t="shared" ref="O78:O119" si="70">ROUND(CP78,2)</f>
        <v>126.88</v>
      </c>
      <c r="P78" s="2">
        <f t="shared" ref="P78:P119" si="71">ROUND((ROUND((AC78*AW78*I78),2)*BC78),2)</f>
        <v>0</v>
      </c>
      <c r="Q78" s="2">
        <f t="shared" ref="Q78:Q119" si="72">(ROUND((ROUND(((ET78)*AV78*I78),2)*BB78),2)+ROUND((ROUND(((AE78-(EU78))*AV78*I78),2)*BS78),2))</f>
        <v>74.3</v>
      </c>
      <c r="R78" s="2">
        <f t="shared" ref="R78:R119" si="73">ROUND((ROUND((AE78*AV78*I78),2)*BS78),2)</f>
        <v>26.43</v>
      </c>
      <c r="S78" s="2">
        <f t="shared" ref="S78:S119" si="74">ROUND((ROUND((AF78*AV78*I78),2)*BA78),2)</f>
        <v>52.58</v>
      </c>
      <c r="T78" s="2">
        <f t="shared" ref="T78:T119" si="75">ROUND(CU78*I78,2)</f>
        <v>0</v>
      </c>
      <c r="U78" s="2">
        <f t="shared" ref="U78:U119" si="76">CV78*I78</f>
        <v>4.3136399999999995</v>
      </c>
      <c r="V78" s="2">
        <f t="shared" ref="V78:V119" si="77">CW78*I78</f>
        <v>0</v>
      </c>
      <c r="W78" s="2">
        <f t="shared" ref="W78:W119" si="78">ROUND(CX78*I78,2)</f>
        <v>0</v>
      </c>
      <c r="X78" s="2">
        <f t="shared" ref="X78:X119" si="79">ROUND(CY78,2)</f>
        <v>47.85</v>
      </c>
      <c r="Y78" s="2">
        <f t="shared" ref="Y78:Y119" si="80">ROUND(CZ78,2)</f>
        <v>36.81</v>
      </c>
      <c r="Z78" s="2"/>
      <c r="AA78" s="2">
        <v>70305038</v>
      </c>
      <c r="AB78" s="2">
        <f t="shared" ref="AB78:AB119" si="81">ROUND((AC78+AD78+AF78),6)</f>
        <v>6059.14</v>
      </c>
      <c r="AC78" s="2">
        <f t="shared" ref="AC78:AC119" si="82">ROUND((ES78),6)</f>
        <v>0</v>
      </c>
      <c r="AD78" s="2">
        <f t="shared" ref="AD78:AD119" si="83">ROUND((((ET78)-(EU78))+AE78),6)</f>
        <v>3548</v>
      </c>
      <c r="AE78" s="2">
        <f t="shared" ref="AE78:AE119" si="84">ROUND((EU78),6)</f>
        <v>1262</v>
      </c>
      <c r="AF78" s="2">
        <f t="shared" ref="AF78:AF119" si="85">ROUND((EV78),6)</f>
        <v>2511.14</v>
      </c>
      <c r="AG78" s="2">
        <f t="shared" ref="AG78:AG119" si="86">ROUND((AP78),6)</f>
        <v>0</v>
      </c>
      <c r="AH78" s="2">
        <f t="shared" ref="AH78:AH119" si="87">(EW78)</f>
        <v>206</v>
      </c>
      <c r="AI78" s="2">
        <f t="shared" ref="AI78:AI119" si="88">(EX78)</f>
        <v>0</v>
      </c>
      <c r="AJ78" s="2">
        <f t="shared" ref="AJ78:AJ119" si="89">(AS78)</f>
        <v>0</v>
      </c>
      <c r="AK78" s="2">
        <v>6059.14</v>
      </c>
      <c r="AL78" s="2">
        <v>0</v>
      </c>
      <c r="AM78" s="2">
        <v>3548</v>
      </c>
      <c r="AN78" s="2">
        <v>1262</v>
      </c>
      <c r="AO78" s="2">
        <v>2511.14</v>
      </c>
      <c r="AP78" s="2">
        <v>0</v>
      </c>
      <c r="AQ78" s="2">
        <v>206</v>
      </c>
      <c r="AR78" s="2">
        <v>0</v>
      </c>
      <c r="AS78" s="2">
        <v>0</v>
      </c>
      <c r="AT78" s="2">
        <v>91</v>
      </c>
      <c r="AU78" s="2">
        <v>70</v>
      </c>
      <c r="AV78" s="2">
        <v>1.0469999999999999</v>
      </c>
      <c r="AW78" s="2">
        <v>1.002</v>
      </c>
      <c r="AX78" s="2"/>
      <c r="AY78" s="2"/>
      <c r="AZ78" s="2">
        <v>1</v>
      </c>
      <c r="BA78" s="2">
        <v>1</v>
      </c>
      <c r="BB78" s="2">
        <v>1</v>
      </c>
      <c r="BC78" s="2">
        <v>1</v>
      </c>
      <c r="BD78" s="2" t="s">
        <v>4</v>
      </c>
      <c r="BE78" s="2" t="s">
        <v>4</v>
      </c>
      <c r="BF78" s="2" t="s">
        <v>4</v>
      </c>
      <c r="BG78" s="2" t="s">
        <v>4</v>
      </c>
      <c r="BH78" s="2">
        <v>0</v>
      </c>
      <c r="BI78" s="2">
        <v>1</v>
      </c>
      <c r="BJ78" s="2" t="s">
        <v>123</v>
      </c>
      <c r="BK78" s="2"/>
      <c r="BL78" s="2"/>
      <c r="BM78" s="2">
        <v>682</v>
      </c>
      <c r="BN78" s="2">
        <v>0</v>
      </c>
      <c r="BO78" s="2" t="s">
        <v>4</v>
      </c>
      <c r="BP78" s="2">
        <v>0</v>
      </c>
      <c r="BQ78" s="2">
        <v>60</v>
      </c>
      <c r="BR78" s="2">
        <v>0</v>
      </c>
      <c r="BS78" s="2">
        <v>1</v>
      </c>
      <c r="BT78" s="2">
        <v>1</v>
      </c>
      <c r="BU78" s="2">
        <v>1</v>
      </c>
      <c r="BV78" s="2">
        <v>1</v>
      </c>
      <c r="BW78" s="2">
        <v>1</v>
      </c>
      <c r="BX78" s="2">
        <v>1</v>
      </c>
      <c r="BY78" s="2" t="s">
        <v>4</v>
      </c>
      <c r="BZ78" s="2">
        <v>91</v>
      </c>
      <c r="CA78" s="2">
        <v>70</v>
      </c>
      <c r="CB78" s="2" t="s">
        <v>4</v>
      </c>
      <c r="CC78" s="2"/>
      <c r="CD78" s="2"/>
      <c r="CE78" s="2">
        <v>30</v>
      </c>
      <c r="CF78" s="2">
        <v>0</v>
      </c>
      <c r="CG78" s="2">
        <v>0</v>
      </c>
      <c r="CH78" s="2"/>
      <c r="CI78" s="2"/>
      <c r="CJ78" s="2"/>
      <c r="CK78" s="2"/>
      <c r="CL78" s="2"/>
      <c r="CM78" s="2">
        <v>0</v>
      </c>
      <c r="CN78" s="2" t="s">
        <v>4</v>
      </c>
      <c r="CO78" s="2">
        <v>0</v>
      </c>
      <c r="CP78" s="2">
        <f t="shared" ref="CP78:CP119" si="90">(P78+Q78+S78)</f>
        <v>126.88</v>
      </c>
      <c r="CQ78" s="2">
        <f t="shared" ref="CQ78:CQ119" si="91">ROUND((ROUND((AC78*AW78*1),2)*BC78),2)</f>
        <v>0</v>
      </c>
      <c r="CR78" s="2">
        <f t="shared" ref="CR78:CR119" si="92">(ROUND((ROUND(((ET78)*AV78*1),2)*BB78),2)+ROUND((ROUND(((AE78-(EU78))*AV78*1),2)*BS78),2))</f>
        <v>3714.76</v>
      </c>
      <c r="CS78" s="2">
        <f t="shared" ref="CS78:CS119" si="93">ROUND((ROUND((AE78*AV78*1),2)*BS78),2)</f>
        <v>1321.31</v>
      </c>
      <c r="CT78" s="2">
        <f t="shared" ref="CT78:CT119" si="94">ROUND((ROUND((AF78*AV78*1),2)*BA78),2)</f>
        <v>2629.16</v>
      </c>
      <c r="CU78" s="2">
        <f t="shared" ref="CU78:CU119" si="95">AG78</f>
        <v>0</v>
      </c>
      <c r="CV78" s="2">
        <f t="shared" ref="CV78:CV119" si="96">(AH78*AV78)</f>
        <v>215.68199999999999</v>
      </c>
      <c r="CW78" s="2">
        <f t="shared" ref="CW78:CW119" si="97">AI78</f>
        <v>0</v>
      </c>
      <c r="CX78" s="2">
        <f t="shared" ref="CX78:CX119" si="98">AJ78</f>
        <v>0</v>
      </c>
      <c r="CY78" s="2">
        <f>((S78*BZ78)/100)</f>
        <v>47.847799999999999</v>
      </c>
      <c r="CZ78" s="2">
        <f>((S78*CA78)/100)</f>
        <v>36.805999999999997</v>
      </c>
      <c r="DA78" s="2"/>
      <c r="DB78" s="2"/>
      <c r="DC78" s="2" t="s">
        <v>4</v>
      </c>
      <c r="DD78" s="2" t="s">
        <v>4</v>
      </c>
      <c r="DE78" s="2" t="s">
        <v>4</v>
      </c>
      <c r="DF78" s="2" t="s">
        <v>4</v>
      </c>
      <c r="DG78" s="2" t="s">
        <v>4</v>
      </c>
      <c r="DH78" s="2" t="s">
        <v>4</v>
      </c>
      <c r="DI78" s="2" t="s">
        <v>4</v>
      </c>
      <c r="DJ78" s="2" t="s">
        <v>4</v>
      </c>
      <c r="DK78" s="2" t="s">
        <v>4</v>
      </c>
      <c r="DL78" s="2" t="s">
        <v>4</v>
      </c>
      <c r="DM78" s="2" t="s">
        <v>4</v>
      </c>
      <c r="DN78" s="2">
        <v>0</v>
      </c>
      <c r="DO78" s="2">
        <v>0</v>
      </c>
      <c r="DP78" s="2">
        <v>1</v>
      </c>
      <c r="DQ78" s="2">
        <v>1</v>
      </c>
      <c r="DR78" s="2"/>
      <c r="DS78" s="2"/>
      <c r="DT78" s="2"/>
      <c r="DU78" s="2">
        <v>1013</v>
      </c>
      <c r="DV78" s="2" t="s">
        <v>122</v>
      </c>
      <c r="DW78" s="2" t="s">
        <v>122</v>
      </c>
      <c r="DX78" s="2">
        <v>1</v>
      </c>
      <c r="DY78" s="2"/>
      <c r="DZ78" s="2" t="s">
        <v>4</v>
      </c>
      <c r="EA78" s="2" t="s">
        <v>4</v>
      </c>
      <c r="EB78" s="2" t="s">
        <v>4</v>
      </c>
      <c r="EC78" s="2" t="s">
        <v>4</v>
      </c>
      <c r="ED78" s="2"/>
      <c r="EE78" s="2">
        <v>69253307</v>
      </c>
      <c r="EF78" s="2">
        <v>60</v>
      </c>
      <c r="EG78" s="2" t="s">
        <v>124</v>
      </c>
      <c r="EH78" s="2">
        <v>0</v>
      </c>
      <c r="EI78" s="2" t="s">
        <v>4</v>
      </c>
      <c r="EJ78" s="2">
        <v>1</v>
      </c>
      <c r="EK78" s="2">
        <v>682</v>
      </c>
      <c r="EL78" s="2" t="s">
        <v>125</v>
      </c>
      <c r="EM78" s="2" t="s">
        <v>126</v>
      </c>
      <c r="EN78" s="2"/>
      <c r="EO78" s="2" t="s">
        <v>4</v>
      </c>
      <c r="EP78" s="2"/>
      <c r="EQ78" s="2">
        <v>0</v>
      </c>
      <c r="ER78" s="2">
        <v>6059.14</v>
      </c>
      <c r="ES78" s="2">
        <v>0</v>
      </c>
      <c r="ET78" s="2">
        <v>3548</v>
      </c>
      <c r="EU78" s="2">
        <v>1262</v>
      </c>
      <c r="EV78" s="2">
        <v>2511.14</v>
      </c>
      <c r="EW78" s="2">
        <v>206</v>
      </c>
      <c r="EX78" s="2">
        <v>0</v>
      </c>
      <c r="EY78" s="2">
        <v>0</v>
      </c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>
        <v>0</v>
      </c>
      <c r="FR78" s="2">
        <f t="shared" ref="FR78:FR119" si="99">ROUND(IF(BI78=3,GM78,0),2)</f>
        <v>0</v>
      </c>
      <c r="FS78" s="2">
        <v>0</v>
      </c>
      <c r="FT78" s="2"/>
      <c r="FU78" s="2"/>
      <c r="FV78" s="2"/>
      <c r="FW78" s="2"/>
      <c r="FX78" s="2">
        <v>91</v>
      </c>
      <c r="FY78" s="2">
        <v>70</v>
      </c>
      <c r="FZ78" s="2"/>
      <c r="GA78" s="2" t="s">
        <v>4</v>
      </c>
      <c r="GB78" s="2"/>
      <c r="GC78" s="2"/>
      <c r="GD78" s="2">
        <v>0</v>
      </c>
      <c r="GE78" s="2"/>
      <c r="GF78" s="2">
        <v>-1609342085</v>
      </c>
      <c r="GG78" s="2">
        <v>2</v>
      </c>
      <c r="GH78" s="2">
        <v>1</v>
      </c>
      <c r="GI78" s="2">
        <v>-2</v>
      </c>
      <c r="GJ78" s="2">
        <v>0</v>
      </c>
      <c r="GK78" s="2">
        <f>ROUND(R78*(R12)/100,2)</f>
        <v>46.25</v>
      </c>
      <c r="GL78" s="2">
        <f t="shared" ref="GL78:GL119" si="100">ROUND(IF(AND(BH78=3,BI78=3,FS78&lt;&gt;0),P78,0),2)</f>
        <v>0</v>
      </c>
      <c r="GM78" s="2">
        <f t="shared" ref="GM78:GM119" si="101">ROUND(O78+X78+Y78+GK78,2)+GX78</f>
        <v>257.79000000000002</v>
      </c>
      <c r="GN78" s="2">
        <f t="shared" ref="GN78:GN119" si="102">IF(OR(BI78=0,BI78=1),GM78-GX78,0)</f>
        <v>257.79000000000002</v>
      </c>
      <c r="GO78" s="2">
        <f t="shared" ref="GO78:GO119" si="103">IF(BI78=2,GM78-GX78,0)</f>
        <v>0</v>
      </c>
      <c r="GP78" s="2">
        <f t="shared" ref="GP78:GP119" si="104">IF(BI78=4,GM78-GX78,0)</f>
        <v>0</v>
      </c>
      <c r="GQ78" s="2"/>
      <c r="GR78" s="2">
        <v>0</v>
      </c>
      <c r="GS78" s="2">
        <v>3</v>
      </c>
      <c r="GT78" s="2">
        <v>0</v>
      </c>
      <c r="GU78" s="2" t="s">
        <v>4</v>
      </c>
      <c r="GV78" s="2">
        <f t="shared" ref="GV78:GV119" si="105">ROUND((GT78),6)</f>
        <v>0</v>
      </c>
      <c r="GW78" s="2">
        <v>1</v>
      </c>
      <c r="GX78" s="2">
        <f t="shared" ref="GX78:GX119" si="106">ROUND(HC78*I78,2)</f>
        <v>0</v>
      </c>
      <c r="GY78" s="2"/>
      <c r="GZ78" s="2"/>
      <c r="HA78" s="2">
        <v>0</v>
      </c>
      <c r="HB78" s="2">
        <v>0</v>
      </c>
      <c r="HC78" s="2">
        <f t="shared" ref="HC78:HC119" si="107">GV78*GW78</f>
        <v>0</v>
      </c>
      <c r="HD78" s="2"/>
      <c r="HE78" s="2" t="s">
        <v>4</v>
      </c>
      <c r="HF78" s="2" t="s">
        <v>4</v>
      </c>
      <c r="HG78" s="2"/>
      <c r="HH78" s="2"/>
      <c r="HI78" s="2"/>
      <c r="HJ78" s="2"/>
      <c r="HK78" s="2"/>
      <c r="HL78" s="2"/>
      <c r="HM78" s="2" t="s">
        <v>4</v>
      </c>
      <c r="HN78" s="2" t="s">
        <v>4</v>
      </c>
      <c r="HO78" s="2" t="s">
        <v>4</v>
      </c>
      <c r="HP78" s="2" t="s">
        <v>4</v>
      </c>
      <c r="HQ78" s="2" t="s">
        <v>4</v>
      </c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  <c r="IE78" s="2"/>
      <c r="IF78" s="2"/>
      <c r="IG78" s="2"/>
      <c r="IH78" s="2"/>
      <c r="II78" s="2"/>
      <c r="IJ78" s="2"/>
      <c r="IK78" s="2">
        <v>0</v>
      </c>
      <c r="IL78" s="2"/>
      <c r="IM78" s="2"/>
      <c r="IN78" s="2"/>
      <c r="IO78" s="2"/>
      <c r="IP78" s="2"/>
      <c r="IQ78" s="2"/>
      <c r="IR78" s="2"/>
      <c r="IS78" s="2"/>
      <c r="IT78" s="2"/>
      <c r="IU78" s="2"/>
    </row>
    <row r="79" spans="1:255">
      <c r="A79">
        <v>17</v>
      </c>
      <c r="B79">
        <v>1</v>
      </c>
      <c r="C79">
        <f>ROW(SmtRes!A6)</f>
        <v>6</v>
      </c>
      <c r="D79">
        <f>ROW(EtalonRes!A28)</f>
        <v>28</v>
      </c>
      <c r="E79" t="s">
        <v>119</v>
      </c>
      <c r="F79" t="s">
        <v>120</v>
      </c>
      <c r="G79" t="s">
        <v>121</v>
      </c>
      <c r="H79" t="s">
        <v>122</v>
      </c>
      <c r="I79">
        <f>ROUND((2)/100,9)</f>
        <v>0.02</v>
      </c>
      <c r="J79">
        <v>0</v>
      </c>
      <c r="K79">
        <f>ROUND((2)/100,9)</f>
        <v>0.02</v>
      </c>
      <c r="O79">
        <f t="shared" si="70"/>
        <v>4214.08</v>
      </c>
      <c r="P79">
        <f t="shared" si="71"/>
        <v>0</v>
      </c>
      <c r="Q79">
        <f t="shared" si="72"/>
        <v>1760.17</v>
      </c>
      <c r="R79">
        <f t="shared" si="73"/>
        <v>1233.49</v>
      </c>
      <c r="S79">
        <f t="shared" si="74"/>
        <v>2453.91</v>
      </c>
      <c r="T79">
        <f t="shared" si="75"/>
        <v>0</v>
      </c>
      <c r="U79">
        <f t="shared" si="76"/>
        <v>4.3136399999999995</v>
      </c>
      <c r="V79">
        <f t="shared" si="77"/>
        <v>0</v>
      </c>
      <c r="W79">
        <f t="shared" si="78"/>
        <v>0</v>
      </c>
      <c r="X79">
        <f t="shared" si="79"/>
        <v>1840.43</v>
      </c>
      <c r="Y79">
        <f t="shared" si="80"/>
        <v>1006.1</v>
      </c>
      <c r="AA79">
        <v>70305036</v>
      </c>
      <c r="AB79">
        <f t="shared" si="81"/>
        <v>6059.14</v>
      </c>
      <c r="AC79">
        <f t="shared" si="82"/>
        <v>0</v>
      </c>
      <c r="AD79">
        <f t="shared" si="83"/>
        <v>3548</v>
      </c>
      <c r="AE79">
        <f t="shared" si="84"/>
        <v>1262</v>
      </c>
      <c r="AF79">
        <f t="shared" si="85"/>
        <v>2511.14</v>
      </c>
      <c r="AG79">
        <f t="shared" si="86"/>
        <v>0</v>
      </c>
      <c r="AH79">
        <f t="shared" si="87"/>
        <v>206</v>
      </c>
      <c r="AI79">
        <f t="shared" si="88"/>
        <v>0</v>
      </c>
      <c r="AJ79">
        <f t="shared" si="89"/>
        <v>0</v>
      </c>
      <c r="AK79">
        <v>6059.14</v>
      </c>
      <c r="AL79">
        <v>0</v>
      </c>
      <c r="AM79">
        <v>3548</v>
      </c>
      <c r="AN79">
        <v>1262</v>
      </c>
      <c r="AO79">
        <v>2511.14</v>
      </c>
      <c r="AP79">
        <v>0</v>
      </c>
      <c r="AQ79">
        <v>206</v>
      </c>
      <c r="AR79">
        <v>0</v>
      </c>
      <c r="AS79">
        <v>0</v>
      </c>
      <c r="AT79">
        <v>75</v>
      </c>
      <c r="AU79">
        <v>41</v>
      </c>
      <c r="AV79">
        <v>1.0469999999999999</v>
      </c>
      <c r="AW79">
        <v>1.002</v>
      </c>
      <c r="AZ79">
        <v>1</v>
      </c>
      <c r="BA79">
        <v>46.67</v>
      </c>
      <c r="BB79">
        <v>23.69</v>
      </c>
      <c r="BC79">
        <v>1</v>
      </c>
      <c r="BD79" t="s">
        <v>4</v>
      </c>
      <c r="BE79" t="s">
        <v>4</v>
      </c>
      <c r="BF79" t="s">
        <v>4</v>
      </c>
      <c r="BG79" t="s">
        <v>4</v>
      </c>
      <c r="BH79">
        <v>0</v>
      </c>
      <c r="BI79">
        <v>1</v>
      </c>
      <c r="BJ79" t="s">
        <v>123</v>
      </c>
      <c r="BM79">
        <v>682</v>
      </c>
      <c r="BN79">
        <v>0</v>
      </c>
      <c r="BO79" t="s">
        <v>120</v>
      </c>
      <c r="BP79">
        <v>1</v>
      </c>
      <c r="BQ79">
        <v>60</v>
      </c>
      <c r="BR79">
        <v>0</v>
      </c>
      <c r="BS79">
        <v>46.67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4</v>
      </c>
      <c r="BZ79">
        <v>75</v>
      </c>
      <c r="CA79">
        <v>41</v>
      </c>
      <c r="CB79" t="s">
        <v>4</v>
      </c>
      <c r="CE79">
        <v>30</v>
      </c>
      <c r="CF79">
        <v>0</v>
      </c>
      <c r="CG79">
        <v>0</v>
      </c>
      <c r="CM79">
        <v>0</v>
      </c>
      <c r="CN79" t="s">
        <v>4</v>
      </c>
      <c r="CO79">
        <v>0</v>
      </c>
      <c r="CP79">
        <f t="shared" si="90"/>
        <v>4214.08</v>
      </c>
      <c r="CQ79">
        <f t="shared" si="91"/>
        <v>0</v>
      </c>
      <c r="CR79">
        <f t="shared" si="92"/>
        <v>88002.66</v>
      </c>
      <c r="CS79">
        <f t="shared" si="93"/>
        <v>61665.54</v>
      </c>
      <c r="CT79">
        <f t="shared" si="94"/>
        <v>122702.9</v>
      </c>
      <c r="CU79">
        <f t="shared" si="95"/>
        <v>0</v>
      </c>
      <c r="CV79">
        <f t="shared" si="96"/>
        <v>215.68199999999999</v>
      </c>
      <c r="CW79">
        <f t="shared" si="97"/>
        <v>0</v>
      </c>
      <c r="CX79">
        <f t="shared" si="98"/>
        <v>0</v>
      </c>
      <c r="CY79">
        <f>S79*(BZ79/100)</f>
        <v>1840.4324999999999</v>
      </c>
      <c r="CZ79">
        <f>S79*(CA79/100)</f>
        <v>1006.1030999999999</v>
      </c>
      <c r="DC79" t="s">
        <v>4</v>
      </c>
      <c r="DD79" t="s">
        <v>4</v>
      </c>
      <c r="DE79" t="s">
        <v>4</v>
      </c>
      <c r="DF79" t="s">
        <v>4</v>
      </c>
      <c r="DG79" t="s">
        <v>4</v>
      </c>
      <c r="DH79" t="s">
        <v>4</v>
      </c>
      <c r="DI79" t="s">
        <v>4</v>
      </c>
      <c r="DJ79" t="s">
        <v>4</v>
      </c>
      <c r="DK79" t="s">
        <v>4</v>
      </c>
      <c r="DL79" t="s">
        <v>4</v>
      </c>
      <c r="DM79" t="s">
        <v>4</v>
      </c>
      <c r="DN79">
        <v>91</v>
      </c>
      <c r="DO79">
        <v>70</v>
      </c>
      <c r="DP79">
        <v>1.0469999999999999</v>
      </c>
      <c r="DQ79">
        <v>1.002</v>
      </c>
      <c r="DU79">
        <v>1013</v>
      </c>
      <c r="DV79" t="s">
        <v>122</v>
      </c>
      <c r="DW79" t="s">
        <v>122</v>
      </c>
      <c r="DX79">
        <v>1</v>
      </c>
      <c r="DZ79" t="s">
        <v>4</v>
      </c>
      <c r="EA79" t="s">
        <v>4</v>
      </c>
      <c r="EB79" t="s">
        <v>4</v>
      </c>
      <c r="EC79" t="s">
        <v>4</v>
      </c>
      <c r="EE79">
        <v>69253307</v>
      </c>
      <c r="EF79">
        <v>60</v>
      </c>
      <c r="EG79" t="s">
        <v>124</v>
      </c>
      <c r="EH79">
        <v>0</v>
      </c>
      <c r="EI79" t="s">
        <v>4</v>
      </c>
      <c r="EJ79">
        <v>1</v>
      </c>
      <c r="EK79">
        <v>682</v>
      </c>
      <c r="EL79" t="s">
        <v>125</v>
      </c>
      <c r="EM79" t="s">
        <v>126</v>
      </c>
      <c r="EO79" t="s">
        <v>4</v>
      </c>
      <c r="EQ79">
        <v>0</v>
      </c>
      <c r="ER79">
        <v>6059.14</v>
      </c>
      <c r="ES79">
        <v>0</v>
      </c>
      <c r="ET79">
        <v>3548</v>
      </c>
      <c r="EU79">
        <v>1262</v>
      </c>
      <c r="EV79">
        <v>2511.14</v>
      </c>
      <c r="EW79">
        <v>206</v>
      </c>
      <c r="EX79">
        <v>0</v>
      </c>
      <c r="EY79">
        <v>0</v>
      </c>
      <c r="FQ79">
        <v>0</v>
      </c>
      <c r="FR79">
        <f t="shared" si="99"/>
        <v>0</v>
      </c>
      <c r="FS79">
        <v>0</v>
      </c>
      <c r="FX79">
        <v>91</v>
      </c>
      <c r="FY79">
        <v>70</v>
      </c>
      <c r="GA79" t="s">
        <v>4</v>
      </c>
      <c r="GD79">
        <v>0</v>
      </c>
      <c r="GF79">
        <v>-1609342085</v>
      </c>
      <c r="GG79">
        <v>2</v>
      </c>
      <c r="GH79">
        <v>1</v>
      </c>
      <c r="GI79">
        <v>2</v>
      </c>
      <c r="GJ79">
        <v>0</v>
      </c>
      <c r="GK79">
        <f>ROUND(R79*(S12)/100,2)</f>
        <v>1973.58</v>
      </c>
      <c r="GL79">
        <f t="shared" si="100"/>
        <v>0</v>
      </c>
      <c r="GM79">
        <f t="shared" si="101"/>
        <v>9034.19</v>
      </c>
      <c r="GN79">
        <f t="shared" si="102"/>
        <v>9034.19</v>
      </c>
      <c r="GO79">
        <f t="shared" si="103"/>
        <v>0</v>
      </c>
      <c r="GP79">
        <f t="shared" si="104"/>
        <v>0</v>
      </c>
      <c r="GR79">
        <v>0</v>
      </c>
      <c r="GS79">
        <v>3</v>
      </c>
      <c r="GT79">
        <v>0</v>
      </c>
      <c r="GU79" t="s">
        <v>4</v>
      </c>
      <c r="GV79">
        <f t="shared" si="105"/>
        <v>0</v>
      </c>
      <c r="GW79">
        <v>1</v>
      </c>
      <c r="GX79">
        <f t="shared" si="106"/>
        <v>0</v>
      </c>
      <c r="HA79">
        <v>0</v>
      </c>
      <c r="HB79">
        <v>0</v>
      </c>
      <c r="HC79">
        <f t="shared" si="107"/>
        <v>0</v>
      </c>
      <c r="HE79" t="s">
        <v>4</v>
      </c>
      <c r="HF79" t="s">
        <v>4</v>
      </c>
      <c r="HM79" t="s">
        <v>4</v>
      </c>
      <c r="HN79" t="s">
        <v>4</v>
      </c>
      <c r="HO79" t="s">
        <v>4</v>
      </c>
      <c r="HP79" t="s">
        <v>4</v>
      </c>
      <c r="HQ79" t="s">
        <v>4</v>
      </c>
      <c r="IK79">
        <v>0</v>
      </c>
    </row>
    <row r="80" spans="1:255">
      <c r="A80" s="2">
        <v>17</v>
      </c>
      <c r="B80" s="2">
        <v>1</v>
      </c>
      <c r="C80" s="2">
        <f>ROW(SmtRes!A12)</f>
        <v>12</v>
      </c>
      <c r="D80" s="2">
        <f>ROW(EtalonRes!A34)</f>
        <v>34</v>
      </c>
      <c r="E80" s="2" t="s">
        <v>4</v>
      </c>
      <c r="F80" s="2" t="s">
        <v>127</v>
      </c>
      <c r="G80" s="2" t="s">
        <v>128</v>
      </c>
      <c r="H80" s="2" t="s">
        <v>129</v>
      </c>
      <c r="I80" s="2">
        <f>ROUND(2/1000,9)</f>
        <v>2E-3</v>
      </c>
      <c r="J80" s="2">
        <v>0</v>
      </c>
      <c r="K80" s="2">
        <f>ROUND(2/1000,9)</f>
        <v>2E-3</v>
      </c>
      <c r="L80" s="2"/>
      <c r="M80" s="2"/>
      <c r="N80" s="2"/>
      <c r="O80" s="2">
        <f t="shared" si="70"/>
        <v>48.03</v>
      </c>
      <c r="P80" s="2">
        <f t="shared" si="71"/>
        <v>43.85</v>
      </c>
      <c r="Q80" s="2">
        <f t="shared" si="72"/>
        <v>0</v>
      </c>
      <c r="R80" s="2">
        <f t="shared" si="73"/>
        <v>0</v>
      </c>
      <c r="S80" s="2">
        <f t="shared" si="74"/>
        <v>4.18</v>
      </c>
      <c r="T80" s="2">
        <f t="shared" si="75"/>
        <v>0</v>
      </c>
      <c r="U80" s="2">
        <f t="shared" si="76"/>
        <v>0.37345</v>
      </c>
      <c r="V80" s="2">
        <f t="shared" si="77"/>
        <v>0</v>
      </c>
      <c r="W80" s="2">
        <f t="shared" si="78"/>
        <v>0</v>
      </c>
      <c r="X80" s="2">
        <f t="shared" si="79"/>
        <v>4.68</v>
      </c>
      <c r="Y80" s="2">
        <f t="shared" si="80"/>
        <v>2.93</v>
      </c>
      <c r="Z80" s="2"/>
      <c r="AA80" s="2">
        <v>-1</v>
      </c>
      <c r="AB80" s="2">
        <f t="shared" si="81"/>
        <v>22237.43</v>
      </c>
      <c r="AC80" s="2">
        <f t="shared" si="82"/>
        <v>20280.93</v>
      </c>
      <c r="AD80" s="2">
        <f t="shared" si="83"/>
        <v>0</v>
      </c>
      <c r="AE80" s="2">
        <f t="shared" si="84"/>
        <v>0</v>
      </c>
      <c r="AF80" s="2">
        <f t="shared" si="85"/>
        <v>1956.5</v>
      </c>
      <c r="AG80" s="2">
        <f t="shared" si="86"/>
        <v>0</v>
      </c>
      <c r="AH80" s="2">
        <f t="shared" si="87"/>
        <v>175</v>
      </c>
      <c r="AI80" s="2">
        <f t="shared" si="88"/>
        <v>0</v>
      </c>
      <c r="AJ80" s="2">
        <f t="shared" si="89"/>
        <v>0</v>
      </c>
      <c r="AK80" s="2">
        <v>22237.43</v>
      </c>
      <c r="AL80" s="2">
        <v>20280.93</v>
      </c>
      <c r="AM80" s="2">
        <v>0</v>
      </c>
      <c r="AN80" s="2">
        <v>0</v>
      </c>
      <c r="AO80" s="2">
        <v>1956.5</v>
      </c>
      <c r="AP80" s="2">
        <v>0</v>
      </c>
      <c r="AQ80" s="2">
        <v>175</v>
      </c>
      <c r="AR80" s="2">
        <v>0</v>
      </c>
      <c r="AS80" s="2">
        <v>0</v>
      </c>
      <c r="AT80" s="2">
        <v>112</v>
      </c>
      <c r="AU80" s="2">
        <v>70</v>
      </c>
      <c r="AV80" s="2">
        <v>1.0669999999999999</v>
      </c>
      <c r="AW80" s="2">
        <v>1.081</v>
      </c>
      <c r="AX80" s="2"/>
      <c r="AY80" s="2"/>
      <c r="AZ80" s="2">
        <v>1</v>
      </c>
      <c r="BA80" s="2">
        <v>1</v>
      </c>
      <c r="BB80" s="2">
        <v>1</v>
      </c>
      <c r="BC80" s="2">
        <v>1</v>
      </c>
      <c r="BD80" s="2" t="s">
        <v>4</v>
      </c>
      <c r="BE80" s="2" t="s">
        <v>4</v>
      </c>
      <c r="BF80" s="2" t="s">
        <v>4</v>
      </c>
      <c r="BG80" s="2" t="s">
        <v>4</v>
      </c>
      <c r="BH80" s="2">
        <v>0</v>
      </c>
      <c r="BI80" s="2">
        <v>1</v>
      </c>
      <c r="BJ80" s="2" t="s">
        <v>130</v>
      </c>
      <c r="BK80" s="2"/>
      <c r="BL80" s="2"/>
      <c r="BM80" s="2">
        <v>242</v>
      </c>
      <c r="BN80" s="2">
        <v>0</v>
      </c>
      <c r="BO80" s="2" t="s">
        <v>4</v>
      </c>
      <c r="BP80" s="2">
        <v>0</v>
      </c>
      <c r="BQ80" s="2">
        <v>30</v>
      </c>
      <c r="BR80" s="2">
        <v>0</v>
      </c>
      <c r="BS80" s="2">
        <v>1</v>
      </c>
      <c r="BT80" s="2">
        <v>1</v>
      </c>
      <c r="BU80" s="2">
        <v>1</v>
      </c>
      <c r="BV80" s="2">
        <v>1</v>
      </c>
      <c r="BW80" s="2">
        <v>1</v>
      </c>
      <c r="BX80" s="2">
        <v>1</v>
      </c>
      <c r="BY80" s="2" t="s">
        <v>4</v>
      </c>
      <c r="BZ80" s="2">
        <v>112</v>
      </c>
      <c r="CA80" s="2">
        <v>70</v>
      </c>
      <c r="CB80" s="2" t="s">
        <v>4</v>
      </c>
      <c r="CC80" s="2"/>
      <c r="CD80" s="2"/>
      <c r="CE80" s="2">
        <v>30</v>
      </c>
      <c r="CF80" s="2">
        <v>0</v>
      </c>
      <c r="CG80" s="2">
        <v>0</v>
      </c>
      <c r="CH80" s="2"/>
      <c r="CI80" s="2"/>
      <c r="CJ80" s="2"/>
      <c r="CK80" s="2"/>
      <c r="CL80" s="2"/>
      <c r="CM80" s="2">
        <v>0</v>
      </c>
      <c r="CN80" s="2" t="s">
        <v>4</v>
      </c>
      <c r="CO80" s="2">
        <v>0</v>
      </c>
      <c r="CP80" s="2">
        <f t="shared" si="90"/>
        <v>48.03</v>
      </c>
      <c r="CQ80" s="2">
        <f t="shared" si="91"/>
        <v>21923.69</v>
      </c>
      <c r="CR80" s="2">
        <f t="shared" si="92"/>
        <v>0</v>
      </c>
      <c r="CS80" s="2">
        <f t="shared" si="93"/>
        <v>0</v>
      </c>
      <c r="CT80" s="2">
        <f t="shared" si="94"/>
        <v>2087.59</v>
      </c>
      <c r="CU80" s="2">
        <f t="shared" si="95"/>
        <v>0</v>
      </c>
      <c r="CV80" s="2">
        <f t="shared" si="96"/>
        <v>186.72499999999999</v>
      </c>
      <c r="CW80" s="2">
        <f t="shared" si="97"/>
        <v>0</v>
      </c>
      <c r="CX80" s="2">
        <f t="shared" si="98"/>
        <v>0</v>
      </c>
      <c r="CY80" s="2">
        <f>((S80*BZ80)/100)</f>
        <v>4.6815999999999995</v>
      </c>
      <c r="CZ80" s="2">
        <f>((S80*CA80)/100)</f>
        <v>2.9259999999999997</v>
      </c>
      <c r="DA80" s="2"/>
      <c r="DB80" s="2"/>
      <c r="DC80" s="2" t="s">
        <v>4</v>
      </c>
      <c r="DD80" s="2" t="s">
        <v>4</v>
      </c>
      <c r="DE80" s="2" t="s">
        <v>4</v>
      </c>
      <c r="DF80" s="2" t="s">
        <v>4</v>
      </c>
      <c r="DG80" s="2" t="s">
        <v>4</v>
      </c>
      <c r="DH80" s="2" t="s">
        <v>4</v>
      </c>
      <c r="DI80" s="2" t="s">
        <v>4</v>
      </c>
      <c r="DJ80" s="2" t="s">
        <v>4</v>
      </c>
      <c r="DK80" s="2" t="s">
        <v>4</v>
      </c>
      <c r="DL80" s="2" t="s">
        <v>4</v>
      </c>
      <c r="DM80" s="2" t="s">
        <v>4</v>
      </c>
      <c r="DN80" s="2">
        <v>0</v>
      </c>
      <c r="DO80" s="2">
        <v>0</v>
      </c>
      <c r="DP80" s="2">
        <v>1</v>
      </c>
      <c r="DQ80" s="2">
        <v>1</v>
      </c>
      <c r="DR80" s="2"/>
      <c r="DS80" s="2"/>
      <c r="DT80" s="2"/>
      <c r="DU80" s="2">
        <v>1013</v>
      </c>
      <c r="DV80" s="2" t="s">
        <v>129</v>
      </c>
      <c r="DW80" s="2" t="s">
        <v>129</v>
      </c>
      <c r="DX80" s="2">
        <v>1</v>
      </c>
      <c r="DY80" s="2"/>
      <c r="DZ80" s="2" t="s">
        <v>4</v>
      </c>
      <c r="EA80" s="2" t="s">
        <v>4</v>
      </c>
      <c r="EB80" s="2" t="s">
        <v>4</v>
      </c>
      <c r="EC80" s="2" t="s">
        <v>4</v>
      </c>
      <c r="ED80" s="2"/>
      <c r="EE80" s="2">
        <v>69252867</v>
      </c>
      <c r="EF80" s="2">
        <v>30</v>
      </c>
      <c r="EG80" s="2" t="s">
        <v>24</v>
      </c>
      <c r="EH80" s="2">
        <v>0</v>
      </c>
      <c r="EI80" s="2" t="s">
        <v>4</v>
      </c>
      <c r="EJ80" s="2">
        <v>1</v>
      </c>
      <c r="EK80" s="2">
        <v>242</v>
      </c>
      <c r="EL80" s="2" t="s">
        <v>131</v>
      </c>
      <c r="EM80" s="2" t="s">
        <v>132</v>
      </c>
      <c r="EN80" s="2"/>
      <c r="EO80" s="2" t="s">
        <v>4</v>
      </c>
      <c r="EP80" s="2"/>
      <c r="EQ80" s="2">
        <v>1024</v>
      </c>
      <c r="ER80" s="2">
        <v>22237.43</v>
      </c>
      <c r="ES80" s="2">
        <v>20280.93</v>
      </c>
      <c r="ET80" s="2">
        <v>0</v>
      </c>
      <c r="EU80" s="2">
        <v>0</v>
      </c>
      <c r="EV80" s="2">
        <v>1956.5</v>
      </c>
      <c r="EW80" s="2">
        <v>175</v>
      </c>
      <c r="EX80" s="2">
        <v>0</v>
      </c>
      <c r="EY80" s="2">
        <v>0</v>
      </c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>
        <v>0</v>
      </c>
      <c r="FR80" s="2">
        <f t="shared" si="99"/>
        <v>0</v>
      </c>
      <c r="FS80" s="2">
        <v>2</v>
      </c>
      <c r="FT80" s="2"/>
      <c r="FU80" s="2"/>
      <c r="FV80" s="2"/>
      <c r="FW80" s="2"/>
      <c r="FX80" s="2">
        <v>112</v>
      </c>
      <c r="FY80" s="2">
        <v>70</v>
      </c>
      <c r="FZ80" s="2"/>
      <c r="GA80" s="2" t="s">
        <v>4</v>
      </c>
      <c r="GB80" s="2"/>
      <c r="GC80" s="2"/>
      <c r="GD80" s="2">
        <v>0</v>
      </c>
      <c r="GE80" s="2"/>
      <c r="GF80" s="2">
        <v>1121795946</v>
      </c>
      <c r="GG80" s="2">
        <v>2</v>
      </c>
      <c r="GH80" s="2">
        <v>1</v>
      </c>
      <c r="GI80" s="2">
        <v>-2</v>
      </c>
      <c r="GJ80" s="2">
        <v>0</v>
      </c>
      <c r="GK80" s="2">
        <f>ROUND(R80*(R12)/100,2)</f>
        <v>0</v>
      </c>
      <c r="GL80" s="2">
        <f t="shared" si="100"/>
        <v>0</v>
      </c>
      <c r="GM80" s="2">
        <f t="shared" si="101"/>
        <v>55.64</v>
      </c>
      <c r="GN80" s="2">
        <f t="shared" si="102"/>
        <v>55.64</v>
      </c>
      <c r="GO80" s="2">
        <f t="shared" si="103"/>
        <v>0</v>
      </c>
      <c r="GP80" s="2">
        <f t="shared" si="104"/>
        <v>0</v>
      </c>
      <c r="GQ80" s="2"/>
      <c r="GR80" s="2">
        <v>0</v>
      </c>
      <c r="GS80" s="2">
        <v>0</v>
      </c>
      <c r="GT80" s="2">
        <v>0</v>
      </c>
      <c r="GU80" s="2" t="s">
        <v>4</v>
      </c>
      <c r="GV80" s="2">
        <f t="shared" si="105"/>
        <v>0</v>
      </c>
      <c r="GW80" s="2">
        <v>1</v>
      </c>
      <c r="GX80" s="2">
        <f t="shared" si="106"/>
        <v>0</v>
      </c>
      <c r="GY80" s="2"/>
      <c r="GZ80" s="2"/>
      <c r="HA80" s="2">
        <v>0</v>
      </c>
      <c r="HB80" s="2">
        <v>0</v>
      </c>
      <c r="HC80" s="2">
        <f t="shared" si="107"/>
        <v>0</v>
      </c>
      <c r="HD80" s="2"/>
      <c r="HE80" s="2" t="s">
        <v>4</v>
      </c>
      <c r="HF80" s="2" t="s">
        <v>4</v>
      </c>
      <c r="HG80" s="2"/>
      <c r="HH80" s="2"/>
      <c r="HI80" s="2"/>
      <c r="HJ80" s="2"/>
      <c r="HK80" s="2"/>
      <c r="HL80" s="2"/>
      <c r="HM80" s="2" t="s">
        <v>4</v>
      </c>
      <c r="HN80" s="2" t="s">
        <v>4</v>
      </c>
      <c r="HO80" s="2" t="s">
        <v>4</v>
      </c>
      <c r="HP80" s="2" t="s">
        <v>4</v>
      </c>
      <c r="HQ80" s="2" t="s">
        <v>4</v>
      </c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  <c r="IE80" s="2"/>
      <c r="IF80" s="2"/>
      <c r="IG80" s="2"/>
      <c r="IH80" s="2"/>
      <c r="II80" s="2"/>
      <c r="IJ80" s="2"/>
      <c r="IK80" s="2">
        <v>0</v>
      </c>
      <c r="IL80" s="2"/>
      <c r="IM80" s="2"/>
      <c r="IN80" s="2"/>
      <c r="IO80" s="2"/>
      <c r="IP80" s="2"/>
      <c r="IQ80" s="2"/>
      <c r="IR80" s="2"/>
      <c r="IS80" s="2"/>
      <c r="IT80" s="2"/>
      <c r="IU80" s="2"/>
    </row>
    <row r="81" spans="1:255">
      <c r="A81">
        <v>17</v>
      </c>
      <c r="B81">
        <v>1</v>
      </c>
      <c r="C81">
        <f>ROW(SmtRes!A18)</f>
        <v>18</v>
      </c>
      <c r="D81">
        <f>ROW(EtalonRes!A40)</f>
        <v>40</v>
      </c>
      <c r="E81" t="s">
        <v>4</v>
      </c>
      <c r="F81" t="s">
        <v>127</v>
      </c>
      <c r="G81" t="s">
        <v>128</v>
      </c>
      <c r="H81" t="s">
        <v>129</v>
      </c>
      <c r="I81">
        <f>ROUND(2/1000,9)</f>
        <v>2E-3</v>
      </c>
      <c r="J81">
        <v>0</v>
      </c>
      <c r="K81">
        <f>ROUND(2/1000,9)</f>
        <v>2E-3</v>
      </c>
      <c r="O81">
        <f t="shared" si="70"/>
        <v>557.28</v>
      </c>
      <c r="P81">
        <f t="shared" si="71"/>
        <v>362.2</v>
      </c>
      <c r="Q81">
        <f t="shared" si="72"/>
        <v>0</v>
      </c>
      <c r="R81">
        <f t="shared" si="73"/>
        <v>0</v>
      </c>
      <c r="S81">
        <f t="shared" si="74"/>
        <v>195.08</v>
      </c>
      <c r="T81">
        <f t="shared" si="75"/>
        <v>0</v>
      </c>
      <c r="U81">
        <f t="shared" si="76"/>
        <v>0.37345</v>
      </c>
      <c r="V81">
        <f t="shared" si="77"/>
        <v>0</v>
      </c>
      <c r="W81">
        <f t="shared" si="78"/>
        <v>0</v>
      </c>
      <c r="X81">
        <f t="shared" si="79"/>
        <v>179.47</v>
      </c>
      <c r="Y81">
        <f t="shared" si="80"/>
        <v>79.98</v>
      </c>
      <c r="AA81">
        <v>-1</v>
      </c>
      <c r="AB81">
        <f t="shared" si="81"/>
        <v>22237.43</v>
      </c>
      <c r="AC81">
        <f t="shared" si="82"/>
        <v>20280.93</v>
      </c>
      <c r="AD81">
        <f t="shared" si="83"/>
        <v>0</v>
      </c>
      <c r="AE81">
        <f t="shared" si="84"/>
        <v>0</v>
      </c>
      <c r="AF81">
        <f t="shared" si="85"/>
        <v>1956.5</v>
      </c>
      <c r="AG81">
        <f t="shared" si="86"/>
        <v>0</v>
      </c>
      <c r="AH81">
        <f t="shared" si="87"/>
        <v>175</v>
      </c>
      <c r="AI81">
        <f t="shared" si="88"/>
        <v>0</v>
      </c>
      <c r="AJ81">
        <f t="shared" si="89"/>
        <v>0</v>
      </c>
      <c r="AK81">
        <v>22237.43</v>
      </c>
      <c r="AL81">
        <v>20280.93</v>
      </c>
      <c r="AM81">
        <v>0</v>
      </c>
      <c r="AN81">
        <v>0</v>
      </c>
      <c r="AO81">
        <v>1956.5</v>
      </c>
      <c r="AP81">
        <v>0</v>
      </c>
      <c r="AQ81">
        <v>175</v>
      </c>
      <c r="AR81">
        <v>0</v>
      </c>
      <c r="AS81">
        <v>0</v>
      </c>
      <c r="AT81">
        <v>92</v>
      </c>
      <c r="AU81">
        <v>41</v>
      </c>
      <c r="AV81">
        <v>1.0669999999999999</v>
      </c>
      <c r="AW81">
        <v>1.081</v>
      </c>
      <c r="AZ81">
        <v>1</v>
      </c>
      <c r="BA81">
        <v>46.67</v>
      </c>
      <c r="BB81">
        <v>1</v>
      </c>
      <c r="BC81">
        <v>8.26</v>
      </c>
      <c r="BD81" t="s">
        <v>4</v>
      </c>
      <c r="BE81" t="s">
        <v>4</v>
      </c>
      <c r="BF81" t="s">
        <v>4</v>
      </c>
      <c r="BG81" t="s">
        <v>4</v>
      </c>
      <c r="BH81">
        <v>0</v>
      </c>
      <c r="BI81">
        <v>1</v>
      </c>
      <c r="BJ81" t="s">
        <v>130</v>
      </c>
      <c r="BM81">
        <v>242</v>
      </c>
      <c r="BN81">
        <v>0</v>
      </c>
      <c r="BO81" t="s">
        <v>127</v>
      </c>
      <c r="BP81">
        <v>1</v>
      </c>
      <c r="BQ81">
        <v>30</v>
      </c>
      <c r="BR81">
        <v>0</v>
      </c>
      <c r="BS81">
        <v>46.67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4</v>
      </c>
      <c r="BZ81">
        <v>92</v>
      </c>
      <c r="CA81">
        <v>41</v>
      </c>
      <c r="CB81" t="s">
        <v>4</v>
      </c>
      <c r="CE81">
        <v>30</v>
      </c>
      <c r="CF81">
        <v>0</v>
      </c>
      <c r="CG81">
        <v>0</v>
      </c>
      <c r="CM81">
        <v>0</v>
      </c>
      <c r="CN81" t="s">
        <v>4</v>
      </c>
      <c r="CO81">
        <v>0</v>
      </c>
      <c r="CP81">
        <f t="shared" si="90"/>
        <v>557.28</v>
      </c>
      <c r="CQ81">
        <f t="shared" si="91"/>
        <v>181089.68</v>
      </c>
      <c r="CR81">
        <f t="shared" si="92"/>
        <v>0</v>
      </c>
      <c r="CS81">
        <f t="shared" si="93"/>
        <v>0</v>
      </c>
      <c r="CT81">
        <f t="shared" si="94"/>
        <v>97427.83</v>
      </c>
      <c r="CU81">
        <f t="shared" si="95"/>
        <v>0</v>
      </c>
      <c r="CV81">
        <f t="shared" si="96"/>
        <v>186.72499999999999</v>
      </c>
      <c r="CW81">
        <f t="shared" si="97"/>
        <v>0</v>
      </c>
      <c r="CX81">
        <f t="shared" si="98"/>
        <v>0</v>
      </c>
      <c r="CY81">
        <f>S81*(BZ81/100)</f>
        <v>179.47360000000003</v>
      </c>
      <c r="CZ81">
        <f>S81*(CA81/100)</f>
        <v>79.982799999999997</v>
      </c>
      <c r="DC81" t="s">
        <v>4</v>
      </c>
      <c r="DD81" t="s">
        <v>4</v>
      </c>
      <c r="DE81" t="s">
        <v>4</v>
      </c>
      <c r="DF81" t="s">
        <v>4</v>
      </c>
      <c r="DG81" t="s">
        <v>4</v>
      </c>
      <c r="DH81" t="s">
        <v>4</v>
      </c>
      <c r="DI81" t="s">
        <v>4</v>
      </c>
      <c r="DJ81" t="s">
        <v>4</v>
      </c>
      <c r="DK81" t="s">
        <v>4</v>
      </c>
      <c r="DL81" t="s">
        <v>4</v>
      </c>
      <c r="DM81" t="s">
        <v>4</v>
      </c>
      <c r="DN81">
        <v>112</v>
      </c>
      <c r="DO81">
        <v>70</v>
      </c>
      <c r="DP81">
        <v>1.0669999999999999</v>
      </c>
      <c r="DQ81">
        <v>1.081</v>
      </c>
      <c r="DU81">
        <v>1013</v>
      </c>
      <c r="DV81" t="s">
        <v>129</v>
      </c>
      <c r="DW81" t="s">
        <v>129</v>
      </c>
      <c r="DX81">
        <v>1</v>
      </c>
      <c r="DZ81" t="s">
        <v>4</v>
      </c>
      <c r="EA81" t="s">
        <v>4</v>
      </c>
      <c r="EB81" t="s">
        <v>4</v>
      </c>
      <c r="EC81" t="s">
        <v>4</v>
      </c>
      <c r="EE81">
        <v>69252867</v>
      </c>
      <c r="EF81">
        <v>30</v>
      </c>
      <c r="EG81" t="s">
        <v>24</v>
      </c>
      <c r="EH81">
        <v>0</v>
      </c>
      <c r="EI81" t="s">
        <v>4</v>
      </c>
      <c r="EJ81">
        <v>1</v>
      </c>
      <c r="EK81">
        <v>242</v>
      </c>
      <c r="EL81" t="s">
        <v>131</v>
      </c>
      <c r="EM81" t="s">
        <v>132</v>
      </c>
      <c r="EO81" t="s">
        <v>4</v>
      </c>
      <c r="EQ81">
        <v>1024</v>
      </c>
      <c r="ER81">
        <v>22237.43</v>
      </c>
      <c r="ES81">
        <v>20280.93</v>
      </c>
      <c r="ET81">
        <v>0</v>
      </c>
      <c r="EU81">
        <v>0</v>
      </c>
      <c r="EV81">
        <v>1956.5</v>
      </c>
      <c r="EW81">
        <v>175</v>
      </c>
      <c r="EX81">
        <v>0</v>
      </c>
      <c r="EY81">
        <v>0</v>
      </c>
      <c r="FQ81">
        <v>0</v>
      </c>
      <c r="FR81">
        <f t="shared" si="99"/>
        <v>0</v>
      </c>
      <c r="FS81">
        <v>2</v>
      </c>
      <c r="FX81">
        <v>112</v>
      </c>
      <c r="FY81">
        <v>70</v>
      </c>
      <c r="GA81" t="s">
        <v>4</v>
      </c>
      <c r="GD81">
        <v>0</v>
      </c>
      <c r="GF81">
        <v>1121795946</v>
      </c>
      <c r="GG81">
        <v>2</v>
      </c>
      <c r="GH81">
        <v>1</v>
      </c>
      <c r="GI81">
        <v>2</v>
      </c>
      <c r="GJ81">
        <v>0</v>
      </c>
      <c r="GK81">
        <f>ROUND(R81*(S12)/100,2)</f>
        <v>0</v>
      </c>
      <c r="GL81">
        <f t="shared" si="100"/>
        <v>0</v>
      </c>
      <c r="GM81">
        <f t="shared" si="101"/>
        <v>816.73</v>
      </c>
      <c r="GN81">
        <f t="shared" si="102"/>
        <v>816.73</v>
      </c>
      <c r="GO81">
        <f t="shared" si="103"/>
        <v>0</v>
      </c>
      <c r="GP81">
        <f t="shared" si="104"/>
        <v>0</v>
      </c>
      <c r="GR81">
        <v>0</v>
      </c>
      <c r="GS81">
        <v>3</v>
      </c>
      <c r="GT81">
        <v>0</v>
      </c>
      <c r="GU81" t="s">
        <v>4</v>
      </c>
      <c r="GV81">
        <f t="shared" si="105"/>
        <v>0</v>
      </c>
      <c r="GW81">
        <v>1</v>
      </c>
      <c r="GX81">
        <f t="shared" si="106"/>
        <v>0</v>
      </c>
      <c r="HA81">
        <v>0</v>
      </c>
      <c r="HB81">
        <v>0</v>
      </c>
      <c r="HC81">
        <f t="shared" si="107"/>
        <v>0</v>
      </c>
      <c r="HE81" t="s">
        <v>4</v>
      </c>
      <c r="HF81" t="s">
        <v>4</v>
      </c>
      <c r="HM81" t="s">
        <v>4</v>
      </c>
      <c r="HN81" t="s">
        <v>4</v>
      </c>
      <c r="HO81" t="s">
        <v>4</v>
      </c>
      <c r="HP81" t="s">
        <v>4</v>
      </c>
      <c r="HQ81" t="s">
        <v>4</v>
      </c>
      <c r="IK81">
        <v>0</v>
      </c>
    </row>
    <row r="82" spans="1:255">
      <c r="A82" s="2">
        <v>18</v>
      </c>
      <c r="B82" s="2">
        <v>1</v>
      </c>
      <c r="C82" s="2">
        <v>9</v>
      </c>
      <c r="D82" s="2"/>
      <c r="E82" s="2" t="s">
        <v>4</v>
      </c>
      <c r="F82" s="2" t="s">
        <v>133</v>
      </c>
      <c r="G82" s="2" t="s">
        <v>134</v>
      </c>
      <c r="H82" s="2" t="s">
        <v>135</v>
      </c>
      <c r="I82" s="2">
        <f>I80*J82</f>
        <v>-2</v>
      </c>
      <c r="J82" s="2">
        <v>-1000</v>
      </c>
      <c r="K82" s="2">
        <v>-1000</v>
      </c>
      <c r="L82" s="2"/>
      <c r="M82" s="2"/>
      <c r="N82" s="2"/>
      <c r="O82" s="2">
        <f t="shared" si="70"/>
        <v>-32.450000000000003</v>
      </c>
      <c r="P82" s="2">
        <f t="shared" si="71"/>
        <v>-32.450000000000003</v>
      </c>
      <c r="Q82" s="2">
        <f t="shared" si="72"/>
        <v>0</v>
      </c>
      <c r="R82" s="2">
        <f t="shared" si="73"/>
        <v>0</v>
      </c>
      <c r="S82" s="2">
        <f t="shared" si="74"/>
        <v>0</v>
      </c>
      <c r="T82" s="2">
        <f t="shared" si="75"/>
        <v>0</v>
      </c>
      <c r="U82" s="2">
        <f t="shared" si="76"/>
        <v>0</v>
      </c>
      <c r="V82" s="2">
        <f t="shared" si="77"/>
        <v>0</v>
      </c>
      <c r="W82" s="2">
        <f t="shared" si="78"/>
        <v>0</v>
      </c>
      <c r="X82" s="2">
        <f t="shared" si="79"/>
        <v>0</v>
      </c>
      <c r="Y82" s="2">
        <f t="shared" si="80"/>
        <v>0</v>
      </c>
      <c r="Z82" s="2"/>
      <c r="AA82" s="2">
        <v>-1</v>
      </c>
      <c r="AB82" s="2">
        <f t="shared" si="81"/>
        <v>15.01</v>
      </c>
      <c r="AC82" s="2">
        <f t="shared" si="82"/>
        <v>15.01</v>
      </c>
      <c r="AD82" s="2">
        <f t="shared" si="83"/>
        <v>0</v>
      </c>
      <c r="AE82" s="2">
        <f t="shared" si="84"/>
        <v>0</v>
      </c>
      <c r="AF82" s="2">
        <f t="shared" si="85"/>
        <v>0</v>
      </c>
      <c r="AG82" s="2">
        <f t="shared" si="86"/>
        <v>0</v>
      </c>
      <c r="AH82" s="2">
        <f t="shared" si="87"/>
        <v>0</v>
      </c>
      <c r="AI82" s="2">
        <f t="shared" si="88"/>
        <v>0</v>
      </c>
      <c r="AJ82" s="2">
        <f t="shared" si="89"/>
        <v>0</v>
      </c>
      <c r="AK82" s="2">
        <v>15.01</v>
      </c>
      <c r="AL82" s="2">
        <v>15.01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112</v>
      </c>
      <c r="AU82" s="2">
        <v>70</v>
      </c>
      <c r="AV82" s="2">
        <v>1.0669999999999999</v>
      </c>
      <c r="AW82" s="2">
        <v>1.081</v>
      </c>
      <c r="AX82" s="2"/>
      <c r="AY82" s="2"/>
      <c r="AZ82" s="2">
        <v>1</v>
      </c>
      <c r="BA82" s="2">
        <v>1</v>
      </c>
      <c r="BB82" s="2">
        <v>1</v>
      </c>
      <c r="BC82" s="2">
        <v>1</v>
      </c>
      <c r="BD82" s="2" t="s">
        <v>4</v>
      </c>
      <c r="BE82" s="2" t="s">
        <v>4</v>
      </c>
      <c r="BF82" s="2" t="s">
        <v>4</v>
      </c>
      <c r="BG82" s="2" t="s">
        <v>4</v>
      </c>
      <c r="BH82" s="2">
        <v>3</v>
      </c>
      <c r="BI82" s="2">
        <v>1</v>
      </c>
      <c r="BJ82" s="2" t="s">
        <v>136</v>
      </c>
      <c r="BK82" s="2"/>
      <c r="BL82" s="2"/>
      <c r="BM82" s="2">
        <v>242</v>
      </c>
      <c r="BN82" s="2">
        <v>0</v>
      </c>
      <c r="BO82" s="2" t="s">
        <v>4</v>
      </c>
      <c r="BP82" s="2">
        <v>0</v>
      </c>
      <c r="BQ82" s="2">
        <v>30</v>
      </c>
      <c r="BR82" s="2">
        <v>1</v>
      </c>
      <c r="BS82" s="2">
        <v>1</v>
      </c>
      <c r="BT82" s="2">
        <v>1</v>
      </c>
      <c r="BU82" s="2">
        <v>1</v>
      </c>
      <c r="BV82" s="2">
        <v>1</v>
      </c>
      <c r="BW82" s="2">
        <v>1</v>
      </c>
      <c r="BX82" s="2">
        <v>1</v>
      </c>
      <c r="BY82" s="2" t="s">
        <v>4</v>
      </c>
      <c r="BZ82" s="2">
        <v>112</v>
      </c>
      <c r="CA82" s="2">
        <v>70</v>
      </c>
      <c r="CB82" s="2" t="s">
        <v>4</v>
      </c>
      <c r="CC82" s="2"/>
      <c r="CD82" s="2"/>
      <c r="CE82" s="2">
        <v>30</v>
      </c>
      <c r="CF82" s="2">
        <v>0</v>
      </c>
      <c r="CG82" s="2">
        <v>0</v>
      </c>
      <c r="CH82" s="2"/>
      <c r="CI82" s="2"/>
      <c r="CJ82" s="2"/>
      <c r="CK82" s="2"/>
      <c r="CL82" s="2"/>
      <c r="CM82" s="2">
        <v>0</v>
      </c>
      <c r="CN82" s="2" t="s">
        <v>4</v>
      </c>
      <c r="CO82" s="2">
        <v>0</v>
      </c>
      <c r="CP82" s="2">
        <f t="shared" si="90"/>
        <v>-32.450000000000003</v>
      </c>
      <c r="CQ82" s="2">
        <f t="shared" si="91"/>
        <v>16.23</v>
      </c>
      <c r="CR82" s="2">
        <f t="shared" si="92"/>
        <v>0</v>
      </c>
      <c r="CS82" s="2">
        <f t="shared" si="93"/>
        <v>0</v>
      </c>
      <c r="CT82" s="2">
        <f t="shared" si="94"/>
        <v>0</v>
      </c>
      <c r="CU82" s="2">
        <f t="shared" si="95"/>
        <v>0</v>
      </c>
      <c r="CV82" s="2">
        <f t="shared" si="96"/>
        <v>0</v>
      </c>
      <c r="CW82" s="2">
        <f t="shared" si="97"/>
        <v>0</v>
      </c>
      <c r="CX82" s="2">
        <f t="shared" si="98"/>
        <v>0</v>
      </c>
      <c r="CY82" s="2">
        <f>((S82*BZ82)/100)</f>
        <v>0</v>
      </c>
      <c r="CZ82" s="2">
        <f>((S82*CA82)/100)</f>
        <v>0</v>
      </c>
      <c r="DA82" s="2"/>
      <c r="DB82" s="2"/>
      <c r="DC82" s="2" t="s">
        <v>4</v>
      </c>
      <c r="DD82" s="2" t="s">
        <v>4</v>
      </c>
      <c r="DE82" s="2" t="s">
        <v>4</v>
      </c>
      <c r="DF82" s="2" t="s">
        <v>4</v>
      </c>
      <c r="DG82" s="2" t="s">
        <v>4</v>
      </c>
      <c r="DH82" s="2" t="s">
        <v>4</v>
      </c>
      <c r="DI82" s="2" t="s">
        <v>4</v>
      </c>
      <c r="DJ82" s="2" t="s">
        <v>4</v>
      </c>
      <c r="DK82" s="2" t="s">
        <v>4</v>
      </c>
      <c r="DL82" s="2" t="s">
        <v>4</v>
      </c>
      <c r="DM82" s="2" t="s">
        <v>4</v>
      </c>
      <c r="DN82" s="2">
        <v>0</v>
      </c>
      <c r="DO82" s="2">
        <v>0</v>
      </c>
      <c r="DP82" s="2">
        <v>1</v>
      </c>
      <c r="DQ82" s="2">
        <v>1</v>
      </c>
      <c r="DR82" s="2"/>
      <c r="DS82" s="2"/>
      <c r="DT82" s="2"/>
      <c r="DU82" s="2">
        <v>1003</v>
      </c>
      <c r="DV82" s="2" t="s">
        <v>135</v>
      </c>
      <c r="DW82" s="2" t="s">
        <v>135</v>
      </c>
      <c r="DX82" s="2">
        <v>1</v>
      </c>
      <c r="DY82" s="2"/>
      <c r="DZ82" s="2" t="s">
        <v>4</v>
      </c>
      <c r="EA82" s="2" t="s">
        <v>4</v>
      </c>
      <c r="EB82" s="2" t="s">
        <v>4</v>
      </c>
      <c r="EC82" s="2" t="s">
        <v>4</v>
      </c>
      <c r="ED82" s="2"/>
      <c r="EE82" s="2">
        <v>69252867</v>
      </c>
      <c r="EF82" s="2">
        <v>30</v>
      </c>
      <c r="EG82" s="2" t="s">
        <v>24</v>
      </c>
      <c r="EH82" s="2">
        <v>0</v>
      </c>
      <c r="EI82" s="2" t="s">
        <v>4</v>
      </c>
      <c r="EJ82" s="2">
        <v>1</v>
      </c>
      <c r="EK82" s="2">
        <v>242</v>
      </c>
      <c r="EL82" s="2" t="s">
        <v>131</v>
      </c>
      <c r="EM82" s="2" t="s">
        <v>132</v>
      </c>
      <c r="EN82" s="2"/>
      <c r="EO82" s="2" t="s">
        <v>4</v>
      </c>
      <c r="EP82" s="2"/>
      <c r="EQ82" s="2">
        <v>33792</v>
      </c>
      <c r="ER82" s="2">
        <v>15.01</v>
      </c>
      <c r="ES82" s="2">
        <v>15.01</v>
      </c>
      <c r="ET82" s="2">
        <v>0</v>
      </c>
      <c r="EU82" s="2">
        <v>0</v>
      </c>
      <c r="EV82" s="2">
        <v>0</v>
      </c>
      <c r="EW82" s="2">
        <v>0</v>
      </c>
      <c r="EX82" s="2">
        <v>0</v>
      </c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>
        <v>0</v>
      </c>
      <c r="FR82" s="2">
        <f t="shared" si="99"/>
        <v>0</v>
      </c>
      <c r="FS82" s="2">
        <v>0</v>
      </c>
      <c r="FT82" s="2"/>
      <c r="FU82" s="2"/>
      <c r="FV82" s="2"/>
      <c r="FW82" s="2"/>
      <c r="FX82" s="2">
        <v>112</v>
      </c>
      <c r="FY82" s="2">
        <v>70</v>
      </c>
      <c r="FZ82" s="2"/>
      <c r="GA82" s="2" t="s">
        <v>4</v>
      </c>
      <c r="GB82" s="2"/>
      <c r="GC82" s="2"/>
      <c r="GD82" s="2">
        <v>0</v>
      </c>
      <c r="GE82" s="2"/>
      <c r="GF82" s="2">
        <v>-1582708316</v>
      </c>
      <c r="GG82" s="2">
        <v>2</v>
      </c>
      <c r="GH82" s="2">
        <v>1</v>
      </c>
      <c r="GI82" s="2">
        <v>-2</v>
      </c>
      <c r="GJ82" s="2">
        <v>0</v>
      </c>
      <c r="GK82" s="2">
        <f>ROUND(R82*(R12)/100,2)</f>
        <v>0</v>
      </c>
      <c r="GL82" s="2">
        <f t="shared" si="100"/>
        <v>0</v>
      </c>
      <c r="GM82" s="2">
        <f t="shared" si="101"/>
        <v>-32.450000000000003</v>
      </c>
      <c r="GN82" s="2">
        <f t="shared" si="102"/>
        <v>-32.450000000000003</v>
      </c>
      <c r="GO82" s="2">
        <f t="shared" si="103"/>
        <v>0</v>
      </c>
      <c r="GP82" s="2">
        <f t="shared" si="104"/>
        <v>0</v>
      </c>
      <c r="GQ82" s="2"/>
      <c r="GR82" s="2">
        <v>0</v>
      </c>
      <c r="GS82" s="2">
        <v>0</v>
      </c>
      <c r="GT82" s="2">
        <v>0</v>
      </c>
      <c r="GU82" s="2" t="s">
        <v>4</v>
      </c>
      <c r="GV82" s="2">
        <f t="shared" si="105"/>
        <v>0</v>
      </c>
      <c r="GW82" s="2">
        <v>1</v>
      </c>
      <c r="GX82" s="2">
        <f t="shared" si="106"/>
        <v>0</v>
      </c>
      <c r="GY82" s="2"/>
      <c r="GZ82" s="2"/>
      <c r="HA82" s="2">
        <v>0</v>
      </c>
      <c r="HB82" s="2">
        <v>0</v>
      </c>
      <c r="HC82" s="2">
        <f t="shared" si="107"/>
        <v>0</v>
      </c>
      <c r="HD82" s="2"/>
      <c r="HE82" s="2" t="s">
        <v>4</v>
      </c>
      <c r="HF82" s="2" t="s">
        <v>4</v>
      </c>
      <c r="HG82" s="2"/>
      <c r="HH82" s="2"/>
      <c r="HI82" s="2"/>
      <c r="HJ82" s="2"/>
      <c r="HK82" s="2"/>
      <c r="HL82" s="2"/>
      <c r="HM82" s="2" t="s">
        <v>4</v>
      </c>
      <c r="HN82" s="2" t="s">
        <v>4</v>
      </c>
      <c r="HO82" s="2" t="s">
        <v>4</v>
      </c>
      <c r="HP82" s="2" t="s">
        <v>4</v>
      </c>
      <c r="HQ82" s="2" t="s">
        <v>4</v>
      </c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  <c r="IE82" s="2"/>
      <c r="IF82" s="2"/>
      <c r="IG82" s="2"/>
      <c r="IH82" s="2"/>
      <c r="II82" s="2"/>
      <c r="IJ82" s="2"/>
      <c r="IK82" s="2">
        <v>0</v>
      </c>
      <c r="IL82" s="2"/>
      <c r="IM82" s="2"/>
      <c r="IN82" s="2"/>
      <c r="IO82" s="2"/>
      <c r="IP82" s="2"/>
      <c r="IQ82" s="2"/>
      <c r="IR82" s="2"/>
      <c r="IS82" s="2"/>
      <c r="IT82" s="2"/>
      <c r="IU82" s="2"/>
    </row>
    <row r="83" spans="1:255">
      <c r="A83">
        <v>18</v>
      </c>
      <c r="B83">
        <v>1</v>
      </c>
      <c r="C83">
        <v>15</v>
      </c>
      <c r="E83" t="s">
        <v>4</v>
      </c>
      <c r="F83" t="s">
        <v>133</v>
      </c>
      <c r="G83" t="s">
        <v>134</v>
      </c>
      <c r="H83" t="s">
        <v>135</v>
      </c>
      <c r="I83">
        <f>I81*J83</f>
        <v>-2</v>
      </c>
      <c r="J83">
        <v>-1000</v>
      </c>
      <c r="K83">
        <v>-1000</v>
      </c>
      <c r="O83">
        <f t="shared" si="70"/>
        <v>-297.89</v>
      </c>
      <c r="P83">
        <f t="shared" si="71"/>
        <v>-297.89</v>
      </c>
      <c r="Q83">
        <f t="shared" si="72"/>
        <v>0</v>
      </c>
      <c r="R83">
        <f t="shared" si="73"/>
        <v>0</v>
      </c>
      <c r="S83">
        <f t="shared" si="74"/>
        <v>0</v>
      </c>
      <c r="T83">
        <f t="shared" si="75"/>
        <v>0</v>
      </c>
      <c r="U83">
        <f t="shared" si="76"/>
        <v>0</v>
      </c>
      <c r="V83">
        <f t="shared" si="77"/>
        <v>0</v>
      </c>
      <c r="W83">
        <f t="shared" si="78"/>
        <v>0</v>
      </c>
      <c r="X83">
        <f t="shared" si="79"/>
        <v>0</v>
      </c>
      <c r="Y83">
        <f t="shared" si="80"/>
        <v>0</v>
      </c>
      <c r="AA83">
        <v>-1</v>
      </c>
      <c r="AB83">
        <f t="shared" si="81"/>
        <v>15.01</v>
      </c>
      <c r="AC83">
        <f t="shared" si="82"/>
        <v>15.01</v>
      </c>
      <c r="AD83">
        <f t="shared" si="83"/>
        <v>0</v>
      </c>
      <c r="AE83">
        <f t="shared" si="84"/>
        <v>0</v>
      </c>
      <c r="AF83">
        <f t="shared" si="85"/>
        <v>0</v>
      </c>
      <c r="AG83">
        <f t="shared" si="86"/>
        <v>0</v>
      </c>
      <c r="AH83">
        <f t="shared" si="87"/>
        <v>0</v>
      </c>
      <c r="AI83">
        <f t="shared" si="88"/>
        <v>0</v>
      </c>
      <c r="AJ83">
        <f t="shared" si="89"/>
        <v>0</v>
      </c>
      <c r="AK83">
        <v>15.01</v>
      </c>
      <c r="AL83">
        <v>15.01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1</v>
      </c>
      <c r="AW83">
        <v>1.081</v>
      </c>
      <c r="AZ83">
        <v>1</v>
      </c>
      <c r="BA83">
        <v>1</v>
      </c>
      <c r="BB83">
        <v>1</v>
      </c>
      <c r="BC83">
        <v>9.18</v>
      </c>
      <c r="BD83" t="s">
        <v>4</v>
      </c>
      <c r="BE83" t="s">
        <v>4</v>
      </c>
      <c r="BF83" t="s">
        <v>4</v>
      </c>
      <c r="BG83" t="s">
        <v>4</v>
      </c>
      <c r="BH83">
        <v>3</v>
      </c>
      <c r="BI83">
        <v>1</v>
      </c>
      <c r="BJ83" t="s">
        <v>136</v>
      </c>
      <c r="BM83">
        <v>242</v>
      </c>
      <c r="BN83">
        <v>0</v>
      </c>
      <c r="BO83" t="s">
        <v>133</v>
      </c>
      <c r="BP83">
        <v>1</v>
      </c>
      <c r="BQ83">
        <v>30</v>
      </c>
      <c r="BR83">
        <v>1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4</v>
      </c>
      <c r="BZ83">
        <v>0</v>
      </c>
      <c r="CA83">
        <v>0</v>
      </c>
      <c r="CB83" t="s">
        <v>4</v>
      </c>
      <c r="CE83">
        <v>30</v>
      </c>
      <c r="CF83">
        <v>0</v>
      </c>
      <c r="CG83">
        <v>0</v>
      </c>
      <c r="CM83">
        <v>0</v>
      </c>
      <c r="CN83" t="s">
        <v>4</v>
      </c>
      <c r="CO83">
        <v>0</v>
      </c>
      <c r="CP83">
        <f t="shared" si="90"/>
        <v>-297.89</v>
      </c>
      <c r="CQ83">
        <f t="shared" si="91"/>
        <v>148.99</v>
      </c>
      <c r="CR83">
        <f t="shared" si="92"/>
        <v>0</v>
      </c>
      <c r="CS83">
        <f t="shared" si="93"/>
        <v>0</v>
      </c>
      <c r="CT83">
        <f t="shared" si="94"/>
        <v>0</v>
      </c>
      <c r="CU83">
        <f t="shared" si="95"/>
        <v>0</v>
      </c>
      <c r="CV83">
        <f t="shared" si="96"/>
        <v>0</v>
      </c>
      <c r="CW83">
        <f t="shared" si="97"/>
        <v>0</v>
      </c>
      <c r="CX83">
        <f t="shared" si="98"/>
        <v>0</v>
      </c>
      <c r="CY83">
        <f>S83*(BZ83/100)</f>
        <v>0</v>
      </c>
      <c r="CZ83">
        <f>S83*(CA83/100)</f>
        <v>0</v>
      </c>
      <c r="DC83" t="s">
        <v>4</v>
      </c>
      <c r="DD83" t="s">
        <v>4</v>
      </c>
      <c r="DE83" t="s">
        <v>4</v>
      </c>
      <c r="DF83" t="s">
        <v>4</v>
      </c>
      <c r="DG83" t="s">
        <v>4</v>
      </c>
      <c r="DH83" t="s">
        <v>4</v>
      </c>
      <c r="DI83" t="s">
        <v>4</v>
      </c>
      <c r="DJ83" t="s">
        <v>4</v>
      </c>
      <c r="DK83" t="s">
        <v>4</v>
      </c>
      <c r="DL83" t="s">
        <v>4</v>
      </c>
      <c r="DM83" t="s">
        <v>4</v>
      </c>
      <c r="DN83">
        <v>112</v>
      </c>
      <c r="DO83">
        <v>70</v>
      </c>
      <c r="DP83">
        <v>1.0669999999999999</v>
      </c>
      <c r="DQ83">
        <v>1.081</v>
      </c>
      <c r="DU83">
        <v>1003</v>
      </c>
      <c r="DV83" t="s">
        <v>135</v>
      </c>
      <c r="DW83" t="s">
        <v>135</v>
      </c>
      <c r="DX83">
        <v>1</v>
      </c>
      <c r="DZ83" t="s">
        <v>4</v>
      </c>
      <c r="EA83" t="s">
        <v>4</v>
      </c>
      <c r="EB83" t="s">
        <v>4</v>
      </c>
      <c r="EC83" t="s">
        <v>4</v>
      </c>
      <c r="EE83">
        <v>69252867</v>
      </c>
      <c r="EF83">
        <v>30</v>
      </c>
      <c r="EG83" t="s">
        <v>24</v>
      </c>
      <c r="EH83">
        <v>0</v>
      </c>
      <c r="EI83" t="s">
        <v>4</v>
      </c>
      <c r="EJ83">
        <v>1</v>
      </c>
      <c r="EK83">
        <v>242</v>
      </c>
      <c r="EL83" t="s">
        <v>131</v>
      </c>
      <c r="EM83" t="s">
        <v>132</v>
      </c>
      <c r="EO83" t="s">
        <v>4</v>
      </c>
      <c r="EQ83">
        <v>33792</v>
      </c>
      <c r="ER83">
        <v>15.01</v>
      </c>
      <c r="ES83">
        <v>15.01</v>
      </c>
      <c r="ET83">
        <v>0</v>
      </c>
      <c r="EU83">
        <v>0</v>
      </c>
      <c r="EV83">
        <v>0</v>
      </c>
      <c r="EW83">
        <v>0</v>
      </c>
      <c r="EX83">
        <v>0</v>
      </c>
      <c r="FQ83">
        <v>0</v>
      </c>
      <c r="FR83">
        <f t="shared" si="99"/>
        <v>0</v>
      </c>
      <c r="FS83">
        <v>0</v>
      </c>
      <c r="FX83">
        <v>112</v>
      </c>
      <c r="FY83">
        <v>70</v>
      </c>
      <c r="GA83" t="s">
        <v>4</v>
      </c>
      <c r="GD83">
        <v>0</v>
      </c>
      <c r="GF83">
        <v>-1582708316</v>
      </c>
      <c r="GG83">
        <v>2</v>
      </c>
      <c r="GH83">
        <v>1</v>
      </c>
      <c r="GI83">
        <v>2</v>
      </c>
      <c r="GJ83">
        <v>0</v>
      </c>
      <c r="GK83">
        <f>ROUND(R83*(S12)/100,2)</f>
        <v>0</v>
      </c>
      <c r="GL83">
        <f t="shared" si="100"/>
        <v>0</v>
      </c>
      <c r="GM83">
        <f t="shared" si="101"/>
        <v>-297.89</v>
      </c>
      <c r="GN83">
        <f t="shared" si="102"/>
        <v>-297.89</v>
      </c>
      <c r="GO83">
        <f t="shared" si="103"/>
        <v>0</v>
      </c>
      <c r="GP83">
        <f t="shared" si="104"/>
        <v>0</v>
      </c>
      <c r="GR83">
        <v>0</v>
      </c>
      <c r="GS83">
        <v>3</v>
      </c>
      <c r="GT83">
        <v>0</v>
      </c>
      <c r="GU83" t="s">
        <v>4</v>
      </c>
      <c r="GV83">
        <f t="shared" si="105"/>
        <v>0</v>
      </c>
      <c r="GW83">
        <v>1</v>
      </c>
      <c r="GX83">
        <f t="shared" si="106"/>
        <v>0</v>
      </c>
      <c r="HA83">
        <v>0</v>
      </c>
      <c r="HB83">
        <v>0</v>
      </c>
      <c r="HC83">
        <f t="shared" si="107"/>
        <v>0</v>
      </c>
      <c r="HE83" t="s">
        <v>4</v>
      </c>
      <c r="HF83" t="s">
        <v>4</v>
      </c>
      <c r="HM83" t="s">
        <v>4</v>
      </c>
      <c r="HN83" t="s">
        <v>4</v>
      </c>
      <c r="HO83" t="s">
        <v>4</v>
      </c>
      <c r="HP83" t="s">
        <v>4</v>
      </c>
      <c r="HQ83" t="s">
        <v>4</v>
      </c>
      <c r="IK83">
        <v>0</v>
      </c>
    </row>
    <row r="84" spans="1:255">
      <c r="A84" s="2">
        <v>18</v>
      </c>
      <c r="B84" s="2">
        <v>1</v>
      </c>
      <c r="C84" s="2">
        <v>10</v>
      </c>
      <c r="D84" s="2"/>
      <c r="E84" s="2" t="s">
        <v>4</v>
      </c>
      <c r="F84" s="2" t="s">
        <v>137</v>
      </c>
      <c r="G84" s="2" t="s">
        <v>138</v>
      </c>
      <c r="H84" s="2" t="s">
        <v>135</v>
      </c>
      <c r="I84" s="2">
        <f>I80*J84</f>
        <v>2</v>
      </c>
      <c r="J84" s="2">
        <v>1000</v>
      </c>
      <c r="K84" s="2">
        <v>1000</v>
      </c>
      <c r="L84" s="2"/>
      <c r="M84" s="2"/>
      <c r="N84" s="2"/>
      <c r="O84" s="2">
        <f t="shared" si="70"/>
        <v>48.8</v>
      </c>
      <c r="P84" s="2">
        <f t="shared" si="71"/>
        <v>48.8</v>
      </c>
      <c r="Q84" s="2">
        <f t="shared" si="72"/>
        <v>0</v>
      </c>
      <c r="R84" s="2">
        <f t="shared" si="73"/>
        <v>0</v>
      </c>
      <c r="S84" s="2">
        <f t="shared" si="74"/>
        <v>0</v>
      </c>
      <c r="T84" s="2">
        <f t="shared" si="75"/>
        <v>0</v>
      </c>
      <c r="U84" s="2">
        <f t="shared" si="76"/>
        <v>0</v>
      </c>
      <c r="V84" s="2">
        <f t="shared" si="77"/>
        <v>0</v>
      </c>
      <c r="W84" s="2">
        <f t="shared" si="78"/>
        <v>0</v>
      </c>
      <c r="X84" s="2">
        <f t="shared" si="79"/>
        <v>0</v>
      </c>
      <c r="Y84" s="2">
        <f t="shared" si="80"/>
        <v>0</v>
      </c>
      <c r="Z84" s="2"/>
      <c r="AA84" s="2">
        <v>-1</v>
      </c>
      <c r="AB84" s="2">
        <f t="shared" si="81"/>
        <v>24.4</v>
      </c>
      <c r="AC84" s="2">
        <f t="shared" si="82"/>
        <v>24.4</v>
      </c>
      <c r="AD84" s="2">
        <f t="shared" si="83"/>
        <v>0</v>
      </c>
      <c r="AE84" s="2">
        <f t="shared" si="84"/>
        <v>0</v>
      </c>
      <c r="AF84" s="2">
        <f t="shared" si="85"/>
        <v>0</v>
      </c>
      <c r="AG84" s="2">
        <f t="shared" si="86"/>
        <v>0</v>
      </c>
      <c r="AH84" s="2">
        <f t="shared" si="87"/>
        <v>0</v>
      </c>
      <c r="AI84" s="2">
        <f t="shared" si="88"/>
        <v>0</v>
      </c>
      <c r="AJ84" s="2">
        <f t="shared" si="89"/>
        <v>0</v>
      </c>
      <c r="AK84" s="2">
        <v>24.4</v>
      </c>
      <c r="AL84" s="2">
        <v>24.4</v>
      </c>
      <c r="AM84" s="2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112</v>
      </c>
      <c r="AU84" s="2">
        <v>70</v>
      </c>
      <c r="AV84" s="2">
        <v>1.0669999999999999</v>
      </c>
      <c r="AW84" s="2">
        <v>1</v>
      </c>
      <c r="AX84" s="2"/>
      <c r="AY84" s="2"/>
      <c r="AZ84" s="2">
        <v>1</v>
      </c>
      <c r="BA84" s="2">
        <v>1</v>
      </c>
      <c r="BB84" s="2">
        <v>1</v>
      </c>
      <c r="BC84" s="2">
        <v>1</v>
      </c>
      <c r="BD84" s="2" t="s">
        <v>4</v>
      </c>
      <c r="BE84" s="2" t="s">
        <v>4</v>
      </c>
      <c r="BF84" s="2" t="s">
        <v>4</v>
      </c>
      <c r="BG84" s="2" t="s">
        <v>4</v>
      </c>
      <c r="BH84" s="2">
        <v>3</v>
      </c>
      <c r="BI84" s="2">
        <v>1</v>
      </c>
      <c r="BJ84" s="2" t="s">
        <v>139</v>
      </c>
      <c r="BK84" s="2"/>
      <c r="BL84" s="2"/>
      <c r="BM84" s="2">
        <v>242</v>
      </c>
      <c r="BN84" s="2">
        <v>0</v>
      </c>
      <c r="BO84" s="2" t="s">
        <v>4</v>
      </c>
      <c r="BP84" s="2">
        <v>0</v>
      </c>
      <c r="BQ84" s="2">
        <v>30</v>
      </c>
      <c r="BR84" s="2">
        <v>0</v>
      </c>
      <c r="BS84" s="2">
        <v>1</v>
      </c>
      <c r="BT84" s="2">
        <v>1</v>
      </c>
      <c r="BU84" s="2">
        <v>1</v>
      </c>
      <c r="BV84" s="2">
        <v>1</v>
      </c>
      <c r="BW84" s="2">
        <v>1</v>
      </c>
      <c r="BX84" s="2">
        <v>1</v>
      </c>
      <c r="BY84" s="2" t="s">
        <v>4</v>
      </c>
      <c r="BZ84" s="2">
        <v>112</v>
      </c>
      <c r="CA84" s="2">
        <v>70</v>
      </c>
      <c r="CB84" s="2" t="s">
        <v>4</v>
      </c>
      <c r="CC84" s="2"/>
      <c r="CD84" s="2"/>
      <c r="CE84" s="2">
        <v>30</v>
      </c>
      <c r="CF84" s="2">
        <v>0</v>
      </c>
      <c r="CG84" s="2">
        <v>0</v>
      </c>
      <c r="CH84" s="2"/>
      <c r="CI84" s="2"/>
      <c r="CJ84" s="2"/>
      <c r="CK84" s="2"/>
      <c r="CL84" s="2"/>
      <c r="CM84" s="2">
        <v>0</v>
      </c>
      <c r="CN84" s="2" t="s">
        <v>4</v>
      </c>
      <c r="CO84" s="2">
        <v>0</v>
      </c>
      <c r="CP84" s="2">
        <f t="shared" si="90"/>
        <v>48.8</v>
      </c>
      <c r="CQ84" s="2">
        <f t="shared" si="91"/>
        <v>24.4</v>
      </c>
      <c r="CR84" s="2">
        <f t="shared" si="92"/>
        <v>0</v>
      </c>
      <c r="CS84" s="2">
        <f t="shared" si="93"/>
        <v>0</v>
      </c>
      <c r="CT84" s="2">
        <f t="shared" si="94"/>
        <v>0</v>
      </c>
      <c r="CU84" s="2">
        <f t="shared" si="95"/>
        <v>0</v>
      </c>
      <c r="CV84" s="2">
        <f t="shared" si="96"/>
        <v>0</v>
      </c>
      <c r="CW84" s="2">
        <f t="shared" si="97"/>
        <v>0</v>
      </c>
      <c r="CX84" s="2">
        <f t="shared" si="98"/>
        <v>0</v>
      </c>
      <c r="CY84" s="2">
        <f>((S84*BZ84)/100)</f>
        <v>0</v>
      </c>
      <c r="CZ84" s="2">
        <f>((S84*CA84)/100)</f>
        <v>0</v>
      </c>
      <c r="DA84" s="2"/>
      <c r="DB84" s="2"/>
      <c r="DC84" s="2" t="s">
        <v>4</v>
      </c>
      <c r="DD84" s="2" t="s">
        <v>4</v>
      </c>
      <c r="DE84" s="2" t="s">
        <v>4</v>
      </c>
      <c r="DF84" s="2" t="s">
        <v>4</v>
      </c>
      <c r="DG84" s="2" t="s">
        <v>4</v>
      </c>
      <c r="DH84" s="2" t="s">
        <v>4</v>
      </c>
      <c r="DI84" s="2" t="s">
        <v>4</v>
      </c>
      <c r="DJ84" s="2" t="s">
        <v>4</v>
      </c>
      <c r="DK84" s="2" t="s">
        <v>4</v>
      </c>
      <c r="DL84" s="2" t="s">
        <v>4</v>
      </c>
      <c r="DM84" s="2" t="s">
        <v>4</v>
      </c>
      <c r="DN84" s="2">
        <v>0</v>
      </c>
      <c r="DO84" s="2">
        <v>0</v>
      </c>
      <c r="DP84" s="2">
        <v>1</v>
      </c>
      <c r="DQ84" s="2">
        <v>1</v>
      </c>
      <c r="DR84" s="2"/>
      <c r="DS84" s="2"/>
      <c r="DT84" s="2"/>
      <c r="DU84" s="2">
        <v>1003</v>
      </c>
      <c r="DV84" s="2" t="s">
        <v>135</v>
      </c>
      <c r="DW84" s="2" t="s">
        <v>135</v>
      </c>
      <c r="DX84" s="2">
        <v>1</v>
      </c>
      <c r="DY84" s="2"/>
      <c r="DZ84" s="2" t="s">
        <v>4</v>
      </c>
      <c r="EA84" s="2" t="s">
        <v>4</v>
      </c>
      <c r="EB84" s="2" t="s">
        <v>4</v>
      </c>
      <c r="EC84" s="2" t="s">
        <v>4</v>
      </c>
      <c r="ED84" s="2"/>
      <c r="EE84" s="2">
        <v>69252867</v>
      </c>
      <c r="EF84" s="2">
        <v>30</v>
      </c>
      <c r="EG84" s="2" t="s">
        <v>24</v>
      </c>
      <c r="EH84" s="2">
        <v>0</v>
      </c>
      <c r="EI84" s="2" t="s">
        <v>4</v>
      </c>
      <c r="EJ84" s="2">
        <v>1</v>
      </c>
      <c r="EK84" s="2">
        <v>242</v>
      </c>
      <c r="EL84" s="2" t="s">
        <v>131</v>
      </c>
      <c r="EM84" s="2" t="s">
        <v>132</v>
      </c>
      <c r="EN84" s="2"/>
      <c r="EO84" s="2" t="s">
        <v>4</v>
      </c>
      <c r="EP84" s="2"/>
      <c r="EQ84" s="2">
        <v>1024</v>
      </c>
      <c r="ER84" s="2">
        <v>24.4</v>
      </c>
      <c r="ES84" s="2">
        <v>24.4</v>
      </c>
      <c r="ET84" s="2">
        <v>0</v>
      </c>
      <c r="EU84" s="2">
        <v>0</v>
      </c>
      <c r="EV84" s="2">
        <v>0</v>
      </c>
      <c r="EW84" s="2">
        <v>0</v>
      </c>
      <c r="EX84" s="2">
        <v>0</v>
      </c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>
        <v>0</v>
      </c>
      <c r="FR84" s="2">
        <f t="shared" si="99"/>
        <v>0</v>
      </c>
      <c r="FS84" s="2">
        <v>0</v>
      </c>
      <c r="FT84" s="2"/>
      <c r="FU84" s="2"/>
      <c r="FV84" s="2"/>
      <c r="FW84" s="2"/>
      <c r="FX84" s="2">
        <v>112</v>
      </c>
      <c r="FY84" s="2">
        <v>70</v>
      </c>
      <c r="FZ84" s="2"/>
      <c r="GA84" s="2" t="s">
        <v>4</v>
      </c>
      <c r="GB84" s="2"/>
      <c r="GC84" s="2"/>
      <c r="GD84" s="2">
        <v>0</v>
      </c>
      <c r="GE84" s="2"/>
      <c r="GF84" s="2">
        <v>1329163801</v>
      </c>
      <c r="GG84" s="2">
        <v>2</v>
      </c>
      <c r="GH84" s="2">
        <v>1</v>
      </c>
      <c r="GI84" s="2">
        <v>-2</v>
      </c>
      <c r="GJ84" s="2">
        <v>0</v>
      </c>
      <c r="GK84" s="2">
        <f>ROUND(R84*(R12)/100,2)</f>
        <v>0</v>
      </c>
      <c r="GL84" s="2">
        <f t="shared" si="100"/>
        <v>0</v>
      </c>
      <c r="GM84" s="2">
        <f t="shared" si="101"/>
        <v>48.8</v>
      </c>
      <c r="GN84" s="2">
        <f t="shared" si="102"/>
        <v>48.8</v>
      </c>
      <c r="GO84" s="2">
        <f t="shared" si="103"/>
        <v>0</v>
      </c>
      <c r="GP84" s="2">
        <f t="shared" si="104"/>
        <v>0</v>
      </c>
      <c r="GQ84" s="2"/>
      <c r="GR84" s="2">
        <v>0</v>
      </c>
      <c r="GS84" s="2">
        <v>0</v>
      </c>
      <c r="GT84" s="2">
        <v>0</v>
      </c>
      <c r="GU84" s="2" t="s">
        <v>4</v>
      </c>
      <c r="GV84" s="2">
        <f t="shared" si="105"/>
        <v>0</v>
      </c>
      <c r="GW84" s="2">
        <v>1</v>
      </c>
      <c r="GX84" s="2">
        <f t="shared" si="106"/>
        <v>0</v>
      </c>
      <c r="GY84" s="2"/>
      <c r="GZ84" s="2"/>
      <c r="HA84" s="2">
        <v>0</v>
      </c>
      <c r="HB84" s="2">
        <v>0</v>
      </c>
      <c r="HC84" s="2">
        <f t="shared" si="107"/>
        <v>0</v>
      </c>
      <c r="HD84" s="2"/>
      <c r="HE84" s="2" t="s">
        <v>4</v>
      </c>
      <c r="HF84" s="2" t="s">
        <v>4</v>
      </c>
      <c r="HG84" s="2"/>
      <c r="HH84" s="2"/>
      <c r="HI84" s="2"/>
      <c r="HJ84" s="2"/>
      <c r="HK84" s="2"/>
      <c r="HL84" s="2"/>
      <c r="HM84" s="2" t="s">
        <v>4</v>
      </c>
      <c r="HN84" s="2" t="s">
        <v>4</v>
      </c>
      <c r="HO84" s="2" t="s">
        <v>4</v>
      </c>
      <c r="HP84" s="2" t="s">
        <v>4</v>
      </c>
      <c r="HQ84" s="2" t="s">
        <v>4</v>
      </c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  <c r="IE84" s="2"/>
      <c r="IF84" s="2"/>
      <c r="IG84" s="2"/>
      <c r="IH84" s="2"/>
      <c r="II84" s="2"/>
      <c r="IJ84" s="2"/>
      <c r="IK84" s="2">
        <v>0</v>
      </c>
      <c r="IL84" s="2"/>
      <c r="IM84" s="2"/>
      <c r="IN84" s="2"/>
      <c r="IO84" s="2"/>
      <c r="IP84" s="2"/>
      <c r="IQ84" s="2"/>
      <c r="IR84" s="2"/>
      <c r="IS84" s="2"/>
      <c r="IT84" s="2"/>
      <c r="IU84" s="2"/>
    </row>
    <row r="85" spans="1:255">
      <c r="A85">
        <v>18</v>
      </c>
      <c r="B85">
        <v>1</v>
      </c>
      <c r="C85">
        <v>16</v>
      </c>
      <c r="E85" t="s">
        <v>4</v>
      </c>
      <c r="F85" t="s">
        <v>137</v>
      </c>
      <c r="G85" t="s">
        <v>138</v>
      </c>
      <c r="H85" t="s">
        <v>135</v>
      </c>
      <c r="I85">
        <f>I81*J85</f>
        <v>2</v>
      </c>
      <c r="J85">
        <v>1000</v>
      </c>
      <c r="K85">
        <v>1000</v>
      </c>
      <c r="O85">
        <f t="shared" si="70"/>
        <v>452.86</v>
      </c>
      <c r="P85">
        <f t="shared" si="71"/>
        <v>452.86</v>
      </c>
      <c r="Q85">
        <f t="shared" si="72"/>
        <v>0</v>
      </c>
      <c r="R85">
        <f t="shared" si="73"/>
        <v>0</v>
      </c>
      <c r="S85">
        <f t="shared" si="74"/>
        <v>0</v>
      </c>
      <c r="T85">
        <f t="shared" si="75"/>
        <v>0</v>
      </c>
      <c r="U85">
        <f t="shared" si="76"/>
        <v>0</v>
      </c>
      <c r="V85">
        <f t="shared" si="77"/>
        <v>0</v>
      </c>
      <c r="W85">
        <f t="shared" si="78"/>
        <v>0</v>
      </c>
      <c r="X85">
        <f t="shared" si="79"/>
        <v>0</v>
      </c>
      <c r="Y85">
        <f t="shared" si="80"/>
        <v>0</v>
      </c>
      <c r="AA85">
        <v>-1</v>
      </c>
      <c r="AB85">
        <f t="shared" si="81"/>
        <v>24.4</v>
      </c>
      <c r="AC85">
        <f t="shared" si="82"/>
        <v>24.4</v>
      </c>
      <c r="AD85">
        <f t="shared" si="83"/>
        <v>0</v>
      </c>
      <c r="AE85">
        <f t="shared" si="84"/>
        <v>0</v>
      </c>
      <c r="AF85">
        <f t="shared" si="85"/>
        <v>0</v>
      </c>
      <c r="AG85">
        <f t="shared" si="86"/>
        <v>0</v>
      </c>
      <c r="AH85">
        <f t="shared" si="87"/>
        <v>0</v>
      </c>
      <c r="AI85">
        <f t="shared" si="88"/>
        <v>0</v>
      </c>
      <c r="AJ85">
        <f t="shared" si="89"/>
        <v>0</v>
      </c>
      <c r="AK85">
        <v>24.4</v>
      </c>
      <c r="AL85">
        <v>24.4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9.2799999999999994</v>
      </c>
      <c r="BD85" t="s">
        <v>4</v>
      </c>
      <c r="BE85" t="s">
        <v>4</v>
      </c>
      <c r="BF85" t="s">
        <v>4</v>
      </c>
      <c r="BG85" t="s">
        <v>4</v>
      </c>
      <c r="BH85">
        <v>3</v>
      </c>
      <c r="BI85">
        <v>1</v>
      </c>
      <c r="BJ85" t="s">
        <v>139</v>
      </c>
      <c r="BM85">
        <v>242</v>
      </c>
      <c r="BN85">
        <v>0</v>
      </c>
      <c r="BO85" t="s">
        <v>137</v>
      </c>
      <c r="BP85">
        <v>1</v>
      </c>
      <c r="BQ85">
        <v>30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4</v>
      </c>
      <c r="BZ85">
        <v>0</v>
      </c>
      <c r="CA85">
        <v>0</v>
      </c>
      <c r="CB85" t="s">
        <v>4</v>
      </c>
      <c r="CE85">
        <v>30</v>
      </c>
      <c r="CF85">
        <v>0</v>
      </c>
      <c r="CG85">
        <v>0</v>
      </c>
      <c r="CM85">
        <v>0</v>
      </c>
      <c r="CN85" t="s">
        <v>4</v>
      </c>
      <c r="CO85">
        <v>0</v>
      </c>
      <c r="CP85">
        <f t="shared" si="90"/>
        <v>452.86</v>
      </c>
      <c r="CQ85">
        <f t="shared" si="91"/>
        <v>226.43</v>
      </c>
      <c r="CR85">
        <f t="shared" si="92"/>
        <v>0</v>
      </c>
      <c r="CS85">
        <f t="shared" si="93"/>
        <v>0</v>
      </c>
      <c r="CT85">
        <f t="shared" si="94"/>
        <v>0</v>
      </c>
      <c r="CU85">
        <f t="shared" si="95"/>
        <v>0</v>
      </c>
      <c r="CV85">
        <f t="shared" si="96"/>
        <v>0</v>
      </c>
      <c r="CW85">
        <f t="shared" si="97"/>
        <v>0</v>
      </c>
      <c r="CX85">
        <f t="shared" si="98"/>
        <v>0</v>
      </c>
      <c r="CY85">
        <f>S85*(BZ85/100)</f>
        <v>0</v>
      </c>
      <c r="CZ85">
        <f>S85*(CA85/100)</f>
        <v>0</v>
      </c>
      <c r="DC85" t="s">
        <v>4</v>
      </c>
      <c r="DD85" t="s">
        <v>4</v>
      </c>
      <c r="DE85" t="s">
        <v>4</v>
      </c>
      <c r="DF85" t="s">
        <v>4</v>
      </c>
      <c r="DG85" t="s">
        <v>4</v>
      </c>
      <c r="DH85" t="s">
        <v>4</v>
      </c>
      <c r="DI85" t="s">
        <v>4</v>
      </c>
      <c r="DJ85" t="s">
        <v>4</v>
      </c>
      <c r="DK85" t="s">
        <v>4</v>
      </c>
      <c r="DL85" t="s">
        <v>4</v>
      </c>
      <c r="DM85" t="s">
        <v>4</v>
      </c>
      <c r="DN85">
        <v>112</v>
      </c>
      <c r="DO85">
        <v>70</v>
      </c>
      <c r="DP85">
        <v>1.0669999999999999</v>
      </c>
      <c r="DQ85">
        <v>1.081</v>
      </c>
      <c r="DU85">
        <v>1003</v>
      </c>
      <c r="DV85" t="s">
        <v>135</v>
      </c>
      <c r="DW85" t="s">
        <v>135</v>
      </c>
      <c r="DX85">
        <v>1</v>
      </c>
      <c r="DZ85" t="s">
        <v>4</v>
      </c>
      <c r="EA85" t="s">
        <v>4</v>
      </c>
      <c r="EB85" t="s">
        <v>4</v>
      </c>
      <c r="EC85" t="s">
        <v>4</v>
      </c>
      <c r="EE85">
        <v>69252867</v>
      </c>
      <c r="EF85">
        <v>30</v>
      </c>
      <c r="EG85" t="s">
        <v>24</v>
      </c>
      <c r="EH85">
        <v>0</v>
      </c>
      <c r="EI85" t="s">
        <v>4</v>
      </c>
      <c r="EJ85">
        <v>1</v>
      </c>
      <c r="EK85">
        <v>242</v>
      </c>
      <c r="EL85" t="s">
        <v>131</v>
      </c>
      <c r="EM85" t="s">
        <v>132</v>
      </c>
      <c r="EO85" t="s">
        <v>4</v>
      </c>
      <c r="EQ85">
        <v>1024</v>
      </c>
      <c r="ER85">
        <v>24.4</v>
      </c>
      <c r="ES85">
        <v>24.4</v>
      </c>
      <c r="ET85">
        <v>0</v>
      </c>
      <c r="EU85">
        <v>0</v>
      </c>
      <c r="EV85">
        <v>0</v>
      </c>
      <c r="EW85">
        <v>0</v>
      </c>
      <c r="EX85">
        <v>0</v>
      </c>
      <c r="FQ85">
        <v>0</v>
      </c>
      <c r="FR85">
        <f t="shared" si="99"/>
        <v>0</v>
      </c>
      <c r="FS85">
        <v>0</v>
      </c>
      <c r="FX85">
        <v>112</v>
      </c>
      <c r="FY85">
        <v>70</v>
      </c>
      <c r="GA85" t="s">
        <v>4</v>
      </c>
      <c r="GD85">
        <v>0</v>
      </c>
      <c r="GF85">
        <v>1329163801</v>
      </c>
      <c r="GG85">
        <v>2</v>
      </c>
      <c r="GH85">
        <v>1</v>
      </c>
      <c r="GI85">
        <v>2</v>
      </c>
      <c r="GJ85">
        <v>0</v>
      </c>
      <c r="GK85">
        <f>ROUND(R85*(S12)/100,2)</f>
        <v>0</v>
      </c>
      <c r="GL85">
        <f t="shared" si="100"/>
        <v>0</v>
      </c>
      <c r="GM85">
        <f t="shared" si="101"/>
        <v>452.86</v>
      </c>
      <c r="GN85">
        <f t="shared" si="102"/>
        <v>452.86</v>
      </c>
      <c r="GO85">
        <f t="shared" si="103"/>
        <v>0</v>
      </c>
      <c r="GP85">
        <f t="shared" si="104"/>
        <v>0</v>
      </c>
      <c r="GR85">
        <v>0</v>
      </c>
      <c r="GS85">
        <v>3</v>
      </c>
      <c r="GT85">
        <v>0</v>
      </c>
      <c r="GU85" t="s">
        <v>4</v>
      </c>
      <c r="GV85">
        <f t="shared" si="105"/>
        <v>0</v>
      </c>
      <c r="GW85">
        <v>1</v>
      </c>
      <c r="GX85">
        <f t="shared" si="106"/>
        <v>0</v>
      </c>
      <c r="HA85">
        <v>0</v>
      </c>
      <c r="HB85">
        <v>0</v>
      </c>
      <c r="HC85">
        <f t="shared" si="107"/>
        <v>0</v>
      </c>
      <c r="HE85" t="s">
        <v>4</v>
      </c>
      <c r="HF85" t="s">
        <v>4</v>
      </c>
      <c r="HM85" t="s">
        <v>4</v>
      </c>
      <c r="HN85" t="s">
        <v>4</v>
      </c>
      <c r="HO85" t="s">
        <v>4</v>
      </c>
      <c r="HP85" t="s">
        <v>4</v>
      </c>
      <c r="HQ85" t="s">
        <v>4</v>
      </c>
      <c r="IK85">
        <v>0</v>
      </c>
    </row>
    <row r="86" spans="1:255">
      <c r="A86" s="2">
        <v>17</v>
      </c>
      <c r="B86" s="2">
        <v>1</v>
      </c>
      <c r="C86" s="2">
        <f>ROW(SmtRes!A24)</f>
        <v>24</v>
      </c>
      <c r="D86" s="2">
        <f>ROW(EtalonRes!A46)</f>
        <v>46</v>
      </c>
      <c r="E86" s="2" t="s">
        <v>140</v>
      </c>
      <c r="F86" s="2" t="s">
        <v>141</v>
      </c>
      <c r="G86" s="2" t="s">
        <v>142</v>
      </c>
      <c r="H86" s="2" t="s">
        <v>129</v>
      </c>
      <c r="I86" s="2">
        <f>ROUND(1*2*3/1000,9)</f>
        <v>6.0000000000000001E-3</v>
      </c>
      <c r="J86" s="2">
        <v>0</v>
      </c>
      <c r="K86" s="2">
        <f>ROUND(1*2*3/1000,9)</f>
        <v>6.0000000000000001E-3</v>
      </c>
      <c r="L86" s="2"/>
      <c r="M86" s="2"/>
      <c r="N86" s="2"/>
      <c r="O86" s="2">
        <f t="shared" si="70"/>
        <v>143.21</v>
      </c>
      <c r="P86" s="2">
        <f t="shared" si="71"/>
        <v>131.54</v>
      </c>
      <c r="Q86" s="2">
        <f t="shared" si="72"/>
        <v>0</v>
      </c>
      <c r="R86" s="2">
        <f t="shared" si="73"/>
        <v>0</v>
      </c>
      <c r="S86" s="2">
        <f t="shared" si="74"/>
        <v>11.67</v>
      </c>
      <c r="T86" s="2">
        <f t="shared" si="75"/>
        <v>0</v>
      </c>
      <c r="U86" s="2">
        <f t="shared" si="76"/>
        <v>1.043526</v>
      </c>
      <c r="V86" s="2">
        <f t="shared" si="77"/>
        <v>0</v>
      </c>
      <c r="W86" s="2">
        <f t="shared" si="78"/>
        <v>0</v>
      </c>
      <c r="X86" s="2">
        <f t="shared" si="79"/>
        <v>13.07</v>
      </c>
      <c r="Y86" s="2">
        <f t="shared" si="80"/>
        <v>8.17</v>
      </c>
      <c r="Z86" s="2"/>
      <c r="AA86" s="2">
        <v>70305038</v>
      </c>
      <c r="AB86" s="2">
        <f t="shared" si="81"/>
        <v>22103.27</v>
      </c>
      <c r="AC86" s="2">
        <f t="shared" si="82"/>
        <v>20280.93</v>
      </c>
      <c r="AD86" s="2">
        <f t="shared" si="83"/>
        <v>0</v>
      </c>
      <c r="AE86" s="2">
        <f t="shared" si="84"/>
        <v>0</v>
      </c>
      <c r="AF86" s="2">
        <f t="shared" si="85"/>
        <v>1822.34</v>
      </c>
      <c r="AG86" s="2">
        <f t="shared" si="86"/>
        <v>0</v>
      </c>
      <c r="AH86" s="2">
        <f t="shared" si="87"/>
        <v>163</v>
      </c>
      <c r="AI86" s="2">
        <f t="shared" si="88"/>
        <v>0</v>
      </c>
      <c r="AJ86" s="2">
        <f t="shared" si="89"/>
        <v>0</v>
      </c>
      <c r="AK86" s="2">
        <v>22103.27</v>
      </c>
      <c r="AL86" s="2">
        <v>20280.93</v>
      </c>
      <c r="AM86" s="2">
        <v>0</v>
      </c>
      <c r="AN86" s="2">
        <v>0</v>
      </c>
      <c r="AO86" s="2">
        <v>1822.34</v>
      </c>
      <c r="AP86" s="2">
        <v>0</v>
      </c>
      <c r="AQ86" s="2">
        <v>163</v>
      </c>
      <c r="AR86" s="2">
        <v>0</v>
      </c>
      <c r="AS86" s="2">
        <v>0</v>
      </c>
      <c r="AT86" s="2">
        <v>112</v>
      </c>
      <c r="AU86" s="2">
        <v>70</v>
      </c>
      <c r="AV86" s="2">
        <v>1.0669999999999999</v>
      </c>
      <c r="AW86" s="2">
        <v>1.081</v>
      </c>
      <c r="AX86" s="2"/>
      <c r="AY86" s="2"/>
      <c r="AZ86" s="2">
        <v>1</v>
      </c>
      <c r="BA86" s="2">
        <v>1</v>
      </c>
      <c r="BB86" s="2">
        <v>1</v>
      </c>
      <c r="BC86" s="2">
        <v>1</v>
      </c>
      <c r="BD86" s="2" t="s">
        <v>4</v>
      </c>
      <c r="BE86" s="2" t="s">
        <v>4</v>
      </c>
      <c r="BF86" s="2" t="s">
        <v>4</v>
      </c>
      <c r="BG86" s="2" t="s">
        <v>4</v>
      </c>
      <c r="BH86" s="2">
        <v>0</v>
      </c>
      <c r="BI86" s="2">
        <v>1</v>
      </c>
      <c r="BJ86" s="2" t="s">
        <v>143</v>
      </c>
      <c r="BK86" s="2"/>
      <c r="BL86" s="2"/>
      <c r="BM86" s="2">
        <v>242</v>
      </c>
      <c r="BN86" s="2">
        <v>0</v>
      </c>
      <c r="BO86" s="2" t="s">
        <v>4</v>
      </c>
      <c r="BP86" s="2">
        <v>0</v>
      </c>
      <c r="BQ86" s="2">
        <v>30</v>
      </c>
      <c r="BR86" s="2">
        <v>0</v>
      </c>
      <c r="BS86" s="2">
        <v>1</v>
      </c>
      <c r="BT86" s="2">
        <v>1</v>
      </c>
      <c r="BU86" s="2">
        <v>1</v>
      </c>
      <c r="BV86" s="2">
        <v>1</v>
      </c>
      <c r="BW86" s="2">
        <v>1</v>
      </c>
      <c r="BX86" s="2">
        <v>1</v>
      </c>
      <c r="BY86" s="2" t="s">
        <v>4</v>
      </c>
      <c r="BZ86" s="2">
        <v>112</v>
      </c>
      <c r="CA86" s="2">
        <v>70</v>
      </c>
      <c r="CB86" s="2" t="s">
        <v>4</v>
      </c>
      <c r="CC86" s="2"/>
      <c r="CD86" s="2"/>
      <c r="CE86" s="2">
        <v>30</v>
      </c>
      <c r="CF86" s="2">
        <v>0</v>
      </c>
      <c r="CG86" s="2">
        <v>0</v>
      </c>
      <c r="CH86" s="2"/>
      <c r="CI86" s="2"/>
      <c r="CJ86" s="2"/>
      <c r="CK86" s="2"/>
      <c r="CL86" s="2"/>
      <c r="CM86" s="2">
        <v>0</v>
      </c>
      <c r="CN86" s="2" t="s">
        <v>4</v>
      </c>
      <c r="CO86" s="2">
        <v>0</v>
      </c>
      <c r="CP86" s="2">
        <f t="shared" si="90"/>
        <v>143.20999999999998</v>
      </c>
      <c r="CQ86" s="2">
        <f t="shared" si="91"/>
        <v>21923.69</v>
      </c>
      <c r="CR86" s="2">
        <f t="shared" si="92"/>
        <v>0</v>
      </c>
      <c r="CS86" s="2">
        <f t="shared" si="93"/>
        <v>0</v>
      </c>
      <c r="CT86" s="2">
        <f t="shared" si="94"/>
        <v>1944.44</v>
      </c>
      <c r="CU86" s="2">
        <f t="shared" si="95"/>
        <v>0</v>
      </c>
      <c r="CV86" s="2">
        <f t="shared" si="96"/>
        <v>173.92099999999999</v>
      </c>
      <c r="CW86" s="2">
        <f t="shared" si="97"/>
        <v>0</v>
      </c>
      <c r="CX86" s="2">
        <f t="shared" si="98"/>
        <v>0</v>
      </c>
      <c r="CY86" s="2">
        <f>((S86*BZ86)/100)</f>
        <v>13.070399999999999</v>
      </c>
      <c r="CZ86" s="2">
        <f>((S86*CA86)/100)</f>
        <v>8.1690000000000005</v>
      </c>
      <c r="DA86" s="2"/>
      <c r="DB86" s="2"/>
      <c r="DC86" s="2" t="s">
        <v>4</v>
      </c>
      <c r="DD86" s="2" t="s">
        <v>4</v>
      </c>
      <c r="DE86" s="2" t="s">
        <v>4</v>
      </c>
      <c r="DF86" s="2" t="s">
        <v>4</v>
      </c>
      <c r="DG86" s="2" t="s">
        <v>4</v>
      </c>
      <c r="DH86" s="2" t="s">
        <v>4</v>
      </c>
      <c r="DI86" s="2" t="s">
        <v>4</v>
      </c>
      <c r="DJ86" s="2" t="s">
        <v>4</v>
      </c>
      <c r="DK86" s="2" t="s">
        <v>4</v>
      </c>
      <c r="DL86" s="2" t="s">
        <v>4</v>
      </c>
      <c r="DM86" s="2" t="s">
        <v>4</v>
      </c>
      <c r="DN86" s="2">
        <v>0</v>
      </c>
      <c r="DO86" s="2">
        <v>0</v>
      </c>
      <c r="DP86" s="2">
        <v>1</v>
      </c>
      <c r="DQ86" s="2">
        <v>1</v>
      </c>
      <c r="DR86" s="2"/>
      <c r="DS86" s="2"/>
      <c r="DT86" s="2"/>
      <c r="DU86" s="2">
        <v>1013</v>
      </c>
      <c r="DV86" s="2" t="s">
        <v>129</v>
      </c>
      <c r="DW86" s="2" t="s">
        <v>129</v>
      </c>
      <c r="DX86" s="2">
        <v>1</v>
      </c>
      <c r="DY86" s="2"/>
      <c r="DZ86" s="2" t="s">
        <v>4</v>
      </c>
      <c r="EA86" s="2" t="s">
        <v>4</v>
      </c>
      <c r="EB86" s="2" t="s">
        <v>4</v>
      </c>
      <c r="EC86" s="2" t="s">
        <v>4</v>
      </c>
      <c r="ED86" s="2"/>
      <c r="EE86" s="2">
        <v>69252867</v>
      </c>
      <c r="EF86" s="2">
        <v>30</v>
      </c>
      <c r="EG86" s="2" t="s">
        <v>24</v>
      </c>
      <c r="EH86" s="2">
        <v>0</v>
      </c>
      <c r="EI86" s="2" t="s">
        <v>4</v>
      </c>
      <c r="EJ86" s="2">
        <v>1</v>
      </c>
      <c r="EK86" s="2">
        <v>242</v>
      </c>
      <c r="EL86" s="2" t="s">
        <v>131</v>
      </c>
      <c r="EM86" s="2" t="s">
        <v>132</v>
      </c>
      <c r="EN86" s="2"/>
      <c r="EO86" s="2" t="s">
        <v>4</v>
      </c>
      <c r="EP86" s="2"/>
      <c r="EQ86" s="2">
        <v>0</v>
      </c>
      <c r="ER86" s="2">
        <v>22103.27</v>
      </c>
      <c r="ES86" s="2">
        <v>20280.93</v>
      </c>
      <c r="ET86" s="2">
        <v>0</v>
      </c>
      <c r="EU86" s="2">
        <v>0</v>
      </c>
      <c r="EV86" s="2">
        <v>1822.34</v>
      </c>
      <c r="EW86" s="2">
        <v>163</v>
      </c>
      <c r="EX86" s="2">
        <v>0</v>
      </c>
      <c r="EY86" s="2">
        <v>0</v>
      </c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>
        <v>0</v>
      </c>
      <c r="FR86" s="2">
        <f t="shared" si="99"/>
        <v>0</v>
      </c>
      <c r="FS86" s="2">
        <v>2</v>
      </c>
      <c r="FT86" s="2"/>
      <c r="FU86" s="2"/>
      <c r="FV86" s="2"/>
      <c r="FW86" s="2"/>
      <c r="FX86" s="2">
        <v>112</v>
      </c>
      <c r="FY86" s="2">
        <v>70</v>
      </c>
      <c r="FZ86" s="2"/>
      <c r="GA86" s="2" t="s">
        <v>4</v>
      </c>
      <c r="GB86" s="2"/>
      <c r="GC86" s="2"/>
      <c r="GD86" s="2">
        <v>0</v>
      </c>
      <c r="GE86" s="2"/>
      <c r="GF86" s="2">
        <v>1238676358</v>
      </c>
      <c r="GG86" s="2">
        <v>2</v>
      </c>
      <c r="GH86" s="2">
        <v>1</v>
      </c>
      <c r="GI86" s="2">
        <v>-2</v>
      </c>
      <c r="GJ86" s="2">
        <v>0</v>
      </c>
      <c r="GK86" s="2">
        <f>ROUND(R86*(R12)/100,2)</f>
        <v>0</v>
      </c>
      <c r="GL86" s="2">
        <f t="shared" si="100"/>
        <v>0</v>
      </c>
      <c r="GM86" s="2">
        <f t="shared" si="101"/>
        <v>164.45</v>
      </c>
      <c r="GN86" s="2">
        <f t="shared" si="102"/>
        <v>164.45</v>
      </c>
      <c r="GO86" s="2">
        <f t="shared" si="103"/>
        <v>0</v>
      </c>
      <c r="GP86" s="2">
        <f t="shared" si="104"/>
        <v>0</v>
      </c>
      <c r="GQ86" s="2"/>
      <c r="GR86" s="2">
        <v>0</v>
      </c>
      <c r="GS86" s="2">
        <v>3</v>
      </c>
      <c r="GT86" s="2">
        <v>0</v>
      </c>
      <c r="GU86" s="2" t="s">
        <v>4</v>
      </c>
      <c r="GV86" s="2">
        <f t="shared" si="105"/>
        <v>0</v>
      </c>
      <c r="GW86" s="2">
        <v>1</v>
      </c>
      <c r="GX86" s="2">
        <f t="shared" si="106"/>
        <v>0</v>
      </c>
      <c r="GY86" s="2"/>
      <c r="GZ86" s="2"/>
      <c r="HA86" s="2">
        <v>0</v>
      </c>
      <c r="HB86" s="2">
        <v>0</v>
      </c>
      <c r="HC86" s="2">
        <f t="shared" si="107"/>
        <v>0</v>
      </c>
      <c r="HD86" s="2"/>
      <c r="HE86" s="2" t="s">
        <v>4</v>
      </c>
      <c r="HF86" s="2" t="s">
        <v>4</v>
      </c>
      <c r="HG86" s="2"/>
      <c r="HH86" s="2"/>
      <c r="HI86" s="2"/>
      <c r="HJ86" s="2"/>
      <c r="HK86" s="2"/>
      <c r="HL86" s="2"/>
      <c r="HM86" s="2" t="s">
        <v>4</v>
      </c>
      <c r="HN86" s="2" t="s">
        <v>4</v>
      </c>
      <c r="HO86" s="2" t="s">
        <v>4</v>
      </c>
      <c r="HP86" s="2" t="s">
        <v>4</v>
      </c>
      <c r="HQ86" s="2" t="s">
        <v>4</v>
      </c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>
        <v>0</v>
      </c>
      <c r="IL86" s="2"/>
      <c r="IM86" s="2"/>
      <c r="IN86" s="2"/>
      <c r="IO86" s="2"/>
      <c r="IP86" s="2"/>
      <c r="IQ86" s="2"/>
      <c r="IR86" s="2"/>
      <c r="IS86" s="2"/>
      <c r="IT86" s="2"/>
      <c r="IU86" s="2"/>
    </row>
    <row r="87" spans="1:255">
      <c r="A87">
        <v>17</v>
      </c>
      <c r="B87">
        <v>1</v>
      </c>
      <c r="C87">
        <f>ROW(SmtRes!A30)</f>
        <v>30</v>
      </c>
      <c r="D87">
        <f>ROW(EtalonRes!A52)</f>
        <v>52</v>
      </c>
      <c r="E87" t="s">
        <v>140</v>
      </c>
      <c r="F87" t="s">
        <v>141</v>
      </c>
      <c r="G87" t="s">
        <v>142</v>
      </c>
      <c r="H87" t="s">
        <v>129</v>
      </c>
      <c r="I87">
        <f>ROUND(1*2*3/1000,9)</f>
        <v>6.0000000000000001E-3</v>
      </c>
      <c r="J87">
        <v>0</v>
      </c>
      <c r="K87">
        <f>ROUND(1*2*3/1000,9)</f>
        <v>6.0000000000000001E-3</v>
      </c>
      <c r="O87">
        <f t="shared" si="70"/>
        <v>1631.16</v>
      </c>
      <c r="P87">
        <f t="shared" si="71"/>
        <v>1086.52</v>
      </c>
      <c r="Q87">
        <f t="shared" si="72"/>
        <v>0</v>
      </c>
      <c r="R87">
        <f t="shared" si="73"/>
        <v>0</v>
      </c>
      <c r="S87">
        <f t="shared" si="74"/>
        <v>544.64</v>
      </c>
      <c r="T87">
        <f t="shared" si="75"/>
        <v>0</v>
      </c>
      <c r="U87">
        <f t="shared" si="76"/>
        <v>1.043526</v>
      </c>
      <c r="V87">
        <f t="shared" si="77"/>
        <v>0</v>
      </c>
      <c r="W87">
        <f t="shared" si="78"/>
        <v>0</v>
      </c>
      <c r="X87">
        <f t="shared" si="79"/>
        <v>501.07</v>
      </c>
      <c r="Y87">
        <f t="shared" si="80"/>
        <v>223.3</v>
      </c>
      <c r="AA87">
        <v>70305036</v>
      </c>
      <c r="AB87">
        <f t="shared" si="81"/>
        <v>22103.27</v>
      </c>
      <c r="AC87">
        <f t="shared" si="82"/>
        <v>20280.93</v>
      </c>
      <c r="AD87">
        <f t="shared" si="83"/>
        <v>0</v>
      </c>
      <c r="AE87">
        <f t="shared" si="84"/>
        <v>0</v>
      </c>
      <c r="AF87">
        <f t="shared" si="85"/>
        <v>1822.34</v>
      </c>
      <c r="AG87">
        <f t="shared" si="86"/>
        <v>0</v>
      </c>
      <c r="AH87">
        <f t="shared" si="87"/>
        <v>163</v>
      </c>
      <c r="AI87">
        <f t="shared" si="88"/>
        <v>0</v>
      </c>
      <c r="AJ87">
        <f t="shared" si="89"/>
        <v>0</v>
      </c>
      <c r="AK87">
        <v>22103.27</v>
      </c>
      <c r="AL87">
        <v>20280.93</v>
      </c>
      <c r="AM87">
        <v>0</v>
      </c>
      <c r="AN87">
        <v>0</v>
      </c>
      <c r="AO87">
        <v>1822.34</v>
      </c>
      <c r="AP87">
        <v>0</v>
      </c>
      <c r="AQ87">
        <v>163</v>
      </c>
      <c r="AR87">
        <v>0</v>
      </c>
      <c r="AS87">
        <v>0</v>
      </c>
      <c r="AT87">
        <v>92</v>
      </c>
      <c r="AU87">
        <v>41</v>
      </c>
      <c r="AV87">
        <v>1.0669999999999999</v>
      </c>
      <c r="AW87">
        <v>1.081</v>
      </c>
      <c r="AZ87">
        <v>1</v>
      </c>
      <c r="BA87">
        <v>46.67</v>
      </c>
      <c r="BB87">
        <v>1</v>
      </c>
      <c r="BC87">
        <v>8.26</v>
      </c>
      <c r="BD87" t="s">
        <v>4</v>
      </c>
      <c r="BE87" t="s">
        <v>4</v>
      </c>
      <c r="BF87" t="s">
        <v>4</v>
      </c>
      <c r="BG87" t="s">
        <v>4</v>
      </c>
      <c r="BH87">
        <v>0</v>
      </c>
      <c r="BI87">
        <v>1</v>
      </c>
      <c r="BJ87" t="s">
        <v>143</v>
      </c>
      <c r="BM87">
        <v>242</v>
      </c>
      <c r="BN87">
        <v>0</v>
      </c>
      <c r="BO87" t="s">
        <v>141</v>
      </c>
      <c r="BP87">
        <v>1</v>
      </c>
      <c r="BQ87">
        <v>30</v>
      </c>
      <c r="BR87">
        <v>0</v>
      </c>
      <c r="BS87">
        <v>46.67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4</v>
      </c>
      <c r="BZ87">
        <v>92</v>
      </c>
      <c r="CA87">
        <v>41</v>
      </c>
      <c r="CB87" t="s">
        <v>4</v>
      </c>
      <c r="CE87">
        <v>30</v>
      </c>
      <c r="CF87">
        <v>0</v>
      </c>
      <c r="CG87">
        <v>0</v>
      </c>
      <c r="CM87">
        <v>0</v>
      </c>
      <c r="CN87" t="s">
        <v>4</v>
      </c>
      <c r="CO87">
        <v>0</v>
      </c>
      <c r="CP87">
        <f t="shared" si="90"/>
        <v>1631.1599999999999</v>
      </c>
      <c r="CQ87">
        <f t="shared" si="91"/>
        <v>181089.68</v>
      </c>
      <c r="CR87">
        <f t="shared" si="92"/>
        <v>0</v>
      </c>
      <c r="CS87">
        <f t="shared" si="93"/>
        <v>0</v>
      </c>
      <c r="CT87">
        <f t="shared" si="94"/>
        <v>90747.01</v>
      </c>
      <c r="CU87">
        <f t="shared" si="95"/>
        <v>0</v>
      </c>
      <c r="CV87">
        <f t="shared" si="96"/>
        <v>173.92099999999999</v>
      </c>
      <c r="CW87">
        <f t="shared" si="97"/>
        <v>0</v>
      </c>
      <c r="CX87">
        <f t="shared" si="98"/>
        <v>0</v>
      </c>
      <c r="CY87">
        <f>S87*(BZ87/100)</f>
        <v>501.06880000000001</v>
      </c>
      <c r="CZ87">
        <f>S87*(CA87/100)</f>
        <v>223.30239999999998</v>
      </c>
      <c r="DC87" t="s">
        <v>4</v>
      </c>
      <c r="DD87" t="s">
        <v>4</v>
      </c>
      <c r="DE87" t="s">
        <v>4</v>
      </c>
      <c r="DF87" t="s">
        <v>4</v>
      </c>
      <c r="DG87" t="s">
        <v>4</v>
      </c>
      <c r="DH87" t="s">
        <v>4</v>
      </c>
      <c r="DI87" t="s">
        <v>4</v>
      </c>
      <c r="DJ87" t="s">
        <v>4</v>
      </c>
      <c r="DK87" t="s">
        <v>4</v>
      </c>
      <c r="DL87" t="s">
        <v>4</v>
      </c>
      <c r="DM87" t="s">
        <v>4</v>
      </c>
      <c r="DN87">
        <v>112</v>
      </c>
      <c r="DO87">
        <v>70</v>
      </c>
      <c r="DP87">
        <v>1.0669999999999999</v>
      </c>
      <c r="DQ87">
        <v>1.081</v>
      </c>
      <c r="DU87">
        <v>1013</v>
      </c>
      <c r="DV87" t="s">
        <v>129</v>
      </c>
      <c r="DW87" t="s">
        <v>129</v>
      </c>
      <c r="DX87">
        <v>1</v>
      </c>
      <c r="DZ87" t="s">
        <v>4</v>
      </c>
      <c r="EA87" t="s">
        <v>4</v>
      </c>
      <c r="EB87" t="s">
        <v>4</v>
      </c>
      <c r="EC87" t="s">
        <v>4</v>
      </c>
      <c r="EE87">
        <v>69252867</v>
      </c>
      <c r="EF87">
        <v>30</v>
      </c>
      <c r="EG87" t="s">
        <v>24</v>
      </c>
      <c r="EH87">
        <v>0</v>
      </c>
      <c r="EI87" t="s">
        <v>4</v>
      </c>
      <c r="EJ87">
        <v>1</v>
      </c>
      <c r="EK87">
        <v>242</v>
      </c>
      <c r="EL87" t="s">
        <v>131</v>
      </c>
      <c r="EM87" t="s">
        <v>132</v>
      </c>
      <c r="EO87" t="s">
        <v>4</v>
      </c>
      <c r="EQ87">
        <v>0</v>
      </c>
      <c r="ER87">
        <v>22103.27</v>
      </c>
      <c r="ES87">
        <v>20280.93</v>
      </c>
      <c r="ET87">
        <v>0</v>
      </c>
      <c r="EU87">
        <v>0</v>
      </c>
      <c r="EV87">
        <v>1822.34</v>
      </c>
      <c r="EW87">
        <v>163</v>
      </c>
      <c r="EX87">
        <v>0</v>
      </c>
      <c r="EY87">
        <v>0</v>
      </c>
      <c r="FQ87">
        <v>0</v>
      </c>
      <c r="FR87">
        <f t="shared" si="99"/>
        <v>0</v>
      </c>
      <c r="FS87">
        <v>2</v>
      </c>
      <c r="FX87">
        <v>112</v>
      </c>
      <c r="FY87">
        <v>70</v>
      </c>
      <c r="GA87" t="s">
        <v>4</v>
      </c>
      <c r="GD87">
        <v>0</v>
      </c>
      <c r="GF87">
        <v>1238676358</v>
      </c>
      <c r="GG87">
        <v>2</v>
      </c>
      <c r="GH87">
        <v>1</v>
      </c>
      <c r="GI87">
        <v>2</v>
      </c>
      <c r="GJ87">
        <v>0</v>
      </c>
      <c r="GK87">
        <f>ROUND(R87*(S12)/100,2)</f>
        <v>0</v>
      </c>
      <c r="GL87">
        <f t="shared" si="100"/>
        <v>0</v>
      </c>
      <c r="GM87">
        <f t="shared" si="101"/>
        <v>2355.5300000000002</v>
      </c>
      <c r="GN87">
        <f t="shared" si="102"/>
        <v>2355.5300000000002</v>
      </c>
      <c r="GO87">
        <f t="shared" si="103"/>
        <v>0</v>
      </c>
      <c r="GP87">
        <f t="shared" si="104"/>
        <v>0</v>
      </c>
      <c r="GR87">
        <v>0</v>
      </c>
      <c r="GS87">
        <v>3</v>
      </c>
      <c r="GT87">
        <v>0</v>
      </c>
      <c r="GU87" t="s">
        <v>4</v>
      </c>
      <c r="GV87">
        <f t="shared" si="105"/>
        <v>0</v>
      </c>
      <c r="GW87">
        <v>1</v>
      </c>
      <c r="GX87">
        <f t="shared" si="106"/>
        <v>0</v>
      </c>
      <c r="HA87">
        <v>0</v>
      </c>
      <c r="HB87">
        <v>0</v>
      </c>
      <c r="HC87">
        <f t="shared" si="107"/>
        <v>0</v>
      </c>
      <c r="HE87" t="s">
        <v>4</v>
      </c>
      <c r="HF87" t="s">
        <v>4</v>
      </c>
      <c r="HM87" t="s">
        <v>4</v>
      </c>
      <c r="HN87" t="s">
        <v>4</v>
      </c>
      <c r="HO87" t="s">
        <v>4</v>
      </c>
      <c r="HP87" t="s">
        <v>4</v>
      </c>
      <c r="HQ87" t="s">
        <v>4</v>
      </c>
      <c r="IK87">
        <v>0</v>
      </c>
    </row>
    <row r="88" spans="1:255">
      <c r="A88" s="2">
        <v>18</v>
      </c>
      <c r="B88" s="2">
        <v>1</v>
      </c>
      <c r="C88" s="2">
        <v>21</v>
      </c>
      <c r="D88" s="2"/>
      <c r="E88" s="2" t="s">
        <v>144</v>
      </c>
      <c r="F88" s="2" t="s">
        <v>133</v>
      </c>
      <c r="G88" s="2" t="s">
        <v>134</v>
      </c>
      <c r="H88" s="2" t="s">
        <v>135</v>
      </c>
      <c r="I88" s="2">
        <f>I86*J88</f>
        <v>-6</v>
      </c>
      <c r="J88" s="2">
        <v>-1000</v>
      </c>
      <c r="K88" s="2">
        <v>-1000</v>
      </c>
      <c r="L88" s="2"/>
      <c r="M88" s="2"/>
      <c r="N88" s="2"/>
      <c r="O88" s="2">
        <f t="shared" si="70"/>
        <v>-97.35</v>
      </c>
      <c r="P88" s="2">
        <f t="shared" si="71"/>
        <v>-97.35</v>
      </c>
      <c r="Q88" s="2">
        <f t="shared" si="72"/>
        <v>0</v>
      </c>
      <c r="R88" s="2">
        <f t="shared" si="73"/>
        <v>0</v>
      </c>
      <c r="S88" s="2">
        <f t="shared" si="74"/>
        <v>0</v>
      </c>
      <c r="T88" s="2">
        <f t="shared" si="75"/>
        <v>0</v>
      </c>
      <c r="U88" s="2">
        <f t="shared" si="76"/>
        <v>0</v>
      </c>
      <c r="V88" s="2">
        <f t="shared" si="77"/>
        <v>0</v>
      </c>
      <c r="W88" s="2">
        <f t="shared" si="78"/>
        <v>0</v>
      </c>
      <c r="X88" s="2">
        <f t="shared" si="79"/>
        <v>0</v>
      </c>
      <c r="Y88" s="2">
        <f t="shared" si="80"/>
        <v>0</v>
      </c>
      <c r="Z88" s="2"/>
      <c r="AA88" s="2">
        <v>70305038</v>
      </c>
      <c r="AB88" s="2">
        <f t="shared" si="81"/>
        <v>15.01</v>
      </c>
      <c r="AC88" s="2">
        <f t="shared" si="82"/>
        <v>15.01</v>
      </c>
      <c r="AD88" s="2">
        <f t="shared" si="83"/>
        <v>0</v>
      </c>
      <c r="AE88" s="2">
        <f t="shared" si="84"/>
        <v>0</v>
      </c>
      <c r="AF88" s="2">
        <f t="shared" si="85"/>
        <v>0</v>
      </c>
      <c r="AG88" s="2">
        <f t="shared" si="86"/>
        <v>0</v>
      </c>
      <c r="AH88" s="2">
        <f t="shared" si="87"/>
        <v>0</v>
      </c>
      <c r="AI88" s="2">
        <f t="shared" si="88"/>
        <v>0</v>
      </c>
      <c r="AJ88" s="2">
        <f t="shared" si="89"/>
        <v>0</v>
      </c>
      <c r="AK88" s="2">
        <v>15.01</v>
      </c>
      <c r="AL88" s="2">
        <v>15.01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112</v>
      </c>
      <c r="AU88" s="2">
        <v>70</v>
      </c>
      <c r="AV88" s="2">
        <v>1.0669999999999999</v>
      </c>
      <c r="AW88" s="2">
        <v>1.081</v>
      </c>
      <c r="AX88" s="2"/>
      <c r="AY88" s="2"/>
      <c r="AZ88" s="2">
        <v>1</v>
      </c>
      <c r="BA88" s="2">
        <v>1</v>
      </c>
      <c r="BB88" s="2">
        <v>1</v>
      </c>
      <c r="BC88" s="2">
        <v>1</v>
      </c>
      <c r="BD88" s="2" t="s">
        <v>4</v>
      </c>
      <c r="BE88" s="2" t="s">
        <v>4</v>
      </c>
      <c r="BF88" s="2" t="s">
        <v>4</v>
      </c>
      <c r="BG88" s="2" t="s">
        <v>4</v>
      </c>
      <c r="BH88" s="2">
        <v>3</v>
      </c>
      <c r="BI88" s="2">
        <v>1</v>
      </c>
      <c r="BJ88" s="2" t="s">
        <v>136</v>
      </c>
      <c r="BK88" s="2"/>
      <c r="BL88" s="2"/>
      <c r="BM88" s="2">
        <v>242</v>
      </c>
      <c r="BN88" s="2">
        <v>0</v>
      </c>
      <c r="BO88" s="2" t="s">
        <v>4</v>
      </c>
      <c r="BP88" s="2">
        <v>0</v>
      </c>
      <c r="BQ88" s="2">
        <v>30</v>
      </c>
      <c r="BR88" s="2">
        <v>1</v>
      </c>
      <c r="BS88" s="2">
        <v>1</v>
      </c>
      <c r="BT88" s="2">
        <v>1</v>
      </c>
      <c r="BU88" s="2">
        <v>1</v>
      </c>
      <c r="BV88" s="2">
        <v>1</v>
      </c>
      <c r="BW88" s="2">
        <v>1</v>
      </c>
      <c r="BX88" s="2">
        <v>1</v>
      </c>
      <c r="BY88" s="2" t="s">
        <v>4</v>
      </c>
      <c r="BZ88" s="2">
        <v>112</v>
      </c>
      <c r="CA88" s="2">
        <v>70</v>
      </c>
      <c r="CB88" s="2" t="s">
        <v>4</v>
      </c>
      <c r="CC88" s="2"/>
      <c r="CD88" s="2"/>
      <c r="CE88" s="2">
        <v>30</v>
      </c>
      <c r="CF88" s="2">
        <v>0</v>
      </c>
      <c r="CG88" s="2">
        <v>0</v>
      </c>
      <c r="CH88" s="2"/>
      <c r="CI88" s="2"/>
      <c r="CJ88" s="2"/>
      <c r="CK88" s="2"/>
      <c r="CL88" s="2"/>
      <c r="CM88" s="2">
        <v>0</v>
      </c>
      <c r="CN88" s="2" t="s">
        <v>4</v>
      </c>
      <c r="CO88" s="2">
        <v>0</v>
      </c>
      <c r="CP88" s="2">
        <f t="shared" si="90"/>
        <v>-97.35</v>
      </c>
      <c r="CQ88" s="2">
        <f t="shared" si="91"/>
        <v>16.23</v>
      </c>
      <c r="CR88" s="2">
        <f t="shared" si="92"/>
        <v>0</v>
      </c>
      <c r="CS88" s="2">
        <f t="shared" si="93"/>
        <v>0</v>
      </c>
      <c r="CT88" s="2">
        <f t="shared" si="94"/>
        <v>0</v>
      </c>
      <c r="CU88" s="2">
        <f t="shared" si="95"/>
        <v>0</v>
      </c>
      <c r="CV88" s="2">
        <f t="shared" si="96"/>
        <v>0</v>
      </c>
      <c r="CW88" s="2">
        <f t="shared" si="97"/>
        <v>0</v>
      </c>
      <c r="CX88" s="2">
        <f t="shared" si="98"/>
        <v>0</v>
      </c>
      <c r="CY88" s="2">
        <f>((S88*BZ88)/100)</f>
        <v>0</v>
      </c>
      <c r="CZ88" s="2">
        <f>((S88*CA88)/100)</f>
        <v>0</v>
      </c>
      <c r="DA88" s="2"/>
      <c r="DB88" s="2"/>
      <c r="DC88" s="2" t="s">
        <v>4</v>
      </c>
      <c r="DD88" s="2" t="s">
        <v>4</v>
      </c>
      <c r="DE88" s="2" t="s">
        <v>4</v>
      </c>
      <c r="DF88" s="2" t="s">
        <v>4</v>
      </c>
      <c r="DG88" s="2" t="s">
        <v>4</v>
      </c>
      <c r="DH88" s="2" t="s">
        <v>4</v>
      </c>
      <c r="DI88" s="2" t="s">
        <v>4</v>
      </c>
      <c r="DJ88" s="2" t="s">
        <v>4</v>
      </c>
      <c r="DK88" s="2" t="s">
        <v>4</v>
      </c>
      <c r="DL88" s="2" t="s">
        <v>4</v>
      </c>
      <c r="DM88" s="2" t="s">
        <v>4</v>
      </c>
      <c r="DN88" s="2">
        <v>0</v>
      </c>
      <c r="DO88" s="2">
        <v>0</v>
      </c>
      <c r="DP88" s="2">
        <v>1</v>
      </c>
      <c r="DQ88" s="2">
        <v>1</v>
      </c>
      <c r="DR88" s="2"/>
      <c r="DS88" s="2"/>
      <c r="DT88" s="2"/>
      <c r="DU88" s="2">
        <v>1003</v>
      </c>
      <c r="DV88" s="2" t="s">
        <v>135</v>
      </c>
      <c r="DW88" s="2" t="s">
        <v>135</v>
      </c>
      <c r="DX88" s="2">
        <v>1</v>
      </c>
      <c r="DY88" s="2"/>
      <c r="DZ88" s="2" t="s">
        <v>4</v>
      </c>
      <c r="EA88" s="2" t="s">
        <v>4</v>
      </c>
      <c r="EB88" s="2" t="s">
        <v>4</v>
      </c>
      <c r="EC88" s="2" t="s">
        <v>4</v>
      </c>
      <c r="ED88" s="2"/>
      <c r="EE88" s="2">
        <v>69252867</v>
      </c>
      <c r="EF88" s="2">
        <v>30</v>
      </c>
      <c r="EG88" s="2" t="s">
        <v>24</v>
      </c>
      <c r="EH88" s="2">
        <v>0</v>
      </c>
      <c r="EI88" s="2" t="s">
        <v>4</v>
      </c>
      <c r="EJ88" s="2">
        <v>1</v>
      </c>
      <c r="EK88" s="2">
        <v>242</v>
      </c>
      <c r="EL88" s="2" t="s">
        <v>131</v>
      </c>
      <c r="EM88" s="2" t="s">
        <v>132</v>
      </c>
      <c r="EN88" s="2"/>
      <c r="EO88" s="2" t="s">
        <v>4</v>
      </c>
      <c r="EP88" s="2"/>
      <c r="EQ88" s="2">
        <v>0</v>
      </c>
      <c r="ER88" s="2">
        <v>15.01</v>
      </c>
      <c r="ES88" s="2">
        <v>15.01</v>
      </c>
      <c r="ET88" s="2">
        <v>0</v>
      </c>
      <c r="EU88" s="2">
        <v>0</v>
      </c>
      <c r="EV88" s="2">
        <v>0</v>
      </c>
      <c r="EW88" s="2">
        <v>0</v>
      </c>
      <c r="EX88" s="2">
        <v>0</v>
      </c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>
        <v>0</v>
      </c>
      <c r="FR88" s="2">
        <f t="shared" si="99"/>
        <v>0</v>
      </c>
      <c r="FS88" s="2">
        <v>0</v>
      </c>
      <c r="FT88" s="2"/>
      <c r="FU88" s="2"/>
      <c r="FV88" s="2"/>
      <c r="FW88" s="2"/>
      <c r="FX88" s="2">
        <v>112</v>
      </c>
      <c r="FY88" s="2">
        <v>70</v>
      </c>
      <c r="FZ88" s="2"/>
      <c r="GA88" s="2" t="s">
        <v>4</v>
      </c>
      <c r="GB88" s="2"/>
      <c r="GC88" s="2"/>
      <c r="GD88" s="2">
        <v>0</v>
      </c>
      <c r="GE88" s="2"/>
      <c r="GF88" s="2">
        <v>-1582708316</v>
      </c>
      <c r="GG88" s="2">
        <v>2</v>
      </c>
      <c r="GH88" s="2">
        <v>1</v>
      </c>
      <c r="GI88" s="2">
        <v>-2</v>
      </c>
      <c r="GJ88" s="2">
        <v>0</v>
      </c>
      <c r="GK88" s="2">
        <f>ROUND(R88*(R12)/100,2)</f>
        <v>0</v>
      </c>
      <c r="GL88" s="2">
        <f t="shared" si="100"/>
        <v>0</v>
      </c>
      <c r="GM88" s="2">
        <f t="shared" si="101"/>
        <v>-97.35</v>
      </c>
      <c r="GN88" s="2">
        <f t="shared" si="102"/>
        <v>-97.35</v>
      </c>
      <c r="GO88" s="2">
        <f t="shared" si="103"/>
        <v>0</v>
      </c>
      <c r="GP88" s="2">
        <f t="shared" si="104"/>
        <v>0</v>
      </c>
      <c r="GQ88" s="2"/>
      <c r="GR88" s="2">
        <v>0</v>
      </c>
      <c r="GS88" s="2">
        <v>3</v>
      </c>
      <c r="GT88" s="2">
        <v>0</v>
      </c>
      <c r="GU88" s="2" t="s">
        <v>4</v>
      </c>
      <c r="GV88" s="2">
        <f t="shared" si="105"/>
        <v>0</v>
      </c>
      <c r="GW88" s="2">
        <v>1</v>
      </c>
      <c r="GX88" s="2">
        <f t="shared" si="106"/>
        <v>0</v>
      </c>
      <c r="GY88" s="2"/>
      <c r="GZ88" s="2"/>
      <c r="HA88" s="2">
        <v>0</v>
      </c>
      <c r="HB88" s="2">
        <v>0</v>
      </c>
      <c r="HC88" s="2">
        <f t="shared" si="107"/>
        <v>0</v>
      </c>
      <c r="HD88" s="2"/>
      <c r="HE88" s="2" t="s">
        <v>4</v>
      </c>
      <c r="HF88" s="2" t="s">
        <v>4</v>
      </c>
      <c r="HG88" s="2"/>
      <c r="HH88" s="2"/>
      <c r="HI88" s="2"/>
      <c r="HJ88" s="2"/>
      <c r="HK88" s="2"/>
      <c r="HL88" s="2"/>
      <c r="HM88" s="2" t="s">
        <v>4</v>
      </c>
      <c r="HN88" s="2" t="s">
        <v>4</v>
      </c>
      <c r="HO88" s="2" t="s">
        <v>4</v>
      </c>
      <c r="HP88" s="2" t="s">
        <v>4</v>
      </c>
      <c r="HQ88" s="2" t="s">
        <v>4</v>
      </c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>
        <v>0</v>
      </c>
      <c r="IL88" s="2"/>
      <c r="IM88" s="2"/>
      <c r="IN88" s="2"/>
      <c r="IO88" s="2"/>
      <c r="IP88" s="2"/>
      <c r="IQ88" s="2"/>
      <c r="IR88" s="2"/>
      <c r="IS88" s="2"/>
      <c r="IT88" s="2"/>
      <c r="IU88" s="2"/>
    </row>
    <row r="89" spans="1:255">
      <c r="A89">
        <v>18</v>
      </c>
      <c r="B89">
        <v>1</v>
      </c>
      <c r="C89">
        <v>27</v>
      </c>
      <c r="E89" t="s">
        <v>144</v>
      </c>
      <c r="F89" t="s">
        <v>133</v>
      </c>
      <c r="G89" t="s">
        <v>134</v>
      </c>
      <c r="H89" t="s">
        <v>135</v>
      </c>
      <c r="I89">
        <f>I87*J89</f>
        <v>-6</v>
      </c>
      <c r="J89">
        <v>-1000</v>
      </c>
      <c r="K89">
        <v>-1000</v>
      </c>
      <c r="O89">
        <f t="shared" si="70"/>
        <v>-893.67</v>
      </c>
      <c r="P89">
        <f t="shared" si="71"/>
        <v>-893.67</v>
      </c>
      <c r="Q89">
        <f t="shared" si="72"/>
        <v>0</v>
      </c>
      <c r="R89">
        <f t="shared" si="73"/>
        <v>0</v>
      </c>
      <c r="S89">
        <f t="shared" si="74"/>
        <v>0</v>
      </c>
      <c r="T89">
        <f t="shared" si="75"/>
        <v>0</v>
      </c>
      <c r="U89">
        <f t="shared" si="76"/>
        <v>0</v>
      </c>
      <c r="V89">
        <f t="shared" si="77"/>
        <v>0</v>
      </c>
      <c r="W89">
        <f t="shared" si="78"/>
        <v>0</v>
      </c>
      <c r="X89">
        <f t="shared" si="79"/>
        <v>0</v>
      </c>
      <c r="Y89">
        <f t="shared" si="80"/>
        <v>0</v>
      </c>
      <c r="AA89">
        <v>70305036</v>
      </c>
      <c r="AB89">
        <f t="shared" si="81"/>
        <v>15.01</v>
      </c>
      <c r="AC89">
        <f t="shared" si="82"/>
        <v>15.01</v>
      </c>
      <c r="AD89">
        <f t="shared" si="83"/>
        <v>0</v>
      </c>
      <c r="AE89">
        <f t="shared" si="84"/>
        <v>0</v>
      </c>
      <c r="AF89">
        <f t="shared" si="85"/>
        <v>0</v>
      </c>
      <c r="AG89">
        <f t="shared" si="86"/>
        <v>0</v>
      </c>
      <c r="AH89">
        <f t="shared" si="87"/>
        <v>0</v>
      </c>
      <c r="AI89">
        <f t="shared" si="88"/>
        <v>0</v>
      </c>
      <c r="AJ89">
        <f t="shared" si="89"/>
        <v>0</v>
      </c>
      <c r="AK89">
        <v>15.01</v>
      </c>
      <c r="AL89">
        <v>15.01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1.0669999999999999</v>
      </c>
      <c r="AW89">
        <v>1.081</v>
      </c>
      <c r="AZ89">
        <v>1</v>
      </c>
      <c r="BA89">
        <v>1</v>
      </c>
      <c r="BB89">
        <v>1</v>
      </c>
      <c r="BC89">
        <v>9.18</v>
      </c>
      <c r="BD89" t="s">
        <v>4</v>
      </c>
      <c r="BE89" t="s">
        <v>4</v>
      </c>
      <c r="BF89" t="s">
        <v>4</v>
      </c>
      <c r="BG89" t="s">
        <v>4</v>
      </c>
      <c r="BH89">
        <v>3</v>
      </c>
      <c r="BI89">
        <v>1</v>
      </c>
      <c r="BJ89" t="s">
        <v>136</v>
      </c>
      <c r="BM89">
        <v>242</v>
      </c>
      <c r="BN89">
        <v>0</v>
      </c>
      <c r="BO89" t="s">
        <v>133</v>
      </c>
      <c r="BP89">
        <v>1</v>
      </c>
      <c r="BQ89">
        <v>30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4</v>
      </c>
      <c r="BZ89">
        <v>0</v>
      </c>
      <c r="CA89">
        <v>0</v>
      </c>
      <c r="CB89" t="s">
        <v>4</v>
      </c>
      <c r="CE89">
        <v>30</v>
      </c>
      <c r="CF89">
        <v>0</v>
      </c>
      <c r="CG89">
        <v>0</v>
      </c>
      <c r="CM89">
        <v>0</v>
      </c>
      <c r="CN89" t="s">
        <v>4</v>
      </c>
      <c r="CO89">
        <v>0</v>
      </c>
      <c r="CP89">
        <f t="shared" si="90"/>
        <v>-893.67</v>
      </c>
      <c r="CQ89">
        <f t="shared" si="91"/>
        <v>148.99</v>
      </c>
      <c r="CR89">
        <f t="shared" si="92"/>
        <v>0</v>
      </c>
      <c r="CS89">
        <f t="shared" si="93"/>
        <v>0</v>
      </c>
      <c r="CT89">
        <f t="shared" si="94"/>
        <v>0</v>
      </c>
      <c r="CU89">
        <f t="shared" si="95"/>
        <v>0</v>
      </c>
      <c r="CV89">
        <f t="shared" si="96"/>
        <v>0</v>
      </c>
      <c r="CW89">
        <f t="shared" si="97"/>
        <v>0</v>
      </c>
      <c r="CX89">
        <f t="shared" si="98"/>
        <v>0</v>
      </c>
      <c r="CY89">
        <f>S89*(BZ89/100)</f>
        <v>0</v>
      </c>
      <c r="CZ89">
        <f>S89*(CA89/100)</f>
        <v>0</v>
      </c>
      <c r="DC89" t="s">
        <v>4</v>
      </c>
      <c r="DD89" t="s">
        <v>4</v>
      </c>
      <c r="DE89" t="s">
        <v>4</v>
      </c>
      <c r="DF89" t="s">
        <v>4</v>
      </c>
      <c r="DG89" t="s">
        <v>4</v>
      </c>
      <c r="DH89" t="s">
        <v>4</v>
      </c>
      <c r="DI89" t="s">
        <v>4</v>
      </c>
      <c r="DJ89" t="s">
        <v>4</v>
      </c>
      <c r="DK89" t="s">
        <v>4</v>
      </c>
      <c r="DL89" t="s">
        <v>4</v>
      </c>
      <c r="DM89" t="s">
        <v>4</v>
      </c>
      <c r="DN89">
        <v>112</v>
      </c>
      <c r="DO89">
        <v>70</v>
      </c>
      <c r="DP89">
        <v>1.0669999999999999</v>
      </c>
      <c r="DQ89">
        <v>1.081</v>
      </c>
      <c r="DU89">
        <v>1003</v>
      </c>
      <c r="DV89" t="s">
        <v>135</v>
      </c>
      <c r="DW89" t="s">
        <v>135</v>
      </c>
      <c r="DX89">
        <v>1</v>
      </c>
      <c r="DZ89" t="s">
        <v>4</v>
      </c>
      <c r="EA89" t="s">
        <v>4</v>
      </c>
      <c r="EB89" t="s">
        <v>4</v>
      </c>
      <c r="EC89" t="s">
        <v>4</v>
      </c>
      <c r="EE89">
        <v>69252867</v>
      </c>
      <c r="EF89">
        <v>30</v>
      </c>
      <c r="EG89" t="s">
        <v>24</v>
      </c>
      <c r="EH89">
        <v>0</v>
      </c>
      <c r="EI89" t="s">
        <v>4</v>
      </c>
      <c r="EJ89">
        <v>1</v>
      </c>
      <c r="EK89">
        <v>242</v>
      </c>
      <c r="EL89" t="s">
        <v>131</v>
      </c>
      <c r="EM89" t="s">
        <v>132</v>
      </c>
      <c r="EO89" t="s">
        <v>4</v>
      </c>
      <c r="EQ89">
        <v>0</v>
      </c>
      <c r="ER89">
        <v>15.01</v>
      </c>
      <c r="ES89">
        <v>15.01</v>
      </c>
      <c r="ET89">
        <v>0</v>
      </c>
      <c r="EU89">
        <v>0</v>
      </c>
      <c r="EV89">
        <v>0</v>
      </c>
      <c r="EW89">
        <v>0</v>
      </c>
      <c r="EX89">
        <v>0</v>
      </c>
      <c r="FQ89">
        <v>0</v>
      </c>
      <c r="FR89">
        <f t="shared" si="99"/>
        <v>0</v>
      </c>
      <c r="FS89">
        <v>0</v>
      </c>
      <c r="FX89">
        <v>112</v>
      </c>
      <c r="FY89">
        <v>70</v>
      </c>
      <c r="GA89" t="s">
        <v>4</v>
      </c>
      <c r="GD89">
        <v>0</v>
      </c>
      <c r="GF89">
        <v>-1582708316</v>
      </c>
      <c r="GG89">
        <v>2</v>
      </c>
      <c r="GH89">
        <v>1</v>
      </c>
      <c r="GI89">
        <v>2</v>
      </c>
      <c r="GJ89">
        <v>0</v>
      </c>
      <c r="GK89">
        <f>ROUND(R89*(S12)/100,2)</f>
        <v>0</v>
      </c>
      <c r="GL89">
        <f t="shared" si="100"/>
        <v>0</v>
      </c>
      <c r="GM89">
        <f t="shared" si="101"/>
        <v>-893.67</v>
      </c>
      <c r="GN89">
        <f t="shared" si="102"/>
        <v>-893.67</v>
      </c>
      <c r="GO89">
        <f t="shared" si="103"/>
        <v>0</v>
      </c>
      <c r="GP89">
        <f t="shared" si="104"/>
        <v>0</v>
      </c>
      <c r="GR89">
        <v>0</v>
      </c>
      <c r="GS89">
        <v>3</v>
      </c>
      <c r="GT89">
        <v>0</v>
      </c>
      <c r="GU89" t="s">
        <v>4</v>
      </c>
      <c r="GV89">
        <f t="shared" si="105"/>
        <v>0</v>
      </c>
      <c r="GW89">
        <v>1</v>
      </c>
      <c r="GX89">
        <f t="shared" si="106"/>
        <v>0</v>
      </c>
      <c r="HA89">
        <v>0</v>
      </c>
      <c r="HB89">
        <v>0</v>
      </c>
      <c r="HC89">
        <f t="shared" si="107"/>
        <v>0</v>
      </c>
      <c r="HE89" t="s">
        <v>4</v>
      </c>
      <c r="HF89" t="s">
        <v>4</v>
      </c>
      <c r="HM89" t="s">
        <v>4</v>
      </c>
      <c r="HN89" t="s">
        <v>4</v>
      </c>
      <c r="HO89" t="s">
        <v>4</v>
      </c>
      <c r="HP89" t="s">
        <v>4</v>
      </c>
      <c r="HQ89" t="s">
        <v>4</v>
      </c>
      <c r="IK89">
        <v>0</v>
      </c>
    </row>
    <row r="90" spans="1:255">
      <c r="A90" s="2">
        <v>18</v>
      </c>
      <c r="B90" s="2">
        <v>1</v>
      </c>
      <c r="C90" s="2">
        <v>22</v>
      </c>
      <c r="D90" s="2"/>
      <c r="E90" s="2" t="s">
        <v>145</v>
      </c>
      <c r="F90" s="2" t="s">
        <v>137</v>
      </c>
      <c r="G90" s="2" t="s">
        <v>138</v>
      </c>
      <c r="H90" s="2" t="s">
        <v>135</v>
      </c>
      <c r="I90" s="2">
        <f>I86*J90</f>
        <v>6</v>
      </c>
      <c r="J90" s="2">
        <v>1000</v>
      </c>
      <c r="K90" s="2">
        <v>1000</v>
      </c>
      <c r="L90" s="2"/>
      <c r="M90" s="2"/>
      <c r="N90" s="2"/>
      <c r="O90" s="2">
        <f t="shared" si="70"/>
        <v>146.4</v>
      </c>
      <c r="P90" s="2">
        <f t="shared" si="71"/>
        <v>146.4</v>
      </c>
      <c r="Q90" s="2">
        <f t="shared" si="72"/>
        <v>0</v>
      </c>
      <c r="R90" s="2">
        <f t="shared" si="73"/>
        <v>0</v>
      </c>
      <c r="S90" s="2">
        <f t="shared" si="74"/>
        <v>0</v>
      </c>
      <c r="T90" s="2">
        <f t="shared" si="75"/>
        <v>0</v>
      </c>
      <c r="U90" s="2">
        <f t="shared" si="76"/>
        <v>0</v>
      </c>
      <c r="V90" s="2">
        <f t="shared" si="77"/>
        <v>0</v>
      </c>
      <c r="W90" s="2">
        <f t="shared" si="78"/>
        <v>0</v>
      </c>
      <c r="X90" s="2">
        <f t="shared" si="79"/>
        <v>0</v>
      </c>
      <c r="Y90" s="2">
        <f t="shared" si="80"/>
        <v>0</v>
      </c>
      <c r="Z90" s="2"/>
      <c r="AA90" s="2">
        <v>70305038</v>
      </c>
      <c r="AB90" s="2">
        <f t="shared" si="81"/>
        <v>24.4</v>
      </c>
      <c r="AC90" s="2">
        <f t="shared" si="82"/>
        <v>24.4</v>
      </c>
      <c r="AD90" s="2">
        <f t="shared" si="83"/>
        <v>0</v>
      </c>
      <c r="AE90" s="2">
        <f t="shared" si="84"/>
        <v>0</v>
      </c>
      <c r="AF90" s="2">
        <f t="shared" si="85"/>
        <v>0</v>
      </c>
      <c r="AG90" s="2">
        <f t="shared" si="86"/>
        <v>0</v>
      </c>
      <c r="AH90" s="2">
        <f t="shared" si="87"/>
        <v>0</v>
      </c>
      <c r="AI90" s="2">
        <f t="shared" si="88"/>
        <v>0</v>
      </c>
      <c r="AJ90" s="2">
        <f t="shared" si="89"/>
        <v>0</v>
      </c>
      <c r="AK90" s="2">
        <v>24.4</v>
      </c>
      <c r="AL90" s="2">
        <v>24.4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112</v>
      </c>
      <c r="AU90" s="2">
        <v>70</v>
      </c>
      <c r="AV90" s="2">
        <v>1.0669999999999999</v>
      </c>
      <c r="AW90" s="2">
        <v>1</v>
      </c>
      <c r="AX90" s="2"/>
      <c r="AY90" s="2"/>
      <c r="AZ90" s="2">
        <v>1</v>
      </c>
      <c r="BA90" s="2">
        <v>1</v>
      </c>
      <c r="BB90" s="2">
        <v>1</v>
      </c>
      <c r="BC90" s="2">
        <v>1</v>
      </c>
      <c r="BD90" s="2" t="s">
        <v>4</v>
      </c>
      <c r="BE90" s="2" t="s">
        <v>4</v>
      </c>
      <c r="BF90" s="2" t="s">
        <v>4</v>
      </c>
      <c r="BG90" s="2" t="s">
        <v>4</v>
      </c>
      <c r="BH90" s="2">
        <v>3</v>
      </c>
      <c r="BI90" s="2">
        <v>1</v>
      </c>
      <c r="BJ90" s="2" t="s">
        <v>139</v>
      </c>
      <c r="BK90" s="2"/>
      <c r="BL90" s="2"/>
      <c r="BM90" s="2">
        <v>242</v>
      </c>
      <c r="BN90" s="2">
        <v>0</v>
      </c>
      <c r="BO90" s="2" t="s">
        <v>4</v>
      </c>
      <c r="BP90" s="2">
        <v>0</v>
      </c>
      <c r="BQ90" s="2">
        <v>30</v>
      </c>
      <c r="BR90" s="2">
        <v>0</v>
      </c>
      <c r="BS90" s="2">
        <v>1</v>
      </c>
      <c r="BT90" s="2">
        <v>1</v>
      </c>
      <c r="BU90" s="2">
        <v>1</v>
      </c>
      <c r="BV90" s="2">
        <v>1</v>
      </c>
      <c r="BW90" s="2">
        <v>1</v>
      </c>
      <c r="BX90" s="2">
        <v>1</v>
      </c>
      <c r="BY90" s="2" t="s">
        <v>4</v>
      </c>
      <c r="BZ90" s="2">
        <v>112</v>
      </c>
      <c r="CA90" s="2">
        <v>70</v>
      </c>
      <c r="CB90" s="2" t="s">
        <v>4</v>
      </c>
      <c r="CC90" s="2"/>
      <c r="CD90" s="2"/>
      <c r="CE90" s="2">
        <v>30</v>
      </c>
      <c r="CF90" s="2">
        <v>0</v>
      </c>
      <c r="CG90" s="2">
        <v>0</v>
      </c>
      <c r="CH90" s="2"/>
      <c r="CI90" s="2"/>
      <c r="CJ90" s="2"/>
      <c r="CK90" s="2"/>
      <c r="CL90" s="2"/>
      <c r="CM90" s="2">
        <v>0</v>
      </c>
      <c r="CN90" s="2" t="s">
        <v>4</v>
      </c>
      <c r="CO90" s="2">
        <v>0</v>
      </c>
      <c r="CP90" s="2">
        <f t="shared" si="90"/>
        <v>146.4</v>
      </c>
      <c r="CQ90" s="2">
        <f t="shared" si="91"/>
        <v>24.4</v>
      </c>
      <c r="CR90" s="2">
        <f t="shared" si="92"/>
        <v>0</v>
      </c>
      <c r="CS90" s="2">
        <f t="shared" si="93"/>
        <v>0</v>
      </c>
      <c r="CT90" s="2">
        <f t="shared" si="94"/>
        <v>0</v>
      </c>
      <c r="CU90" s="2">
        <f t="shared" si="95"/>
        <v>0</v>
      </c>
      <c r="CV90" s="2">
        <f t="shared" si="96"/>
        <v>0</v>
      </c>
      <c r="CW90" s="2">
        <f t="shared" si="97"/>
        <v>0</v>
      </c>
      <c r="CX90" s="2">
        <f t="shared" si="98"/>
        <v>0</v>
      </c>
      <c r="CY90" s="2">
        <f>((S90*BZ90)/100)</f>
        <v>0</v>
      </c>
      <c r="CZ90" s="2">
        <f>((S90*CA90)/100)</f>
        <v>0</v>
      </c>
      <c r="DA90" s="2"/>
      <c r="DB90" s="2"/>
      <c r="DC90" s="2" t="s">
        <v>4</v>
      </c>
      <c r="DD90" s="2" t="s">
        <v>4</v>
      </c>
      <c r="DE90" s="2" t="s">
        <v>4</v>
      </c>
      <c r="DF90" s="2" t="s">
        <v>4</v>
      </c>
      <c r="DG90" s="2" t="s">
        <v>4</v>
      </c>
      <c r="DH90" s="2" t="s">
        <v>4</v>
      </c>
      <c r="DI90" s="2" t="s">
        <v>4</v>
      </c>
      <c r="DJ90" s="2" t="s">
        <v>4</v>
      </c>
      <c r="DK90" s="2" t="s">
        <v>4</v>
      </c>
      <c r="DL90" s="2" t="s">
        <v>4</v>
      </c>
      <c r="DM90" s="2" t="s">
        <v>4</v>
      </c>
      <c r="DN90" s="2">
        <v>0</v>
      </c>
      <c r="DO90" s="2">
        <v>0</v>
      </c>
      <c r="DP90" s="2">
        <v>1</v>
      </c>
      <c r="DQ90" s="2">
        <v>1</v>
      </c>
      <c r="DR90" s="2"/>
      <c r="DS90" s="2"/>
      <c r="DT90" s="2"/>
      <c r="DU90" s="2">
        <v>1003</v>
      </c>
      <c r="DV90" s="2" t="s">
        <v>135</v>
      </c>
      <c r="DW90" s="2" t="s">
        <v>135</v>
      </c>
      <c r="DX90" s="2">
        <v>1</v>
      </c>
      <c r="DY90" s="2"/>
      <c r="DZ90" s="2" t="s">
        <v>4</v>
      </c>
      <c r="EA90" s="2" t="s">
        <v>4</v>
      </c>
      <c r="EB90" s="2" t="s">
        <v>4</v>
      </c>
      <c r="EC90" s="2" t="s">
        <v>4</v>
      </c>
      <c r="ED90" s="2"/>
      <c r="EE90" s="2">
        <v>69252867</v>
      </c>
      <c r="EF90" s="2">
        <v>30</v>
      </c>
      <c r="EG90" s="2" t="s">
        <v>24</v>
      </c>
      <c r="EH90" s="2">
        <v>0</v>
      </c>
      <c r="EI90" s="2" t="s">
        <v>4</v>
      </c>
      <c r="EJ90" s="2">
        <v>1</v>
      </c>
      <c r="EK90" s="2">
        <v>242</v>
      </c>
      <c r="EL90" s="2" t="s">
        <v>131</v>
      </c>
      <c r="EM90" s="2" t="s">
        <v>132</v>
      </c>
      <c r="EN90" s="2"/>
      <c r="EO90" s="2" t="s">
        <v>4</v>
      </c>
      <c r="EP90" s="2"/>
      <c r="EQ90" s="2">
        <v>0</v>
      </c>
      <c r="ER90" s="2">
        <v>24.4</v>
      </c>
      <c r="ES90" s="2">
        <v>24.4</v>
      </c>
      <c r="ET90" s="2">
        <v>0</v>
      </c>
      <c r="EU90" s="2">
        <v>0</v>
      </c>
      <c r="EV90" s="2">
        <v>0</v>
      </c>
      <c r="EW90" s="2">
        <v>0</v>
      </c>
      <c r="EX90" s="2">
        <v>0</v>
      </c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>
        <v>0</v>
      </c>
      <c r="FR90" s="2">
        <f t="shared" si="99"/>
        <v>0</v>
      </c>
      <c r="FS90" s="2">
        <v>0</v>
      </c>
      <c r="FT90" s="2"/>
      <c r="FU90" s="2"/>
      <c r="FV90" s="2"/>
      <c r="FW90" s="2"/>
      <c r="FX90" s="2">
        <v>112</v>
      </c>
      <c r="FY90" s="2">
        <v>70</v>
      </c>
      <c r="FZ90" s="2"/>
      <c r="GA90" s="2" t="s">
        <v>4</v>
      </c>
      <c r="GB90" s="2"/>
      <c r="GC90" s="2"/>
      <c r="GD90" s="2">
        <v>0</v>
      </c>
      <c r="GE90" s="2"/>
      <c r="GF90" s="2">
        <v>1329163801</v>
      </c>
      <c r="GG90" s="2">
        <v>2</v>
      </c>
      <c r="GH90" s="2">
        <v>1</v>
      </c>
      <c r="GI90" s="2">
        <v>-2</v>
      </c>
      <c r="GJ90" s="2">
        <v>0</v>
      </c>
      <c r="GK90" s="2">
        <f>ROUND(R90*(R12)/100,2)</f>
        <v>0</v>
      </c>
      <c r="GL90" s="2">
        <f t="shared" si="100"/>
        <v>0</v>
      </c>
      <c r="GM90" s="2">
        <f t="shared" si="101"/>
        <v>146.4</v>
      </c>
      <c r="GN90" s="2">
        <f t="shared" si="102"/>
        <v>146.4</v>
      </c>
      <c r="GO90" s="2">
        <f t="shared" si="103"/>
        <v>0</v>
      </c>
      <c r="GP90" s="2">
        <f t="shared" si="104"/>
        <v>0</v>
      </c>
      <c r="GQ90" s="2"/>
      <c r="GR90" s="2">
        <v>0</v>
      </c>
      <c r="GS90" s="2">
        <v>0</v>
      </c>
      <c r="GT90" s="2">
        <v>0</v>
      </c>
      <c r="GU90" s="2" t="s">
        <v>4</v>
      </c>
      <c r="GV90" s="2">
        <f t="shared" si="105"/>
        <v>0</v>
      </c>
      <c r="GW90" s="2">
        <v>1</v>
      </c>
      <c r="GX90" s="2">
        <f t="shared" si="106"/>
        <v>0</v>
      </c>
      <c r="GY90" s="2"/>
      <c r="GZ90" s="2"/>
      <c r="HA90" s="2">
        <v>0</v>
      </c>
      <c r="HB90" s="2">
        <v>0</v>
      </c>
      <c r="HC90" s="2">
        <f t="shared" si="107"/>
        <v>0</v>
      </c>
      <c r="HD90" s="2"/>
      <c r="HE90" s="2" t="s">
        <v>4</v>
      </c>
      <c r="HF90" s="2" t="s">
        <v>4</v>
      </c>
      <c r="HG90" s="2"/>
      <c r="HH90" s="2"/>
      <c r="HI90" s="2"/>
      <c r="HJ90" s="2"/>
      <c r="HK90" s="2"/>
      <c r="HL90" s="2"/>
      <c r="HM90" s="2" t="s">
        <v>4</v>
      </c>
      <c r="HN90" s="2" t="s">
        <v>4</v>
      </c>
      <c r="HO90" s="2" t="s">
        <v>4</v>
      </c>
      <c r="HP90" s="2" t="s">
        <v>4</v>
      </c>
      <c r="HQ90" s="2" t="s">
        <v>4</v>
      </c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>
        <v>0</v>
      </c>
      <c r="IL90" s="2"/>
      <c r="IM90" s="2"/>
      <c r="IN90" s="2"/>
      <c r="IO90" s="2"/>
      <c r="IP90" s="2"/>
      <c r="IQ90" s="2"/>
      <c r="IR90" s="2"/>
      <c r="IS90" s="2"/>
      <c r="IT90" s="2"/>
      <c r="IU90" s="2"/>
    </row>
    <row r="91" spans="1:255">
      <c r="A91">
        <v>18</v>
      </c>
      <c r="B91">
        <v>1</v>
      </c>
      <c r="C91">
        <v>28</v>
      </c>
      <c r="E91" t="s">
        <v>145</v>
      </c>
      <c r="F91" t="s">
        <v>137</v>
      </c>
      <c r="G91" t="s">
        <v>138</v>
      </c>
      <c r="H91" t="s">
        <v>135</v>
      </c>
      <c r="I91">
        <f>I87*J91</f>
        <v>6</v>
      </c>
      <c r="J91">
        <v>1000</v>
      </c>
      <c r="K91">
        <v>1000</v>
      </c>
      <c r="O91">
        <f t="shared" si="70"/>
        <v>1358.59</v>
      </c>
      <c r="P91">
        <f t="shared" si="71"/>
        <v>1358.59</v>
      </c>
      <c r="Q91">
        <f t="shared" si="72"/>
        <v>0</v>
      </c>
      <c r="R91">
        <f t="shared" si="73"/>
        <v>0</v>
      </c>
      <c r="S91">
        <f t="shared" si="74"/>
        <v>0</v>
      </c>
      <c r="T91">
        <f t="shared" si="75"/>
        <v>0</v>
      </c>
      <c r="U91">
        <f t="shared" si="76"/>
        <v>0</v>
      </c>
      <c r="V91">
        <f t="shared" si="77"/>
        <v>0</v>
      </c>
      <c r="W91">
        <f t="shared" si="78"/>
        <v>0</v>
      </c>
      <c r="X91">
        <f t="shared" si="79"/>
        <v>0</v>
      </c>
      <c r="Y91">
        <f t="shared" si="80"/>
        <v>0</v>
      </c>
      <c r="AA91">
        <v>70305036</v>
      </c>
      <c r="AB91">
        <f t="shared" si="81"/>
        <v>24.4</v>
      </c>
      <c r="AC91">
        <f t="shared" si="82"/>
        <v>24.4</v>
      </c>
      <c r="AD91">
        <f t="shared" si="83"/>
        <v>0</v>
      </c>
      <c r="AE91">
        <f t="shared" si="84"/>
        <v>0</v>
      </c>
      <c r="AF91">
        <f t="shared" si="85"/>
        <v>0</v>
      </c>
      <c r="AG91">
        <f t="shared" si="86"/>
        <v>0</v>
      </c>
      <c r="AH91">
        <f t="shared" si="87"/>
        <v>0</v>
      </c>
      <c r="AI91">
        <f t="shared" si="88"/>
        <v>0</v>
      </c>
      <c r="AJ91">
        <f t="shared" si="89"/>
        <v>0</v>
      </c>
      <c r="AK91">
        <v>24.4</v>
      </c>
      <c r="AL91">
        <v>24.4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1</v>
      </c>
      <c r="AW91">
        <v>1</v>
      </c>
      <c r="AZ91">
        <v>1</v>
      </c>
      <c r="BA91">
        <v>1</v>
      </c>
      <c r="BB91">
        <v>1</v>
      </c>
      <c r="BC91">
        <v>9.2799999999999994</v>
      </c>
      <c r="BD91" t="s">
        <v>4</v>
      </c>
      <c r="BE91" t="s">
        <v>4</v>
      </c>
      <c r="BF91" t="s">
        <v>4</v>
      </c>
      <c r="BG91" t="s">
        <v>4</v>
      </c>
      <c r="BH91">
        <v>3</v>
      </c>
      <c r="BI91">
        <v>1</v>
      </c>
      <c r="BJ91" t="s">
        <v>139</v>
      </c>
      <c r="BM91">
        <v>242</v>
      </c>
      <c r="BN91">
        <v>0</v>
      </c>
      <c r="BO91" t="s">
        <v>137</v>
      </c>
      <c r="BP91">
        <v>1</v>
      </c>
      <c r="BQ91">
        <v>30</v>
      </c>
      <c r="BR91">
        <v>0</v>
      </c>
      <c r="BS91">
        <v>1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4</v>
      </c>
      <c r="BZ91">
        <v>0</v>
      </c>
      <c r="CA91">
        <v>0</v>
      </c>
      <c r="CB91" t="s">
        <v>4</v>
      </c>
      <c r="CE91">
        <v>30</v>
      </c>
      <c r="CF91">
        <v>0</v>
      </c>
      <c r="CG91">
        <v>0</v>
      </c>
      <c r="CM91">
        <v>0</v>
      </c>
      <c r="CN91" t="s">
        <v>4</v>
      </c>
      <c r="CO91">
        <v>0</v>
      </c>
      <c r="CP91">
        <f t="shared" si="90"/>
        <v>1358.59</v>
      </c>
      <c r="CQ91">
        <f t="shared" si="91"/>
        <v>226.43</v>
      </c>
      <c r="CR91">
        <f t="shared" si="92"/>
        <v>0</v>
      </c>
      <c r="CS91">
        <f t="shared" si="93"/>
        <v>0</v>
      </c>
      <c r="CT91">
        <f t="shared" si="94"/>
        <v>0</v>
      </c>
      <c r="CU91">
        <f t="shared" si="95"/>
        <v>0</v>
      </c>
      <c r="CV91">
        <f t="shared" si="96"/>
        <v>0</v>
      </c>
      <c r="CW91">
        <f t="shared" si="97"/>
        <v>0</v>
      </c>
      <c r="CX91">
        <f t="shared" si="98"/>
        <v>0</v>
      </c>
      <c r="CY91">
        <f>S91*(BZ91/100)</f>
        <v>0</v>
      </c>
      <c r="CZ91">
        <f>S91*(CA91/100)</f>
        <v>0</v>
      </c>
      <c r="DC91" t="s">
        <v>4</v>
      </c>
      <c r="DD91" t="s">
        <v>4</v>
      </c>
      <c r="DE91" t="s">
        <v>4</v>
      </c>
      <c r="DF91" t="s">
        <v>4</v>
      </c>
      <c r="DG91" t="s">
        <v>4</v>
      </c>
      <c r="DH91" t="s">
        <v>4</v>
      </c>
      <c r="DI91" t="s">
        <v>4</v>
      </c>
      <c r="DJ91" t="s">
        <v>4</v>
      </c>
      <c r="DK91" t="s">
        <v>4</v>
      </c>
      <c r="DL91" t="s">
        <v>4</v>
      </c>
      <c r="DM91" t="s">
        <v>4</v>
      </c>
      <c r="DN91">
        <v>112</v>
      </c>
      <c r="DO91">
        <v>70</v>
      </c>
      <c r="DP91">
        <v>1.0669999999999999</v>
      </c>
      <c r="DQ91">
        <v>1.081</v>
      </c>
      <c r="DU91">
        <v>1003</v>
      </c>
      <c r="DV91" t="s">
        <v>135</v>
      </c>
      <c r="DW91" t="s">
        <v>135</v>
      </c>
      <c r="DX91">
        <v>1</v>
      </c>
      <c r="DZ91" t="s">
        <v>4</v>
      </c>
      <c r="EA91" t="s">
        <v>4</v>
      </c>
      <c r="EB91" t="s">
        <v>4</v>
      </c>
      <c r="EC91" t="s">
        <v>4</v>
      </c>
      <c r="EE91">
        <v>69252867</v>
      </c>
      <c r="EF91">
        <v>30</v>
      </c>
      <c r="EG91" t="s">
        <v>24</v>
      </c>
      <c r="EH91">
        <v>0</v>
      </c>
      <c r="EI91" t="s">
        <v>4</v>
      </c>
      <c r="EJ91">
        <v>1</v>
      </c>
      <c r="EK91">
        <v>242</v>
      </c>
      <c r="EL91" t="s">
        <v>131</v>
      </c>
      <c r="EM91" t="s">
        <v>132</v>
      </c>
      <c r="EO91" t="s">
        <v>4</v>
      </c>
      <c r="EQ91">
        <v>0</v>
      </c>
      <c r="ER91">
        <v>24.4</v>
      </c>
      <c r="ES91">
        <v>24.4</v>
      </c>
      <c r="ET91">
        <v>0</v>
      </c>
      <c r="EU91">
        <v>0</v>
      </c>
      <c r="EV91">
        <v>0</v>
      </c>
      <c r="EW91">
        <v>0</v>
      </c>
      <c r="EX91">
        <v>0</v>
      </c>
      <c r="FQ91">
        <v>0</v>
      </c>
      <c r="FR91">
        <f t="shared" si="99"/>
        <v>0</v>
      </c>
      <c r="FS91">
        <v>0</v>
      </c>
      <c r="FX91">
        <v>112</v>
      </c>
      <c r="FY91">
        <v>70</v>
      </c>
      <c r="GA91" t="s">
        <v>4</v>
      </c>
      <c r="GD91">
        <v>0</v>
      </c>
      <c r="GF91">
        <v>1329163801</v>
      </c>
      <c r="GG91">
        <v>2</v>
      </c>
      <c r="GH91">
        <v>1</v>
      </c>
      <c r="GI91">
        <v>2</v>
      </c>
      <c r="GJ91">
        <v>0</v>
      </c>
      <c r="GK91">
        <f>ROUND(R91*(S12)/100,2)</f>
        <v>0</v>
      </c>
      <c r="GL91">
        <f t="shared" si="100"/>
        <v>0</v>
      </c>
      <c r="GM91">
        <f t="shared" si="101"/>
        <v>1358.59</v>
      </c>
      <c r="GN91">
        <f t="shared" si="102"/>
        <v>1358.59</v>
      </c>
      <c r="GO91">
        <f t="shared" si="103"/>
        <v>0</v>
      </c>
      <c r="GP91">
        <f t="shared" si="104"/>
        <v>0</v>
      </c>
      <c r="GR91">
        <v>0</v>
      </c>
      <c r="GS91">
        <v>3</v>
      </c>
      <c r="GT91">
        <v>0</v>
      </c>
      <c r="GU91" t="s">
        <v>4</v>
      </c>
      <c r="GV91">
        <f t="shared" si="105"/>
        <v>0</v>
      </c>
      <c r="GW91">
        <v>1</v>
      </c>
      <c r="GX91">
        <f t="shared" si="106"/>
        <v>0</v>
      </c>
      <c r="HA91">
        <v>0</v>
      </c>
      <c r="HB91">
        <v>0</v>
      </c>
      <c r="HC91">
        <f t="shared" si="107"/>
        <v>0</v>
      </c>
      <c r="HE91" t="s">
        <v>4</v>
      </c>
      <c r="HF91" t="s">
        <v>4</v>
      </c>
      <c r="HM91" t="s">
        <v>4</v>
      </c>
      <c r="HN91" t="s">
        <v>4</v>
      </c>
      <c r="HO91" t="s">
        <v>4</v>
      </c>
      <c r="HP91" t="s">
        <v>4</v>
      </c>
      <c r="HQ91" t="s">
        <v>4</v>
      </c>
      <c r="IK91">
        <v>0</v>
      </c>
    </row>
    <row r="92" spans="1:255">
      <c r="A92" s="2">
        <v>17</v>
      </c>
      <c r="B92" s="2">
        <v>1</v>
      </c>
      <c r="C92" s="2">
        <f>ROW(SmtRes!A36)</f>
        <v>36</v>
      </c>
      <c r="D92" s="2">
        <f>ROW(EtalonRes!A58)</f>
        <v>58</v>
      </c>
      <c r="E92" s="2" t="s">
        <v>146</v>
      </c>
      <c r="F92" s="2" t="s">
        <v>147</v>
      </c>
      <c r="G92" s="2" t="s">
        <v>148</v>
      </c>
      <c r="H92" s="2" t="s">
        <v>122</v>
      </c>
      <c r="I92" s="2">
        <f>ROUND((2)/100,9)</f>
        <v>0.02</v>
      </c>
      <c r="J92" s="2">
        <v>0</v>
      </c>
      <c r="K92" s="2">
        <f>ROUND((2)/100,9)</f>
        <v>0.02</v>
      </c>
      <c r="L92" s="2"/>
      <c r="M92" s="2"/>
      <c r="N92" s="2"/>
      <c r="O92" s="2">
        <f t="shared" si="70"/>
        <v>48.58</v>
      </c>
      <c r="P92" s="2">
        <f t="shared" si="71"/>
        <v>17.29</v>
      </c>
      <c r="Q92" s="2">
        <f t="shared" si="72"/>
        <v>0</v>
      </c>
      <c r="R92" s="2">
        <f t="shared" si="73"/>
        <v>0</v>
      </c>
      <c r="S92" s="2">
        <f t="shared" si="74"/>
        <v>31.29</v>
      </c>
      <c r="T92" s="2">
        <f t="shared" si="75"/>
        <v>0</v>
      </c>
      <c r="U92" s="2">
        <f t="shared" si="76"/>
        <v>2.7640799999999994</v>
      </c>
      <c r="V92" s="2">
        <f t="shared" si="77"/>
        <v>0</v>
      </c>
      <c r="W92" s="2">
        <f t="shared" si="78"/>
        <v>0</v>
      </c>
      <c r="X92" s="2">
        <f t="shared" si="79"/>
        <v>28.47</v>
      </c>
      <c r="Y92" s="2">
        <f t="shared" si="80"/>
        <v>21.9</v>
      </c>
      <c r="Z92" s="2"/>
      <c r="AA92" s="2">
        <v>70305038</v>
      </c>
      <c r="AB92" s="2">
        <f t="shared" si="81"/>
        <v>2357.0500000000002</v>
      </c>
      <c r="AC92" s="2">
        <f t="shared" si="82"/>
        <v>862.81</v>
      </c>
      <c r="AD92" s="2">
        <f t="shared" si="83"/>
        <v>0</v>
      </c>
      <c r="AE92" s="2">
        <f t="shared" si="84"/>
        <v>0</v>
      </c>
      <c r="AF92" s="2">
        <f t="shared" si="85"/>
        <v>1494.24</v>
      </c>
      <c r="AG92" s="2">
        <f t="shared" si="86"/>
        <v>0</v>
      </c>
      <c r="AH92" s="2">
        <f t="shared" si="87"/>
        <v>132</v>
      </c>
      <c r="AI92" s="2">
        <f t="shared" si="88"/>
        <v>0</v>
      </c>
      <c r="AJ92" s="2">
        <f t="shared" si="89"/>
        <v>0</v>
      </c>
      <c r="AK92" s="2">
        <v>2357.0500000000002</v>
      </c>
      <c r="AL92" s="2">
        <v>862.81</v>
      </c>
      <c r="AM92" s="2">
        <v>0</v>
      </c>
      <c r="AN92" s="2">
        <v>0</v>
      </c>
      <c r="AO92" s="2">
        <v>1494.24</v>
      </c>
      <c r="AP92" s="2">
        <v>0</v>
      </c>
      <c r="AQ92" s="2">
        <v>132</v>
      </c>
      <c r="AR92" s="2">
        <v>0</v>
      </c>
      <c r="AS92" s="2">
        <v>0</v>
      </c>
      <c r="AT92" s="2">
        <v>91</v>
      </c>
      <c r="AU92" s="2">
        <v>70</v>
      </c>
      <c r="AV92" s="2">
        <v>1.0469999999999999</v>
      </c>
      <c r="AW92" s="2">
        <v>1.002</v>
      </c>
      <c r="AX92" s="2"/>
      <c r="AY92" s="2"/>
      <c r="AZ92" s="2">
        <v>1</v>
      </c>
      <c r="BA92" s="2">
        <v>1</v>
      </c>
      <c r="BB92" s="2">
        <v>1</v>
      </c>
      <c r="BC92" s="2">
        <v>1</v>
      </c>
      <c r="BD92" s="2" t="s">
        <v>4</v>
      </c>
      <c r="BE92" s="2" t="s">
        <v>4</v>
      </c>
      <c r="BF92" s="2" t="s">
        <v>4</v>
      </c>
      <c r="BG92" s="2" t="s">
        <v>4</v>
      </c>
      <c r="BH92" s="2">
        <v>0</v>
      </c>
      <c r="BI92" s="2">
        <v>1</v>
      </c>
      <c r="BJ92" s="2" t="s">
        <v>149</v>
      </c>
      <c r="BK92" s="2"/>
      <c r="BL92" s="2"/>
      <c r="BM92" s="2">
        <v>682</v>
      </c>
      <c r="BN92" s="2">
        <v>0</v>
      </c>
      <c r="BO92" s="2" t="s">
        <v>4</v>
      </c>
      <c r="BP92" s="2">
        <v>0</v>
      </c>
      <c r="BQ92" s="2">
        <v>60</v>
      </c>
      <c r="BR92" s="2">
        <v>0</v>
      </c>
      <c r="BS92" s="2">
        <v>1</v>
      </c>
      <c r="BT92" s="2">
        <v>1</v>
      </c>
      <c r="BU92" s="2">
        <v>1</v>
      </c>
      <c r="BV92" s="2">
        <v>1</v>
      </c>
      <c r="BW92" s="2">
        <v>1</v>
      </c>
      <c r="BX92" s="2">
        <v>1</v>
      </c>
      <c r="BY92" s="2" t="s">
        <v>4</v>
      </c>
      <c r="BZ92" s="2">
        <v>91</v>
      </c>
      <c r="CA92" s="2">
        <v>70</v>
      </c>
      <c r="CB92" s="2" t="s">
        <v>4</v>
      </c>
      <c r="CC92" s="2"/>
      <c r="CD92" s="2"/>
      <c r="CE92" s="2">
        <v>30</v>
      </c>
      <c r="CF92" s="2">
        <v>0</v>
      </c>
      <c r="CG92" s="2">
        <v>0</v>
      </c>
      <c r="CH92" s="2"/>
      <c r="CI92" s="2"/>
      <c r="CJ92" s="2"/>
      <c r="CK92" s="2"/>
      <c r="CL92" s="2"/>
      <c r="CM92" s="2">
        <v>0</v>
      </c>
      <c r="CN92" s="2" t="s">
        <v>4</v>
      </c>
      <c r="CO92" s="2">
        <v>0</v>
      </c>
      <c r="CP92" s="2">
        <f t="shared" si="90"/>
        <v>48.58</v>
      </c>
      <c r="CQ92" s="2">
        <f t="shared" si="91"/>
        <v>864.54</v>
      </c>
      <c r="CR92" s="2">
        <f t="shared" si="92"/>
        <v>0</v>
      </c>
      <c r="CS92" s="2">
        <f t="shared" si="93"/>
        <v>0</v>
      </c>
      <c r="CT92" s="2">
        <f t="shared" si="94"/>
        <v>1564.47</v>
      </c>
      <c r="CU92" s="2">
        <f t="shared" si="95"/>
        <v>0</v>
      </c>
      <c r="CV92" s="2">
        <f t="shared" si="96"/>
        <v>138.20399999999998</v>
      </c>
      <c r="CW92" s="2">
        <f t="shared" si="97"/>
        <v>0</v>
      </c>
      <c r="CX92" s="2">
        <f t="shared" si="98"/>
        <v>0</v>
      </c>
      <c r="CY92" s="2">
        <f>((S92*BZ92)/100)</f>
        <v>28.4739</v>
      </c>
      <c r="CZ92" s="2">
        <f>((S92*CA92)/100)</f>
        <v>21.902999999999999</v>
      </c>
      <c r="DA92" s="2"/>
      <c r="DB92" s="2"/>
      <c r="DC92" s="2" t="s">
        <v>4</v>
      </c>
      <c r="DD92" s="2" t="s">
        <v>4</v>
      </c>
      <c r="DE92" s="2" t="s">
        <v>4</v>
      </c>
      <c r="DF92" s="2" t="s">
        <v>4</v>
      </c>
      <c r="DG92" s="2" t="s">
        <v>4</v>
      </c>
      <c r="DH92" s="2" t="s">
        <v>4</v>
      </c>
      <c r="DI92" s="2" t="s">
        <v>4</v>
      </c>
      <c r="DJ92" s="2" t="s">
        <v>4</v>
      </c>
      <c r="DK92" s="2" t="s">
        <v>4</v>
      </c>
      <c r="DL92" s="2" t="s">
        <v>4</v>
      </c>
      <c r="DM92" s="2" t="s">
        <v>4</v>
      </c>
      <c r="DN92" s="2">
        <v>0</v>
      </c>
      <c r="DO92" s="2">
        <v>0</v>
      </c>
      <c r="DP92" s="2">
        <v>1</v>
      </c>
      <c r="DQ92" s="2">
        <v>1</v>
      </c>
      <c r="DR92" s="2"/>
      <c r="DS92" s="2"/>
      <c r="DT92" s="2"/>
      <c r="DU92" s="2">
        <v>1013</v>
      </c>
      <c r="DV92" s="2" t="s">
        <v>122</v>
      </c>
      <c r="DW92" s="2" t="s">
        <v>122</v>
      </c>
      <c r="DX92" s="2">
        <v>1</v>
      </c>
      <c r="DY92" s="2"/>
      <c r="DZ92" s="2" t="s">
        <v>4</v>
      </c>
      <c r="EA92" s="2" t="s">
        <v>4</v>
      </c>
      <c r="EB92" s="2" t="s">
        <v>4</v>
      </c>
      <c r="EC92" s="2" t="s">
        <v>4</v>
      </c>
      <c r="ED92" s="2"/>
      <c r="EE92" s="2">
        <v>69253307</v>
      </c>
      <c r="EF92" s="2">
        <v>60</v>
      </c>
      <c r="EG92" s="2" t="s">
        <v>124</v>
      </c>
      <c r="EH92" s="2">
        <v>0</v>
      </c>
      <c r="EI92" s="2" t="s">
        <v>4</v>
      </c>
      <c r="EJ92" s="2">
        <v>1</v>
      </c>
      <c r="EK92" s="2">
        <v>682</v>
      </c>
      <c r="EL92" s="2" t="s">
        <v>125</v>
      </c>
      <c r="EM92" s="2" t="s">
        <v>126</v>
      </c>
      <c r="EN92" s="2"/>
      <c r="EO92" s="2" t="s">
        <v>4</v>
      </c>
      <c r="EP92" s="2"/>
      <c r="EQ92" s="2">
        <v>0</v>
      </c>
      <c r="ER92" s="2">
        <v>2357.0500000000002</v>
      </c>
      <c r="ES92" s="2">
        <v>862.81</v>
      </c>
      <c r="ET92" s="2">
        <v>0</v>
      </c>
      <c r="EU92" s="2">
        <v>0</v>
      </c>
      <c r="EV92" s="2">
        <v>1494.24</v>
      </c>
      <c r="EW92" s="2">
        <v>132</v>
      </c>
      <c r="EX92" s="2">
        <v>0</v>
      </c>
      <c r="EY92" s="2">
        <v>0</v>
      </c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>
        <v>0</v>
      </c>
      <c r="FR92" s="2">
        <f t="shared" si="99"/>
        <v>0</v>
      </c>
      <c r="FS92" s="2">
        <v>0</v>
      </c>
      <c r="FT92" s="2"/>
      <c r="FU92" s="2"/>
      <c r="FV92" s="2"/>
      <c r="FW92" s="2"/>
      <c r="FX92" s="2">
        <v>91</v>
      </c>
      <c r="FY92" s="2">
        <v>70</v>
      </c>
      <c r="FZ92" s="2"/>
      <c r="GA92" s="2" t="s">
        <v>4</v>
      </c>
      <c r="GB92" s="2"/>
      <c r="GC92" s="2"/>
      <c r="GD92" s="2">
        <v>0</v>
      </c>
      <c r="GE92" s="2"/>
      <c r="GF92" s="2">
        <v>-205174160</v>
      </c>
      <c r="GG92" s="2">
        <v>2</v>
      </c>
      <c r="GH92" s="2">
        <v>1</v>
      </c>
      <c r="GI92" s="2">
        <v>-2</v>
      </c>
      <c r="GJ92" s="2">
        <v>0</v>
      </c>
      <c r="GK92" s="2">
        <f>ROUND(R92*(R12)/100,2)</f>
        <v>0</v>
      </c>
      <c r="GL92" s="2">
        <f t="shared" si="100"/>
        <v>0</v>
      </c>
      <c r="GM92" s="2">
        <f t="shared" si="101"/>
        <v>98.95</v>
      </c>
      <c r="GN92" s="2">
        <f t="shared" si="102"/>
        <v>98.95</v>
      </c>
      <c r="GO92" s="2">
        <f t="shared" si="103"/>
        <v>0</v>
      </c>
      <c r="GP92" s="2">
        <f t="shared" si="104"/>
        <v>0</v>
      </c>
      <c r="GQ92" s="2"/>
      <c r="GR92" s="2">
        <v>0</v>
      </c>
      <c r="GS92" s="2">
        <v>3</v>
      </c>
      <c r="GT92" s="2">
        <v>0</v>
      </c>
      <c r="GU92" s="2" t="s">
        <v>4</v>
      </c>
      <c r="GV92" s="2">
        <f t="shared" si="105"/>
        <v>0</v>
      </c>
      <c r="GW92" s="2">
        <v>1</v>
      </c>
      <c r="GX92" s="2">
        <f t="shared" si="106"/>
        <v>0</v>
      </c>
      <c r="GY92" s="2"/>
      <c r="GZ92" s="2"/>
      <c r="HA92" s="2">
        <v>0</v>
      </c>
      <c r="HB92" s="2">
        <v>0</v>
      </c>
      <c r="HC92" s="2">
        <f t="shared" si="107"/>
        <v>0</v>
      </c>
      <c r="HD92" s="2"/>
      <c r="HE92" s="2" t="s">
        <v>4</v>
      </c>
      <c r="HF92" s="2" t="s">
        <v>4</v>
      </c>
      <c r="HG92" s="2"/>
      <c r="HH92" s="2"/>
      <c r="HI92" s="2"/>
      <c r="HJ92" s="2"/>
      <c r="HK92" s="2"/>
      <c r="HL92" s="2"/>
      <c r="HM92" s="2" t="s">
        <v>4</v>
      </c>
      <c r="HN92" s="2" t="s">
        <v>4</v>
      </c>
      <c r="HO92" s="2" t="s">
        <v>4</v>
      </c>
      <c r="HP92" s="2" t="s">
        <v>4</v>
      </c>
      <c r="HQ92" s="2" t="s">
        <v>4</v>
      </c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  <c r="IK92" s="2">
        <v>0</v>
      </c>
      <c r="IL92" s="2"/>
      <c r="IM92" s="2"/>
      <c r="IN92" s="2"/>
      <c r="IO92" s="2"/>
      <c r="IP92" s="2"/>
      <c r="IQ92" s="2"/>
      <c r="IR92" s="2"/>
      <c r="IS92" s="2"/>
      <c r="IT92" s="2"/>
      <c r="IU92" s="2"/>
    </row>
    <row r="93" spans="1:255">
      <c r="A93">
        <v>17</v>
      </c>
      <c r="B93">
        <v>1</v>
      </c>
      <c r="C93">
        <f>ROW(SmtRes!A42)</f>
        <v>42</v>
      </c>
      <c r="D93">
        <f>ROW(EtalonRes!A64)</f>
        <v>64</v>
      </c>
      <c r="E93" t="s">
        <v>146</v>
      </c>
      <c r="F93" t="s">
        <v>147</v>
      </c>
      <c r="G93" t="s">
        <v>148</v>
      </c>
      <c r="H93" t="s">
        <v>122</v>
      </c>
      <c r="I93">
        <f>ROUND((2)/100,9)</f>
        <v>0.02</v>
      </c>
      <c r="J93">
        <v>0</v>
      </c>
      <c r="K93">
        <f>ROUND((2)/100,9)</f>
        <v>0.02</v>
      </c>
      <c r="O93">
        <f t="shared" si="70"/>
        <v>1551.42</v>
      </c>
      <c r="P93">
        <f t="shared" si="71"/>
        <v>91.12</v>
      </c>
      <c r="Q93">
        <f t="shared" si="72"/>
        <v>0</v>
      </c>
      <c r="R93">
        <f t="shared" si="73"/>
        <v>0</v>
      </c>
      <c r="S93">
        <f t="shared" si="74"/>
        <v>1460.3</v>
      </c>
      <c r="T93">
        <f t="shared" si="75"/>
        <v>0</v>
      </c>
      <c r="U93">
        <f t="shared" si="76"/>
        <v>2.7640799999999994</v>
      </c>
      <c r="V93">
        <f t="shared" si="77"/>
        <v>0</v>
      </c>
      <c r="W93">
        <f t="shared" si="78"/>
        <v>0</v>
      </c>
      <c r="X93">
        <f t="shared" si="79"/>
        <v>1095.23</v>
      </c>
      <c r="Y93">
        <f t="shared" si="80"/>
        <v>598.72</v>
      </c>
      <c r="AA93">
        <v>70305036</v>
      </c>
      <c r="AB93">
        <f t="shared" si="81"/>
        <v>2357.0500000000002</v>
      </c>
      <c r="AC93">
        <f t="shared" si="82"/>
        <v>862.81</v>
      </c>
      <c r="AD93">
        <f t="shared" si="83"/>
        <v>0</v>
      </c>
      <c r="AE93">
        <f t="shared" si="84"/>
        <v>0</v>
      </c>
      <c r="AF93">
        <f t="shared" si="85"/>
        <v>1494.24</v>
      </c>
      <c r="AG93">
        <f t="shared" si="86"/>
        <v>0</v>
      </c>
      <c r="AH93">
        <f t="shared" si="87"/>
        <v>132</v>
      </c>
      <c r="AI93">
        <f t="shared" si="88"/>
        <v>0</v>
      </c>
      <c r="AJ93">
        <f t="shared" si="89"/>
        <v>0</v>
      </c>
      <c r="AK93">
        <v>2357.0500000000002</v>
      </c>
      <c r="AL93">
        <v>862.81</v>
      </c>
      <c r="AM93">
        <v>0</v>
      </c>
      <c r="AN93">
        <v>0</v>
      </c>
      <c r="AO93">
        <v>1494.24</v>
      </c>
      <c r="AP93">
        <v>0</v>
      </c>
      <c r="AQ93">
        <v>132</v>
      </c>
      <c r="AR93">
        <v>0</v>
      </c>
      <c r="AS93">
        <v>0</v>
      </c>
      <c r="AT93">
        <v>75</v>
      </c>
      <c r="AU93">
        <v>41</v>
      </c>
      <c r="AV93">
        <v>1.0469999999999999</v>
      </c>
      <c r="AW93">
        <v>1.002</v>
      </c>
      <c r="AZ93">
        <v>1</v>
      </c>
      <c r="BA93">
        <v>46.67</v>
      </c>
      <c r="BB93">
        <v>1</v>
      </c>
      <c r="BC93">
        <v>5.27</v>
      </c>
      <c r="BD93" t="s">
        <v>4</v>
      </c>
      <c r="BE93" t="s">
        <v>4</v>
      </c>
      <c r="BF93" t="s">
        <v>4</v>
      </c>
      <c r="BG93" t="s">
        <v>4</v>
      </c>
      <c r="BH93">
        <v>0</v>
      </c>
      <c r="BI93">
        <v>1</v>
      </c>
      <c r="BJ93" t="s">
        <v>149</v>
      </c>
      <c r="BM93">
        <v>682</v>
      </c>
      <c r="BN93">
        <v>0</v>
      </c>
      <c r="BO93" t="s">
        <v>147</v>
      </c>
      <c r="BP93">
        <v>1</v>
      </c>
      <c r="BQ93">
        <v>60</v>
      </c>
      <c r="BR93">
        <v>0</v>
      </c>
      <c r="BS93">
        <v>46.67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4</v>
      </c>
      <c r="BZ93">
        <v>75</v>
      </c>
      <c r="CA93">
        <v>41</v>
      </c>
      <c r="CB93" t="s">
        <v>4</v>
      </c>
      <c r="CE93">
        <v>30</v>
      </c>
      <c r="CF93">
        <v>0</v>
      </c>
      <c r="CG93">
        <v>0</v>
      </c>
      <c r="CM93">
        <v>0</v>
      </c>
      <c r="CN93" t="s">
        <v>4</v>
      </c>
      <c r="CO93">
        <v>0</v>
      </c>
      <c r="CP93">
        <f t="shared" si="90"/>
        <v>1551.42</v>
      </c>
      <c r="CQ93">
        <f t="shared" si="91"/>
        <v>4556.13</v>
      </c>
      <c r="CR93">
        <f t="shared" si="92"/>
        <v>0</v>
      </c>
      <c r="CS93">
        <f t="shared" si="93"/>
        <v>0</v>
      </c>
      <c r="CT93">
        <f t="shared" si="94"/>
        <v>73013.81</v>
      </c>
      <c r="CU93">
        <f t="shared" si="95"/>
        <v>0</v>
      </c>
      <c r="CV93">
        <f t="shared" si="96"/>
        <v>138.20399999999998</v>
      </c>
      <c r="CW93">
        <f t="shared" si="97"/>
        <v>0</v>
      </c>
      <c r="CX93">
        <f t="shared" si="98"/>
        <v>0</v>
      </c>
      <c r="CY93">
        <f>S93*(BZ93/100)</f>
        <v>1095.2249999999999</v>
      </c>
      <c r="CZ93">
        <f>S93*(CA93/100)</f>
        <v>598.72299999999996</v>
      </c>
      <c r="DC93" t="s">
        <v>4</v>
      </c>
      <c r="DD93" t="s">
        <v>4</v>
      </c>
      <c r="DE93" t="s">
        <v>4</v>
      </c>
      <c r="DF93" t="s">
        <v>4</v>
      </c>
      <c r="DG93" t="s">
        <v>4</v>
      </c>
      <c r="DH93" t="s">
        <v>4</v>
      </c>
      <c r="DI93" t="s">
        <v>4</v>
      </c>
      <c r="DJ93" t="s">
        <v>4</v>
      </c>
      <c r="DK93" t="s">
        <v>4</v>
      </c>
      <c r="DL93" t="s">
        <v>4</v>
      </c>
      <c r="DM93" t="s">
        <v>4</v>
      </c>
      <c r="DN93">
        <v>91</v>
      </c>
      <c r="DO93">
        <v>70</v>
      </c>
      <c r="DP93">
        <v>1.0469999999999999</v>
      </c>
      <c r="DQ93">
        <v>1.002</v>
      </c>
      <c r="DU93">
        <v>1013</v>
      </c>
      <c r="DV93" t="s">
        <v>122</v>
      </c>
      <c r="DW93" t="s">
        <v>122</v>
      </c>
      <c r="DX93">
        <v>1</v>
      </c>
      <c r="DZ93" t="s">
        <v>4</v>
      </c>
      <c r="EA93" t="s">
        <v>4</v>
      </c>
      <c r="EB93" t="s">
        <v>4</v>
      </c>
      <c r="EC93" t="s">
        <v>4</v>
      </c>
      <c r="EE93">
        <v>69253307</v>
      </c>
      <c r="EF93">
        <v>60</v>
      </c>
      <c r="EG93" t="s">
        <v>124</v>
      </c>
      <c r="EH93">
        <v>0</v>
      </c>
      <c r="EI93" t="s">
        <v>4</v>
      </c>
      <c r="EJ93">
        <v>1</v>
      </c>
      <c r="EK93">
        <v>682</v>
      </c>
      <c r="EL93" t="s">
        <v>125</v>
      </c>
      <c r="EM93" t="s">
        <v>126</v>
      </c>
      <c r="EO93" t="s">
        <v>4</v>
      </c>
      <c r="EQ93">
        <v>0</v>
      </c>
      <c r="ER93">
        <v>2357.0500000000002</v>
      </c>
      <c r="ES93">
        <v>862.81</v>
      </c>
      <c r="ET93">
        <v>0</v>
      </c>
      <c r="EU93">
        <v>0</v>
      </c>
      <c r="EV93">
        <v>1494.24</v>
      </c>
      <c r="EW93">
        <v>132</v>
      </c>
      <c r="EX93">
        <v>0</v>
      </c>
      <c r="EY93">
        <v>0</v>
      </c>
      <c r="FQ93">
        <v>0</v>
      </c>
      <c r="FR93">
        <f t="shared" si="99"/>
        <v>0</v>
      </c>
      <c r="FS93">
        <v>0</v>
      </c>
      <c r="FX93">
        <v>91</v>
      </c>
      <c r="FY93">
        <v>70</v>
      </c>
      <c r="GA93" t="s">
        <v>4</v>
      </c>
      <c r="GD93">
        <v>0</v>
      </c>
      <c r="GF93">
        <v>-205174160</v>
      </c>
      <c r="GG93">
        <v>2</v>
      </c>
      <c r="GH93">
        <v>1</v>
      </c>
      <c r="GI93">
        <v>2</v>
      </c>
      <c r="GJ93">
        <v>0</v>
      </c>
      <c r="GK93">
        <f>ROUND(R93*(S12)/100,2)</f>
        <v>0</v>
      </c>
      <c r="GL93">
        <f t="shared" si="100"/>
        <v>0</v>
      </c>
      <c r="GM93">
        <f t="shared" si="101"/>
        <v>3245.37</v>
      </c>
      <c r="GN93">
        <f t="shared" si="102"/>
        <v>3245.37</v>
      </c>
      <c r="GO93">
        <f t="shared" si="103"/>
        <v>0</v>
      </c>
      <c r="GP93">
        <f t="shared" si="104"/>
        <v>0</v>
      </c>
      <c r="GR93">
        <v>0</v>
      </c>
      <c r="GS93">
        <v>3</v>
      </c>
      <c r="GT93">
        <v>0</v>
      </c>
      <c r="GU93" t="s">
        <v>4</v>
      </c>
      <c r="GV93">
        <f t="shared" si="105"/>
        <v>0</v>
      </c>
      <c r="GW93">
        <v>1</v>
      </c>
      <c r="GX93">
        <f t="shared" si="106"/>
        <v>0</v>
      </c>
      <c r="HA93">
        <v>0</v>
      </c>
      <c r="HB93">
        <v>0</v>
      </c>
      <c r="HC93">
        <f t="shared" si="107"/>
        <v>0</v>
      </c>
      <c r="HE93" t="s">
        <v>4</v>
      </c>
      <c r="HF93" t="s">
        <v>4</v>
      </c>
      <c r="HM93" t="s">
        <v>4</v>
      </c>
      <c r="HN93" t="s">
        <v>4</v>
      </c>
      <c r="HO93" t="s">
        <v>4</v>
      </c>
      <c r="HP93" t="s">
        <v>4</v>
      </c>
      <c r="HQ93" t="s">
        <v>4</v>
      </c>
      <c r="IK93">
        <v>0</v>
      </c>
    </row>
    <row r="94" spans="1:255">
      <c r="A94" s="2">
        <v>18</v>
      </c>
      <c r="B94" s="2">
        <v>1</v>
      </c>
      <c r="C94" s="2">
        <v>36</v>
      </c>
      <c r="D94" s="2"/>
      <c r="E94" s="2" t="s">
        <v>150</v>
      </c>
      <c r="F94" s="2" t="s">
        <v>151</v>
      </c>
      <c r="G94" s="2" t="s">
        <v>152</v>
      </c>
      <c r="H94" s="2" t="s">
        <v>52</v>
      </c>
      <c r="I94" s="2">
        <f>I92*J94</f>
        <v>0.06</v>
      </c>
      <c r="J94" s="2">
        <v>3</v>
      </c>
      <c r="K94" s="2">
        <v>3</v>
      </c>
      <c r="L94" s="2"/>
      <c r="M94" s="2"/>
      <c r="N94" s="2"/>
      <c r="O94" s="2">
        <f t="shared" si="70"/>
        <v>30.96</v>
      </c>
      <c r="P94" s="2">
        <f t="shared" si="71"/>
        <v>30.96</v>
      </c>
      <c r="Q94" s="2">
        <f t="shared" si="72"/>
        <v>0</v>
      </c>
      <c r="R94" s="2">
        <f t="shared" si="73"/>
        <v>0</v>
      </c>
      <c r="S94" s="2">
        <f t="shared" si="74"/>
        <v>0</v>
      </c>
      <c r="T94" s="2">
        <f t="shared" si="75"/>
        <v>0</v>
      </c>
      <c r="U94" s="2">
        <f t="shared" si="76"/>
        <v>0</v>
      </c>
      <c r="V94" s="2">
        <f t="shared" si="77"/>
        <v>0</v>
      </c>
      <c r="W94" s="2">
        <f t="shared" si="78"/>
        <v>0</v>
      </c>
      <c r="X94" s="2">
        <f t="shared" si="79"/>
        <v>0</v>
      </c>
      <c r="Y94" s="2">
        <f t="shared" si="80"/>
        <v>0</v>
      </c>
      <c r="Z94" s="2"/>
      <c r="AA94" s="2">
        <v>70305038</v>
      </c>
      <c r="AB94" s="2">
        <f t="shared" si="81"/>
        <v>514.9</v>
      </c>
      <c r="AC94" s="2">
        <f t="shared" si="82"/>
        <v>514.9</v>
      </c>
      <c r="AD94" s="2">
        <f t="shared" si="83"/>
        <v>0</v>
      </c>
      <c r="AE94" s="2">
        <f t="shared" si="84"/>
        <v>0</v>
      </c>
      <c r="AF94" s="2">
        <f t="shared" si="85"/>
        <v>0</v>
      </c>
      <c r="AG94" s="2">
        <f t="shared" si="86"/>
        <v>0</v>
      </c>
      <c r="AH94" s="2">
        <f t="shared" si="87"/>
        <v>0</v>
      </c>
      <c r="AI94" s="2">
        <f t="shared" si="88"/>
        <v>0</v>
      </c>
      <c r="AJ94" s="2">
        <f t="shared" si="89"/>
        <v>0</v>
      </c>
      <c r="AK94" s="2">
        <v>514.9</v>
      </c>
      <c r="AL94" s="2">
        <v>514.9</v>
      </c>
      <c r="AM94" s="2">
        <v>0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91</v>
      </c>
      <c r="AU94" s="2">
        <v>70</v>
      </c>
      <c r="AV94" s="2">
        <v>1.0469999999999999</v>
      </c>
      <c r="AW94" s="2">
        <v>1.002</v>
      </c>
      <c r="AX94" s="2"/>
      <c r="AY94" s="2"/>
      <c r="AZ94" s="2">
        <v>1</v>
      </c>
      <c r="BA94" s="2">
        <v>1</v>
      </c>
      <c r="BB94" s="2">
        <v>1</v>
      </c>
      <c r="BC94" s="2">
        <v>1</v>
      </c>
      <c r="BD94" s="2" t="s">
        <v>4</v>
      </c>
      <c r="BE94" s="2" t="s">
        <v>4</v>
      </c>
      <c r="BF94" s="2" t="s">
        <v>4</v>
      </c>
      <c r="BG94" s="2" t="s">
        <v>4</v>
      </c>
      <c r="BH94" s="2">
        <v>3</v>
      </c>
      <c r="BI94" s="2">
        <v>1</v>
      </c>
      <c r="BJ94" s="2" t="s">
        <v>153</v>
      </c>
      <c r="BK94" s="2"/>
      <c r="BL94" s="2"/>
      <c r="BM94" s="2">
        <v>682</v>
      </c>
      <c r="BN94" s="2">
        <v>0</v>
      </c>
      <c r="BO94" s="2" t="s">
        <v>4</v>
      </c>
      <c r="BP94" s="2">
        <v>0</v>
      </c>
      <c r="BQ94" s="2">
        <v>60</v>
      </c>
      <c r="BR94" s="2">
        <v>0</v>
      </c>
      <c r="BS94" s="2">
        <v>1</v>
      </c>
      <c r="BT94" s="2">
        <v>1</v>
      </c>
      <c r="BU94" s="2">
        <v>1</v>
      </c>
      <c r="BV94" s="2">
        <v>1</v>
      </c>
      <c r="BW94" s="2">
        <v>1</v>
      </c>
      <c r="BX94" s="2">
        <v>1</v>
      </c>
      <c r="BY94" s="2" t="s">
        <v>4</v>
      </c>
      <c r="BZ94" s="2">
        <v>91</v>
      </c>
      <c r="CA94" s="2">
        <v>70</v>
      </c>
      <c r="CB94" s="2" t="s">
        <v>4</v>
      </c>
      <c r="CC94" s="2"/>
      <c r="CD94" s="2"/>
      <c r="CE94" s="2">
        <v>30</v>
      </c>
      <c r="CF94" s="2">
        <v>0</v>
      </c>
      <c r="CG94" s="2">
        <v>0</v>
      </c>
      <c r="CH94" s="2"/>
      <c r="CI94" s="2"/>
      <c r="CJ94" s="2"/>
      <c r="CK94" s="2"/>
      <c r="CL94" s="2"/>
      <c r="CM94" s="2">
        <v>0</v>
      </c>
      <c r="CN94" s="2" t="s">
        <v>4</v>
      </c>
      <c r="CO94" s="2">
        <v>0</v>
      </c>
      <c r="CP94" s="2">
        <f t="shared" si="90"/>
        <v>30.96</v>
      </c>
      <c r="CQ94" s="2">
        <f t="shared" si="91"/>
        <v>515.92999999999995</v>
      </c>
      <c r="CR94" s="2">
        <f t="shared" si="92"/>
        <v>0</v>
      </c>
      <c r="CS94" s="2">
        <f t="shared" si="93"/>
        <v>0</v>
      </c>
      <c r="CT94" s="2">
        <f t="shared" si="94"/>
        <v>0</v>
      </c>
      <c r="CU94" s="2">
        <f t="shared" si="95"/>
        <v>0</v>
      </c>
      <c r="CV94" s="2">
        <f t="shared" si="96"/>
        <v>0</v>
      </c>
      <c r="CW94" s="2">
        <f t="shared" si="97"/>
        <v>0</v>
      </c>
      <c r="CX94" s="2">
        <f t="shared" si="98"/>
        <v>0</v>
      </c>
      <c r="CY94" s="2">
        <f>((S94*BZ94)/100)</f>
        <v>0</v>
      </c>
      <c r="CZ94" s="2">
        <f>((S94*CA94)/100)</f>
        <v>0</v>
      </c>
      <c r="DA94" s="2"/>
      <c r="DB94" s="2"/>
      <c r="DC94" s="2" t="s">
        <v>4</v>
      </c>
      <c r="DD94" s="2" t="s">
        <v>4</v>
      </c>
      <c r="DE94" s="2" t="s">
        <v>4</v>
      </c>
      <c r="DF94" s="2" t="s">
        <v>4</v>
      </c>
      <c r="DG94" s="2" t="s">
        <v>4</v>
      </c>
      <c r="DH94" s="2" t="s">
        <v>4</v>
      </c>
      <c r="DI94" s="2" t="s">
        <v>4</v>
      </c>
      <c r="DJ94" s="2" t="s">
        <v>4</v>
      </c>
      <c r="DK94" s="2" t="s">
        <v>4</v>
      </c>
      <c r="DL94" s="2" t="s">
        <v>4</v>
      </c>
      <c r="DM94" s="2" t="s">
        <v>4</v>
      </c>
      <c r="DN94" s="2">
        <v>0</v>
      </c>
      <c r="DO94" s="2">
        <v>0</v>
      </c>
      <c r="DP94" s="2">
        <v>1</v>
      </c>
      <c r="DQ94" s="2">
        <v>1</v>
      </c>
      <c r="DR94" s="2"/>
      <c r="DS94" s="2"/>
      <c r="DT94" s="2"/>
      <c r="DU94" s="2">
        <v>1007</v>
      </c>
      <c r="DV94" s="2" t="s">
        <v>52</v>
      </c>
      <c r="DW94" s="2" t="s">
        <v>52</v>
      </c>
      <c r="DX94" s="2">
        <v>1</v>
      </c>
      <c r="DY94" s="2"/>
      <c r="DZ94" s="2" t="s">
        <v>4</v>
      </c>
      <c r="EA94" s="2" t="s">
        <v>4</v>
      </c>
      <c r="EB94" s="2" t="s">
        <v>4</v>
      </c>
      <c r="EC94" s="2" t="s">
        <v>4</v>
      </c>
      <c r="ED94" s="2"/>
      <c r="EE94" s="2">
        <v>69253307</v>
      </c>
      <c r="EF94" s="2">
        <v>60</v>
      </c>
      <c r="EG94" s="2" t="s">
        <v>124</v>
      </c>
      <c r="EH94" s="2">
        <v>0</v>
      </c>
      <c r="EI94" s="2" t="s">
        <v>4</v>
      </c>
      <c r="EJ94" s="2">
        <v>1</v>
      </c>
      <c r="EK94" s="2">
        <v>682</v>
      </c>
      <c r="EL94" s="2" t="s">
        <v>125</v>
      </c>
      <c r="EM94" s="2" t="s">
        <v>126</v>
      </c>
      <c r="EN94" s="2"/>
      <c r="EO94" s="2" t="s">
        <v>4</v>
      </c>
      <c r="EP94" s="2"/>
      <c r="EQ94" s="2">
        <v>0</v>
      </c>
      <c r="ER94" s="2">
        <v>514.9</v>
      </c>
      <c r="ES94" s="2">
        <v>514.9</v>
      </c>
      <c r="ET94" s="2">
        <v>0</v>
      </c>
      <c r="EU94" s="2">
        <v>0</v>
      </c>
      <c r="EV94" s="2">
        <v>0</v>
      </c>
      <c r="EW94" s="2">
        <v>0</v>
      </c>
      <c r="EX94" s="2">
        <v>0</v>
      </c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>
        <v>0</v>
      </c>
      <c r="FR94" s="2">
        <f t="shared" si="99"/>
        <v>0</v>
      </c>
      <c r="FS94" s="2">
        <v>0</v>
      </c>
      <c r="FT94" s="2"/>
      <c r="FU94" s="2"/>
      <c r="FV94" s="2"/>
      <c r="FW94" s="2"/>
      <c r="FX94" s="2">
        <v>91</v>
      </c>
      <c r="FY94" s="2">
        <v>70</v>
      </c>
      <c r="FZ94" s="2"/>
      <c r="GA94" s="2" t="s">
        <v>4</v>
      </c>
      <c r="GB94" s="2"/>
      <c r="GC94" s="2"/>
      <c r="GD94" s="2">
        <v>0</v>
      </c>
      <c r="GE94" s="2"/>
      <c r="GF94" s="2">
        <v>-1943809492</v>
      </c>
      <c r="GG94" s="2">
        <v>2</v>
      </c>
      <c r="GH94" s="2">
        <v>1</v>
      </c>
      <c r="GI94" s="2">
        <v>-2</v>
      </c>
      <c r="GJ94" s="2">
        <v>0</v>
      </c>
      <c r="GK94" s="2">
        <f>ROUND(R94*(R12)/100,2)</f>
        <v>0</v>
      </c>
      <c r="GL94" s="2">
        <f t="shared" si="100"/>
        <v>0</v>
      </c>
      <c r="GM94" s="2">
        <f t="shared" si="101"/>
        <v>30.96</v>
      </c>
      <c r="GN94" s="2">
        <f t="shared" si="102"/>
        <v>30.96</v>
      </c>
      <c r="GO94" s="2">
        <f t="shared" si="103"/>
        <v>0</v>
      </c>
      <c r="GP94" s="2">
        <f t="shared" si="104"/>
        <v>0</v>
      </c>
      <c r="GQ94" s="2"/>
      <c r="GR94" s="2">
        <v>0</v>
      </c>
      <c r="GS94" s="2">
        <v>3</v>
      </c>
      <c r="GT94" s="2">
        <v>0</v>
      </c>
      <c r="GU94" s="2" t="s">
        <v>4</v>
      </c>
      <c r="GV94" s="2">
        <f t="shared" si="105"/>
        <v>0</v>
      </c>
      <c r="GW94" s="2">
        <v>1</v>
      </c>
      <c r="GX94" s="2">
        <f t="shared" si="106"/>
        <v>0</v>
      </c>
      <c r="GY94" s="2"/>
      <c r="GZ94" s="2"/>
      <c r="HA94" s="2">
        <v>0</v>
      </c>
      <c r="HB94" s="2">
        <v>0</v>
      </c>
      <c r="HC94" s="2">
        <f t="shared" si="107"/>
        <v>0</v>
      </c>
      <c r="HD94" s="2"/>
      <c r="HE94" s="2" t="s">
        <v>4</v>
      </c>
      <c r="HF94" s="2" t="s">
        <v>4</v>
      </c>
      <c r="HG94" s="2"/>
      <c r="HH94" s="2"/>
      <c r="HI94" s="2"/>
      <c r="HJ94" s="2"/>
      <c r="HK94" s="2"/>
      <c r="HL94" s="2"/>
      <c r="HM94" s="2" t="s">
        <v>4</v>
      </c>
      <c r="HN94" s="2" t="s">
        <v>4</v>
      </c>
      <c r="HO94" s="2" t="s">
        <v>4</v>
      </c>
      <c r="HP94" s="2" t="s">
        <v>4</v>
      </c>
      <c r="HQ94" s="2" t="s">
        <v>4</v>
      </c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  <c r="IK94" s="2">
        <v>0</v>
      </c>
      <c r="IL94" s="2"/>
      <c r="IM94" s="2"/>
      <c r="IN94" s="2"/>
      <c r="IO94" s="2"/>
      <c r="IP94" s="2"/>
      <c r="IQ94" s="2"/>
      <c r="IR94" s="2"/>
      <c r="IS94" s="2"/>
      <c r="IT94" s="2"/>
      <c r="IU94" s="2"/>
    </row>
    <row r="95" spans="1:255">
      <c r="A95">
        <v>18</v>
      </c>
      <c r="B95">
        <v>1</v>
      </c>
      <c r="C95">
        <v>42</v>
      </c>
      <c r="E95" t="s">
        <v>150</v>
      </c>
      <c r="F95" t="s">
        <v>151</v>
      </c>
      <c r="G95" t="s">
        <v>152</v>
      </c>
      <c r="H95" t="s">
        <v>52</v>
      </c>
      <c r="I95">
        <f>I93*J95</f>
        <v>0.06</v>
      </c>
      <c r="J95">
        <v>3</v>
      </c>
      <c r="K95">
        <v>3</v>
      </c>
      <c r="O95">
        <f t="shared" si="70"/>
        <v>397.53</v>
      </c>
      <c r="P95">
        <f t="shared" si="71"/>
        <v>397.53</v>
      </c>
      <c r="Q95">
        <f t="shared" si="72"/>
        <v>0</v>
      </c>
      <c r="R95">
        <f t="shared" si="73"/>
        <v>0</v>
      </c>
      <c r="S95">
        <f t="shared" si="74"/>
        <v>0</v>
      </c>
      <c r="T95">
        <f t="shared" si="75"/>
        <v>0</v>
      </c>
      <c r="U95">
        <f t="shared" si="76"/>
        <v>0</v>
      </c>
      <c r="V95">
        <f t="shared" si="77"/>
        <v>0</v>
      </c>
      <c r="W95">
        <f t="shared" si="78"/>
        <v>0</v>
      </c>
      <c r="X95">
        <f t="shared" si="79"/>
        <v>0</v>
      </c>
      <c r="Y95">
        <f t="shared" si="80"/>
        <v>0</v>
      </c>
      <c r="AA95">
        <v>70305036</v>
      </c>
      <c r="AB95">
        <f t="shared" si="81"/>
        <v>514.9</v>
      </c>
      <c r="AC95">
        <f t="shared" si="82"/>
        <v>514.9</v>
      </c>
      <c r="AD95">
        <f t="shared" si="83"/>
        <v>0</v>
      </c>
      <c r="AE95">
        <f t="shared" si="84"/>
        <v>0</v>
      </c>
      <c r="AF95">
        <f t="shared" si="85"/>
        <v>0</v>
      </c>
      <c r="AG95">
        <f t="shared" si="86"/>
        <v>0</v>
      </c>
      <c r="AH95">
        <f t="shared" si="87"/>
        <v>0</v>
      </c>
      <c r="AI95">
        <f t="shared" si="88"/>
        <v>0</v>
      </c>
      <c r="AJ95">
        <f t="shared" si="89"/>
        <v>0</v>
      </c>
      <c r="AK95">
        <v>514.9</v>
      </c>
      <c r="AL95">
        <v>514.9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1</v>
      </c>
      <c r="AW95">
        <v>1.002</v>
      </c>
      <c r="AZ95">
        <v>1</v>
      </c>
      <c r="BA95">
        <v>1</v>
      </c>
      <c r="BB95">
        <v>1</v>
      </c>
      <c r="BC95">
        <v>12.84</v>
      </c>
      <c r="BD95" t="s">
        <v>4</v>
      </c>
      <c r="BE95" t="s">
        <v>4</v>
      </c>
      <c r="BF95" t="s">
        <v>4</v>
      </c>
      <c r="BG95" t="s">
        <v>4</v>
      </c>
      <c r="BH95">
        <v>3</v>
      </c>
      <c r="BI95">
        <v>1</v>
      </c>
      <c r="BJ95" t="s">
        <v>153</v>
      </c>
      <c r="BM95">
        <v>682</v>
      </c>
      <c r="BN95">
        <v>0</v>
      </c>
      <c r="BO95" t="s">
        <v>151</v>
      </c>
      <c r="BP95">
        <v>1</v>
      </c>
      <c r="BQ95">
        <v>60</v>
      </c>
      <c r="BR95">
        <v>0</v>
      </c>
      <c r="BS95">
        <v>1</v>
      </c>
      <c r="BT95">
        <v>1</v>
      </c>
      <c r="BU95">
        <v>1</v>
      </c>
      <c r="BV95">
        <v>1</v>
      </c>
      <c r="BW95">
        <v>1</v>
      </c>
      <c r="BX95">
        <v>1</v>
      </c>
      <c r="BY95" t="s">
        <v>4</v>
      </c>
      <c r="BZ95">
        <v>0</v>
      </c>
      <c r="CA95">
        <v>0</v>
      </c>
      <c r="CB95" t="s">
        <v>4</v>
      </c>
      <c r="CE95">
        <v>30</v>
      </c>
      <c r="CF95">
        <v>0</v>
      </c>
      <c r="CG95">
        <v>0</v>
      </c>
      <c r="CM95">
        <v>0</v>
      </c>
      <c r="CN95" t="s">
        <v>4</v>
      </c>
      <c r="CO95">
        <v>0</v>
      </c>
      <c r="CP95">
        <f t="shared" si="90"/>
        <v>397.53</v>
      </c>
      <c r="CQ95">
        <f t="shared" si="91"/>
        <v>6624.54</v>
      </c>
      <c r="CR95">
        <f t="shared" si="92"/>
        <v>0</v>
      </c>
      <c r="CS95">
        <f t="shared" si="93"/>
        <v>0</v>
      </c>
      <c r="CT95">
        <f t="shared" si="94"/>
        <v>0</v>
      </c>
      <c r="CU95">
        <f t="shared" si="95"/>
        <v>0</v>
      </c>
      <c r="CV95">
        <f t="shared" si="96"/>
        <v>0</v>
      </c>
      <c r="CW95">
        <f t="shared" si="97"/>
        <v>0</v>
      </c>
      <c r="CX95">
        <f t="shared" si="98"/>
        <v>0</v>
      </c>
      <c r="CY95">
        <f>S95*(BZ95/100)</f>
        <v>0</v>
      </c>
      <c r="CZ95">
        <f>S95*(CA95/100)</f>
        <v>0</v>
      </c>
      <c r="DC95" t="s">
        <v>4</v>
      </c>
      <c r="DD95" t="s">
        <v>4</v>
      </c>
      <c r="DE95" t="s">
        <v>4</v>
      </c>
      <c r="DF95" t="s">
        <v>4</v>
      </c>
      <c r="DG95" t="s">
        <v>4</v>
      </c>
      <c r="DH95" t="s">
        <v>4</v>
      </c>
      <c r="DI95" t="s">
        <v>4</v>
      </c>
      <c r="DJ95" t="s">
        <v>4</v>
      </c>
      <c r="DK95" t="s">
        <v>4</v>
      </c>
      <c r="DL95" t="s">
        <v>4</v>
      </c>
      <c r="DM95" t="s">
        <v>4</v>
      </c>
      <c r="DN95">
        <v>91</v>
      </c>
      <c r="DO95">
        <v>70</v>
      </c>
      <c r="DP95">
        <v>1.0469999999999999</v>
      </c>
      <c r="DQ95">
        <v>1.002</v>
      </c>
      <c r="DU95">
        <v>1007</v>
      </c>
      <c r="DV95" t="s">
        <v>52</v>
      </c>
      <c r="DW95" t="s">
        <v>52</v>
      </c>
      <c r="DX95">
        <v>1</v>
      </c>
      <c r="DZ95" t="s">
        <v>4</v>
      </c>
      <c r="EA95" t="s">
        <v>4</v>
      </c>
      <c r="EB95" t="s">
        <v>4</v>
      </c>
      <c r="EC95" t="s">
        <v>4</v>
      </c>
      <c r="EE95">
        <v>69253307</v>
      </c>
      <c r="EF95">
        <v>60</v>
      </c>
      <c r="EG95" t="s">
        <v>124</v>
      </c>
      <c r="EH95">
        <v>0</v>
      </c>
      <c r="EI95" t="s">
        <v>4</v>
      </c>
      <c r="EJ95">
        <v>1</v>
      </c>
      <c r="EK95">
        <v>682</v>
      </c>
      <c r="EL95" t="s">
        <v>125</v>
      </c>
      <c r="EM95" t="s">
        <v>126</v>
      </c>
      <c r="EO95" t="s">
        <v>4</v>
      </c>
      <c r="EQ95">
        <v>0</v>
      </c>
      <c r="ER95">
        <v>514.9</v>
      </c>
      <c r="ES95">
        <v>514.9</v>
      </c>
      <c r="ET95">
        <v>0</v>
      </c>
      <c r="EU95">
        <v>0</v>
      </c>
      <c r="EV95">
        <v>0</v>
      </c>
      <c r="EW95">
        <v>0</v>
      </c>
      <c r="EX95">
        <v>0</v>
      </c>
      <c r="FQ95">
        <v>0</v>
      </c>
      <c r="FR95">
        <f t="shared" si="99"/>
        <v>0</v>
      </c>
      <c r="FS95">
        <v>0</v>
      </c>
      <c r="FX95">
        <v>91</v>
      </c>
      <c r="FY95">
        <v>70</v>
      </c>
      <c r="GA95" t="s">
        <v>4</v>
      </c>
      <c r="GD95">
        <v>0</v>
      </c>
      <c r="GF95">
        <v>-1943809492</v>
      </c>
      <c r="GG95">
        <v>2</v>
      </c>
      <c r="GH95">
        <v>1</v>
      </c>
      <c r="GI95">
        <v>2</v>
      </c>
      <c r="GJ95">
        <v>0</v>
      </c>
      <c r="GK95">
        <f>ROUND(R95*(S12)/100,2)</f>
        <v>0</v>
      </c>
      <c r="GL95">
        <f t="shared" si="100"/>
        <v>0</v>
      </c>
      <c r="GM95">
        <f t="shared" si="101"/>
        <v>397.53</v>
      </c>
      <c r="GN95">
        <f t="shared" si="102"/>
        <v>397.53</v>
      </c>
      <c r="GO95">
        <f t="shared" si="103"/>
        <v>0</v>
      </c>
      <c r="GP95">
        <f t="shared" si="104"/>
        <v>0</v>
      </c>
      <c r="GR95">
        <v>0</v>
      </c>
      <c r="GS95">
        <v>3</v>
      </c>
      <c r="GT95">
        <v>0</v>
      </c>
      <c r="GU95" t="s">
        <v>4</v>
      </c>
      <c r="GV95">
        <f t="shared" si="105"/>
        <v>0</v>
      </c>
      <c r="GW95">
        <v>1</v>
      </c>
      <c r="GX95">
        <f t="shared" si="106"/>
        <v>0</v>
      </c>
      <c r="HA95">
        <v>0</v>
      </c>
      <c r="HB95">
        <v>0</v>
      </c>
      <c r="HC95">
        <f t="shared" si="107"/>
        <v>0</v>
      </c>
      <c r="HE95" t="s">
        <v>4</v>
      </c>
      <c r="HF95" t="s">
        <v>4</v>
      </c>
      <c r="HM95" t="s">
        <v>4</v>
      </c>
      <c r="HN95" t="s">
        <v>4</v>
      </c>
      <c r="HO95" t="s">
        <v>4</v>
      </c>
      <c r="HP95" t="s">
        <v>4</v>
      </c>
      <c r="HQ95" t="s">
        <v>4</v>
      </c>
      <c r="IK95">
        <v>0</v>
      </c>
    </row>
    <row r="96" spans="1:255">
      <c r="A96" s="2">
        <v>17</v>
      </c>
      <c r="B96" s="2">
        <v>1</v>
      </c>
      <c r="C96" s="2">
        <f>ROW(SmtRes!A49)</f>
        <v>49</v>
      </c>
      <c r="D96" s="2">
        <f>ROW(EtalonRes!A71)</f>
        <v>71</v>
      </c>
      <c r="E96" s="2" t="s">
        <v>154</v>
      </c>
      <c r="F96" s="2" t="s">
        <v>155</v>
      </c>
      <c r="G96" s="2" t="s">
        <v>156</v>
      </c>
      <c r="H96" s="2" t="s">
        <v>157</v>
      </c>
      <c r="I96" s="2">
        <f>ROUND((2*2)/100,9)</f>
        <v>0.04</v>
      </c>
      <c r="J96" s="2">
        <v>0</v>
      </c>
      <c r="K96" s="2">
        <f>ROUND((2*2)/100,9)</f>
        <v>0.04</v>
      </c>
      <c r="L96" s="2"/>
      <c r="M96" s="2"/>
      <c r="N96" s="2"/>
      <c r="O96" s="2">
        <f t="shared" si="70"/>
        <v>38.29</v>
      </c>
      <c r="P96" s="2">
        <f t="shared" si="71"/>
        <v>10.15</v>
      </c>
      <c r="Q96" s="2">
        <f t="shared" si="72"/>
        <v>3.76</v>
      </c>
      <c r="R96" s="2">
        <f t="shared" si="73"/>
        <v>0.28999999999999998</v>
      </c>
      <c r="S96" s="2">
        <f t="shared" si="74"/>
        <v>24.38</v>
      </c>
      <c r="T96" s="2">
        <f t="shared" si="75"/>
        <v>0</v>
      </c>
      <c r="U96" s="2">
        <f t="shared" si="76"/>
        <v>1.9599839999999997</v>
      </c>
      <c r="V96" s="2">
        <f t="shared" si="77"/>
        <v>0</v>
      </c>
      <c r="W96" s="2">
        <f t="shared" si="78"/>
        <v>0</v>
      </c>
      <c r="X96" s="2">
        <f t="shared" si="79"/>
        <v>25.6</v>
      </c>
      <c r="Y96" s="2">
        <f t="shared" si="80"/>
        <v>18.77</v>
      </c>
      <c r="Z96" s="2"/>
      <c r="AA96" s="2">
        <v>70305038</v>
      </c>
      <c r="AB96" s="2">
        <f t="shared" si="81"/>
        <v>909.53</v>
      </c>
      <c r="AC96" s="2">
        <f t="shared" si="82"/>
        <v>237.53</v>
      </c>
      <c r="AD96" s="2">
        <f t="shared" si="83"/>
        <v>89.81</v>
      </c>
      <c r="AE96" s="2">
        <f t="shared" si="84"/>
        <v>6.94</v>
      </c>
      <c r="AF96" s="2">
        <f t="shared" si="85"/>
        <v>582.19000000000005</v>
      </c>
      <c r="AG96" s="2">
        <f t="shared" si="86"/>
        <v>0</v>
      </c>
      <c r="AH96" s="2">
        <f t="shared" si="87"/>
        <v>46.8</v>
      </c>
      <c r="AI96" s="2">
        <f t="shared" si="88"/>
        <v>0</v>
      </c>
      <c r="AJ96" s="2">
        <f t="shared" si="89"/>
        <v>0</v>
      </c>
      <c r="AK96" s="2">
        <v>909.53</v>
      </c>
      <c r="AL96" s="2">
        <v>237.53</v>
      </c>
      <c r="AM96" s="2">
        <v>89.81</v>
      </c>
      <c r="AN96" s="2">
        <v>6.94</v>
      </c>
      <c r="AO96" s="2">
        <v>582.19000000000005</v>
      </c>
      <c r="AP96" s="2">
        <v>0</v>
      </c>
      <c r="AQ96" s="2">
        <v>46.8</v>
      </c>
      <c r="AR96" s="2">
        <v>0</v>
      </c>
      <c r="AS96" s="2">
        <v>0</v>
      </c>
      <c r="AT96" s="2">
        <v>105</v>
      </c>
      <c r="AU96" s="2">
        <v>77</v>
      </c>
      <c r="AV96" s="2">
        <v>1.0469999999999999</v>
      </c>
      <c r="AW96" s="2">
        <v>1.0680000000000001</v>
      </c>
      <c r="AX96" s="2"/>
      <c r="AY96" s="2"/>
      <c r="AZ96" s="2">
        <v>1</v>
      </c>
      <c r="BA96" s="2">
        <v>1</v>
      </c>
      <c r="BB96" s="2">
        <v>1</v>
      </c>
      <c r="BC96" s="2">
        <v>1</v>
      </c>
      <c r="BD96" s="2" t="s">
        <v>4</v>
      </c>
      <c r="BE96" s="2" t="s">
        <v>4</v>
      </c>
      <c r="BF96" s="2" t="s">
        <v>4</v>
      </c>
      <c r="BG96" s="2" t="s">
        <v>4</v>
      </c>
      <c r="BH96" s="2">
        <v>0</v>
      </c>
      <c r="BI96" s="2">
        <v>1</v>
      </c>
      <c r="BJ96" s="2" t="s">
        <v>158</v>
      </c>
      <c r="BK96" s="2"/>
      <c r="BL96" s="2"/>
      <c r="BM96" s="2">
        <v>65</v>
      </c>
      <c r="BN96" s="2">
        <v>0</v>
      </c>
      <c r="BO96" s="2" t="s">
        <v>4</v>
      </c>
      <c r="BP96" s="2">
        <v>0</v>
      </c>
      <c r="BQ96" s="2">
        <v>30</v>
      </c>
      <c r="BR96" s="2">
        <v>0</v>
      </c>
      <c r="BS96" s="2">
        <v>1</v>
      </c>
      <c r="BT96" s="2">
        <v>1</v>
      </c>
      <c r="BU96" s="2">
        <v>1</v>
      </c>
      <c r="BV96" s="2">
        <v>1</v>
      </c>
      <c r="BW96" s="2">
        <v>1</v>
      </c>
      <c r="BX96" s="2">
        <v>1</v>
      </c>
      <c r="BY96" s="2" t="s">
        <v>4</v>
      </c>
      <c r="BZ96" s="2">
        <v>105</v>
      </c>
      <c r="CA96" s="2">
        <v>77</v>
      </c>
      <c r="CB96" s="2" t="s">
        <v>4</v>
      </c>
      <c r="CC96" s="2"/>
      <c r="CD96" s="2"/>
      <c r="CE96" s="2">
        <v>30</v>
      </c>
      <c r="CF96" s="2">
        <v>0</v>
      </c>
      <c r="CG96" s="2">
        <v>0</v>
      </c>
      <c r="CH96" s="2"/>
      <c r="CI96" s="2"/>
      <c r="CJ96" s="2"/>
      <c r="CK96" s="2"/>
      <c r="CL96" s="2"/>
      <c r="CM96" s="2">
        <v>0</v>
      </c>
      <c r="CN96" s="2" t="s">
        <v>4</v>
      </c>
      <c r="CO96" s="2">
        <v>0</v>
      </c>
      <c r="CP96" s="2">
        <f t="shared" si="90"/>
        <v>38.29</v>
      </c>
      <c r="CQ96" s="2">
        <f t="shared" si="91"/>
        <v>253.68</v>
      </c>
      <c r="CR96" s="2">
        <f t="shared" si="92"/>
        <v>94.03</v>
      </c>
      <c r="CS96" s="2">
        <f t="shared" si="93"/>
        <v>7.27</v>
      </c>
      <c r="CT96" s="2">
        <f t="shared" si="94"/>
        <v>609.54999999999995</v>
      </c>
      <c r="CU96" s="2">
        <f t="shared" si="95"/>
        <v>0</v>
      </c>
      <c r="CV96" s="2">
        <f t="shared" si="96"/>
        <v>48.999599999999994</v>
      </c>
      <c r="CW96" s="2">
        <f t="shared" si="97"/>
        <v>0</v>
      </c>
      <c r="CX96" s="2">
        <f t="shared" si="98"/>
        <v>0</v>
      </c>
      <c r="CY96" s="2">
        <f>((S96*BZ96)/100)</f>
        <v>25.599</v>
      </c>
      <c r="CZ96" s="2">
        <f>((S96*CA96)/100)</f>
        <v>18.772600000000001</v>
      </c>
      <c r="DA96" s="2"/>
      <c r="DB96" s="2"/>
      <c r="DC96" s="2" t="s">
        <v>4</v>
      </c>
      <c r="DD96" s="2" t="s">
        <v>4</v>
      </c>
      <c r="DE96" s="2" t="s">
        <v>4</v>
      </c>
      <c r="DF96" s="2" t="s">
        <v>4</v>
      </c>
      <c r="DG96" s="2" t="s">
        <v>4</v>
      </c>
      <c r="DH96" s="2" t="s">
        <v>4</v>
      </c>
      <c r="DI96" s="2" t="s">
        <v>4</v>
      </c>
      <c r="DJ96" s="2" t="s">
        <v>4</v>
      </c>
      <c r="DK96" s="2" t="s">
        <v>4</v>
      </c>
      <c r="DL96" s="2" t="s">
        <v>4</v>
      </c>
      <c r="DM96" s="2" t="s">
        <v>4</v>
      </c>
      <c r="DN96" s="2">
        <v>0</v>
      </c>
      <c r="DO96" s="2">
        <v>0</v>
      </c>
      <c r="DP96" s="2">
        <v>1</v>
      </c>
      <c r="DQ96" s="2">
        <v>1</v>
      </c>
      <c r="DR96" s="2"/>
      <c r="DS96" s="2"/>
      <c r="DT96" s="2"/>
      <c r="DU96" s="2">
        <v>1005</v>
      </c>
      <c r="DV96" s="2" t="s">
        <v>157</v>
      </c>
      <c r="DW96" s="2" t="s">
        <v>157</v>
      </c>
      <c r="DX96" s="2">
        <v>100</v>
      </c>
      <c r="DY96" s="2"/>
      <c r="DZ96" s="2" t="s">
        <v>4</v>
      </c>
      <c r="EA96" s="2" t="s">
        <v>4</v>
      </c>
      <c r="EB96" s="2" t="s">
        <v>4</v>
      </c>
      <c r="EC96" s="2" t="s">
        <v>4</v>
      </c>
      <c r="ED96" s="2"/>
      <c r="EE96" s="2">
        <v>69252636</v>
      </c>
      <c r="EF96" s="2">
        <v>30</v>
      </c>
      <c r="EG96" s="2" t="s">
        <v>24</v>
      </c>
      <c r="EH96" s="2">
        <v>0</v>
      </c>
      <c r="EI96" s="2" t="s">
        <v>4</v>
      </c>
      <c r="EJ96" s="2">
        <v>1</v>
      </c>
      <c r="EK96" s="2">
        <v>65</v>
      </c>
      <c r="EL96" s="2" t="s">
        <v>159</v>
      </c>
      <c r="EM96" s="2" t="s">
        <v>160</v>
      </c>
      <c r="EN96" s="2"/>
      <c r="EO96" s="2" t="s">
        <v>4</v>
      </c>
      <c r="EP96" s="2"/>
      <c r="EQ96" s="2">
        <v>0</v>
      </c>
      <c r="ER96" s="2">
        <v>909.53</v>
      </c>
      <c r="ES96" s="2">
        <v>237.53</v>
      </c>
      <c r="ET96" s="2">
        <v>89.81</v>
      </c>
      <c r="EU96" s="2">
        <v>6.94</v>
      </c>
      <c r="EV96" s="2">
        <v>582.19000000000005</v>
      </c>
      <c r="EW96" s="2">
        <v>46.8</v>
      </c>
      <c r="EX96" s="2">
        <v>0</v>
      </c>
      <c r="EY96" s="2">
        <v>0</v>
      </c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>
        <v>0</v>
      </c>
      <c r="FR96" s="2">
        <f t="shared" si="99"/>
        <v>0</v>
      </c>
      <c r="FS96" s="2">
        <v>0</v>
      </c>
      <c r="FT96" s="2"/>
      <c r="FU96" s="2"/>
      <c r="FV96" s="2"/>
      <c r="FW96" s="2"/>
      <c r="FX96" s="2">
        <v>105</v>
      </c>
      <c r="FY96" s="2">
        <v>77</v>
      </c>
      <c r="FZ96" s="2"/>
      <c r="GA96" s="2" t="s">
        <v>4</v>
      </c>
      <c r="GB96" s="2"/>
      <c r="GC96" s="2"/>
      <c r="GD96" s="2">
        <v>0</v>
      </c>
      <c r="GE96" s="2"/>
      <c r="GF96" s="2">
        <v>-491917834</v>
      </c>
      <c r="GG96" s="2">
        <v>2</v>
      </c>
      <c r="GH96" s="2">
        <v>1</v>
      </c>
      <c r="GI96" s="2">
        <v>-2</v>
      </c>
      <c r="GJ96" s="2">
        <v>0</v>
      </c>
      <c r="GK96" s="2">
        <f>ROUND(R96*(R12)/100,2)</f>
        <v>0.51</v>
      </c>
      <c r="GL96" s="2">
        <f t="shared" si="100"/>
        <v>0</v>
      </c>
      <c r="GM96" s="2">
        <f t="shared" si="101"/>
        <v>83.17</v>
      </c>
      <c r="GN96" s="2">
        <f t="shared" si="102"/>
        <v>83.17</v>
      </c>
      <c r="GO96" s="2">
        <f t="shared" si="103"/>
        <v>0</v>
      </c>
      <c r="GP96" s="2">
        <f t="shared" si="104"/>
        <v>0</v>
      </c>
      <c r="GQ96" s="2"/>
      <c r="GR96" s="2">
        <v>0</v>
      </c>
      <c r="GS96" s="2">
        <v>3</v>
      </c>
      <c r="GT96" s="2">
        <v>0</v>
      </c>
      <c r="GU96" s="2" t="s">
        <v>4</v>
      </c>
      <c r="GV96" s="2">
        <f t="shared" si="105"/>
        <v>0</v>
      </c>
      <c r="GW96" s="2">
        <v>1</v>
      </c>
      <c r="GX96" s="2">
        <f t="shared" si="106"/>
        <v>0</v>
      </c>
      <c r="GY96" s="2"/>
      <c r="GZ96" s="2"/>
      <c r="HA96" s="2">
        <v>0</v>
      </c>
      <c r="HB96" s="2">
        <v>0</v>
      </c>
      <c r="HC96" s="2">
        <f t="shared" si="107"/>
        <v>0</v>
      </c>
      <c r="HD96" s="2"/>
      <c r="HE96" s="2" t="s">
        <v>4</v>
      </c>
      <c r="HF96" s="2" t="s">
        <v>4</v>
      </c>
      <c r="HG96" s="2"/>
      <c r="HH96" s="2"/>
      <c r="HI96" s="2"/>
      <c r="HJ96" s="2"/>
      <c r="HK96" s="2"/>
      <c r="HL96" s="2"/>
      <c r="HM96" s="2" t="s">
        <v>4</v>
      </c>
      <c r="HN96" s="2" t="s">
        <v>4</v>
      </c>
      <c r="HO96" s="2" t="s">
        <v>4</v>
      </c>
      <c r="HP96" s="2" t="s">
        <v>4</v>
      </c>
      <c r="HQ96" s="2" t="s">
        <v>4</v>
      </c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2"/>
      <c r="IF96" s="2"/>
      <c r="IG96" s="2"/>
      <c r="IH96" s="2"/>
      <c r="II96" s="2"/>
      <c r="IJ96" s="2"/>
      <c r="IK96" s="2">
        <v>0</v>
      </c>
      <c r="IL96" s="2"/>
      <c r="IM96" s="2"/>
      <c r="IN96" s="2"/>
      <c r="IO96" s="2"/>
      <c r="IP96" s="2"/>
      <c r="IQ96" s="2"/>
      <c r="IR96" s="2"/>
      <c r="IS96" s="2"/>
      <c r="IT96" s="2"/>
      <c r="IU96" s="2"/>
    </row>
    <row r="97" spans="1:255">
      <c r="A97">
        <v>17</v>
      </c>
      <c r="B97">
        <v>1</v>
      </c>
      <c r="C97">
        <f>ROW(SmtRes!A56)</f>
        <v>56</v>
      </c>
      <c r="D97">
        <f>ROW(EtalonRes!A78)</f>
        <v>78</v>
      </c>
      <c r="E97" t="s">
        <v>154</v>
      </c>
      <c r="F97" t="s">
        <v>155</v>
      </c>
      <c r="G97" t="s">
        <v>156</v>
      </c>
      <c r="H97" t="s">
        <v>157</v>
      </c>
      <c r="I97">
        <f>ROUND((2*2)/100,9)</f>
        <v>0.04</v>
      </c>
      <c r="J97">
        <v>0</v>
      </c>
      <c r="K97">
        <f>ROUND((2*2)/100,9)</f>
        <v>0.04</v>
      </c>
      <c r="O97">
        <f t="shared" si="70"/>
        <v>1263.23</v>
      </c>
      <c r="P97">
        <f t="shared" si="71"/>
        <v>75.52</v>
      </c>
      <c r="Q97">
        <f t="shared" si="72"/>
        <v>49.9</v>
      </c>
      <c r="R97">
        <f t="shared" si="73"/>
        <v>13.53</v>
      </c>
      <c r="S97">
        <f t="shared" si="74"/>
        <v>1137.81</v>
      </c>
      <c r="T97">
        <f t="shared" si="75"/>
        <v>0</v>
      </c>
      <c r="U97">
        <f t="shared" si="76"/>
        <v>1.9599839999999997</v>
      </c>
      <c r="V97">
        <f t="shared" si="77"/>
        <v>0</v>
      </c>
      <c r="W97">
        <f t="shared" si="78"/>
        <v>0</v>
      </c>
      <c r="X97">
        <f t="shared" si="79"/>
        <v>989.89</v>
      </c>
      <c r="Y97">
        <f t="shared" si="80"/>
        <v>466.5</v>
      </c>
      <c r="AA97">
        <v>70305036</v>
      </c>
      <c r="AB97">
        <f t="shared" si="81"/>
        <v>909.53</v>
      </c>
      <c r="AC97">
        <f t="shared" si="82"/>
        <v>237.53</v>
      </c>
      <c r="AD97">
        <f t="shared" si="83"/>
        <v>89.81</v>
      </c>
      <c r="AE97">
        <f t="shared" si="84"/>
        <v>6.94</v>
      </c>
      <c r="AF97">
        <f t="shared" si="85"/>
        <v>582.19000000000005</v>
      </c>
      <c r="AG97">
        <f t="shared" si="86"/>
        <v>0</v>
      </c>
      <c r="AH97">
        <f t="shared" si="87"/>
        <v>46.8</v>
      </c>
      <c r="AI97">
        <f t="shared" si="88"/>
        <v>0</v>
      </c>
      <c r="AJ97">
        <f t="shared" si="89"/>
        <v>0</v>
      </c>
      <c r="AK97">
        <v>909.53</v>
      </c>
      <c r="AL97">
        <v>237.53</v>
      </c>
      <c r="AM97">
        <v>89.81</v>
      </c>
      <c r="AN97">
        <v>6.94</v>
      </c>
      <c r="AO97">
        <v>582.19000000000005</v>
      </c>
      <c r="AP97">
        <v>0</v>
      </c>
      <c r="AQ97">
        <v>46.8</v>
      </c>
      <c r="AR97">
        <v>0</v>
      </c>
      <c r="AS97">
        <v>0</v>
      </c>
      <c r="AT97">
        <v>87</v>
      </c>
      <c r="AU97">
        <v>41</v>
      </c>
      <c r="AV97">
        <v>1.0469999999999999</v>
      </c>
      <c r="AW97">
        <v>1.0680000000000001</v>
      </c>
      <c r="AZ97">
        <v>1</v>
      </c>
      <c r="BA97">
        <v>46.67</v>
      </c>
      <c r="BB97">
        <v>13.27</v>
      </c>
      <c r="BC97">
        <v>7.44</v>
      </c>
      <c r="BD97" t="s">
        <v>4</v>
      </c>
      <c r="BE97" t="s">
        <v>4</v>
      </c>
      <c r="BF97" t="s">
        <v>4</v>
      </c>
      <c r="BG97" t="s">
        <v>4</v>
      </c>
      <c r="BH97">
        <v>0</v>
      </c>
      <c r="BI97">
        <v>1</v>
      </c>
      <c r="BJ97" t="s">
        <v>158</v>
      </c>
      <c r="BM97">
        <v>65</v>
      </c>
      <c r="BN97">
        <v>0</v>
      </c>
      <c r="BO97" t="s">
        <v>155</v>
      </c>
      <c r="BP97">
        <v>1</v>
      </c>
      <c r="BQ97">
        <v>30</v>
      </c>
      <c r="BR97">
        <v>0</v>
      </c>
      <c r="BS97">
        <v>46.67</v>
      </c>
      <c r="BT97">
        <v>1</v>
      </c>
      <c r="BU97">
        <v>1</v>
      </c>
      <c r="BV97">
        <v>1</v>
      </c>
      <c r="BW97">
        <v>1</v>
      </c>
      <c r="BX97">
        <v>1</v>
      </c>
      <c r="BY97" t="s">
        <v>4</v>
      </c>
      <c r="BZ97">
        <v>87</v>
      </c>
      <c r="CA97">
        <v>41</v>
      </c>
      <c r="CB97" t="s">
        <v>4</v>
      </c>
      <c r="CE97">
        <v>30</v>
      </c>
      <c r="CF97">
        <v>0</v>
      </c>
      <c r="CG97">
        <v>0</v>
      </c>
      <c r="CM97">
        <v>0</v>
      </c>
      <c r="CN97" t="s">
        <v>4</v>
      </c>
      <c r="CO97">
        <v>0</v>
      </c>
      <c r="CP97">
        <f t="shared" si="90"/>
        <v>1263.23</v>
      </c>
      <c r="CQ97">
        <f t="shared" si="91"/>
        <v>1887.38</v>
      </c>
      <c r="CR97">
        <f t="shared" si="92"/>
        <v>1247.78</v>
      </c>
      <c r="CS97">
        <f t="shared" si="93"/>
        <v>339.29</v>
      </c>
      <c r="CT97">
        <f t="shared" si="94"/>
        <v>28447.7</v>
      </c>
      <c r="CU97">
        <f t="shared" si="95"/>
        <v>0</v>
      </c>
      <c r="CV97">
        <f t="shared" si="96"/>
        <v>48.999599999999994</v>
      </c>
      <c r="CW97">
        <f t="shared" si="97"/>
        <v>0</v>
      </c>
      <c r="CX97">
        <f t="shared" si="98"/>
        <v>0</v>
      </c>
      <c r="CY97">
        <f>S97*(BZ97/100)</f>
        <v>989.89469999999994</v>
      </c>
      <c r="CZ97">
        <f>S97*(CA97/100)</f>
        <v>466.50209999999993</v>
      </c>
      <c r="DC97" t="s">
        <v>4</v>
      </c>
      <c r="DD97" t="s">
        <v>4</v>
      </c>
      <c r="DE97" t="s">
        <v>4</v>
      </c>
      <c r="DF97" t="s">
        <v>4</v>
      </c>
      <c r="DG97" t="s">
        <v>4</v>
      </c>
      <c r="DH97" t="s">
        <v>4</v>
      </c>
      <c r="DI97" t="s">
        <v>4</v>
      </c>
      <c r="DJ97" t="s">
        <v>4</v>
      </c>
      <c r="DK97" t="s">
        <v>4</v>
      </c>
      <c r="DL97" t="s">
        <v>4</v>
      </c>
      <c r="DM97" t="s">
        <v>4</v>
      </c>
      <c r="DN97">
        <v>105</v>
      </c>
      <c r="DO97">
        <v>77</v>
      </c>
      <c r="DP97">
        <v>1.0469999999999999</v>
      </c>
      <c r="DQ97">
        <v>1.0680000000000001</v>
      </c>
      <c r="DU97">
        <v>1005</v>
      </c>
      <c r="DV97" t="s">
        <v>157</v>
      </c>
      <c r="DW97" t="s">
        <v>157</v>
      </c>
      <c r="DX97">
        <v>100</v>
      </c>
      <c r="DZ97" t="s">
        <v>4</v>
      </c>
      <c r="EA97" t="s">
        <v>4</v>
      </c>
      <c r="EB97" t="s">
        <v>4</v>
      </c>
      <c r="EC97" t="s">
        <v>4</v>
      </c>
      <c r="EE97">
        <v>69252636</v>
      </c>
      <c r="EF97">
        <v>30</v>
      </c>
      <c r="EG97" t="s">
        <v>24</v>
      </c>
      <c r="EH97">
        <v>0</v>
      </c>
      <c r="EI97" t="s">
        <v>4</v>
      </c>
      <c r="EJ97">
        <v>1</v>
      </c>
      <c r="EK97">
        <v>65</v>
      </c>
      <c r="EL97" t="s">
        <v>159</v>
      </c>
      <c r="EM97" t="s">
        <v>160</v>
      </c>
      <c r="EO97" t="s">
        <v>4</v>
      </c>
      <c r="EQ97">
        <v>0</v>
      </c>
      <c r="ER97">
        <v>909.53</v>
      </c>
      <c r="ES97">
        <v>237.53</v>
      </c>
      <c r="ET97">
        <v>89.81</v>
      </c>
      <c r="EU97">
        <v>6.94</v>
      </c>
      <c r="EV97">
        <v>582.19000000000005</v>
      </c>
      <c r="EW97">
        <v>46.8</v>
      </c>
      <c r="EX97">
        <v>0</v>
      </c>
      <c r="EY97">
        <v>0</v>
      </c>
      <c r="FQ97">
        <v>0</v>
      </c>
      <c r="FR97">
        <f t="shared" si="99"/>
        <v>0</v>
      </c>
      <c r="FS97">
        <v>0</v>
      </c>
      <c r="FX97">
        <v>105</v>
      </c>
      <c r="FY97">
        <v>77</v>
      </c>
      <c r="GA97" t="s">
        <v>4</v>
      </c>
      <c r="GD97">
        <v>0</v>
      </c>
      <c r="GF97">
        <v>-491917834</v>
      </c>
      <c r="GG97">
        <v>2</v>
      </c>
      <c r="GH97">
        <v>1</v>
      </c>
      <c r="GI97">
        <v>2</v>
      </c>
      <c r="GJ97">
        <v>0</v>
      </c>
      <c r="GK97">
        <f>ROUND(R97*(S12)/100,2)</f>
        <v>21.65</v>
      </c>
      <c r="GL97">
        <f t="shared" si="100"/>
        <v>0</v>
      </c>
      <c r="GM97">
        <f t="shared" si="101"/>
        <v>2741.27</v>
      </c>
      <c r="GN97">
        <f t="shared" si="102"/>
        <v>2741.27</v>
      </c>
      <c r="GO97">
        <f t="shared" si="103"/>
        <v>0</v>
      </c>
      <c r="GP97">
        <f t="shared" si="104"/>
        <v>0</v>
      </c>
      <c r="GR97">
        <v>0</v>
      </c>
      <c r="GS97">
        <v>3</v>
      </c>
      <c r="GT97">
        <v>0</v>
      </c>
      <c r="GU97" t="s">
        <v>4</v>
      </c>
      <c r="GV97">
        <f t="shared" si="105"/>
        <v>0</v>
      </c>
      <c r="GW97">
        <v>1</v>
      </c>
      <c r="GX97">
        <f t="shared" si="106"/>
        <v>0</v>
      </c>
      <c r="HA97">
        <v>0</v>
      </c>
      <c r="HB97">
        <v>0</v>
      </c>
      <c r="HC97">
        <f t="shared" si="107"/>
        <v>0</v>
      </c>
      <c r="HE97" t="s">
        <v>4</v>
      </c>
      <c r="HF97" t="s">
        <v>4</v>
      </c>
      <c r="HM97" t="s">
        <v>4</v>
      </c>
      <c r="HN97" t="s">
        <v>4</v>
      </c>
      <c r="HO97" t="s">
        <v>4</v>
      </c>
      <c r="HP97" t="s">
        <v>4</v>
      </c>
      <c r="HQ97" t="s">
        <v>4</v>
      </c>
      <c r="IK97">
        <v>0</v>
      </c>
    </row>
    <row r="98" spans="1:255">
      <c r="A98" s="2">
        <v>18</v>
      </c>
      <c r="B98" s="2">
        <v>1</v>
      </c>
      <c r="C98" s="2">
        <v>46</v>
      </c>
      <c r="D98" s="2"/>
      <c r="E98" s="2" t="s">
        <v>161</v>
      </c>
      <c r="F98" s="2" t="s">
        <v>162</v>
      </c>
      <c r="G98" s="2" t="s">
        <v>163</v>
      </c>
      <c r="H98" s="2" t="s">
        <v>164</v>
      </c>
      <c r="I98" s="2">
        <f>I96*J98</f>
        <v>9.1999999999999993</v>
      </c>
      <c r="J98" s="2">
        <v>229.99999999999997</v>
      </c>
      <c r="K98" s="2">
        <v>230</v>
      </c>
      <c r="L98" s="2"/>
      <c r="M98" s="2"/>
      <c r="N98" s="2"/>
      <c r="O98" s="2">
        <f t="shared" si="70"/>
        <v>556.13</v>
      </c>
      <c r="P98" s="2">
        <f t="shared" si="71"/>
        <v>556.13</v>
      </c>
      <c r="Q98" s="2">
        <f t="shared" si="72"/>
        <v>0</v>
      </c>
      <c r="R98" s="2">
        <f t="shared" si="73"/>
        <v>0</v>
      </c>
      <c r="S98" s="2">
        <f t="shared" si="74"/>
        <v>0</v>
      </c>
      <c r="T98" s="2">
        <f t="shared" si="75"/>
        <v>0</v>
      </c>
      <c r="U98" s="2">
        <f t="shared" si="76"/>
        <v>0</v>
      </c>
      <c r="V98" s="2">
        <f t="shared" si="77"/>
        <v>0</v>
      </c>
      <c r="W98" s="2">
        <f t="shared" si="78"/>
        <v>0</v>
      </c>
      <c r="X98" s="2">
        <f t="shared" si="79"/>
        <v>0</v>
      </c>
      <c r="Y98" s="2">
        <f t="shared" si="80"/>
        <v>0</v>
      </c>
      <c r="Z98" s="2"/>
      <c r="AA98" s="2">
        <v>70305038</v>
      </c>
      <c r="AB98" s="2">
        <f t="shared" si="81"/>
        <v>56.6</v>
      </c>
      <c r="AC98" s="2">
        <f t="shared" si="82"/>
        <v>56.6</v>
      </c>
      <c r="AD98" s="2">
        <f t="shared" si="83"/>
        <v>0</v>
      </c>
      <c r="AE98" s="2">
        <f t="shared" si="84"/>
        <v>0</v>
      </c>
      <c r="AF98" s="2">
        <f t="shared" si="85"/>
        <v>0</v>
      </c>
      <c r="AG98" s="2">
        <f t="shared" si="86"/>
        <v>0</v>
      </c>
      <c r="AH98" s="2">
        <f t="shared" si="87"/>
        <v>0</v>
      </c>
      <c r="AI98" s="2">
        <f t="shared" si="88"/>
        <v>0</v>
      </c>
      <c r="AJ98" s="2">
        <f t="shared" si="89"/>
        <v>0</v>
      </c>
      <c r="AK98" s="2">
        <v>56.6</v>
      </c>
      <c r="AL98" s="2">
        <v>56.6</v>
      </c>
      <c r="AM98" s="2">
        <v>0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105</v>
      </c>
      <c r="AU98" s="2">
        <v>77</v>
      </c>
      <c r="AV98" s="2">
        <v>1.0469999999999999</v>
      </c>
      <c r="AW98" s="2">
        <v>1.0680000000000001</v>
      </c>
      <c r="AX98" s="2"/>
      <c r="AY98" s="2"/>
      <c r="AZ98" s="2">
        <v>1</v>
      </c>
      <c r="BA98" s="2">
        <v>1</v>
      </c>
      <c r="BB98" s="2">
        <v>1</v>
      </c>
      <c r="BC98" s="2">
        <v>1</v>
      </c>
      <c r="BD98" s="2" t="s">
        <v>4</v>
      </c>
      <c r="BE98" s="2" t="s">
        <v>4</v>
      </c>
      <c r="BF98" s="2" t="s">
        <v>4</v>
      </c>
      <c r="BG98" s="2" t="s">
        <v>4</v>
      </c>
      <c r="BH98" s="2">
        <v>3</v>
      </c>
      <c r="BI98" s="2">
        <v>1</v>
      </c>
      <c r="BJ98" s="2" t="s">
        <v>165</v>
      </c>
      <c r="BK98" s="2"/>
      <c r="BL98" s="2"/>
      <c r="BM98" s="2">
        <v>65</v>
      </c>
      <c r="BN98" s="2">
        <v>0</v>
      </c>
      <c r="BO98" s="2" t="s">
        <v>4</v>
      </c>
      <c r="BP98" s="2">
        <v>0</v>
      </c>
      <c r="BQ98" s="2">
        <v>30</v>
      </c>
      <c r="BR98" s="2">
        <v>0</v>
      </c>
      <c r="BS98" s="2">
        <v>1</v>
      </c>
      <c r="BT98" s="2">
        <v>1</v>
      </c>
      <c r="BU98" s="2">
        <v>1</v>
      </c>
      <c r="BV98" s="2">
        <v>1</v>
      </c>
      <c r="BW98" s="2">
        <v>1</v>
      </c>
      <c r="BX98" s="2">
        <v>1</v>
      </c>
      <c r="BY98" s="2" t="s">
        <v>4</v>
      </c>
      <c r="BZ98" s="2">
        <v>105</v>
      </c>
      <c r="CA98" s="2">
        <v>77</v>
      </c>
      <c r="CB98" s="2" t="s">
        <v>4</v>
      </c>
      <c r="CC98" s="2"/>
      <c r="CD98" s="2"/>
      <c r="CE98" s="2">
        <v>30</v>
      </c>
      <c r="CF98" s="2">
        <v>0</v>
      </c>
      <c r="CG98" s="2">
        <v>0</v>
      </c>
      <c r="CH98" s="2"/>
      <c r="CI98" s="2"/>
      <c r="CJ98" s="2"/>
      <c r="CK98" s="2"/>
      <c r="CL98" s="2"/>
      <c r="CM98" s="2">
        <v>0</v>
      </c>
      <c r="CN98" s="2" t="s">
        <v>4</v>
      </c>
      <c r="CO98" s="2">
        <v>0</v>
      </c>
      <c r="CP98" s="2">
        <f t="shared" si="90"/>
        <v>556.13</v>
      </c>
      <c r="CQ98" s="2">
        <f t="shared" si="91"/>
        <v>60.45</v>
      </c>
      <c r="CR98" s="2">
        <f t="shared" si="92"/>
        <v>0</v>
      </c>
      <c r="CS98" s="2">
        <f t="shared" si="93"/>
        <v>0</v>
      </c>
      <c r="CT98" s="2">
        <f t="shared" si="94"/>
        <v>0</v>
      </c>
      <c r="CU98" s="2">
        <f t="shared" si="95"/>
        <v>0</v>
      </c>
      <c r="CV98" s="2">
        <f t="shared" si="96"/>
        <v>0</v>
      </c>
      <c r="CW98" s="2">
        <f t="shared" si="97"/>
        <v>0</v>
      </c>
      <c r="CX98" s="2">
        <f t="shared" si="98"/>
        <v>0</v>
      </c>
      <c r="CY98" s="2">
        <f>((S98*BZ98)/100)</f>
        <v>0</v>
      </c>
      <c r="CZ98" s="2">
        <f>((S98*CA98)/100)</f>
        <v>0</v>
      </c>
      <c r="DA98" s="2"/>
      <c r="DB98" s="2"/>
      <c r="DC98" s="2" t="s">
        <v>4</v>
      </c>
      <c r="DD98" s="2" t="s">
        <v>4</v>
      </c>
      <c r="DE98" s="2" t="s">
        <v>4</v>
      </c>
      <c r="DF98" s="2" t="s">
        <v>4</v>
      </c>
      <c r="DG98" s="2" t="s">
        <v>4</v>
      </c>
      <c r="DH98" s="2" t="s">
        <v>4</v>
      </c>
      <c r="DI98" s="2" t="s">
        <v>4</v>
      </c>
      <c r="DJ98" s="2" t="s">
        <v>4</v>
      </c>
      <c r="DK98" s="2" t="s">
        <v>4</v>
      </c>
      <c r="DL98" s="2" t="s">
        <v>4</v>
      </c>
      <c r="DM98" s="2" t="s">
        <v>4</v>
      </c>
      <c r="DN98" s="2">
        <v>0</v>
      </c>
      <c r="DO98" s="2">
        <v>0</v>
      </c>
      <c r="DP98" s="2">
        <v>1</v>
      </c>
      <c r="DQ98" s="2">
        <v>1</v>
      </c>
      <c r="DR98" s="2"/>
      <c r="DS98" s="2"/>
      <c r="DT98" s="2"/>
      <c r="DU98" s="2">
        <v>1005</v>
      </c>
      <c r="DV98" s="2" t="s">
        <v>164</v>
      </c>
      <c r="DW98" s="2" t="s">
        <v>164</v>
      </c>
      <c r="DX98" s="2">
        <v>1</v>
      </c>
      <c r="DY98" s="2"/>
      <c r="DZ98" s="2" t="s">
        <v>4</v>
      </c>
      <c r="EA98" s="2" t="s">
        <v>4</v>
      </c>
      <c r="EB98" s="2" t="s">
        <v>4</v>
      </c>
      <c r="EC98" s="2" t="s">
        <v>4</v>
      </c>
      <c r="ED98" s="2"/>
      <c r="EE98" s="2">
        <v>69252636</v>
      </c>
      <c r="EF98" s="2">
        <v>30</v>
      </c>
      <c r="EG98" s="2" t="s">
        <v>24</v>
      </c>
      <c r="EH98" s="2">
        <v>0</v>
      </c>
      <c r="EI98" s="2" t="s">
        <v>4</v>
      </c>
      <c r="EJ98" s="2">
        <v>1</v>
      </c>
      <c r="EK98" s="2">
        <v>65</v>
      </c>
      <c r="EL98" s="2" t="s">
        <v>159</v>
      </c>
      <c r="EM98" s="2" t="s">
        <v>160</v>
      </c>
      <c r="EN98" s="2"/>
      <c r="EO98" s="2" t="s">
        <v>4</v>
      </c>
      <c r="EP98" s="2"/>
      <c r="EQ98" s="2">
        <v>0</v>
      </c>
      <c r="ER98" s="2">
        <v>56.6</v>
      </c>
      <c r="ES98" s="2">
        <v>56.6</v>
      </c>
      <c r="ET98" s="2">
        <v>0</v>
      </c>
      <c r="EU98" s="2">
        <v>0</v>
      </c>
      <c r="EV98" s="2">
        <v>0</v>
      </c>
      <c r="EW98" s="2">
        <v>0</v>
      </c>
      <c r="EX98" s="2">
        <v>0</v>
      </c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>
        <v>0</v>
      </c>
      <c r="FR98" s="2">
        <f t="shared" si="99"/>
        <v>0</v>
      </c>
      <c r="FS98" s="2">
        <v>0</v>
      </c>
      <c r="FT98" s="2"/>
      <c r="FU98" s="2"/>
      <c r="FV98" s="2"/>
      <c r="FW98" s="2"/>
      <c r="FX98" s="2">
        <v>105</v>
      </c>
      <c r="FY98" s="2">
        <v>77</v>
      </c>
      <c r="FZ98" s="2"/>
      <c r="GA98" s="2" t="s">
        <v>4</v>
      </c>
      <c r="GB98" s="2"/>
      <c r="GC98" s="2"/>
      <c r="GD98" s="2">
        <v>0</v>
      </c>
      <c r="GE98" s="2"/>
      <c r="GF98" s="2">
        <v>-500523568</v>
      </c>
      <c r="GG98" s="2">
        <v>2</v>
      </c>
      <c r="GH98" s="2">
        <v>1</v>
      </c>
      <c r="GI98" s="2">
        <v>-2</v>
      </c>
      <c r="GJ98" s="2">
        <v>0</v>
      </c>
      <c r="GK98" s="2">
        <f>ROUND(R98*(R12)/100,2)</f>
        <v>0</v>
      </c>
      <c r="GL98" s="2">
        <f t="shared" si="100"/>
        <v>0</v>
      </c>
      <c r="GM98" s="2">
        <f t="shared" si="101"/>
        <v>556.13</v>
      </c>
      <c r="GN98" s="2">
        <f t="shared" si="102"/>
        <v>556.13</v>
      </c>
      <c r="GO98" s="2">
        <f t="shared" si="103"/>
        <v>0</v>
      </c>
      <c r="GP98" s="2">
        <f t="shared" si="104"/>
        <v>0</v>
      </c>
      <c r="GQ98" s="2"/>
      <c r="GR98" s="2">
        <v>0</v>
      </c>
      <c r="GS98" s="2">
        <v>3</v>
      </c>
      <c r="GT98" s="2">
        <v>0</v>
      </c>
      <c r="GU98" s="2" t="s">
        <v>4</v>
      </c>
      <c r="GV98" s="2">
        <f t="shared" si="105"/>
        <v>0</v>
      </c>
      <c r="GW98" s="2">
        <v>1</v>
      </c>
      <c r="GX98" s="2">
        <f t="shared" si="106"/>
        <v>0</v>
      </c>
      <c r="GY98" s="2"/>
      <c r="GZ98" s="2"/>
      <c r="HA98" s="2">
        <v>0</v>
      </c>
      <c r="HB98" s="2">
        <v>0</v>
      </c>
      <c r="HC98" s="2">
        <f t="shared" si="107"/>
        <v>0</v>
      </c>
      <c r="HD98" s="2"/>
      <c r="HE98" s="2" t="s">
        <v>4</v>
      </c>
      <c r="HF98" s="2" t="s">
        <v>4</v>
      </c>
      <c r="HG98" s="2"/>
      <c r="HH98" s="2"/>
      <c r="HI98" s="2"/>
      <c r="HJ98" s="2"/>
      <c r="HK98" s="2"/>
      <c r="HL98" s="2"/>
      <c r="HM98" s="2" t="s">
        <v>4</v>
      </c>
      <c r="HN98" s="2" t="s">
        <v>4</v>
      </c>
      <c r="HO98" s="2" t="s">
        <v>4</v>
      </c>
      <c r="HP98" s="2" t="s">
        <v>4</v>
      </c>
      <c r="HQ98" s="2" t="s">
        <v>4</v>
      </c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2"/>
      <c r="IF98" s="2"/>
      <c r="IG98" s="2"/>
      <c r="IH98" s="2"/>
      <c r="II98" s="2"/>
      <c r="IJ98" s="2"/>
      <c r="IK98" s="2">
        <v>0</v>
      </c>
      <c r="IL98" s="2"/>
      <c r="IM98" s="2"/>
      <c r="IN98" s="2"/>
      <c r="IO98" s="2"/>
      <c r="IP98" s="2"/>
      <c r="IQ98" s="2"/>
      <c r="IR98" s="2"/>
      <c r="IS98" s="2"/>
      <c r="IT98" s="2"/>
      <c r="IU98" s="2"/>
    </row>
    <row r="99" spans="1:255">
      <c r="A99">
        <v>18</v>
      </c>
      <c r="B99">
        <v>1</v>
      </c>
      <c r="C99">
        <v>53</v>
      </c>
      <c r="E99" t="s">
        <v>161</v>
      </c>
      <c r="F99" t="s">
        <v>162</v>
      </c>
      <c r="G99" t="s">
        <v>163</v>
      </c>
      <c r="H99" t="s">
        <v>164</v>
      </c>
      <c r="I99">
        <f>I97*J99</f>
        <v>9.1999999999999993</v>
      </c>
      <c r="J99">
        <v>229.99999999999997</v>
      </c>
      <c r="K99">
        <v>230</v>
      </c>
      <c r="O99">
        <f t="shared" si="70"/>
        <v>3692.7</v>
      </c>
      <c r="P99">
        <f t="shared" si="71"/>
        <v>3692.7</v>
      </c>
      <c r="Q99">
        <f t="shared" si="72"/>
        <v>0</v>
      </c>
      <c r="R99">
        <f t="shared" si="73"/>
        <v>0</v>
      </c>
      <c r="S99">
        <f t="shared" si="74"/>
        <v>0</v>
      </c>
      <c r="T99">
        <f t="shared" si="75"/>
        <v>0</v>
      </c>
      <c r="U99">
        <f t="shared" si="76"/>
        <v>0</v>
      </c>
      <c r="V99">
        <f t="shared" si="77"/>
        <v>0</v>
      </c>
      <c r="W99">
        <f t="shared" si="78"/>
        <v>0</v>
      </c>
      <c r="X99">
        <f t="shared" si="79"/>
        <v>0</v>
      </c>
      <c r="Y99">
        <f t="shared" si="80"/>
        <v>0</v>
      </c>
      <c r="AA99">
        <v>70305036</v>
      </c>
      <c r="AB99">
        <f t="shared" si="81"/>
        <v>56.6</v>
      </c>
      <c r="AC99">
        <f t="shared" si="82"/>
        <v>56.6</v>
      </c>
      <c r="AD99">
        <f t="shared" si="83"/>
        <v>0</v>
      </c>
      <c r="AE99">
        <f t="shared" si="84"/>
        <v>0</v>
      </c>
      <c r="AF99">
        <f t="shared" si="85"/>
        <v>0</v>
      </c>
      <c r="AG99">
        <f t="shared" si="86"/>
        <v>0</v>
      </c>
      <c r="AH99">
        <f t="shared" si="87"/>
        <v>0</v>
      </c>
      <c r="AI99">
        <f t="shared" si="88"/>
        <v>0</v>
      </c>
      <c r="AJ99">
        <f t="shared" si="89"/>
        <v>0</v>
      </c>
      <c r="AK99">
        <v>56.6</v>
      </c>
      <c r="AL99">
        <v>56.6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1</v>
      </c>
      <c r="AW99">
        <v>1.0680000000000001</v>
      </c>
      <c r="AZ99">
        <v>1</v>
      </c>
      <c r="BA99">
        <v>1</v>
      </c>
      <c r="BB99">
        <v>1</v>
      </c>
      <c r="BC99">
        <v>6.64</v>
      </c>
      <c r="BD99" t="s">
        <v>4</v>
      </c>
      <c r="BE99" t="s">
        <v>4</v>
      </c>
      <c r="BF99" t="s">
        <v>4</v>
      </c>
      <c r="BG99" t="s">
        <v>4</v>
      </c>
      <c r="BH99">
        <v>3</v>
      </c>
      <c r="BI99">
        <v>1</v>
      </c>
      <c r="BJ99" t="s">
        <v>165</v>
      </c>
      <c r="BM99">
        <v>65</v>
      </c>
      <c r="BN99">
        <v>0</v>
      </c>
      <c r="BO99" t="s">
        <v>162</v>
      </c>
      <c r="BP99">
        <v>1</v>
      </c>
      <c r="BQ99">
        <v>30</v>
      </c>
      <c r="BR99">
        <v>0</v>
      </c>
      <c r="BS99">
        <v>1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4</v>
      </c>
      <c r="BZ99">
        <v>0</v>
      </c>
      <c r="CA99">
        <v>0</v>
      </c>
      <c r="CB99" t="s">
        <v>4</v>
      </c>
      <c r="CE99">
        <v>30</v>
      </c>
      <c r="CF99">
        <v>0</v>
      </c>
      <c r="CG99">
        <v>0</v>
      </c>
      <c r="CM99">
        <v>0</v>
      </c>
      <c r="CN99" t="s">
        <v>4</v>
      </c>
      <c r="CO99">
        <v>0</v>
      </c>
      <c r="CP99">
        <f t="shared" si="90"/>
        <v>3692.7</v>
      </c>
      <c r="CQ99">
        <f t="shared" si="91"/>
        <v>401.39</v>
      </c>
      <c r="CR99">
        <f t="shared" si="92"/>
        <v>0</v>
      </c>
      <c r="CS99">
        <f t="shared" si="93"/>
        <v>0</v>
      </c>
      <c r="CT99">
        <f t="shared" si="94"/>
        <v>0</v>
      </c>
      <c r="CU99">
        <f t="shared" si="95"/>
        <v>0</v>
      </c>
      <c r="CV99">
        <f t="shared" si="96"/>
        <v>0</v>
      </c>
      <c r="CW99">
        <f t="shared" si="97"/>
        <v>0</v>
      </c>
      <c r="CX99">
        <f t="shared" si="98"/>
        <v>0</v>
      </c>
      <c r="CY99">
        <f>S99*(BZ99/100)</f>
        <v>0</v>
      </c>
      <c r="CZ99">
        <f>S99*(CA99/100)</f>
        <v>0</v>
      </c>
      <c r="DC99" t="s">
        <v>4</v>
      </c>
      <c r="DD99" t="s">
        <v>4</v>
      </c>
      <c r="DE99" t="s">
        <v>4</v>
      </c>
      <c r="DF99" t="s">
        <v>4</v>
      </c>
      <c r="DG99" t="s">
        <v>4</v>
      </c>
      <c r="DH99" t="s">
        <v>4</v>
      </c>
      <c r="DI99" t="s">
        <v>4</v>
      </c>
      <c r="DJ99" t="s">
        <v>4</v>
      </c>
      <c r="DK99" t="s">
        <v>4</v>
      </c>
      <c r="DL99" t="s">
        <v>4</v>
      </c>
      <c r="DM99" t="s">
        <v>4</v>
      </c>
      <c r="DN99">
        <v>105</v>
      </c>
      <c r="DO99">
        <v>77</v>
      </c>
      <c r="DP99">
        <v>1.0469999999999999</v>
      </c>
      <c r="DQ99">
        <v>1.0680000000000001</v>
      </c>
      <c r="DU99">
        <v>1005</v>
      </c>
      <c r="DV99" t="s">
        <v>164</v>
      </c>
      <c r="DW99" t="s">
        <v>164</v>
      </c>
      <c r="DX99">
        <v>1</v>
      </c>
      <c r="DZ99" t="s">
        <v>4</v>
      </c>
      <c r="EA99" t="s">
        <v>4</v>
      </c>
      <c r="EB99" t="s">
        <v>4</v>
      </c>
      <c r="EC99" t="s">
        <v>4</v>
      </c>
      <c r="EE99">
        <v>69252636</v>
      </c>
      <c r="EF99">
        <v>30</v>
      </c>
      <c r="EG99" t="s">
        <v>24</v>
      </c>
      <c r="EH99">
        <v>0</v>
      </c>
      <c r="EI99" t="s">
        <v>4</v>
      </c>
      <c r="EJ99">
        <v>1</v>
      </c>
      <c r="EK99">
        <v>65</v>
      </c>
      <c r="EL99" t="s">
        <v>159</v>
      </c>
      <c r="EM99" t="s">
        <v>160</v>
      </c>
      <c r="EO99" t="s">
        <v>4</v>
      </c>
      <c r="EQ99">
        <v>0</v>
      </c>
      <c r="ER99">
        <v>56.6</v>
      </c>
      <c r="ES99">
        <v>56.6</v>
      </c>
      <c r="ET99">
        <v>0</v>
      </c>
      <c r="EU99">
        <v>0</v>
      </c>
      <c r="EV99">
        <v>0</v>
      </c>
      <c r="EW99">
        <v>0</v>
      </c>
      <c r="EX99">
        <v>0</v>
      </c>
      <c r="FQ99">
        <v>0</v>
      </c>
      <c r="FR99">
        <f t="shared" si="99"/>
        <v>0</v>
      </c>
      <c r="FS99">
        <v>0</v>
      </c>
      <c r="FX99">
        <v>105</v>
      </c>
      <c r="FY99">
        <v>77</v>
      </c>
      <c r="GA99" t="s">
        <v>4</v>
      </c>
      <c r="GD99">
        <v>0</v>
      </c>
      <c r="GF99">
        <v>-500523568</v>
      </c>
      <c r="GG99">
        <v>2</v>
      </c>
      <c r="GH99">
        <v>1</v>
      </c>
      <c r="GI99">
        <v>2</v>
      </c>
      <c r="GJ99">
        <v>0</v>
      </c>
      <c r="GK99">
        <f>ROUND(R99*(S12)/100,2)</f>
        <v>0</v>
      </c>
      <c r="GL99">
        <f t="shared" si="100"/>
        <v>0</v>
      </c>
      <c r="GM99">
        <f t="shared" si="101"/>
        <v>3692.7</v>
      </c>
      <c r="GN99">
        <f t="shared" si="102"/>
        <v>3692.7</v>
      </c>
      <c r="GO99">
        <f t="shared" si="103"/>
        <v>0</v>
      </c>
      <c r="GP99">
        <f t="shared" si="104"/>
        <v>0</v>
      </c>
      <c r="GR99">
        <v>0</v>
      </c>
      <c r="GS99">
        <v>3</v>
      </c>
      <c r="GT99">
        <v>0</v>
      </c>
      <c r="GU99" t="s">
        <v>4</v>
      </c>
      <c r="GV99">
        <f t="shared" si="105"/>
        <v>0</v>
      </c>
      <c r="GW99">
        <v>1</v>
      </c>
      <c r="GX99">
        <f t="shared" si="106"/>
        <v>0</v>
      </c>
      <c r="HA99">
        <v>0</v>
      </c>
      <c r="HB99">
        <v>0</v>
      </c>
      <c r="HC99">
        <f t="shared" si="107"/>
        <v>0</v>
      </c>
      <c r="HE99" t="s">
        <v>4</v>
      </c>
      <c r="HF99" t="s">
        <v>4</v>
      </c>
      <c r="HM99" t="s">
        <v>4</v>
      </c>
      <c r="HN99" t="s">
        <v>4</v>
      </c>
      <c r="HO99" t="s">
        <v>4</v>
      </c>
      <c r="HP99" t="s">
        <v>4</v>
      </c>
      <c r="HQ99" t="s">
        <v>4</v>
      </c>
      <c r="IK99">
        <v>0</v>
      </c>
    </row>
    <row r="100" spans="1:255">
      <c r="A100" s="2">
        <v>18</v>
      </c>
      <c r="B100" s="2">
        <v>1</v>
      </c>
      <c r="C100" s="2">
        <v>49</v>
      </c>
      <c r="D100" s="2"/>
      <c r="E100" s="2" t="s">
        <v>166</v>
      </c>
      <c r="F100" s="2" t="s">
        <v>167</v>
      </c>
      <c r="G100" s="2" t="s">
        <v>522</v>
      </c>
      <c r="H100" s="2" t="s">
        <v>168</v>
      </c>
      <c r="I100" s="2">
        <f>I96*J100</f>
        <v>1.7600000000000001E-2</v>
      </c>
      <c r="J100" s="2">
        <v>0.44</v>
      </c>
      <c r="K100" s="2">
        <v>0.44</v>
      </c>
      <c r="L100" s="2"/>
      <c r="M100" s="2"/>
      <c r="N100" s="2"/>
      <c r="O100" s="2">
        <f t="shared" si="70"/>
        <v>218.55</v>
      </c>
      <c r="P100" s="2">
        <f t="shared" si="71"/>
        <v>218.55</v>
      </c>
      <c r="Q100" s="2">
        <f t="shared" si="72"/>
        <v>0</v>
      </c>
      <c r="R100" s="2">
        <f t="shared" si="73"/>
        <v>0</v>
      </c>
      <c r="S100" s="2">
        <f t="shared" si="74"/>
        <v>0</v>
      </c>
      <c r="T100" s="2">
        <f t="shared" si="75"/>
        <v>0</v>
      </c>
      <c r="U100" s="2">
        <f t="shared" si="76"/>
        <v>0</v>
      </c>
      <c r="V100" s="2">
        <f t="shared" si="77"/>
        <v>0</v>
      </c>
      <c r="W100" s="2">
        <f t="shared" si="78"/>
        <v>0</v>
      </c>
      <c r="X100" s="2">
        <f t="shared" si="79"/>
        <v>0</v>
      </c>
      <c r="Y100" s="2">
        <f t="shared" si="80"/>
        <v>0</v>
      </c>
      <c r="Z100" s="2"/>
      <c r="AA100" s="2">
        <v>70305038</v>
      </c>
      <c r="AB100" s="2">
        <f t="shared" si="81"/>
        <v>11626.84</v>
      </c>
      <c r="AC100" s="2">
        <f t="shared" si="82"/>
        <v>11626.84</v>
      </c>
      <c r="AD100" s="2">
        <f t="shared" si="83"/>
        <v>0</v>
      </c>
      <c r="AE100" s="2">
        <f t="shared" si="84"/>
        <v>0</v>
      </c>
      <c r="AF100" s="2">
        <f t="shared" si="85"/>
        <v>0</v>
      </c>
      <c r="AG100" s="2">
        <f t="shared" si="86"/>
        <v>0</v>
      </c>
      <c r="AH100" s="2">
        <f t="shared" si="87"/>
        <v>0</v>
      </c>
      <c r="AI100" s="2">
        <f t="shared" si="88"/>
        <v>0</v>
      </c>
      <c r="AJ100" s="2">
        <f t="shared" si="89"/>
        <v>0</v>
      </c>
      <c r="AK100" s="2">
        <v>11626.84</v>
      </c>
      <c r="AL100" s="2">
        <v>11626.84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105</v>
      </c>
      <c r="AU100" s="2">
        <v>77</v>
      </c>
      <c r="AV100" s="2">
        <v>1.0469999999999999</v>
      </c>
      <c r="AW100" s="2">
        <v>1.0680000000000001</v>
      </c>
      <c r="AX100" s="2"/>
      <c r="AY100" s="2"/>
      <c r="AZ100" s="2">
        <v>1</v>
      </c>
      <c r="BA100" s="2">
        <v>1</v>
      </c>
      <c r="BB100" s="2">
        <v>1</v>
      </c>
      <c r="BC100" s="2">
        <v>1</v>
      </c>
      <c r="BD100" s="2" t="s">
        <v>4</v>
      </c>
      <c r="BE100" s="2" t="s">
        <v>4</v>
      </c>
      <c r="BF100" s="2" t="s">
        <v>4</v>
      </c>
      <c r="BG100" s="2" t="s">
        <v>4</v>
      </c>
      <c r="BH100" s="2">
        <v>3</v>
      </c>
      <c r="BI100" s="2">
        <v>1</v>
      </c>
      <c r="BJ100" s="2" t="s">
        <v>169</v>
      </c>
      <c r="BK100" s="2"/>
      <c r="BL100" s="2"/>
      <c r="BM100" s="2">
        <v>65</v>
      </c>
      <c r="BN100" s="2">
        <v>0</v>
      </c>
      <c r="BO100" s="2" t="s">
        <v>4</v>
      </c>
      <c r="BP100" s="2">
        <v>0</v>
      </c>
      <c r="BQ100" s="2">
        <v>30</v>
      </c>
      <c r="BR100" s="2">
        <v>0</v>
      </c>
      <c r="BS100" s="2">
        <v>1</v>
      </c>
      <c r="BT100" s="2">
        <v>1</v>
      </c>
      <c r="BU100" s="2">
        <v>1</v>
      </c>
      <c r="BV100" s="2">
        <v>1</v>
      </c>
      <c r="BW100" s="2">
        <v>1</v>
      </c>
      <c r="BX100" s="2">
        <v>1</v>
      </c>
      <c r="BY100" s="2" t="s">
        <v>4</v>
      </c>
      <c r="BZ100" s="2">
        <v>105</v>
      </c>
      <c r="CA100" s="2">
        <v>77</v>
      </c>
      <c r="CB100" s="2" t="s">
        <v>4</v>
      </c>
      <c r="CC100" s="2"/>
      <c r="CD100" s="2"/>
      <c r="CE100" s="2">
        <v>30</v>
      </c>
      <c r="CF100" s="2">
        <v>0</v>
      </c>
      <c r="CG100" s="2">
        <v>0</v>
      </c>
      <c r="CH100" s="2"/>
      <c r="CI100" s="2"/>
      <c r="CJ100" s="2"/>
      <c r="CK100" s="2"/>
      <c r="CL100" s="2"/>
      <c r="CM100" s="2">
        <v>0</v>
      </c>
      <c r="CN100" s="2" t="s">
        <v>4</v>
      </c>
      <c r="CO100" s="2">
        <v>0</v>
      </c>
      <c r="CP100" s="2">
        <f t="shared" si="90"/>
        <v>218.55</v>
      </c>
      <c r="CQ100" s="2">
        <f t="shared" si="91"/>
        <v>12417.47</v>
      </c>
      <c r="CR100" s="2">
        <f t="shared" si="92"/>
        <v>0</v>
      </c>
      <c r="CS100" s="2">
        <f t="shared" si="93"/>
        <v>0</v>
      </c>
      <c r="CT100" s="2">
        <f t="shared" si="94"/>
        <v>0</v>
      </c>
      <c r="CU100" s="2">
        <f t="shared" si="95"/>
        <v>0</v>
      </c>
      <c r="CV100" s="2">
        <f t="shared" si="96"/>
        <v>0</v>
      </c>
      <c r="CW100" s="2">
        <f t="shared" si="97"/>
        <v>0</v>
      </c>
      <c r="CX100" s="2">
        <f t="shared" si="98"/>
        <v>0</v>
      </c>
      <c r="CY100" s="2">
        <f>((S100*BZ100)/100)</f>
        <v>0</v>
      </c>
      <c r="CZ100" s="2">
        <f>((S100*CA100)/100)</f>
        <v>0</v>
      </c>
      <c r="DA100" s="2"/>
      <c r="DB100" s="2"/>
      <c r="DC100" s="2" t="s">
        <v>4</v>
      </c>
      <c r="DD100" s="2" t="s">
        <v>4</v>
      </c>
      <c r="DE100" s="2" t="s">
        <v>4</v>
      </c>
      <c r="DF100" s="2" t="s">
        <v>4</v>
      </c>
      <c r="DG100" s="2" t="s">
        <v>4</v>
      </c>
      <c r="DH100" s="2" t="s">
        <v>4</v>
      </c>
      <c r="DI100" s="2" t="s">
        <v>4</v>
      </c>
      <c r="DJ100" s="2" t="s">
        <v>4</v>
      </c>
      <c r="DK100" s="2" t="s">
        <v>4</v>
      </c>
      <c r="DL100" s="2" t="s">
        <v>4</v>
      </c>
      <c r="DM100" s="2" t="s">
        <v>4</v>
      </c>
      <c r="DN100" s="2">
        <v>0</v>
      </c>
      <c r="DO100" s="2">
        <v>0</v>
      </c>
      <c r="DP100" s="2">
        <v>1</v>
      </c>
      <c r="DQ100" s="2">
        <v>1</v>
      </c>
      <c r="DR100" s="2"/>
      <c r="DS100" s="2"/>
      <c r="DT100" s="2"/>
      <c r="DU100" s="2">
        <v>1009</v>
      </c>
      <c r="DV100" s="2" t="s">
        <v>168</v>
      </c>
      <c r="DW100" s="2" t="s">
        <v>168</v>
      </c>
      <c r="DX100" s="2">
        <v>1000</v>
      </c>
      <c r="DY100" s="2"/>
      <c r="DZ100" s="2" t="s">
        <v>4</v>
      </c>
      <c r="EA100" s="2" t="s">
        <v>4</v>
      </c>
      <c r="EB100" s="2" t="s">
        <v>4</v>
      </c>
      <c r="EC100" s="2" t="s">
        <v>4</v>
      </c>
      <c r="ED100" s="2"/>
      <c r="EE100" s="2">
        <v>69252636</v>
      </c>
      <c r="EF100" s="2">
        <v>30</v>
      </c>
      <c r="EG100" s="2" t="s">
        <v>24</v>
      </c>
      <c r="EH100" s="2">
        <v>0</v>
      </c>
      <c r="EI100" s="2" t="s">
        <v>4</v>
      </c>
      <c r="EJ100" s="2">
        <v>1</v>
      </c>
      <c r="EK100" s="2">
        <v>65</v>
      </c>
      <c r="EL100" s="2" t="s">
        <v>159</v>
      </c>
      <c r="EM100" s="2" t="s">
        <v>160</v>
      </c>
      <c r="EN100" s="2"/>
      <c r="EO100" s="2" t="s">
        <v>4</v>
      </c>
      <c r="EP100" s="2"/>
      <c r="EQ100" s="2">
        <v>0</v>
      </c>
      <c r="ER100" s="2">
        <v>11626.84</v>
      </c>
      <c r="ES100" s="2">
        <v>11626.84</v>
      </c>
      <c r="ET100" s="2">
        <v>0</v>
      </c>
      <c r="EU100" s="2">
        <v>0</v>
      </c>
      <c r="EV100" s="2">
        <v>0</v>
      </c>
      <c r="EW100" s="2">
        <v>0</v>
      </c>
      <c r="EX100" s="2">
        <v>0</v>
      </c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>
        <v>0</v>
      </c>
      <c r="FR100" s="2">
        <f t="shared" si="99"/>
        <v>0</v>
      </c>
      <c r="FS100" s="2">
        <v>0</v>
      </c>
      <c r="FT100" s="2"/>
      <c r="FU100" s="2"/>
      <c r="FV100" s="2"/>
      <c r="FW100" s="2"/>
      <c r="FX100" s="2">
        <v>105</v>
      </c>
      <c r="FY100" s="2">
        <v>77</v>
      </c>
      <c r="FZ100" s="2"/>
      <c r="GA100" s="2" t="s">
        <v>4</v>
      </c>
      <c r="GB100" s="2"/>
      <c r="GC100" s="2"/>
      <c r="GD100" s="2">
        <v>0</v>
      </c>
      <c r="GE100" s="2"/>
      <c r="GF100" s="2">
        <v>-188928943</v>
      </c>
      <c r="GG100" s="2">
        <v>2</v>
      </c>
      <c r="GH100" s="2">
        <v>1</v>
      </c>
      <c r="GI100" s="2">
        <v>-2</v>
      </c>
      <c r="GJ100" s="2">
        <v>0</v>
      </c>
      <c r="GK100" s="2">
        <f>ROUND(R100*(R12)/100,2)</f>
        <v>0</v>
      </c>
      <c r="GL100" s="2">
        <f t="shared" si="100"/>
        <v>0</v>
      </c>
      <c r="GM100" s="2">
        <f t="shared" si="101"/>
        <v>218.55</v>
      </c>
      <c r="GN100" s="2">
        <f t="shared" si="102"/>
        <v>218.55</v>
      </c>
      <c r="GO100" s="2">
        <f t="shared" si="103"/>
        <v>0</v>
      </c>
      <c r="GP100" s="2">
        <f t="shared" si="104"/>
        <v>0</v>
      </c>
      <c r="GQ100" s="2"/>
      <c r="GR100" s="2">
        <v>0</v>
      </c>
      <c r="GS100" s="2">
        <v>3</v>
      </c>
      <c r="GT100" s="2">
        <v>0</v>
      </c>
      <c r="GU100" s="2" t="s">
        <v>4</v>
      </c>
      <c r="GV100" s="2">
        <f t="shared" si="105"/>
        <v>0</v>
      </c>
      <c r="GW100" s="2">
        <v>1</v>
      </c>
      <c r="GX100" s="2">
        <f t="shared" si="106"/>
        <v>0</v>
      </c>
      <c r="GY100" s="2"/>
      <c r="GZ100" s="2"/>
      <c r="HA100" s="2">
        <v>0</v>
      </c>
      <c r="HB100" s="2">
        <v>0</v>
      </c>
      <c r="HC100" s="2">
        <f t="shared" si="107"/>
        <v>0</v>
      </c>
      <c r="HD100" s="2"/>
      <c r="HE100" s="2" t="s">
        <v>4</v>
      </c>
      <c r="HF100" s="2" t="s">
        <v>4</v>
      </c>
      <c r="HG100" s="2"/>
      <c r="HH100" s="2"/>
      <c r="HI100" s="2"/>
      <c r="HJ100" s="2"/>
      <c r="HK100" s="2"/>
      <c r="HL100" s="2"/>
      <c r="HM100" s="2" t="s">
        <v>4</v>
      </c>
      <c r="HN100" s="2" t="s">
        <v>4</v>
      </c>
      <c r="HO100" s="2" t="s">
        <v>4</v>
      </c>
      <c r="HP100" s="2" t="s">
        <v>4</v>
      </c>
      <c r="HQ100" s="2" t="s">
        <v>4</v>
      </c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  <c r="IF100" s="2"/>
      <c r="IG100" s="2"/>
      <c r="IH100" s="2"/>
      <c r="II100" s="2"/>
      <c r="IJ100" s="2"/>
      <c r="IK100" s="2">
        <v>0</v>
      </c>
      <c r="IL100" s="2"/>
      <c r="IM100" s="2"/>
      <c r="IN100" s="2"/>
      <c r="IO100" s="2"/>
      <c r="IP100" s="2"/>
      <c r="IQ100" s="2"/>
      <c r="IR100" s="2"/>
      <c r="IS100" s="2"/>
      <c r="IT100" s="2"/>
      <c r="IU100" s="2"/>
    </row>
    <row r="101" spans="1:255">
      <c r="A101">
        <v>18</v>
      </c>
      <c r="B101">
        <v>1</v>
      </c>
      <c r="C101">
        <v>56</v>
      </c>
      <c r="E101" t="s">
        <v>166</v>
      </c>
      <c r="F101" t="s">
        <v>167</v>
      </c>
      <c r="G101" t="s">
        <v>522</v>
      </c>
      <c r="H101" t="s">
        <v>168</v>
      </c>
      <c r="I101">
        <f>I97*J101</f>
        <v>1.7600000000000001E-2</v>
      </c>
      <c r="J101">
        <v>0.44</v>
      </c>
      <c r="K101">
        <v>0.44</v>
      </c>
      <c r="O101">
        <f t="shared" si="70"/>
        <v>719.03</v>
      </c>
      <c r="P101">
        <f t="shared" si="71"/>
        <v>719.03</v>
      </c>
      <c r="Q101">
        <f t="shared" si="72"/>
        <v>0</v>
      </c>
      <c r="R101">
        <f t="shared" si="73"/>
        <v>0</v>
      </c>
      <c r="S101">
        <f t="shared" si="74"/>
        <v>0</v>
      </c>
      <c r="T101">
        <f t="shared" si="75"/>
        <v>0</v>
      </c>
      <c r="U101">
        <f t="shared" si="76"/>
        <v>0</v>
      </c>
      <c r="V101">
        <f t="shared" si="77"/>
        <v>0</v>
      </c>
      <c r="W101">
        <f t="shared" si="78"/>
        <v>0</v>
      </c>
      <c r="X101">
        <f t="shared" si="79"/>
        <v>0</v>
      </c>
      <c r="Y101">
        <f t="shared" si="80"/>
        <v>0</v>
      </c>
      <c r="AA101">
        <v>70305036</v>
      </c>
      <c r="AB101">
        <f t="shared" si="81"/>
        <v>11626.84</v>
      </c>
      <c r="AC101">
        <f t="shared" si="82"/>
        <v>11626.84</v>
      </c>
      <c r="AD101">
        <f t="shared" si="83"/>
        <v>0</v>
      </c>
      <c r="AE101">
        <f t="shared" si="84"/>
        <v>0</v>
      </c>
      <c r="AF101">
        <f t="shared" si="85"/>
        <v>0</v>
      </c>
      <c r="AG101">
        <f t="shared" si="86"/>
        <v>0</v>
      </c>
      <c r="AH101">
        <f t="shared" si="87"/>
        <v>0</v>
      </c>
      <c r="AI101">
        <f t="shared" si="88"/>
        <v>0</v>
      </c>
      <c r="AJ101">
        <f t="shared" si="89"/>
        <v>0</v>
      </c>
      <c r="AK101">
        <v>11626.84</v>
      </c>
      <c r="AL101">
        <v>11626.84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1</v>
      </c>
      <c r="AW101">
        <v>1.0680000000000001</v>
      </c>
      <c r="AZ101">
        <v>1</v>
      </c>
      <c r="BA101">
        <v>1</v>
      </c>
      <c r="BB101">
        <v>1</v>
      </c>
      <c r="BC101">
        <v>3.29</v>
      </c>
      <c r="BD101" t="s">
        <v>4</v>
      </c>
      <c r="BE101" t="s">
        <v>4</v>
      </c>
      <c r="BF101" t="s">
        <v>4</v>
      </c>
      <c r="BG101" t="s">
        <v>4</v>
      </c>
      <c r="BH101">
        <v>3</v>
      </c>
      <c r="BI101">
        <v>1</v>
      </c>
      <c r="BJ101" t="s">
        <v>169</v>
      </c>
      <c r="BM101">
        <v>65</v>
      </c>
      <c r="BN101">
        <v>0</v>
      </c>
      <c r="BO101" t="s">
        <v>167</v>
      </c>
      <c r="BP101">
        <v>1</v>
      </c>
      <c r="BQ101">
        <v>30</v>
      </c>
      <c r="BR101">
        <v>0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4</v>
      </c>
      <c r="BZ101">
        <v>0</v>
      </c>
      <c r="CA101">
        <v>0</v>
      </c>
      <c r="CB101" t="s">
        <v>4</v>
      </c>
      <c r="CE101">
        <v>30</v>
      </c>
      <c r="CF101">
        <v>0</v>
      </c>
      <c r="CG101">
        <v>0</v>
      </c>
      <c r="CM101">
        <v>0</v>
      </c>
      <c r="CN101" t="s">
        <v>4</v>
      </c>
      <c r="CO101">
        <v>0</v>
      </c>
      <c r="CP101">
        <f t="shared" si="90"/>
        <v>719.03</v>
      </c>
      <c r="CQ101">
        <f t="shared" si="91"/>
        <v>40853.480000000003</v>
      </c>
      <c r="CR101">
        <f t="shared" si="92"/>
        <v>0</v>
      </c>
      <c r="CS101">
        <f t="shared" si="93"/>
        <v>0</v>
      </c>
      <c r="CT101">
        <f t="shared" si="94"/>
        <v>0</v>
      </c>
      <c r="CU101">
        <f t="shared" si="95"/>
        <v>0</v>
      </c>
      <c r="CV101">
        <f t="shared" si="96"/>
        <v>0</v>
      </c>
      <c r="CW101">
        <f t="shared" si="97"/>
        <v>0</v>
      </c>
      <c r="CX101">
        <f t="shared" si="98"/>
        <v>0</v>
      </c>
      <c r="CY101">
        <f>S101*(BZ101/100)</f>
        <v>0</v>
      </c>
      <c r="CZ101">
        <f>S101*(CA101/100)</f>
        <v>0</v>
      </c>
      <c r="DC101" t="s">
        <v>4</v>
      </c>
      <c r="DD101" t="s">
        <v>4</v>
      </c>
      <c r="DE101" t="s">
        <v>4</v>
      </c>
      <c r="DF101" t="s">
        <v>4</v>
      </c>
      <c r="DG101" t="s">
        <v>4</v>
      </c>
      <c r="DH101" t="s">
        <v>4</v>
      </c>
      <c r="DI101" t="s">
        <v>4</v>
      </c>
      <c r="DJ101" t="s">
        <v>4</v>
      </c>
      <c r="DK101" t="s">
        <v>4</v>
      </c>
      <c r="DL101" t="s">
        <v>4</v>
      </c>
      <c r="DM101" t="s">
        <v>4</v>
      </c>
      <c r="DN101">
        <v>105</v>
      </c>
      <c r="DO101">
        <v>77</v>
      </c>
      <c r="DP101">
        <v>1.0469999999999999</v>
      </c>
      <c r="DQ101">
        <v>1.0680000000000001</v>
      </c>
      <c r="DU101">
        <v>1009</v>
      </c>
      <c r="DV101" t="s">
        <v>168</v>
      </c>
      <c r="DW101" t="s">
        <v>168</v>
      </c>
      <c r="DX101">
        <v>1000</v>
      </c>
      <c r="DZ101" t="s">
        <v>4</v>
      </c>
      <c r="EA101" t="s">
        <v>4</v>
      </c>
      <c r="EB101" t="s">
        <v>4</v>
      </c>
      <c r="EC101" t="s">
        <v>4</v>
      </c>
      <c r="EE101">
        <v>69252636</v>
      </c>
      <c r="EF101">
        <v>30</v>
      </c>
      <c r="EG101" t="s">
        <v>24</v>
      </c>
      <c r="EH101">
        <v>0</v>
      </c>
      <c r="EI101" t="s">
        <v>4</v>
      </c>
      <c r="EJ101">
        <v>1</v>
      </c>
      <c r="EK101">
        <v>65</v>
      </c>
      <c r="EL101" t="s">
        <v>159</v>
      </c>
      <c r="EM101" t="s">
        <v>160</v>
      </c>
      <c r="EO101" t="s">
        <v>4</v>
      </c>
      <c r="EQ101">
        <v>0</v>
      </c>
      <c r="ER101">
        <v>11626.84</v>
      </c>
      <c r="ES101">
        <v>11626.84</v>
      </c>
      <c r="ET101">
        <v>0</v>
      </c>
      <c r="EU101">
        <v>0</v>
      </c>
      <c r="EV101">
        <v>0</v>
      </c>
      <c r="EW101">
        <v>0</v>
      </c>
      <c r="EX101">
        <v>0</v>
      </c>
      <c r="FQ101">
        <v>0</v>
      </c>
      <c r="FR101">
        <f t="shared" si="99"/>
        <v>0</v>
      </c>
      <c r="FS101">
        <v>0</v>
      </c>
      <c r="FX101">
        <v>105</v>
      </c>
      <c r="FY101">
        <v>77</v>
      </c>
      <c r="GA101" t="s">
        <v>4</v>
      </c>
      <c r="GD101">
        <v>0</v>
      </c>
      <c r="GF101">
        <v>-188928943</v>
      </c>
      <c r="GG101">
        <v>2</v>
      </c>
      <c r="GH101">
        <v>1</v>
      </c>
      <c r="GI101">
        <v>2</v>
      </c>
      <c r="GJ101">
        <v>0</v>
      </c>
      <c r="GK101">
        <f>ROUND(R101*(S12)/100,2)</f>
        <v>0</v>
      </c>
      <c r="GL101">
        <f t="shared" si="100"/>
        <v>0</v>
      </c>
      <c r="GM101">
        <f t="shared" si="101"/>
        <v>719.03</v>
      </c>
      <c r="GN101">
        <f t="shared" si="102"/>
        <v>719.03</v>
      </c>
      <c r="GO101">
        <f t="shared" si="103"/>
        <v>0</v>
      </c>
      <c r="GP101">
        <f t="shared" si="104"/>
        <v>0</v>
      </c>
      <c r="GR101">
        <v>0</v>
      </c>
      <c r="GS101">
        <v>3</v>
      </c>
      <c r="GT101">
        <v>0</v>
      </c>
      <c r="GU101" t="s">
        <v>4</v>
      </c>
      <c r="GV101">
        <f t="shared" si="105"/>
        <v>0</v>
      </c>
      <c r="GW101">
        <v>1</v>
      </c>
      <c r="GX101">
        <f t="shared" si="106"/>
        <v>0</v>
      </c>
      <c r="HA101">
        <v>0</v>
      </c>
      <c r="HB101">
        <v>0</v>
      </c>
      <c r="HC101">
        <f t="shared" si="107"/>
        <v>0</v>
      </c>
      <c r="HE101" t="s">
        <v>4</v>
      </c>
      <c r="HF101" t="s">
        <v>4</v>
      </c>
      <c r="HM101" t="s">
        <v>4</v>
      </c>
      <c r="HN101" t="s">
        <v>4</v>
      </c>
      <c r="HO101" t="s">
        <v>4</v>
      </c>
      <c r="HP101" t="s">
        <v>4</v>
      </c>
      <c r="HQ101" t="s">
        <v>4</v>
      </c>
      <c r="IK101">
        <v>0</v>
      </c>
    </row>
    <row r="102" spans="1:255">
      <c r="A102" s="2">
        <v>17</v>
      </c>
      <c r="B102" s="2">
        <v>1</v>
      </c>
      <c r="C102" s="2">
        <f>ROW(SmtRes!A61)</f>
        <v>61</v>
      </c>
      <c r="D102" s="2">
        <f>ROW(EtalonRes!A83)</f>
        <v>83</v>
      </c>
      <c r="E102" s="2" t="s">
        <v>170</v>
      </c>
      <c r="F102" s="2" t="s">
        <v>171</v>
      </c>
      <c r="G102" s="2" t="s">
        <v>172</v>
      </c>
      <c r="H102" s="2" t="s">
        <v>173</v>
      </c>
      <c r="I102" s="2">
        <f>ROUND((100*3)/1000,9)</f>
        <v>0.3</v>
      </c>
      <c r="J102" s="2">
        <v>0</v>
      </c>
      <c r="K102" s="2">
        <f>ROUND((100*3)/1000,9)</f>
        <v>0.3</v>
      </c>
      <c r="L102" s="2"/>
      <c r="M102" s="2"/>
      <c r="N102" s="2"/>
      <c r="O102" s="2">
        <f t="shared" si="70"/>
        <v>587.66999999999996</v>
      </c>
      <c r="P102" s="2">
        <f t="shared" si="71"/>
        <v>0</v>
      </c>
      <c r="Q102" s="2">
        <f t="shared" si="72"/>
        <v>82.81</v>
      </c>
      <c r="R102" s="2">
        <f t="shared" si="73"/>
        <v>9.09</v>
      </c>
      <c r="S102" s="2">
        <f t="shared" si="74"/>
        <v>504.86</v>
      </c>
      <c r="T102" s="2">
        <f t="shared" si="75"/>
        <v>0</v>
      </c>
      <c r="U102" s="2">
        <f t="shared" si="76"/>
        <v>47.326784999999994</v>
      </c>
      <c r="V102" s="2">
        <f t="shared" si="77"/>
        <v>0</v>
      </c>
      <c r="W102" s="2">
        <f t="shared" si="78"/>
        <v>0</v>
      </c>
      <c r="X102" s="2">
        <f t="shared" si="79"/>
        <v>565.44000000000005</v>
      </c>
      <c r="Y102" s="2">
        <f t="shared" si="80"/>
        <v>353.4</v>
      </c>
      <c r="Z102" s="2"/>
      <c r="AA102" s="2">
        <v>70305038</v>
      </c>
      <c r="AB102" s="2">
        <f t="shared" si="81"/>
        <v>1835.9</v>
      </c>
      <c r="AC102" s="2">
        <f t="shared" si="82"/>
        <v>0</v>
      </c>
      <c r="AD102" s="2">
        <f t="shared" si="83"/>
        <v>258.70999999999998</v>
      </c>
      <c r="AE102" s="2">
        <f t="shared" si="84"/>
        <v>28.39</v>
      </c>
      <c r="AF102" s="2">
        <f t="shared" si="85"/>
        <v>1577.19</v>
      </c>
      <c r="AG102" s="2">
        <f t="shared" si="86"/>
        <v>0</v>
      </c>
      <c r="AH102" s="2">
        <f t="shared" si="87"/>
        <v>147.85</v>
      </c>
      <c r="AI102" s="2">
        <f t="shared" si="88"/>
        <v>0</v>
      </c>
      <c r="AJ102" s="2">
        <f t="shared" si="89"/>
        <v>0</v>
      </c>
      <c r="AK102" s="2">
        <v>1835.9</v>
      </c>
      <c r="AL102" s="2">
        <v>0</v>
      </c>
      <c r="AM102" s="2">
        <v>258.70999999999998</v>
      </c>
      <c r="AN102" s="2">
        <v>28.39</v>
      </c>
      <c r="AO102" s="2">
        <v>1577.19</v>
      </c>
      <c r="AP102" s="2">
        <v>0</v>
      </c>
      <c r="AQ102" s="2">
        <v>147.85</v>
      </c>
      <c r="AR102" s="2">
        <v>0</v>
      </c>
      <c r="AS102" s="2">
        <v>0</v>
      </c>
      <c r="AT102" s="2">
        <v>112</v>
      </c>
      <c r="AU102" s="2">
        <v>70</v>
      </c>
      <c r="AV102" s="2">
        <v>1.0669999999999999</v>
      </c>
      <c r="AW102" s="2">
        <v>1.081</v>
      </c>
      <c r="AX102" s="2"/>
      <c r="AY102" s="2"/>
      <c r="AZ102" s="2">
        <v>1</v>
      </c>
      <c r="BA102" s="2">
        <v>1</v>
      </c>
      <c r="BB102" s="2">
        <v>1</v>
      </c>
      <c r="BC102" s="2">
        <v>1</v>
      </c>
      <c r="BD102" s="2" t="s">
        <v>4</v>
      </c>
      <c r="BE102" s="2" t="s">
        <v>4</v>
      </c>
      <c r="BF102" s="2" t="s">
        <v>4</v>
      </c>
      <c r="BG102" s="2" t="s">
        <v>4</v>
      </c>
      <c r="BH102" s="2">
        <v>0</v>
      </c>
      <c r="BI102" s="2">
        <v>1</v>
      </c>
      <c r="BJ102" s="2" t="s">
        <v>174</v>
      </c>
      <c r="BK102" s="2"/>
      <c r="BL102" s="2"/>
      <c r="BM102" s="2">
        <v>2254</v>
      </c>
      <c r="BN102" s="2">
        <v>0</v>
      </c>
      <c r="BO102" s="2" t="s">
        <v>4</v>
      </c>
      <c r="BP102" s="2">
        <v>0</v>
      </c>
      <c r="BQ102" s="2">
        <v>30</v>
      </c>
      <c r="BR102" s="2">
        <v>0</v>
      </c>
      <c r="BS102" s="2">
        <v>1</v>
      </c>
      <c r="BT102" s="2">
        <v>1</v>
      </c>
      <c r="BU102" s="2">
        <v>1</v>
      </c>
      <c r="BV102" s="2">
        <v>1</v>
      </c>
      <c r="BW102" s="2">
        <v>1</v>
      </c>
      <c r="BX102" s="2">
        <v>1</v>
      </c>
      <c r="BY102" s="2" t="s">
        <v>4</v>
      </c>
      <c r="BZ102" s="2">
        <v>112</v>
      </c>
      <c r="CA102" s="2">
        <v>70</v>
      </c>
      <c r="CB102" s="2" t="s">
        <v>4</v>
      </c>
      <c r="CC102" s="2"/>
      <c r="CD102" s="2"/>
      <c r="CE102" s="2">
        <v>30</v>
      </c>
      <c r="CF102" s="2">
        <v>0</v>
      </c>
      <c r="CG102" s="2">
        <v>0</v>
      </c>
      <c r="CH102" s="2"/>
      <c r="CI102" s="2"/>
      <c r="CJ102" s="2"/>
      <c r="CK102" s="2"/>
      <c r="CL102" s="2"/>
      <c r="CM102" s="2">
        <v>0</v>
      </c>
      <c r="CN102" s="2" t="s">
        <v>4</v>
      </c>
      <c r="CO102" s="2">
        <v>0</v>
      </c>
      <c r="CP102" s="2">
        <f t="shared" si="90"/>
        <v>587.67000000000007</v>
      </c>
      <c r="CQ102" s="2">
        <f t="shared" si="91"/>
        <v>0</v>
      </c>
      <c r="CR102" s="2">
        <f t="shared" si="92"/>
        <v>276.04000000000002</v>
      </c>
      <c r="CS102" s="2">
        <f t="shared" si="93"/>
        <v>30.29</v>
      </c>
      <c r="CT102" s="2">
        <f t="shared" si="94"/>
        <v>1682.86</v>
      </c>
      <c r="CU102" s="2">
        <f t="shared" si="95"/>
        <v>0</v>
      </c>
      <c r="CV102" s="2">
        <f t="shared" si="96"/>
        <v>157.75594999999998</v>
      </c>
      <c r="CW102" s="2">
        <f t="shared" si="97"/>
        <v>0</v>
      </c>
      <c r="CX102" s="2">
        <f t="shared" si="98"/>
        <v>0</v>
      </c>
      <c r="CY102" s="2">
        <f>((S102*BZ102)/100)</f>
        <v>565.44320000000005</v>
      </c>
      <c r="CZ102" s="2">
        <f>((S102*CA102)/100)</f>
        <v>353.40200000000004</v>
      </c>
      <c r="DA102" s="2"/>
      <c r="DB102" s="2"/>
      <c r="DC102" s="2" t="s">
        <v>4</v>
      </c>
      <c r="DD102" s="2" t="s">
        <v>4</v>
      </c>
      <c r="DE102" s="2" t="s">
        <v>4</v>
      </c>
      <c r="DF102" s="2" t="s">
        <v>4</v>
      </c>
      <c r="DG102" s="2" t="s">
        <v>4</v>
      </c>
      <c r="DH102" s="2" t="s">
        <v>4</v>
      </c>
      <c r="DI102" s="2" t="s">
        <v>4</v>
      </c>
      <c r="DJ102" s="2" t="s">
        <v>4</v>
      </c>
      <c r="DK102" s="2" t="s">
        <v>4</v>
      </c>
      <c r="DL102" s="2" t="s">
        <v>4</v>
      </c>
      <c r="DM102" s="2" t="s">
        <v>4</v>
      </c>
      <c r="DN102" s="2">
        <v>0</v>
      </c>
      <c r="DO102" s="2">
        <v>0</v>
      </c>
      <c r="DP102" s="2">
        <v>1</v>
      </c>
      <c r="DQ102" s="2">
        <v>1</v>
      </c>
      <c r="DR102" s="2"/>
      <c r="DS102" s="2"/>
      <c r="DT102" s="2"/>
      <c r="DU102" s="2">
        <v>1013</v>
      </c>
      <c r="DV102" s="2" t="s">
        <v>173</v>
      </c>
      <c r="DW102" s="2" t="s">
        <v>173</v>
      </c>
      <c r="DX102" s="2">
        <v>1</v>
      </c>
      <c r="DY102" s="2"/>
      <c r="DZ102" s="2" t="s">
        <v>4</v>
      </c>
      <c r="EA102" s="2" t="s">
        <v>4</v>
      </c>
      <c r="EB102" s="2" t="s">
        <v>4</v>
      </c>
      <c r="EC102" s="2" t="s">
        <v>4</v>
      </c>
      <c r="ED102" s="2"/>
      <c r="EE102" s="2">
        <v>69254921</v>
      </c>
      <c r="EF102" s="2">
        <v>30</v>
      </c>
      <c r="EG102" s="2" t="s">
        <v>24</v>
      </c>
      <c r="EH102" s="2">
        <v>0</v>
      </c>
      <c r="EI102" s="2" t="s">
        <v>4</v>
      </c>
      <c r="EJ102" s="2">
        <v>1</v>
      </c>
      <c r="EK102" s="2">
        <v>2254</v>
      </c>
      <c r="EL102" s="2" t="s">
        <v>175</v>
      </c>
      <c r="EM102" s="2" t="s">
        <v>176</v>
      </c>
      <c r="EN102" s="2"/>
      <c r="EO102" s="2" t="s">
        <v>4</v>
      </c>
      <c r="EP102" s="2"/>
      <c r="EQ102" s="2">
        <v>0</v>
      </c>
      <c r="ER102" s="2">
        <v>1835.9</v>
      </c>
      <c r="ES102" s="2">
        <v>0</v>
      </c>
      <c r="ET102" s="2">
        <v>258.70999999999998</v>
      </c>
      <c r="EU102" s="2">
        <v>28.39</v>
      </c>
      <c r="EV102" s="2">
        <v>1577.19</v>
      </c>
      <c r="EW102" s="2">
        <v>147.85</v>
      </c>
      <c r="EX102" s="2">
        <v>0</v>
      </c>
      <c r="EY102" s="2">
        <v>0</v>
      </c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>
        <v>0</v>
      </c>
      <c r="FR102" s="2">
        <f t="shared" si="99"/>
        <v>0</v>
      </c>
      <c r="FS102" s="2">
        <v>0</v>
      </c>
      <c r="FT102" s="2"/>
      <c r="FU102" s="2"/>
      <c r="FV102" s="2"/>
      <c r="FW102" s="2"/>
      <c r="FX102" s="2">
        <v>112</v>
      </c>
      <c r="FY102" s="2">
        <v>70</v>
      </c>
      <c r="FZ102" s="2"/>
      <c r="GA102" s="2" t="s">
        <v>4</v>
      </c>
      <c r="GB102" s="2"/>
      <c r="GC102" s="2"/>
      <c r="GD102" s="2">
        <v>0</v>
      </c>
      <c r="GE102" s="2"/>
      <c r="GF102" s="2">
        <v>-1636015154</v>
      </c>
      <c r="GG102" s="2">
        <v>2</v>
      </c>
      <c r="GH102" s="2">
        <v>1</v>
      </c>
      <c r="GI102" s="2">
        <v>-2</v>
      </c>
      <c r="GJ102" s="2">
        <v>0</v>
      </c>
      <c r="GK102" s="2">
        <f>ROUND(R102*(R12)/100,2)</f>
        <v>15.91</v>
      </c>
      <c r="GL102" s="2">
        <f t="shared" si="100"/>
        <v>0</v>
      </c>
      <c r="GM102" s="2">
        <f t="shared" si="101"/>
        <v>1522.42</v>
      </c>
      <c r="GN102" s="2">
        <f t="shared" si="102"/>
        <v>1522.42</v>
      </c>
      <c r="GO102" s="2">
        <f t="shared" si="103"/>
        <v>0</v>
      </c>
      <c r="GP102" s="2">
        <f t="shared" si="104"/>
        <v>0</v>
      </c>
      <c r="GQ102" s="2"/>
      <c r="GR102" s="2">
        <v>0</v>
      </c>
      <c r="GS102" s="2">
        <v>3</v>
      </c>
      <c r="GT102" s="2">
        <v>0</v>
      </c>
      <c r="GU102" s="2" t="s">
        <v>4</v>
      </c>
      <c r="GV102" s="2">
        <f t="shared" si="105"/>
        <v>0</v>
      </c>
      <c r="GW102" s="2">
        <v>1</v>
      </c>
      <c r="GX102" s="2">
        <f t="shared" si="106"/>
        <v>0</v>
      </c>
      <c r="GY102" s="2"/>
      <c r="GZ102" s="2"/>
      <c r="HA102" s="2">
        <v>0</v>
      </c>
      <c r="HB102" s="2">
        <v>0</v>
      </c>
      <c r="HC102" s="2">
        <f t="shared" si="107"/>
        <v>0</v>
      </c>
      <c r="HD102" s="2"/>
      <c r="HE102" s="2" t="s">
        <v>4</v>
      </c>
      <c r="HF102" s="2" t="s">
        <v>4</v>
      </c>
      <c r="HG102" s="2"/>
      <c r="HH102" s="2"/>
      <c r="HI102" s="2"/>
      <c r="HJ102" s="2"/>
      <c r="HK102" s="2"/>
      <c r="HL102" s="2"/>
      <c r="HM102" s="2" t="s">
        <v>4</v>
      </c>
      <c r="HN102" s="2" t="s">
        <v>4</v>
      </c>
      <c r="HO102" s="2" t="s">
        <v>4</v>
      </c>
      <c r="HP102" s="2" t="s">
        <v>4</v>
      </c>
      <c r="HQ102" s="2" t="s">
        <v>4</v>
      </c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  <c r="IF102" s="2"/>
      <c r="IG102" s="2"/>
      <c r="IH102" s="2"/>
      <c r="II102" s="2"/>
      <c r="IJ102" s="2"/>
      <c r="IK102" s="2">
        <v>0</v>
      </c>
      <c r="IL102" s="2"/>
      <c r="IM102" s="2"/>
      <c r="IN102" s="2"/>
      <c r="IO102" s="2"/>
      <c r="IP102" s="2"/>
      <c r="IQ102" s="2"/>
      <c r="IR102" s="2"/>
      <c r="IS102" s="2"/>
      <c r="IT102" s="2"/>
      <c r="IU102" s="2"/>
    </row>
    <row r="103" spans="1:255">
      <c r="A103">
        <v>17</v>
      </c>
      <c r="B103">
        <v>1</v>
      </c>
      <c r="C103">
        <f>ROW(SmtRes!A66)</f>
        <v>66</v>
      </c>
      <c r="D103">
        <f>ROW(EtalonRes!A88)</f>
        <v>88</v>
      </c>
      <c r="E103" t="s">
        <v>170</v>
      </c>
      <c r="F103" t="s">
        <v>171</v>
      </c>
      <c r="G103" t="s">
        <v>172</v>
      </c>
      <c r="H103" t="s">
        <v>173</v>
      </c>
      <c r="I103">
        <f>ROUND((100*3)/1000,9)</f>
        <v>0.3</v>
      </c>
      <c r="J103">
        <v>0</v>
      </c>
      <c r="K103">
        <f>ROUND((100*3)/1000,9)</f>
        <v>0.3</v>
      </c>
      <c r="O103">
        <f t="shared" si="70"/>
        <v>24678.1</v>
      </c>
      <c r="P103">
        <f t="shared" si="71"/>
        <v>0</v>
      </c>
      <c r="Q103">
        <f t="shared" si="72"/>
        <v>1116.28</v>
      </c>
      <c r="R103">
        <f t="shared" si="73"/>
        <v>424.23</v>
      </c>
      <c r="S103">
        <f t="shared" si="74"/>
        <v>23561.82</v>
      </c>
      <c r="T103">
        <f t="shared" si="75"/>
        <v>0</v>
      </c>
      <c r="U103">
        <f t="shared" si="76"/>
        <v>47.326784999999994</v>
      </c>
      <c r="V103">
        <f t="shared" si="77"/>
        <v>0</v>
      </c>
      <c r="W103">
        <f t="shared" si="78"/>
        <v>0</v>
      </c>
      <c r="X103">
        <f t="shared" si="79"/>
        <v>21676.87</v>
      </c>
      <c r="Y103">
        <f t="shared" si="80"/>
        <v>9660.35</v>
      </c>
      <c r="AA103">
        <v>70305036</v>
      </c>
      <c r="AB103">
        <f t="shared" si="81"/>
        <v>1835.9</v>
      </c>
      <c r="AC103">
        <f t="shared" si="82"/>
        <v>0</v>
      </c>
      <c r="AD103">
        <f t="shared" si="83"/>
        <v>258.70999999999998</v>
      </c>
      <c r="AE103">
        <f t="shared" si="84"/>
        <v>28.39</v>
      </c>
      <c r="AF103">
        <f t="shared" si="85"/>
        <v>1577.19</v>
      </c>
      <c r="AG103">
        <f t="shared" si="86"/>
        <v>0</v>
      </c>
      <c r="AH103">
        <f t="shared" si="87"/>
        <v>147.85</v>
      </c>
      <c r="AI103">
        <f t="shared" si="88"/>
        <v>0</v>
      </c>
      <c r="AJ103">
        <f t="shared" si="89"/>
        <v>0</v>
      </c>
      <c r="AK103">
        <v>1835.9</v>
      </c>
      <c r="AL103">
        <v>0</v>
      </c>
      <c r="AM103">
        <v>258.70999999999998</v>
      </c>
      <c r="AN103">
        <v>28.39</v>
      </c>
      <c r="AO103">
        <v>1577.19</v>
      </c>
      <c r="AP103">
        <v>0</v>
      </c>
      <c r="AQ103">
        <v>147.85</v>
      </c>
      <c r="AR103">
        <v>0</v>
      </c>
      <c r="AS103">
        <v>0</v>
      </c>
      <c r="AT103">
        <v>92</v>
      </c>
      <c r="AU103">
        <v>41</v>
      </c>
      <c r="AV103">
        <v>1.0669999999999999</v>
      </c>
      <c r="AW103">
        <v>1.081</v>
      </c>
      <c r="AZ103">
        <v>1</v>
      </c>
      <c r="BA103">
        <v>46.67</v>
      </c>
      <c r="BB103">
        <v>13.48</v>
      </c>
      <c r="BC103">
        <v>1</v>
      </c>
      <c r="BD103" t="s">
        <v>4</v>
      </c>
      <c r="BE103" t="s">
        <v>4</v>
      </c>
      <c r="BF103" t="s">
        <v>4</v>
      </c>
      <c r="BG103" t="s">
        <v>4</v>
      </c>
      <c r="BH103">
        <v>0</v>
      </c>
      <c r="BI103">
        <v>1</v>
      </c>
      <c r="BJ103" t="s">
        <v>174</v>
      </c>
      <c r="BM103">
        <v>2254</v>
      </c>
      <c r="BN103">
        <v>0</v>
      </c>
      <c r="BO103" t="s">
        <v>171</v>
      </c>
      <c r="BP103">
        <v>1</v>
      </c>
      <c r="BQ103">
        <v>30</v>
      </c>
      <c r="BR103">
        <v>0</v>
      </c>
      <c r="BS103">
        <v>46.67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4</v>
      </c>
      <c r="BZ103">
        <v>92</v>
      </c>
      <c r="CA103">
        <v>41</v>
      </c>
      <c r="CB103" t="s">
        <v>4</v>
      </c>
      <c r="CE103">
        <v>30</v>
      </c>
      <c r="CF103">
        <v>0</v>
      </c>
      <c r="CG103">
        <v>0</v>
      </c>
      <c r="CM103">
        <v>0</v>
      </c>
      <c r="CN103" t="s">
        <v>4</v>
      </c>
      <c r="CO103">
        <v>0</v>
      </c>
      <c r="CP103">
        <f t="shared" si="90"/>
        <v>24678.1</v>
      </c>
      <c r="CQ103">
        <f t="shared" si="91"/>
        <v>0</v>
      </c>
      <c r="CR103">
        <f t="shared" si="92"/>
        <v>3721.02</v>
      </c>
      <c r="CS103">
        <f t="shared" si="93"/>
        <v>1413.63</v>
      </c>
      <c r="CT103">
        <f t="shared" si="94"/>
        <v>78539.08</v>
      </c>
      <c r="CU103">
        <f t="shared" si="95"/>
        <v>0</v>
      </c>
      <c r="CV103">
        <f t="shared" si="96"/>
        <v>157.75594999999998</v>
      </c>
      <c r="CW103">
        <f t="shared" si="97"/>
        <v>0</v>
      </c>
      <c r="CX103">
        <f t="shared" si="98"/>
        <v>0</v>
      </c>
      <c r="CY103">
        <f>S103*(BZ103/100)</f>
        <v>21676.874400000001</v>
      </c>
      <c r="CZ103">
        <f>S103*(CA103/100)</f>
        <v>9660.3462</v>
      </c>
      <c r="DC103" t="s">
        <v>4</v>
      </c>
      <c r="DD103" t="s">
        <v>4</v>
      </c>
      <c r="DE103" t="s">
        <v>4</v>
      </c>
      <c r="DF103" t="s">
        <v>4</v>
      </c>
      <c r="DG103" t="s">
        <v>4</v>
      </c>
      <c r="DH103" t="s">
        <v>4</v>
      </c>
      <c r="DI103" t="s">
        <v>4</v>
      </c>
      <c r="DJ103" t="s">
        <v>4</v>
      </c>
      <c r="DK103" t="s">
        <v>4</v>
      </c>
      <c r="DL103" t="s">
        <v>4</v>
      </c>
      <c r="DM103" t="s">
        <v>4</v>
      </c>
      <c r="DN103">
        <v>112</v>
      </c>
      <c r="DO103">
        <v>70</v>
      </c>
      <c r="DP103">
        <v>1.0669999999999999</v>
      </c>
      <c r="DQ103">
        <v>1.081</v>
      </c>
      <c r="DU103">
        <v>1013</v>
      </c>
      <c r="DV103" t="s">
        <v>173</v>
      </c>
      <c r="DW103" t="s">
        <v>173</v>
      </c>
      <c r="DX103">
        <v>1</v>
      </c>
      <c r="DZ103" t="s">
        <v>4</v>
      </c>
      <c r="EA103" t="s">
        <v>4</v>
      </c>
      <c r="EB103" t="s">
        <v>4</v>
      </c>
      <c r="EC103" t="s">
        <v>4</v>
      </c>
      <c r="EE103">
        <v>69254921</v>
      </c>
      <c r="EF103">
        <v>30</v>
      </c>
      <c r="EG103" t="s">
        <v>24</v>
      </c>
      <c r="EH103">
        <v>0</v>
      </c>
      <c r="EI103" t="s">
        <v>4</v>
      </c>
      <c r="EJ103">
        <v>1</v>
      </c>
      <c r="EK103">
        <v>2254</v>
      </c>
      <c r="EL103" t="s">
        <v>175</v>
      </c>
      <c r="EM103" t="s">
        <v>176</v>
      </c>
      <c r="EO103" t="s">
        <v>4</v>
      </c>
      <c r="EQ103">
        <v>0</v>
      </c>
      <c r="ER103">
        <v>1835.9</v>
      </c>
      <c r="ES103">
        <v>0</v>
      </c>
      <c r="ET103">
        <v>258.70999999999998</v>
      </c>
      <c r="EU103">
        <v>28.39</v>
      </c>
      <c r="EV103">
        <v>1577.19</v>
      </c>
      <c r="EW103">
        <v>147.85</v>
      </c>
      <c r="EX103">
        <v>0</v>
      </c>
      <c r="EY103">
        <v>0</v>
      </c>
      <c r="FQ103">
        <v>0</v>
      </c>
      <c r="FR103">
        <f t="shared" si="99"/>
        <v>0</v>
      </c>
      <c r="FS103">
        <v>0</v>
      </c>
      <c r="FX103">
        <v>112</v>
      </c>
      <c r="FY103">
        <v>70</v>
      </c>
      <c r="GA103" t="s">
        <v>4</v>
      </c>
      <c r="GD103">
        <v>0</v>
      </c>
      <c r="GF103">
        <v>-1636015154</v>
      </c>
      <c r="GG103">
        <v>2</v>
      </c>
      <c r="GH103">
        <v>1</v>
      </c>
      <c r="GI103">
        <v>2</v>
      </c>
      <c r="GJ103">
        <v>0</v>
      </c>
      <c r="GK103">
        <f>ROUND(R103*(S12)/100,2)</f>
        <v>678.77</v>
      </c>
      <c r="GL103">
        <f t="shared" si="100"/>
        <v>0</v>
      </c>
      <c r="GM103">
        <f t="shared" si="101"/>
        <v>56694.09</v>
      </c>
      <c r="GN103">
        <f t="shared" si="102"/>
        <v>56694.09</v>
      </c>
      <c r="GO103">
        <f t="shared" si="103"/>
        <v>0</v>
      </c>
      <c r="GP103">
        <f t="shared" si="104"/>
        <v>0</v>
      </c>
      <c r="GR103">
        <v>0</v>
      </c>
      <c r="GS103">
        <v>3</v>
      </c>
      <c r="GT103">
        <v>0</v>
      </c>
      <c r="GU103" t="s">
        <v>4</v>
      </c>
      <c r="GV103">
        <f t="shared" si="105"/>
        <v>0</v>
      </c>
      <c r="GW103">
        <v>1</v>
      </c>
      <c r="GX103">
        <f t="shared" si="106"/>
        <v>0</v>
      </c>
      <c r="HA103">
        <v>0</v>
      </c>
      <c r="HB103">
        <v>0</v>
      </c>
      <c r="HC103">
        <f t="shared" si="107"/>
        <v>0</v>
      </c>
      <c r="HE103" t="s">
        <v>4</v>
      </c>
      <c r="HF103" t="s">
        <v>4</v>
      </c>
      <c r="HM103" t="s">
        <v>4</v>
      </c>
      <c r="HN103" t="s">
        <v>4</v>
      </c>
      <c r="HO103" t="s">
        <v>4</v>
      </c>
      <c r="HP103" t="s">
        <v>4</v>
      </c>
      <c r="HQ103" t="s">
        <v>4</v>
      </c>
      <c r="IK103">
        <v>0</v>
      </c>
    </row>
    <row r="104" spans="1:255">
      <c r="A104" s="2">
        <v>18</v>
      </c>
      <c r="B104" s="2">
        <v>1</v>
      </c>
      <c r="C104" s="2">
        <v>61</v>
      </c>
      <c r="D104" s="2"/>
      <c r="E104" s="2" t="s">
        <v>177</v>
      </c>
      <c r="F104" s="2" t="s">
        <v>178</v>
      </c>
      <c r="G104" s="2" t="s">
        <v>523</v>
      </c>
      <c r="H104" s="2" t="s">
        <v>135</v>
      </c>
      <c r="I104" s="2">
        <f>I102*J104</f>
        <v>307.5</v>
      </c>
      <c r="J104" s="2">
        <v>1025</v>
      </c>
      <c r="K104" s="2">
        <v>1025</v>
      </c>
      <c r="L104" s="2"/>
      <c r="M104" s="2"/>
      <c r="N104" s="2"/>
      <c r="O104" s="2">
        <f t="shared" si="70"/>
        <v>92512.33</v>
      </c>
      <c r="P104" s="2">
        <f t="shared" si="71"/>
        <v>92512.33</v>
      </c>
      <c r="Q104" s="2">
        <f t="shared" si="72"/>
        <v>0</v>
      </c>
      <c r="R104" s="2">
        <f t="shared" si="73"/>
        <v>0</v>
      </c>
      <c r="S104" s="2">
        <f t="shared" si="74"/>
        <v>0</v>
      </c>
      <c r="T104" s="2">
        <f t="shared" si="75"/>
        <v>0</v>
      </c>
      <c r="U104" s="2">
        <f t="shared" si="76"/>
        <v>0</v>
      </c>
      <c r="V104" s="2">
        <f t="shared" si="77"/>
        <v>0</v>
      </c>
      <c r="W104" s="2">
        <f t="shared" si="78"/>
        <v>0</v>
      </c>
      <c r="X104" s="2">
        <f t="shared" si="79"/>
        <v>0</v>
      </c>
      <c r="Y104" s="2">
        <f t="shared" si="80"/>
        <v>0</v>
      </c>
      <c r="Z104" s="2"/>
      <c r="AA104" s="2">
        <v>70305038</v>
      </c>
      <c r="AB104" s="2">
        <f t="shared" si="81"/>
        <v>278.31</v>
      </c>
      <c r="AC104" s="2">
        <f t="shared" si="82"/>
        <v>278.31</v>
      </c>
      <c r="AD104" s="2">
        <f t="shared" si="83"/>
        <v>0</v>
      </c>
      <c r="AE104" s="2">
        <f t="shared" si="84"/>
        <v>0</v>
      </c>
      <c r="AF104" s="2">
        <f t="shared" si="85"/>
        <v>0</v>
      </c>
      <c r="AG104" s="2">
        <f t="shared" si="86"/>
        <v>0</v>
      </c>
      <c r="AH104" s="2">
        <f t="shared" si="87"/>
        <v>0</v>
      </c>
      <c r="AI104" s="2">
        <f t="shared" si="88"/>
        <v>0</v>
      </c>
      <c r="AJ104" s="2">
        <f t="shared" si="89"/>
        <v>0</v>
      </c>
      <c r="AK104" s="2">
        <v>278.31</v>
      </c>
      <c r="AL104" s="2">
        <v>278.31</v>
      </c>
      <c r="AM104" s="2">
        <v>0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112</v>
      </c>
      <c r="AU104" s="2">
        <v>70</v>
      </c>
      <c r="AV104" s="2">
        <v>1.0669999999999999</v>
      </c>
      <c r="AW104" s="2">
        <v>1.081</v>
      </c>
      <c r="AX104" s="2"/>
      <c r="AY104" s="2"/>
      <c r="AZ104" s="2">
        <v>1</v>
      </c>
      <c r="BA104" s="2">
        <v>1</v>
      </c>
      <c r="BB104" s="2">
        <v>1</v>
      </c>
      <c r="BC104" s="2">
        <v>1</v>
      </c>
      <c r="BD104" s="2" t="s">
        <v>4</v>
      </c>
      <c r="BE104" s="2" t="s">
        <v>4</v>
      </c>
      <c r="BF104" s="2" t="s">
        <v>4</v>
      </c>
      <c r="BG104" s="2" t="s">
        <v>4</v>
      </c>
      <c r="BH104" s="2">
        <v>3</v>
      </c>
      <c r="BI104" s="2">
        <v>1</v>
      </c>
      <c r="BJ104" s="2" t="s">
        <v>179</v>
      </c>
      <c r="BK104" s="2"/>
      <c r="BL104" s="2"/>
      <c r="BM104" s="2">
        <v>2254</v>
      </c>
      <c r="BN104" s="2">
        <v>0</v>
      </c>
      <c r="BO104" s="2" t="s">
        <v>4</v>
      </c>
      <c r="BP104" s="2">
        <v>0</v>
      </c>
      <c r="BQ104" s="2">
        <v>30</v>
      </c>
      <c r="BR104" s="2">
        <v>0</v>
      </c>
      <c r="BS104" s="2">
        <v>1</v>
      </c>
      <c r="BT104" s="2">
        <v>1</v>
      </c>
      <c r="BU104" s="2">
        <v>1</v>
      </c>
      <c r="BV104" s="2">
        <v>1</v>
      </c>
      <c r="BW104" s="2">
        <v>1</v>
      </c>
      <c r="BX104" s="2">
        <v>1</v>
      </c>
      <c r="BY104" s="2" t="s">
        <v>4</v>
      </c>
      <c r="BZ104" s="2">
        <v>112</v>
      </c>
      <c r="CA104" s="2">
        <v>70</v>
      </c>
      <c r="CB104" s="2" t="s">
        <v>4</v>
      </c>
      <c r="CC104" s="2"/>
      <c r="CD104" s="2"/>
      <c r="CE104" s="2">
        <v>30</v>
      </c>
      <c r="CF104" s="2">
        <v>0</v>
      </c>
      <c r="CG104" s="2">
        <v>0</v>
      </c>
      <c r="CH104" s="2"/>
      <c r="CI104" s="2"/>
      <c r="CJ104" s="2"/>
      <c r="CK104" s="2"/>
      <c r="CL104" s="2"/>
      <c r="CM104" s="2">
        <v>0</v>
      </c>
      <c r="CN104" s="2" t="s">
        <v>4</v>
      </c>
      <c r="CO104" s="2">
        <v>0</v>
      </c>
      <c r="CP104" s="2">
        <f t="shared" si="90"/>
        <v>92512.33</v>
      </c>
      <c r="CQ104" s="2">
        <f t="shared" si="91"/>
        <v>300.85000000000002</v>
      </c>
      <c r="CR104" s="2">
        <f t="shared" si="92"/>
        <v>0</v>
      </c>
      <c r="CS104" s="2">
        <f t="shared" si="93"/>
        <v>0</v>
      </c>
      <c r="CT104" s="2">
        <f t="shared" si="94"/>
        <v>0</v>
      </c>
      <c r="CU104" s="2">
        <f t="shared" si="95"/>
        <v>0</v>
      </c>
      <c r="CV104" s="2">
        <f t="shared" si="96"/>
        <v>0</v>
      </c>
      <c r="CW104" s="2">
        <f t="shared" si="97"/>
        <v>0</v>
      </c>
      <c r="CX104" s="2">
        <f t="shared" si="98"/>
        <v>0</v>
      </c>
      <c r="CY104" s="2">
        <f>((S104*BZ104)/100)</f>
        <v>0</v>
      </c>
      <c r="CZ104" s="2">
        <f>((S104*CA104)/100)</f>
        <v>0</v>
      </c>
      <c r="DA104" s="2"/>
      <c r="DB104" s="2"/>
      <c r="DC104" s="2" t="s">
        <v>4</v>
      </c>
      <c r="DD104" s="2" t="s">
        <v>4</v>
      </c>
      <c r="DE104" s="2" t="s">
        <v>4</v>
      </c>
      <c r="DF104" s="2" t="s">
        <v>4</v>
      </c>
      <c r="DG104" s="2" t="s">
        <v>4</v>
      </c>
      <c r="DH104" s="2" t="s">
        <v>4</v>
      </c>
      <c r="DI104" s="2" t="s">
        <v>4</v>
      </c>
      <c r="DJ104" s="2" t="s">
        <v>4</v>
      </c>
      <c r="DK104" s="2" t="s">
        <v>4</v>
      </c>
      <c r="DL104" s="2" t="s">
        <v>4</v>
      </c>
      <c r="DM104" s="2" t="s">
        <v>4</v>
      </c>
      <c r="DN104" s="2">
        <v>0</v>
      </c>
      <c r="DO104" s="2">
        <v>0</v>
      </c>
      <c r="DP104" s="2">
        <v>1</v>
      </c>
      <c r="DQ104" s="2">
        <v>1</v>
      </c>
      <c r="DR104" s="2"/>
      <c r="DS104" s="2"/>
      <c r="DT104" s="2"/>
      <c r="DU104" s="2">
        <v>1003</v>
      </c>
      <c r="DV104" s="2" t="s">
        <v>135</v>
      </c>
      <c r="DW104" s="2" t="s">
        <v>135</v>
      </c>
      <c r="DX104" s="2">
        <v>1</v>
      </c>
      <c r="DY104" s="2"/>
      <c r="DZ104" s="2" t="s">
        <v>4</v>
      </c>
      <c r="EA104" s="2" t="s">
        <v>4</v>
      </c>
      <c r="EB104" s="2" t="s">
        <v>4</v>
      </c>
      <c r="EC104" s="2" t="s">
        <v>4</v>
      </c>
      <c r="ED104" s="2"/>
      <c r="EE104" s="2">
        <v>69254921</v>
      </c>
      <c r="EF104" s="2">
        <v>30</v>
      </c>
      <c r="EG104" s="2" t="s">
        <v>24</v>
      </c>
      <c r="EH104" s="2">
        <v>0</v>
      </c>
      <c r="EI104" s="2" t="s">
        <v>4</v>
      </c>
      <c r="EJ104" s="2">
        <v>1</v>
      </c>
      <c r="EK104" s="2">
        <v>2254</v>
      </c>
      <c r="EL104" s="2" t="s">
        <v>175</v>
      </c>
      <c r="EM104" s="2" t="s">
        <v>176</v>
      </c>
      <c r="EN104" s="2"/>
      <c r="EO104" s="2" t="s">
        <v>4</v>
      </c>
      <c r="EP104" s="2"/>
      <c r="EQ104" s="2">
        <v>0</v>
      </c>
      <c r="ER104" s="2">
        <v>278.31</v>
      </c>
      <c r="ES104" s="2">
        <v>278.31</v>
      </c>
      <c r="ET104" s="2">
        <v>0</v>
      </c>
      <c r="EU104" s="2">
        <v>0</v>
      </c>
      <c r="EV104" s="2">
        <v>0</v>
      </c>
      <c r="EW104" s="2">
        <v>0</v>
      </c>
      <c r="EX104" s="2">
        <v>0</v>
      </c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>
        <v>0</v>
      </c>
      <c r="FR104" s="2">
        <f t="shared" si="99"/>
        <v>0</v>
      </c>
      <c r="FS104" s="2">
        <v>0</v>
      </c>
      <c r="FT104" s="2"/>
      <c r="FU104" s="2"/>
      <c r="FV104" s="2"/>
      <c r="FW104" s="2"/>
      <c r="FX104" s="2">
        <v>112</v>
      </c>
      <c r="FY104" s="2">
        <v>70</v>
      </c>
      <c r="FZ104" s="2"/>
      <c r="GA104" s="2" t="s">
        <v>4</v>
      </c>
      <c r="GB104" s="2"/>
      <c r="GC104" s="2"/>
      <c r="GD104" s="2">
        <v>0</v>
      </c>
      <c r="GE104" s="2"/>
      <c r="GF104" s="2">
        <v>77284068</v>
      </c>
      <c r="GG104" s="2">
        <v>2</v>
      </c>
      <c r="GH104" s="2">
        <v>1</v>
      </c>
      <c r="GI104" s="2">
        <v>-2</v>
      </c>
      <c r="GJ104" s="2">
        <v>0</v>
      </c>
      <c r="GK104" s="2">
        <f>ROUND(R104*(R12)/100,2)</f>
        <v>0</v>
      </c>
      <c r="GL104" s="2">
        <f t="shared" si="100"/>
        <v>0</v>
      </c>
      <c r="GM104" s="2">
        <f t="shared" si="101"/>
        <v>92512.33</v>
      </c>
      <c r="GN104" s="2">
        <f t="shared" si="102"/>
        <v>92512.33</v>
      </c>
      <c r="GO104" s="2">
        <f t="shared" si="103"/>
        <v>0</v>
      </c>
      <c r="GP104" s="2">
        <f t="shared" si="104"/>
        <v>0</v>
      </c>
      <c r="GQ104" s="2"/>
      <c r="GR104" s="2">
        <v>0</v>
      </c>
      <c r="GS104" s="2">
        <v>3</v>
      </c>
      <c r="GT104" s="2">
        <v>0</v>
      </c>
      <c r="GU104" s="2" t="s">
        <v>4</v>
      </c>
      <c r="GV104" s="2">
        <f t="shared" si="105"/>
        <v>0</v>
      </c>
      <c r="GW104" s="2">
        <v>1</v>
      </c>
      <c r="GX104" s="2">
        <f t="shared" si="106"/>
        <v>0</v>
      </c>
      <c r="GY104" s="2"/>
      <c r="GZ104" s="2"/>
      <c r="HA104" s="2">
        <v>0</v>
      </c>
      <c r="HB104" s="2">
        <v>0</v>
      </c>
      <c r="HC104" s="2">
        <f t="shared" si="107"/>
        <v>0</v>
      </c>
      <c r="HD104" s="2"/>
      <c r="HE104" s="2" t="s">
        <v>4</v>
      </c>
      <c r="HF104" s="2" t="s">
        <v>4</v>
      </c>
      <c r="HG104" s="2"/>
      <c r="HH104" s="2"/>
      <c r="HI104" s="2"/>
      <c r="HJ104" s="2"/>
      <c r="HK104" s="2"/>
      <c r="HL104" s="2"/>
      <c r="HM104" s="2" t="s">
        <v>4</v>
      </c>
      <c r="HN104" s="2" t="s">
        <v>4</v>
      </c>
      <c r="HO104" s="2" t="s">
        <v>4</v>
      </c>
      <c r="HP104" s="2" t="s">
        <v>4</v>
      </c>
      <c r="HQ104" s="2" t="s">
        <v>4</v>
      </c>
      <c r="HR104" s="2"/>
      <c r="HS104" s="2"/>
      <c r="HT104" s="2"/>
      <c r="HU104" s="2"/>
      <c r="HV104" s="2"/>
      <c r="HW104" s="2"/>
      <c r="HX104" s="2"/>
      <c r="HY104" s="2"/>
      <c r="HZ104" s="2"/>
      <c r="IA104" s="2"/>
      <c r="IB104" s="2"/>
      <c r="IC104" s="2"/>
      <c r="ID104" s="2"/>
      <c r="IE104" s="2"/>
      <c r="IF104" s="2"/>
      <c r="IG104" s="2"/>
      <c r="IH104" s="2"/>
      <c r="II104" s="2"/>
      <c r="IJ104" s="2"/>
      <c r="IK104" s="2">
        <v>0</v>
      </c>
      <c r="IL104" s="2"/>
      <c r="IM104" s="2"/>
      <c r="IN104" s="2"/>
      <c r="IO104" s="2"/>
      <c r="IP104" s="2"/>
      <c r="IQ104" s="2"/>
      <c r="IR104" s="2"/>
      <c r="IS104" s="2"/>
      <c r="IT104" s="2"/>
      <c r="IU104" s="2"/>
    </row>
    <row r="105" spans="1:255">
      <c r="A105">
        <v>18</v>
      </c>
      <c r="B105">
        <v>1</v>
      </c>
      <c r="C105">
        <v>66</v>
      </c>
      <c r="E105" t="s">
        <v>177</v>
      </c>
      <c r="F105" t="s">
        <v>178</v>
      </c>
      <c r="G105" t="s">
        <v>523</v>
      </c>
      <c r="H105" t="s">
        <v>135</v>
      </c>
      <c r="I105">
        <f>I103*J105</f>
        <v>307.5</v>
      </c>
      <c r="J105">
        <v>1025</v>
      </c>
      <c r="K105">
        <v>1025</v>
      </c>
      <c r="O105">
        <f t="shared" si="70"/>
        <v>593929.16</v>
      </c>
      <c r="P105">
        <f t="shared" si="71"/>
        <v>593929.16</v>
      </c>
      <c r="Q105">
        <f t="shared" si="72"/>
        <v>0</v>
      </c>
      <c r="R105">
        <f t="shared" si="73"/>
        <v>0</v>
      </c>
      <c r="S105">
        <f t="shared" si="74"/>
        <v>0</v>
      </c>
      <c r="T105">
        <f t="shared" si="75"/>
        <v>0</v>
      </c>
      <c r="U105">
        <f t="shared" si="76"/>
        <v>0</v>
      </c>
      <c r="V105">
        <f t="shared" si="77"/>
        <v>0</v>
      </c>
      <c r="W105">
        <f t="shared" si="78"/>
        <v>0</v>
      </c>
      <c r="X105">
        <f t="shared" si="79"/>
        <v>0</v>
      </c>
      <c r="Y105">
        <f t="shared" si="80"/>
        <v>0</v>
      </c>
      <c r="AA105">
        <v>70305036</v>
      </c>
      <c r="AB105">
        <f t="shared" si="81"/>
        <v>278.31</v>
      </c>
      <c r="AC105">
        <f t="shared" si="82"/>
        <v>278.31</v>
      </c>
      <c r="AD105">
        <f t="shared" si="83"/>
        <v>0</v>
      </c>
      <c r="AE105">
        <f t="shared" si="84"/>
        <v>0</v>
      </c>
      <c r="AF105">
        <f t="shared" si="85"/>
        <v>0</v>
      </c>
      <c r="AG105">
        <f t="shared" si="86"/>
        <v>0</v>
      </c>
      <c r="AH105">
        <f t="shared" si="87"/>
        <v>0</v>
      </c>
      <c r="AI105">
        <f t="shared" si="88"/>
        <v>0</v>
      </c>
      <c r="AJ105">
        <f t="shared" si="89"/>
        <v>0</v>
      </c>
      <c r="AK105">
        <v>278.31</v>
      </c>
      <c r="AL105">
        <v>278.31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1</v>
      </c>
      <c r="AW105">
        <v>1.081</v>
      </c>
      <c r="AZ105">
        <v>1</v>
      </c>
      <c r="BA105">
        <v>1</v>
      </c>
      <c r="BB105">
        <v>1</v>
      </c>
      <c r="BC105">
        <v>6.42</v>
      </c>
      <c r="BD105" t="s">
        <v>4</v>
      </c>
      <c r="BE105" t="s">
        <v>4</v>
      </c>
      <c r="BF105" t="s">
        <v>4</v>
      </c>
      <c r="BG105" t="s">
        <v>4</v>
      </c>
      <c r="BH105">
        <v>3</v>
      </c>
      <c r="BI105">
        <v>1</v>
      </c>
      <c r="BJ105" t="s">
        <v>179</v>
      </c>
      <c r="BM105">
        <v>2254</v>
      </c>
      <c r="BN105">
        <v>0</v>
      </c>
      <c r="BO105" t="s">
        <v>178</v>
      </c>
      <c r="BP105">
        <v>1</v>
      </c>
      <c r="BQ105">
        <v>30</v>
      </c>
      <c r="BR105">
        <v>0</v>
      </c>
      <c r="BS105">
        <v>1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4</v>
      </c>
      <c r="BZ105">
        <v>0</v>
      </c>
      <c r="CA105">
        <v>0</v>
      </c>
      <c r="CB105" t="s">
        <v>4</v>
      </c>
      <c r="CE105">
        <v>30</v>
      </c>
      <c r="CF105">
        <v>0</v>
      </c>
      <c r="CG105">
        <v>0</v>
      </c>
      <c r="CM105">
        <v>0</v>
      </c>
      <c r="CN105" t="s">
        <v>4</v>
      </c>
      <c r="CO105">
        <v>0</v>
      </c>
      <c r="CP105">
        <f t="shared" si="90"/>
        <v>593929.16</v>
      </c>
      <c r="CQ105">
        <f t="shared" si="91"/>
        <v>1931.46</v>
      </c>
      <c r="CR105">
        <f t="shared" si="92"/>
        <v>0</v>
      </c>
      <c r="CS105">
        <f t="shared" si="93"/>
        <v>0</v>
      </c>
      <c r="CT105">
        <f t="shared" si="94"/>
        <v>0</v>
      </c>
      <c r="CU105">
        <f t="shared" si="95"/>
        <v>0</v>
      </c>
      <c r="CV105">
        <f t="shared" si="96"/>
        <v>0</v>
      </c>
      <c r="CW105">
        <f t="shared" si="97"/>
        <v>0</v>
      </c>
      <c r="CX105">
        <f t="shared" si="98"/>
        <v>0</v>
      </c>
      <c r="CY105">
        <f>S105*(BZ105/100)</f>
        <v>0</v>
      </c>
      <c r="CZ105">
        <f>S105*(CA105/100)</f>
        <v>0</v>
      </c>
      <c r="DC105" t="s">
        <v>4</v>
      </c>
      <c r="DD105" t="s">
        <v>4</v>
      </c>
      <c r="DE105" t="s">
        <v>4</v>
      </c>
      <c r="DF105" t="s">
        <v>4</v>
      </c>
      <c r="DG105" t="s">
        <v>4</v>
      </c>
      <c r="DH105" t="s">
        <v>4</v>
      </c>
      <c r="DI105" t="s">
        <v>4</v>
      </c>
      <c r="DJ105" t="s">
        <v>4</v>
      </c>
      <c r="DK105" t="s">
        <v>4</v>
      </c>
      <c r="DL105" t="s">
        <v>4</v>
      </c>
      <c r="DM105" t="s">
        <v>4</v>
      </c>
      <c r="DN105">
        <v>112</v>
      </c>
      <c r="DO105">
        <v>70</v>
      </c>
      <c r="DP105">
        <v>1.0669999999999999</v>
      </c>
      <c r="DQ105">
        <v>1.081</v>
      </c>
      <c r="DU105">
        <v>1003</v>
      </c>
      <c r="DV105" t="s">
        <v>135</v>
      </c>
      <c r="DW105" t="s">
        <v>135</v>
      </c>
      <c r="DX105">
        <v>1</v>
      </c>
      <c r="DZ105" t="s">
        <v>4</v>
      </c>
      <c r="EA105" t="s">
        <v>4</v>
      </c>
      <c r="EB105" t="s">
        <v>4</v>
      </c>
      <c r="EC105" t="s">
        <v>4</v>
      </c>
      <c r="EE105">
        <v>69254921</v>
      </c>
      <c r="EF105">
        <v>30</v>
      </c>
      <c r="EG105" t="s">
        <v>24</v>
      </c>
      <c r="EH105">
        <v>0</v>
      </c>
      <c r="EI105" t="s">
        <v>4</v>
      </c>
      <c r="EJ105">
        <v>1</v>
      </c>
      <c r="EK105">
        <v>2254</v>
      </c>
      <c r="EL105" t="s">
        <v>175</v>
      </c>
      <c r="EM105" t="s">
        <v>176</v>
      </c>
      <c r="EO105" t="s">
        <v>4</v>
      </c>
      <c r="EQ105">
        <v>0</v>
      </c>
      <c r="ER105">
        <v>278.31</v>
      </c>
      <c r="ES105">
        <v>278.31</v>
      </c>
      <c r="ET105">
        <v>0</v>
      </c>
      <c r="EU105">
        <v>0</v>
      </c>
      <c r="EV105">
        <v>0</v>
      </c>
      <c r="EW105">
        <v>0</v>
      </c>
      <c r="EX105">
        <v>0</v>
      </c>
      <c r="FQ105">
        <v>0</v>
      </c>
      <c r="FR105">
        <f t="shared" si="99"/>
        <v>0</v>
      </c>
      <c r="FS105">
        <v>0</v>
      </c>
      <c r="FX105">
        <v>112</v>
      </c>
      <c r="FY105">
        <v>70</v>
      </c>
      <c r="GA105" t="s">
        <v>4</v>
      </c>
      <c r="GD105">
        <v>0</v>
      </c>
      <c r="GF105">
        <v>77284068</v>
      </c>
      <c r="GG105">
        <v>2</v>
      </c>
      <c r="GH105">
        <v>1</v>
      </c>
      <c r="GI105">
        <v>2</v>
      </c>
      <c r="GJ105">
        <v>0</v>
      </c>
      <c r="GK105">
        <f>ROUND(R105*(S12)/100,2)</f>
        <v>0</v>
      </c>
      <c r="GL105">
        <f t="shared" si="100"/>
        <v>0</v>
      </c>
      <c r="GM105">
        <f t="shared" si="101"/>
        <v>593929.16</v>
      </c>
      <c r="GN105">
        <f t="shared" si="102"/>
        <v>593929.16</v>
      </c>
      <c r="GO105">
        <f t="shared" si="103"/>
        <v>0</v>
      </c>
      <c r="GP105">
        <f t="shared" si="104"/>
        <v>0</v>
      </c>
      <c r="GR105">
        <v>0</v>
      </c>
      <c r="GS105">
        <v>3</v>
      </c>
      <c r="GT105">
        <v>0</v>
      </c>
      <c r="GU105" t="s">
        <v>4</v>
      </c>
      <c r="GV105">
        <f t="shared" si="105"/>
        <v>0</v>
      </c>
      <c r="GW105">
        <v>1</v>
      </c>
      <c r="GX105">
        <f t="shared" si="106"/>
        <v>0</v>
      </c>
      <c r="HA105">
        <v>0</v>
      </c>
      <c r="HB105">
        <v>0</v>
      </c>
      <c r="HC105">
        <f t="shared" si="107"/>
        <v>0</v>
      </c>
      <c r="HE105" t="s">
        <v>4</v>
      </c>
      <c r="HF105" t="s">
        <v>4</v>
      </c>
      <c r="HM105" t="s">
        <v>4</v>
      </c>
      <c r="HN105" t="s">
        <v>4</v>
      </c>
      <c r="HO105" t="s">
        <v>4</v>
      </c>
      <c r="HP105" t="s">
        <v>4</v>
      </c>
      <c r="HQ105" t="s">
        <v>4</v>
      </c>
      <c r="IK105">
        <v>0</v>
      </c>
    </row>
    <row r="106" spans="1:255">
      <c r="A106" s="2">
        <v>17</v>
      </c>
      <c r="B106" s="2">
        <v>1</v>
      </c>
      <c r="C106" s="2">
        <f>ROW(SmtRes!A72)</f>
        <v>72</v>
      </c>
      <c r="D106" s="2">
        <f>ROW(EtalonRes!A94)</f>
        <v>94</v>
      </c>
      <c r="E106" s="2" t="s">
        <v>180</v>
      </c>
      <c r="F106" s="2" t="s">
        <v>181</v>
      </c>
      <c r="G106" s="2" t="s">
        <v>182</v>
      </c>
      <c r="H106" s="2" t="s">
        <v>173</v>
      </c>
      <c r="I106" s="2">
        <f>ROUND((200*3)/1000,9)</f>
        <v>0.6</v>
      </c>
      <c r="J106" s="2">
        <v>0</v>
      </c>
      <c r="K106" s="2">
        <f>ROUND((200*3)/1000,9)</f>
        <v>0.6</v>
      </c>
      <c r="L106" s="2"/>
      <c r="M106" s="2"/>
      <c r="N106" s="2"/>
      <c r="O106" s="2">
        <f t="shared" si="70"/>
        <v>911.57</v>
      </c>
      <c r="P106" s="2">
        <f t="shared" si="71"/>
        <v>0</v>
      </c>
      <c r="Q106" s="2">
        <f t="shared" si="72"/>
        <v>163.87</v>
      </c>
      <c r="R106" s="2">
        <f t="shared" si="73"/>
        <v>17.98</v>
      </c>
      <c r="S106" s="2">
        <f t="shared" si="74"/>
        <v>747.7</v>
      </c>
      <c r="T106" s="2">
        <f t="shared" si="75"/>
        <v>0</v>
      </c>
      <c r="U106" s="2">
        <f t="shared" si="76"/>
        <v>69.013559999999998</v>
      </c>
      <c r="V106" s="2">
        <f t="shared" si="77"/>
        <v>0</v>
      </c>
      <c r="W106" s="2">
        <f t="shared" si="78"/>
        <v>0</v>
      </c>
      <c r="X106" s="2">
        <f t="shared" si="79"/>
        <v>837.42</v>
      </c>
      <c r="Y106" s="2">
        <f t="shared" si="80"/>
        <v>523.39</v>
      </c>
      <c r="Z106" s="2"/>
      <c r="AA106" s="2">
        <v>70305038</v>
      </c>
      <c r="AB106" s="2">
        <f t="shared" si="81"/>
        <v>1423.89</v>
      </c>
      <c r="AC106" s="2">
        <f t="shared" si="82"/>
        <v>0</v>
      </c>
      <c r="AD106" s="2">
        <f t="shared" si="83"/>
        <v>255.97</v>
      </c>
      <c r="AE106" s="2">
        <f t="shared" si="84"/>
        <v>28.08</v>
      </c>
      <c r="AF106" s="2">
        <f t="shared" si="85"/>
        <v>1167.92</v>
      </c>
      <c r="AG106" s="2">
        <f t="shared" si="86"/>
        <v>0</v>
      </c>
      <c r="AH106" s="2">
        <f t="shared" si="87"/>
        <v>107.8</v>
      </c>
      <c r="AI106" s="2">
        <f t="shared" si="88"/>
        <v>0</v>
      </c>
      <c r="AJ106" s="2">
        <f t="shared" si="89"/>
        <v>0</v>
      </c>
      <c r="AK106" s="2">
        <v>1423.89</v>
      </c>
      <c r="AL106" s="2">
        <v>0</v>
      </c>
      <c r="AM106" s="2">
        <v>255.97</v>
      </c>
      <c r="AN106" s="2">
        <v>28.08</v>
      </c>
      <c r="AO106" s="2">
        <v>1167.92</v>
      </c>
      <c r="AP106" s="2">
        <v>0</v>
      </c>
      <c r="AQ106" s="2">
        <v>107.8</v>
      </c>
      <c r="AR106" s="2">
        <v>0</v>
      </c>
      <c r="AS106" s="2">
        <v>0</v>
      </c>
      <c r="AT106" s="2">
        <v>112</v>
      </c>
      <c r="AU106" s="2">
        <v>70</v>
      </c>
      <c r="AV106" s="2">
        <v>1.0669999999999999</v>
      </c>
      <c r="AW106" s="2">
        <v>1.081</v>
      </c>
      <c r="AX106" s="2"/>
      <c r="AY106" s="2"/>
      <c r="AZ106" s="2">
        <v>1</v>
      </c>
      <c r="BA106" s="2">
        <v>1</v>
      </c>
      <c r="BB106" s="2">
        <v>1</v>
      </c>
      <c r="BC106" s="2">
        <v>1</v>
      </c>
      <c r="BD106" s="2" t="s">
        <v>4</v>
      </c>
      <c r="BE106" s="2" t="s">
        <v>4</v>
      </c>
      <c r="BF106" s="2" t="s">
        <v>4</v>
      </c>
      <c r="BG106" s="2" t="s">
        <v>4</v>
      </c>
      <c r="BH106" s="2">
        <v>0</v>
      </c>
      <c r="BI106" s="2">
        <v>1</v>
      </c>
      <c r="BJ106" s="2" t="s">
        <v>183</v>
      </c>
      <c r="BK106" s="2"/>
      <c r="BL106" s="2"/>
      <c r="BM106" s="2">
        <v>2254</v>
      </c>
      <c r="BN106" s="2">
        <v>0</v>
      </c>
      <c r="BO106" s="2" t="s">
        <v>4</v>
      </c>
      <c r="BP106" s="2">
        <v>0</v>
      </c>
      <c r="BQ106" s="2">
        <v>30</v>
      </c>
      <c r="BR106" s="2">
        <v>0</v>
      </c>
      <c r="BS106" s="2">
        <v>1</v>
      </c>
      <c r="BT106" s="2">
        <v>1</v>
      </c>
      <c r="BU106" s="2">
        <v>1</v>
      </c>
      <c r="BV106" s="2">
        <v>1</v>
      </c>
      <c r="BW106" s="2">
        <v>1</v>
      </c>
      <c r="BX106" s="2">
        <v>1</v>
      </c>
      <c r="BY106" s="2" t="s">
        <v>4</v>
      </c>
      <c r="BZ106" s="2">
        <v>112</v>
      </c>
      <c r="CA106" s="2">
        <v>70</v>
      </c>
      <c r="CB106" s="2" t="s">
        <v>4</v>
      </c>
      <c r="CC106" s="2"/>
      <c r="CD106" s="2"/>
      <c r="CE106" s="2">
        <v>30</v>
      </c>
      <c r="CF106" s="2">
        <v>0</v>
      </c>
      <c r="CG106" s="2">
        <v>0</v>
      </c>
      <c r="CH106" s="2"/>
      <c r="CI106" s="2"/>
      <c r="CJ106" s="2"/>
      <c r="CK106" s="2"/>
      <c r="CL106" s="2"/>
      <c r="CM106" s="2">
        <v>0</v>
      </c>
      <c r="CN106" s="2" t="s">
        <v>4</v>
      </c>
      <c r="CO106" s="2">
        <v>0</v>
      </c>
      <c r="CP106" s="2">
        <f t="shared" si="90"/>
        <v>911.57</v>
      </c>
      <c r="CQ106" s="2">
        <f t="shared" si="91"/>
        <v>0</v>
      </c>
      <c r="CR106" s="2">
        <f t="shared" si="92"/>
        <v>273.12</v>
      </c>
      <c r="CS106" s="2">
        <f t="shared" si="93"/>
        <v>29.96</v>
      </c>
      <c r="CT106" s="2">
        <f t="shared" si="94"/>
        <v>1246.17</v>
      </c>
      <c r="CU106" s="2">
        <f t="shared" si="95"/>
        <v>0</v>
      </c>
      <c r="CV106" s="2">
        <f t="shared" si="96"/>
        <v>115.0226</v>
      </c>
      <c r="CW106" s="2">
        <f t="shared" si="97"/>
        <v>0</v>
      </c>
      <c r="CX106" s="2">
        <f t="shared" si="98"/>
        <v>0</v>
      </c>
      <c r="CY106" s="2">
        <f>((S106*BZ106)/100)</f>
        <v>837.42400000000009</v>
      </c>
      <c r="CZ106" s="2">
        <f>((S106*CA106)/100)</f>
        <v>523.39</v>
      </c>
      <c r="DA106" s="2"/>
      <c r="DB106" s="2"/>
      <c r="DC106" s="2" t="s">
        <v>4</v>
      </c>
      <c r="DD106" s="2" t="s">
        <v>4</v>
      </c>
      <c r="DE106" s="2" t="s">
        <v>4</v>
      </c>
      <c r="DF106" s="2" t="s">
        <v>4</v>
      </c>
      <c r="DG106" s="2" t="s">
        <v>4</v>
      </c>
      <c r="DH106" s="2" t="s">
        <v>4</v>
      </c>
      <c r="DI106" s="2" t="s">
        <v>4</v>
      </c>
      <c r="DJ106" s="2" t="s">
        <v>4</v>
      </c>
      <c r="DK106" s="2" t="s">
        <v>4</v>
      </c>
      <c r="DL106" s="2" t="s">
        <v>4</v>
      </c>
      <c r="DM106" s="2" t="s">
        <v>4</v>
      </c>
      <c r="DN106" s="2">
        <v>0</v>
      </c>
      <c r="DO106" s="2">
        <v>0</v>
      </c>
      <c r="DP106" s="2">
        <v>1</v>
      </c>
      <c r="DQ106" s="2">
        <v>1</v>
      </c>
      <c r="DR106" s="2"/>
      <c r="DS106" s="2"/>
      <c r="DT106" s="2"/>
      <c r="DU106" s="2">
        <v>1013</v>
      </c>
      <c r="DV106" s="2" t="s">
        <v>173</v>
      </c>
      <c r="DW106" s="2" t="s">
        <v>173</v>
      </c>
      <c r="DX106" s="2">
        <v>1</v>
      </c>
      <c r="DY106" s="2"/>
      <c r="DZ106" s="2" t="s">
        <v>4</v>
      </c>
      <c r="EA106" s="2" t="s">
        <v>4</v>
      </c>
      <c r="EB106" s="2" t="s">
        <v>4</v>
      </c>
      <c r="EC106" s="2" t="s">
        <v>4</v>
      </c>
      <c r="ED106" s="2"/>
      <c r="EE106" s="2">
        <v>69254921</v>
      </c>
      <c r="EF106" s="2">
        <v>30</v>
      </c>
      <c r="EG106" s="2" t="s">
        <v>24</v>
      </c>
      <c r="EH106" s="2">
        <v>0</v>
      </c>
      <c r="EI106" s="2" t="s">
        <v>4</v>
      </c>
      <c r="EJ106" s="2">
        <v>1</v>
      </c>
      <c r="EK106" s="2">
        <v>2254</v>
      </c>
      <c r="EL106" s="2" t="s">
        <v>175</v>
      </c>
      <c r="EM106" s="2" t="s">
        <v>176</v>
      </c>
      <c r="EN106" s="2"/>
      <c r="EO106" s="2" t="s">
        <v>4</v>
      </c>
      <c r="EP106" s="2"/>
      <c r="EQ106" s="2">
        <v>0</v>
      </c>
      <c r="ER106" s="2">
        <v>1423.89</v>
      </c>
      <c r="ES106" s="2">
        <v>0</v>
      </c>
      <c r="ET106" s="2">
        <v>255.97</v>
      </c>
      <c r="EU106" s="2">
        <v>28.08</v>
      </c>
      <c r="EV106" s="2">
        <v>1167.92</v>
      </c>
      <c r="EW106" s="2">
        <v>107.8</v>
      </c>
      <c r="EX106" s="2">
        <v>0</v>
      </c>
      <c r="EY106" s="2">
        <v>0</v>
      </c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>
        <v>0</v>
      </c>
      <c r="FR106" s="2">
        <f t="shared" si="99"/>
        <v>0</v>
      </c>
      <c r="FS106" s="2">
        <v>0</v>
      </c>
      <c r="FT106" s="2"/>
      <c r="FU106" s="2"/>
      <c r="FV106" s="2"/>
      <c r="FW106" s="2"/>
      <c r="FX106" s="2">
        <v>112</v>
      </c>
      <c r="FY106" s="2">
        <v>70</v>
      </c>
      <c r="FZ106" s="2"/>
      <c r="GA106" s="2" t="s">
        <v>4</v>
      </c>
      <c r="GB106" s="2"/>
      <c r="GC106" s="2"/>
      <c r="GD106" s="2">
        <v>0</v>
      </c>
      <c r="GE106" s="2"/>
      <c r="GF106" s="2">
        <v>687262282</v>
      </c>
      <c r="GG106" s="2">
        <v>2</v>
      </c>
      <c r="GH106" s="2">
        <v>1</v>
      </c>
      <c r="GI106" s="2">
        <v>-2</v>
      </c>
      <c r="GJ106" s="2">
        <v>0</v>
      </c>
      <c r="GK106" s="2">
        <f>ROUND(R106*(R12)/100,2)</f>
        <v>31.47</v>
      </c>
      <c r="GL106" s="2">
        <f t="shared" si="100"/>
        <v>0</v>
      </c>
      <c r="GM106" s="2">
        <f t="shared" si="101"/>
        <v>2303.85</v>
      </c>
      <c r="GN106" s="2">
        <f t="shared" si="102"/>
        <v>2303.85</v>
      </c>
      <c r="GO106" s="2">
        <f t="shared" si="103"/>
        <v>0</v>
      </c>
      <c r="GP106" s="2">
        <f t="shared" si="104"/>
        <v>0</v>
      </c>
      <c r="GQ106" s="2"/>
      <c r="GR106" s="2">
        <v>0</v>
      </c>
      <c r="GS106" s="2">
        <v>3</v>
      </c>
      <c r="GT106" s="2">
        <v>0</v>
      </c>
      <c r="GU106" s="2" t="s">
        <v>4</v>
      </c>
      <c r="GV106" s="2">
        <f t="shared" si="105"/>
        <v>0</v>
      </c>
      <c r="GW106" s="2">
        <v>1</v>
      </c>
      <c r="GX106" s="2">
        <f t="shared" si="106"/>
        <v>0</v>
      </c>
      <c r="GY106" s="2"/>
      <c r="GZ106" s="2"/>
      <c r="HA106" s="2">
        <v>0</v>
      </c>
      <c r="HB106" s="2">
        <v>0</v>
      </c>
      <c r="HC106" s="2">
        <f t="shared" si="107"/>
        <v>0</v>
      </c>
      <c r="HD106" s="2"/>
      <c r="HE106" s="2" t="s">
        <v>4</v>
      </c>
      <c r="HF106" s="2" t="s">
        <v>4</v>
      </c>
      <c r="HG106" s="2"/>
      <c r="HH106" s="2"/>
      <c r="HI106" s="2"/>
      <c r="HJ106" s="2"/>
      <c r="HK106" s="2"/>
      <c r="HL106" s="2"/>
      <c r="HM106" s="2" t="s">
        <v>4</v>
      </c>
      <c r="HN106" s="2" t="s">
        <v>4</v>
      </c>
      <c r="HO106" s="2" t="s">
        <v>4</v>
      </c>
      <c r="HP106" s="2" t="s">
        <v>4</v>
      </c>
      <c r="HQ106" s="2" t="s">
        <v>4</v>
      </c>
      <c r="HR106" s="2"/>
      <c r="HS106" s="2"/>
      <c r="HT106" s="2"/>
      <c r="HU106" s="2"/>
      <c r="HV106" s="2"/>
      <c r="HW106" s="2"/>
      <c r="HX106" s="2"/>
      <c r="HY106" s="2"/>
      <c r="HZ106" s="2"/>
      <c r="IA106" s="2"/>
      <c r="IB106" s="2"/>
      <c r="IC106" s="2"/>
      <c r="ID106" s="2"/>
      <c r="IE106" s="2"/>
      <c r="IF106" s="2"/>
      <c r="IG106" s="2"/>
      <c r="IH106" s="2"/>
      <c r="II106" s="2"/>
      <c r="IJ106" s="2"/>
      <c r="IK106" s="2">
        <v>0</v>
      </c>
      <c r="IL106" s="2"/>
      <c r="IM106" s="2"/>
      <c r="IN106" s="2"/>
      <c r="IO106" s="2"/>
      <c r="IP106" s="2"/>
      <c r="IQ106" s="2"/>
      <c r="IR106" s="2"/>
      <c r="IS106" s="2"/>
      <c r="IT106" s="2"/>
      <c r="IU106" s="2"/>
    </row>
    <row r="107" spans="1:255">
      <c r="A107">
        <v>17</v>
      </c>
      <c r="B107">
        <v>1</v>
      </c>
      <c r="C107">
        <f>ROW(SmtRes!A78)</f>
        <v>78</v>
      </c>
      <c r="D107">
        <f>ROW(EtalonRes!A100)</f>
        <v>100</v>
      </c>
      <c r="E107" t="s">
        <v>180</v>
      </c>
      <c r="F107" t="s">
        <v>181</v>
      </c>
      <c r="G107" t="s">
        <v>182</v>
      </c>
      <c r="H107" t="s">
        <v>173</v>
      </c>
      <c r="I107">
        <f>ROUND((200*3)/1000,9)</f>
        <v>0.6</v>
      </c>
      <c r="J107">
        <v>0</v>
      </c>
      <c r="K107">
        <f>ROUND((200*3)/1000,9)</f>
        <v>0.6</v>
      </c>
      <c r="O107">
        <f t="shared" si="70"/>
        <v>37104.129999999997</v>
      </c>
      <c r="P107">
        <f t="shared" si="71"/>
        <v>0</v>
      </c>
      <c r="Q107">
        <f t="shared" si="72"/>
        <v>2208.9699999999998</v>
      </c>
      <c r="R107">
        <f t="shared" si="73"/>
        <v>839.13</v>
      </c>
      <c r="S107">
        <f t="shared" si="74"/>
        <v>34895.160000000003</v>
      </c>
      <c r="T107">
        <f t="shared" si="75"/>
        <v>0</v>
      </c>
      <c r="U107">
        <f t="shared" si="76"/>
        <v>69.013559999999998</v>
      </c>
      <c r="V107">
        <f t="shared" si="77"/>
        <v>0</v>
      </c>
      <c r="W107">
        <f t="shared" si="78"/>
        <v>0</v>
      </c>
      <c r="X107">
        <f t="shared" si="79"/>
        <v>32103.55</v>
      </c>
      <c r="Y107">
        <f t="shared" si="80"/>
        <v>14307.02</v>
      </c>
      <c r="AA107">
        <v>70305036</v>
      </c>
      <c r="AB107">
        <f t="shared" si="81"/>
        <v>1423.89</v>
      </c>
      <c r="AC107">
        <f t="shared" si="82"/>
        <v>0</v>
      </c>
      <c r="AD107">
        <f t="shared" si="83"/>
        <v>255.97</v>
      </c>
      <c r="AE107">
        <f t="shared" si="84"/>
        <v>28.08</v>
      </c>
      <c r="AF107">
        <f t="shared" si="85"/>
        <v>1167.92</v>
      </c>
      <c r="AG107">
        <f t="shared" si="86"/>
        <v>0</v>
      </c>
      <c r="AH107">
        <f t="shared" si="87"/>
        <v>107.8</v>
      </c>
      <c r="AI107">
        <f t="shared" si="88"/>
        <v>0</v>
      </c>
      <c r="AJ107">
        <f t="shared" si="89"/>
        <v>0</v>
      </c>
      <c r="AK107">
        <v>1423.89</v>
      </c>
      <c r="AL107">
        <v>0</v>
      </c>
      <c r="AM107">
        <v>255.97</v>
      </c>
      <c r="AN107">
        <v>28.08</v>
      </c>
      <c r="AO107">
        <v>1167.92</v>
      </c>
      <c r="AP107">
        <v>0</v>
      </c>
      <c r="AQ107">
        <v>107.8</v>
      </c>
      <c r="AR107">
        <v>0</v>
      </c>
      <c r="AS107">
        <v>0</v>
      </c>
      <c r="AT107">
        <v>92</v>
      </c>
      <c r="AU107">
        <v>41</v>
      </c>
      <c r="AV107">
        <v>1.0669999999999999</v>
      </c>
      <c r="AW107">
        <v>1.081</v>
      </c>
      <c r="AZ107">
        <v>1</v>
      </c>
      <c r="BA107">
        <v>46.67</v>
      </c>
      <c r="BB107">
        <v>13.48</v>
      </c>
      <c r="BC107">
        <v>1</v>
      </c>
      <c r="BD107" t="s">
        <v>4</v>
      </c>
      <c r="BE107" t="s">
        <v>4</v>
      </c>
      <c r="BF107" t="s">
        <v>4</v>
      </c>
      <c r="BG107" t="s">
        <v>4</v>
      </c>
      <c r="BH107">
        <v>0</v>
      </c>
      <c r="BI107">
        <v>1</v>
      </c>
      <c r="BJ107" t="s">
        <v>183</v>
      </c>
      <c r="BM107">
        <v>2254</v>
      </c>
      <c r="BN107">
        <v>0</v>
      </c>
      <c r="BO107" t="s">
        <v>181</v>
      </c>
      <c r="BP107">
        <v>1</v>
      </c>
      <c r="BQ107">
        <v>30</v>
      </c>
      <c r="BR107">
        <v>0</v>
      </c>
      <c r="BS107">
        <v>46.67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4</v>
      </c>
      <c r="BZ107">
        <v>92</v>
      </c>
      <c r="CA107">
        <v>41</v>
      </c>
      <c r="CB107" t="s">
        <v>4</v>
      </c>
      <c r="CE107">
        <v>30</v>
      </c>
      <c r="CF107">
        <v>0</v>
      </c>
      <c r="CG107">
        <v>0</v>
      </c>
      <c r="CM107">
        <v>0</v>
      </c>
      <c r="CN107" t="s">
        <v>4</v>
      </c>
      <c r="CO107">
        <v>0</v>
      </c>
      <c r="CP107">
        <f t="shared" si="90"/>
        <v>37104.130000000005</v>
      </c>
      <c r="CQ107">
        <f t="shared" si="91"/>
        <v>0</v>
      </c>
      <c r="CR107">
        <f t="shared" si="92"/>
        <v>3681.66</v>
      </c>
      <c r="CS107">
        <f t="shared" si="93"/>
        <v>1398.23</v>
      </c>
      <c r="CT107">
        <f t="shared" si="94"/>
        <v>58158.75</v>
      </c>
      <c r="CU107">
        <f t="shared" si="95"/>
        <v>0</v>
      </c>
      <c r="CV107">
        <f t="shared" si="96"/>
        <v>115.0226</v>
      </c>
      <c r="CW107">
        <f t="shared" si="97"/>
        <v>0</v>
      </c>
      <c r="CX107">
        <f t="shared" si="98"/>
        <v>0</v>
      </c>
      <c r="CY107">
        <f>S107*(BZ107/100)</f>
        <v>32103.547200000005</v>
      </c>
      <c r="CZ107">
        <f>S107*(CA107/100)</f>
        <v>14307.015600000001</v>
      </c>
      <c r="DC107" t="s">
        <v>4</v>
      </c>
      <c r="DD107" t="s">
        <v>4</v>
      </c>
      <c r="DE107" t="s">
        <v>4</v>
      </c>
      <c r="DF107" t="s">
        <v>4</v>
      </c>
      <c r="DG107" t="s">
        <v>4</v>
      </c>
      <c r="DH107" t="s">
        <v>4</v>
      </c>
      <c r="DI107" t="s">
        <v>4</v>
      </c>
      <c r="DJ107" t="s">
        <v>4</v>
      </c>
      <c r="DK107" t="s">
        <v>4</v>
      </c>
      <c r="DL107" t="s">
        <v>4</v>
      </c>
      <c r="DM107" t="s">
        <v>4</v>
      </c>
      <c r="DN107">
        <v>112</v>
      </c>
      <c r="DO107">
        <v>70</v>
      </c>
      <c r="DP107">
        <v>1.0669999999999999</v>
      </c>
      <c r="DQ107">
        <v>1.081</v>
      </c>
      <c r="DU107">
        <v>1013</v>
      </c>
      <c r="DV107" t="s">
        <v>173</v>
      </c>
      <c r="DW107" t="s">
        <v>173</v>
      </c>
      <c r="DX107">
        <v>1</v>
      </c>
      <c r="DZ107" t="s">
        <v>4</v>
      </c>
      <c r="EA107" t="s">
        <v>4</v>
      </c>
      <c r="EB107" t="s">
        <v>4</v>
      </c>
      <c r="EC107" t="s">
        <v>4</v>
      </c>
      <c r="EE107">
        <v>69254921</v>
      </c>
      <c r="EF107">
        <v>30</v>
      </c>
      <c r="EG107" t="s">
        <v>24</v>
      </c>
      <c r="EH107">
        <v>0</v>
      </c>
      <c r="EI107" t="s">
        <v>4</v>
      </c>
      <c r="EJ107">
        <v>1</v>
      </c>
      <c r="EK107">
        <v>2254</v>
      </c>
      <c r="EL107" t="s">
        <v>175</v>
      </c>
      <c r="EM107" t="s">
        <v>176</v>
      </c>
      <c r="EO107" t="s">
        <v>4</v>
      </c>
      <c r="EQ107">
        <v>0</v>
      </c>
      <c r="ER107">
        <v>1423.89</v>
      </c>
      <c r="ES107">
        <v>0</v>
      </c>
      <c r="ET107">
        <v>255.97</v>
      </c>
      <c r="EU107">
        <v>28.08</v>
      </c>
      <c r="EV107">
        <v>1167.92</v>
      </c>
      <c r="EW107">
        <v>107.8</v>
      </c>
      <c r="EX107">
        <v>0</v>
      </c>
      <c r="EY107">
        <v>0</v>
      </c>
      <c r="FQ107">
        <v>0</v>
      </c>
      <c r="FR107">
        <f t="shared" si="99"/>
        <v>0</v>
      </c>
      <c r="FS107">
        <v>0</v>
      </c>
      <c r="FX107">
        <v>112</v>
      </c>
      <c r="FY107">
        <v>70</v>
      </c>
      <c r="GA107" t="s">
        <v>4</v>
      </c>
      <c r="GD107">
        <v>0</v>
      </c>
      <c r="GF107">
        <v>687262282</v>
      </c>
      <c r="GG107">
        <v>2</v>
      </c>
      <c r="GH107">
        <v>1</v>
      </c>
      <c r="GI107">
        <v>2</v>
      </c>
      <c r="GJ107">
        <v>0</v>
      </c>
      <c r="GK107">
        <f>ROUND(R107*(S12)/100,2)</f>
        <v>1342.61</v>
      </c>
      <c r="GL107">
        <f t="shared" si="100"/>
        <v>0</v>
      </c>
      <c r="GM107">
        <f t="shared" si="101"/>
        <v>84857.31</v>
      </c>
      <c r="GN107">
        <f t="shared" si="102"/>
        <v>84857.31</v>
      </c>
      <c r="GO107">
        <f t="shared" si="103"/>
        <v>0</v>
      </c>
      <c r="GP107">
        <f t="shared" si="104"/>
        <v>0</v>
      </c>
      <c r="GR107">
        <v>0</v>
      </c>
      <c r="GS107">
        <v>3</v>
      </c>
      <c r="GT107">
        <v>0</v>
      </c>
      <c r="GU107" t="s">
        <v>4</v>
      </c>
      <c r="GV107">
        <f t="shared" si="105"/>
        <v>0</v>
      </c>
      <c r="GW107">
        <v>1</v>
      </c>
      <c r="GX107">
        <f t="shared" si="106"/>
        <v>0</v>
      </c>
      <c r="HA107">
        <v>0</v>
      </c>
      <c r="HB107">
        <v>0</v>
      </c>
      <c r="HC107">
        <f t="shared" si="107"/>
        <v>0</v>
      </c>
      <c r="HE107" t="s">
        <v>4</v>
      </c>
      <c r="HF107" t="s">
        <v>4</v>
      </c>
      <c r="HM107" t="s">
        <v>4</v>
      </c>
      <c r="HN107" t="s">
        <v>4</v>
      </c>
      <c r="HO107" t="s">
        <v>4</v>
      </c>
      <c r="HP107" t="s">
        <v>4</v>
      </c>
      <c r="HQ107" t="s">
        <v>4</v>
      </c>
      <c r="IK107">
        <v>0</v>
      </c>
    </row>
    <row r="108" spans="1:255">
      <c r="A108" s="2">
        <v>18</v>
      </c>
      <c r="B108" s="2">
        <v>1</v>
      </c>
      <c r="C108" s="2">
        <v>72</v>
      </c>
      <c r="D108" s="2"/>
      <c r="E108" s="2" t="s">
        <v>184</v>
      </c>
      <c r="F108" s="2" t="s">
        <v>178</v>
      </c>
      <c r="G108" s="2" t="s">
        <v>523</v>
      </c>
      <c r="H108" s="2" t="s">
        <v>135</v>
      </c>
      <c r="I108" s="2">
        <f>I106*J108</f>
        <v>615</v>
      </c>
      <c r="J108" s="2">
        <v>1025</v>
      </c>
      <c r="K108" s="2">
        <v>1025</v>
      </c>
      <c r="L108" s="2"/>
      <c r="M108" s="2"/>
      <c r="N108" s="2"/>
      <c r="O108" s="2">
        <f t="shared" si="70"/>
        <v>185024.66</v>
      </c>
      <c r="P108" s="2">
        <f t="shared" si="71"/>
        <v>185024.66</v>
      </c>
      <c r="Q108" s="2">
        <f t="shared" si="72"/>
        <v>0</v>
      </c>
      <c r="R108" s="2">
        <f t="shared" si="73"/>
        <v>0</v>
      </c>
      <c r="S108" s="2">
        <f t="shared" si="74"/>
        <v>0</v>
      </c>
      <c r="T108" s="2">
        <f t="shared" si="75"/>
        <v>0</v>
      </c>
      <c r="U108" s="2">
        <f t="shared" si="76"/>
        <v>0</v>
      </c>
      <c r="V108" s="2">
        <f t="shared" si="77"/>
        <v>0</v>
      </c>
      <c r="W108" s="2">
        <f t="shared" si="78"/>
        <v>0</v>
      </c>
      <c r="X108" s="2">
        <f t="shared" si="79"/>
        <v>0</v>
      </c>
      <c r="Y108" s="2">
        <f t="shared" si="80"/>
        <v>0</v>
      </c>
      <c r="Z108" s="2"/>
      <c r="AA108" s="2">
        <v>70305038</v>
      </c>
      <c r="AB108" s="2">
        <f t="shared" si="81"/>
        <v>278.31</v>
      </c>
      <c r="AC108" s="2">
        <f t="shared" si="82"/>
        <v>278.31</v>
      </c>
      <c r="AD108" s="2">
        <f t="shared" si="83"/>
        <v>0</v>
      </c>
      <c r="AE108" s="2">
        <f t="shared" si="84"/>
        <v>0</v>
      </c>
      <c r="AF108" s="2">
        <f t="shared" si="85"/>
        <v>0</v>
      </c>
      <c r="AG108" s="2">
        <f t="shared" si="86"/>
        <v>0</v>
      </c>
      <c r="AH108" s="2">
        <f t="shared" si="87"/>
        <v>0</v>
      </c>
      <c r="AI108" s="2">
        <f t="shared" si="88"/>
        <v>0</v>
      </c>
      <c r="AJ108" s="2">
        <f t="shared" si="89"/>
        <v>0</v>
      </c>
      <c r="AK108" s="2">
        <v>278.31</v>
      </c>
      <c r="AL108" s="2">
        <v>278.31</v>
      </c>
      <c r="AM108" s="2">
        <v>0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112</v>
      </c>
      <c r="AU108" s="2">
        <v>70</v>
      </c>
      <c r="AV108" s="2">
        <v>1.0669999999999999</v>
      </c>
      <c r="AW108" s="2">
        <v>1.081</v>
      </c>
      <c r="AX108" s="2"/>
      <c r="AY108" s="2"/>
      <c r="AZ108" s="2">
        <v>1</v>
      </c>
      <c r="BA108" s="2">
        <v>1</v>
      </c>
      <c r="BB108" s="2">
        <v>1</v>
      </c>
      <c r="BC108" s="2">
        <v>1</v>
      </c>
      <c r="BD108" s="2" t="s">
        <v>4</v>
      </c>
      <c r="BE108" s="2" t="s">
        <v>4</v>
      </c>
      <c r="BF108" s="2" t="s">
        <v>4</v>
      </c>
      <c r="BG108" s="2" t="s">
        <v>4</v>
      </c>
      <c r="BH108" s="2">
        <v>3</v>
      </c>
      <c r="BI108" s="2">
        <v>1</v>
      </c>
      <c r="BJ108" s="2" t="s">
        <v>179</v>
      </c>
      <c r="BK108" s="2"/>
      <c r="BL108" s="2"/>
      <c r="BM108" s="2">
        <v>2254</v>
      </c>
      <c r="BN108" s="2">
        <v>0</v>
      </c>
      <c r="BO108" s="2" t="s">
        <v>4</v>
      </c>
      <c r="BP108" s="2">
        <v>0</v>
      </c>
      <c r="BQ108" s="2">
        <v>30</v>
      </c>
      <c r="BR108" s="2">
        <v>0</v>
      </c>
      <c r="BS108" s="2">
        <v>1</v>
      </c>
      <c r="BT108" s="2">
        <v>1</v>
      </c>
      <c r="BU108" s="2">
        <v>1</v>
      </c>
      <c r="BV108" s="2">
        <v>1</v>
      </c>
      <c r="BW108" s="2">
        <v>1</v>
      </c>
      <c r="BX108" s="2">
        <v>1</v>
      </c>
      <c r="BY108" s="2" t="s">
        <v>4</v>
      </c>
      <c r="BZ108" s="2">
        <v>112</v>
      </c>
      <c r="CA108" s="2">
        <v>70</v>
      </c>
      <c r="CB108" s="2" t="s">
        <v>4</v>
      </c>
      <c r="CC108" s="2"/>
      <c r="CD108" s="2"/>
      <c r="CE108" s="2">
        <v>30</v>
      </c>
      <c r="CF108" s="2">
        <v>0</v>
      </c>
      <c r="CG108" s="2">
        <v>0</v>
      </c>
      <c r="CH108" s="2"/>
      <c r="CI108" s="2"/>
      <c r="CJ108" s="2"/>
      <c r="CK108" s="2"/>
      <c r="CL108" s="2"/>
      <c r="CM108" s="2">
        <v>0</v>
      </c>
      <c r="CN108" s="2" t="s">
        <v>4</v>
      </c>
      <c r="CO108" s="2">
        <v>0</v>
      </c>
      <c r="CP108" s="2">
        <f t="shared" si="90"/>
        <v>185024.66</v>
      </c>
      <c r="CQ108" s="2">
        <f t="shared" si="91"/>
        <v>300.85000000000002</v>
      </c>
      <c r="CR108" s="2">
        <f t="shared" si="92"/>
        <v>0</v>
      </c>
      <c r="CS108" s="2">
        <f t="shared" si="93"/>
        <v>0</v>
      </c>
      <c r="CT108" s="2">
        <f t="shared" si="94"/>
        <v>0</v>
      </c>
      <c r="CU108" s="2">
        <f t="shared" si="95"/>
        <v>0</v>
      </c>
      <c r="CV108" s="2">
        <f t="shared" si="96"/>
        <v>0</v>
      </c>
      <c r="CW108" s="2">
        <f t="shared" si="97"/>
        <v>0</v>
      </c>
      <c r="CX108" s="2">
        <f t="shared" si="98"/>
        <v>0</v>
      </c>
      <c r="CY108" s="2">
        <f>((S108*BZ108)/100)</f>
        <v>0</v>
      </c>
      <c r="CZ108" s="2">
        <f>((S108*CA108)/100)</f>
        <v>0</v>
      </c>
      <c r="DA108" s="2"/>
      <c r="DB108" s="2"/>
      <c r="DC108" s="2" t="s">
        <v>4</v>
      </c>
      <c r="DD108" s="2" t="s">
        <v>4</v>
      </c>
      <c r="DE108" s="2" t="s">
        <v>4</v>
      </c>
      <c r="DF108" s="2" t="s">
        <v>4</v>
      </c>
      <c r="DG108" s="2" t="s">
        <v>4</v>
      </c>
      <c r="DH108" s="2" t="s">
        <v>4</v>
      </c>
      <c r="DI108" s="2" t="s">
        <v>4</v>
      </c>
      <c r="DJ108" s="2" t="s">
        <v>4</v>
      </c>
      <c r="DK108" s="2" t="s">
        <v>4</v>
      </c>
      <c r="DL108" s="2" t="s">
        <v>4</v>
      </c>
      <c r="DM108" s="2" t="s">
        <v>4</v>
      </c>
      <c r="DN108" s="2">
        <v>0</v>
      </c>
      <c r="DO108" s="2">
        <v>0</v>
      </c>
      <c r="DP108" s="2">
        <v>1</v>
      </c>
      <c r="DQ108" s="2">
        <v>1</v>
      </c>
      <c r="DR108" s="2"/>
      <c r="DS108" s="2"/>
      <c r="DT108" s="2"/>
      <c r="DU108" s="2">
        <v>1003</v>
      </c>
      <c r="DV108" s="2" t="s">
        <v>135</v>
      </c>
      <c r="DW108" s="2" t="s">
        <v>135</v>
      </c>
      <c r="DX108" s="2">
        <v>1</v>
      </c>
      <c r="DY108" s="2"/>
      <c r="DZ108" s="2" t="s">
        <v>4</v>
      </c>
      <c r="EA108" s="2" t="s">
        <v>4</v>
      </c>
      <c r="EB108" s="2" t="s">
        <v>4</v>
      </c>
      <c r="EC108" s="2" t="s">
        <v>4</v>
      </c>
      <c r="ED108" s="2"/>
      <c r="EE108" s="2">
        <v>69254921</v>
      </c>
      <c r="EF108" s="2">
        <v>30</v>
      </c>
      <c r="EG108" s="2" t="s">
        <v>24</v>
      </c>
      <c r="EH108" s="2">
        <v>0</v>
      </c>
      <c r="EI108" s="2" t="s">
        <v>4</v>
      </c>
      <c r="EJ108" s="2">
        <v>1</v>
      </c>
      <c r="EK108" s="2">
        <v>2254</v>
      </c>
      <c r="EL108" s="2" t="s">
        <v>175</v>
      </c>
      <c r="EM108" s="2" t="s">
        <v>176</v>
      </c>
      <c r="EN108" s="2"/>
      <c r="EO108" s="2" t="s">
        <v>4</v>
      </c>
      <c r="EP108" s="2"/>
      <c r="EQ108" s="2">
        <v>0</v>
      </c>
      <c r="ER108" s="2">
        <v>278.31</v>
      </c>
      <c r="ES108" s="2">
        <v>278.31</v>
      </c>
      <c r="ET108" s="2">
        <v>0</v>
      </c>
      <c r="EU108" s="2">
        <v>0</v>
      </c>
      <c r="EV108" s="2">
        <v>0</v>
      </c>
      <c r="EW108" s="2">
        <v>0</v>
      </c>
      <c r="EX108" s="2">
        <v>0</v>
      </c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>
        <v>0</v>
      </c>
      <c r="FR108" s="2">
        <f t="shared" si="99"/>
        <v>0</v>
      </c>
      <c r="FS108" s="2">
        <v>0</v>
      </c>
      <c r="FT108" s="2"/>
      <c r="FU108" s="2"/>
      <c r="FV108" s="2"/>
      <c r="FW108" s="2"/>
      <c r="FX108" s="2">
        <v>112</v>
      </c>
      <c r="FY108" s="2">
        <v>70</v>
      </c>
      <c r="FZ108" s="2"/>
      <c r="GA108" s="2" t="s">
        <v>4</v>
      </c>
      <c r="GB108" s="2"/>
      <c r="GC108" s="2"/>
      <c r="GD108" s="2">
        <v>0</v>
      </c>
      <c r="GE108" s="2"/>
      <c r="GF108" s="2">
        <v>77284068</v>
      </c>
      <c r="GG108" s="2">
        <v>2</v>
      </c>
      <c r="GH108" s="2">
        <v>1</v>
      </c>
      <c r="GI108" s="2">
        <v>-2</v>
      </c>
      <c r="GJ108" s="2">
        <v>0</v>
      </c>
      <c r="GK108" s="2">
        <f>ROUND(R108*(R12)/100,2)</f>
        <v>0</v>
      </c>
      <c r="GL108" s="2">
        <f t="shared" si="100"/>
        <v>0</v>
      </c>
      <c r="GM108" s="2">
        <f t="shared" si="101"/>
        <v>185024.66</v>
      </c>
      <c r="GN108" s="2">
        <f t="shared" si="102"/>
        <v>185024.66</v>
      </c>
      <c r="GO108" s="2">
        <f t="shared" si="103"/>
        <v>0</v>
      </c>
      <c r="GP108" s="2">
        <f t="shared" si="104"/>
        <v>0</v>
      </c>
      <c r="GQ108" s="2"/>
      <c r="GR108" s="2">
        <v>0</v>
      </c>
      <c r="GS108" s="2">
        <v>3</v>
      </c>
      <c r="GT108" s="2">
        <v>0</v>
      </c>
      <c r="GU108" s="2" t="s">
        <v>4</v>
      </c>
      <c r="GV108" s="2">
        <f t="shared" si="105"/>
        <v>0</v>
      </c>
      <c r="GW108" s="2">
        <v>1</v>
      </c>
      <c r="GX108" s="2">
        <f t="shared" si="106"/>
        <v>0</v>
      </c>
      <c r="GY108" s="2"/>
      <c r="GZ108" s="2"/>
      <c r="HA108" s="2">
        <v>0</v>
      </c>
      <c r="HB108" s="2">
        <v>0</v>
      </c>
      <c r="HC108" s="2">
        <f t="shared" si="107"/>
        <v>0</v>
      </c>
      <c r="HD108" s="2"/>
      <c r="HE108" s="2" t="s">
        <v>4</v>
      </c>
      <c r="HF108" s="2" t="s">
        <v>4</v>
      </c>
      <c r="HG108" s="2"/>
      <c r="HH108" s="2"/>
      <c r="HI108" s="2"/>
      <c r="HJ108" s="2"/>
      <c r="HK108" s="2"/>
      <c r="HL108" s="2"/>
      <c r="HM108" s="2" t="s">
        <v>4</v>
      </c>
      <c r="HN108" s="2" t="s">
        <v>4</v>
      </c>
      <c r="HO108" s="2" t="s">
        <v>4</v>
      </c>
      <c r="HP108" s="2" t="s">
        <v>4</v>
      </c>
      <c r="HQ108" s="2" t="s">
        <v>4</v>
      </c>
      <c r="HR108" s="2"/>
      <c r="HS108" s="2"/>
      <c r="HT108" s="2"/>
      <c r="HU108" s="2"/>
      <c r="HV108" s="2"/>
      <c r="HW108" s="2"/>
      <c r="HX108" s="2"/>
      <c r="HY108" s="2"/>
      <c r="HZ108" s="2"/>
      <c r="IA108" s="2"/>
      <c r="IB108" s="2"/>
      <c r="IC108" s="2"/>
      <c r="ID108" s="2"/>
      <c r="IE108" s="2"/>
      <c r="IF108" s="2"/>
      <c r="IG108" s="2"/>
      <c r="IH108" s="2"/>
      <c r="II108" s="2"/>
      <c r="IJ108" s="2"/>
      <c r="IK108" s="2">
        <v>0</v>
      </c>
      <c r="IL108" s="2"/>
      <c r="IM108" s="2"/>
      <c r="IN108" s="2"/>
      <c r="IO108" s="2"/>
      <c r="IP108" s="2"/>
      <c r="IQ108" s="2"/>
      <c r="IR108" s="2"/>
      <c r="IS108" s="2"/>
      <c r="IT108" s="2"/>
      <c r="IU108" s="2"/>
    </row>
    <row r="109" spans="1:255">
      <c r="A109">
        <v>18</v>
      </c>
      <c r="B109">
        <v>1</v>
      </c>
      <c r="C109">
        <v>78</v>
      </c>
      <c r="E109" t="s">
        <v>184</v>
      </c>
      <c r="F109" t="s">
        <v>178</v>
      </c>
      <c r="G109" t="s">
        <v>523</v>
      </c>
      <c r="H109" t="s">
        <v>135</v>
      </c>
      <c r="I109">
        <f>I107*J109</f>
        <v>615</v>
      </c>
      <c r="J109">
        <v>1025</v>
      </c>
      <c r="K109">
        <v>1025</v>
      </c>
      <c r="O109">
        <f t="shared" si="70"/>
        <v>1187858.32</v>
      </c>
      <c r="P109">
        <f t="shared" si="71"/>
        <v>1187858.32</v>
      </c>
      <c r="Q109">
        <f t="shared" si="72"/>
        <v>0</v>
      </c>
      <c r="R109">
        <f t="shared" si="73"/>
        <v>0</v>
      </c>
      <c r="S109">
        <f t="shared" si="74"/>
        <v>0</v>
      </c>
      <c r="T109">
        <f t="shared" si="75"/>
        <v>0</v>
      </c>
      <c r="U109">
        <f t="shared" si="76"/>
        <v>0</v>
      </c>
      <c r="V109">
        <f t="shared" si="77"/>
        <v>0</v>
      </c>
      <c r="W109">
        <f t="shared" si="78"/>
        <v>0</v>
      </c>
      <c r="X109">
        <f t="shared" si="79"/>
        <v>0</v>
      </c>
      <c r="Y109">
        <f t="shared" si="80"/>
        <v>0</v>
      </c>
      <c r="AA109">
        <v>70305036</v>
      </c>
      <c r="AB109">
        <f t="shared" si="81"/>
        <v>278.31</v>
      </c>
      <c r="AC109">
        <f t="shared" si="82"/>
        <v>278.31</v>
      </c>
      <c r="AD109">
        <f t="shared" si="83"/>
        <v>0</v>
      </c>
      <c r="AE109">
        <f t="shared" si="84"/>
        <v>0</v>
      </c>
      <c r="AF109">
        <f t="shared" si="85"/>
        <v>0</v>
      </c>
      <c r="AG109">
        <f t="shared" si="86"/>
        <v>0</v>
      </c>
      <c r="AH109">
        <f t="shared" si="87"/>
        <v>0</v>
      </c>
      <c r="AI109">
        <f t="shared" si="88"/>
        <v>0</v>
      </c>
      <c r="AJ109">
        <f t="shared" si="89"/>
        <v>0</v>
      </c>
      <c r="AK109">
        <v>278.31</v>
      </c>
      <c r="AL109">
        <v>278.31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1</v>
      </c>
      <c r="AW109">
        <v>1.081</v>
      </c>
      <c r="AZ109">
        <v>1</v>
      </c>
      <c r="BA109">
        <v>1</v>
      </c>
      <c r="BB109">
        <v>1</v>
      </c>
      <c r="BC109">
        <v>6.42</v>
      </c>
      <c r="BD109" t="s">
        <v>4</v>
      </c>
      <c r="BE109" t="s">
        <v>4</v>
      </c>
      <c r="BF109" t="s">
        <v>4</v>
      </c>
      <c r="BG109" t="s">
        <v>4</v>
      </c>
      <c r="BH109">
        <v>3</v>
      </c>
      <c r="BI109">
        <v>1</v>
      </c>
      <c r="BJ109" t="s">
        <v>179</v>
      </c>
      <c r="BM109">
        <v>2254</v>
      </c>
      <c r="BN109">
        <v>0</v>
      </c>
      <c r="BO109" t="s">
        <v>178</v>
      </c>
      <c r="BP109">
        <v>1</v>
      </c>
      <c r="BQ109">
        <v>30</v>
      </c>
      <c r="BR109">
        <v>0</v>
      </c>
      <c r="BS109">
        <v>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4</v>
      </c>
      <c r="BZ109">
        <v>0</v>
      </c>
      <c r="CA109">
        <v>0</v>
      </c>
      <c r="CB109" t="s">
        <v>4</v>
      </c>
      <c r="CE109">
        <v>30</v>
      </c>
      <c r="CF109">
        <v>0</v>
      </c>
      <c r="CG109">
        <v>0</v>
      </c>
      <c r="CM109">
        <v>0</v>
      </c>
      <c r="CN109" t="s">
        <v>4</v>
      </c>
      <c r="CO109">
        <v>0</v>
      </c>
      <c r="CP109">
        <f t="shared" si="90"/>
        <v>1187858.32</v>
      </c>
      <c r="CQ109">
        <f t="shared" si="91"/>
        <v>1931.46</v>
      </c>
      <c r="CR109">
        <f t="shared" si="92"/>
        <v>0</v>
      </c>
      <c r="CS109">
        <f t="shared" si="93"/>
        <v>0</v>
      </c>
      <c r="CT109">
        <f t="shared" si="94"/>
        <v>0</v>
      </c>
      <c r="CU109">
        <f t="shared" si="95"/>
        <v>0</v>
      </c>
      <c r="CV109">
        <f t="shared" si="96"/>
        <v>0</v>
      </c>
      <c r="CW109">
        <f t="shared" si="97"/>
        <v>0</v>
      </c>
      <c r="CX109">
        <f t="shared" si="98"/>
        <v>0</v>
      </c>
      <c r="CY109">
        <f>S109*(BZ109/100)</f>
        <v>0</v>
      </c>
      <c r="CZ109">
        <f>S109*(CA109/100)</f>
        <v>0</v>
      </c>
      <c r="DC109" t="s">
        <v>4</v>
      </c>
      <c r="DD109" t="s">
        <v>4</v>
      </c>
      <c r="DE109" t="s">
        <v>4</v>
      </c>
      <c r="DF109" t="s">
        <v>4</v>
      </c>
      <c r="DG109" t="s">
        <v>4</v>
      </c>
      <c r="DH109" t="s">
        <v>4</v>
      </c>
      <c r="DI109" t="s">
        <v>4</v>
      </c>
      <c r="DJ109" t="s">
        <v>4</v>
      </c>
      <c r="DK109" t="s">
        <v>4</v>
      </c>
      <c r="DL109" t="s">
        <v>4</v>
      </c>
      <c r="DM109" t="s">
        <v>4</v>
      </c>
      <c r="DN109">
        <v>112</v>
      </c>
      <c r="DO109">
        <v>70</v>
      </c>
      <c r="DP109">
        <v>1.0669999999999999</v>
      </c>
      <c r="DQ109">
        <v>1.081</v>
      </c>
      <c r="DU109">
        <v>1003</v>
      </c>
      <c r="DV109" t="s">
        <v>135</v>
      </c>
      <c r="DW109" t="s">
        <v>135</v>
      </c>
      <c r="DX109">
        <v>1</v>
      </c>
      <c r="DZ109" t="s">
        <v>4</v>
      </c>
      <c r="EA109" t="s">
        <v>4</v>
      </c>
      <c r="EB109" t="s">
        <v>4</v>
      </c>
      <c r="EC109" t="s">
        <v>4</v>
      </c>
      <c r="EE109">
        <v>69254921</v>
      </c>
      <c r="EF109">
        <v>30</v>
      </c>
      <c r="EG109" t="s">
        <v>24</v>
      </c>
      <c r="EH109">
        <v>0</v>
      </c>
      <c r="EI109" t="s">
        <v>4</v>
      </c>
      <c r="EJ109">
        <v>1</v>
      </c>
      <c r="EK109">
        <v>2254</v>
      </c>
      <c r="EL109" t="s">
        <v>175</v>
      </c>
      <c r="EM109" t="s">
        <v>176</v>
      </c>
      <c r="EO109" t="s">
        <v>4</v>
      </c>
      <c r="EQ109">
        <v>0</v>
      </c>
      <c r="ER109">
        <v>278.31</v>
      </c>
      <c r="ES109">
        <v>278.31</v>
      </c>
      <c r="ET109">
        <v>0</v>
      </c>
      <c r="EU109">
        <v>0</v>
      </c>
      <c r="EV109">
        <v>0</v>
      </c>
      <c r="EW109">
        <v>0</v>
      </c>
      <c r="EX109">
        <v>0</v>
      </c>
      <c r="FQ109">
        <v>0</v>
      </c>
      <c r="FR109">
        <f t="shared" si="99"/>
        <v>0</v>
      </c>
      <c r="FS109">
        <v>0</v>
      </c>
      <c r="FX109">
        <v>112</v>
      </c>
      <c r="FY109">
        <v>70</v>
      </c>
      <c r="GA109" t="s">
        <v>4</v>
      </c>
      <c r="GD109">
        <v>0</v>
      </c>
      <c r="GF109">
        <v>77284068</v>
      </c>
      <c r="GG109">
        <v>2</v>
      </c>
      <c r="GH109">
        <v>1</v>
      </c>
      <c r="GI109">
        <v>2</v>
      </c>
      <c r="GJ109">
        <v>0</v>
      </c>
      <c r="GK109">
        <f>ROUND(R109*(S12)/100,2)</f>
        <v>0</v>
      </c>
      <c r="GL109">
        <f t="shared" si="100"/>
        <v>0</v>
      </c>
      <c r="GM109">
        <f t="shared" si="101"/>
        <v>1187858.32</v>
      </c>
      <c r="GN109">
        <f t="shared" si="102"/>
        <v>1187858.32</v>
      </c>
      <c r="GO109">
        <f t="shared" si="103"/>
        <v>0</v>
      </c>
      <c r="GP109">
        <f t="shared" si="104"/>
        <v>0</v>
      </c>
      <c r="GR109">
        <v>0</v>
      </c>
      <c r="GS109">
        <v>3</v>
      </c>
      <c r="GT109">
        <v>0</v>
      </c>
      <c r="GU109" t="s">
        <v>4</v>
      </c>
      <c r="GV109">
        <f t="shared" si="105"/>
        <v>0</v>
      </c>
      <c r="GW109">
        <v>1</v>
      </c>
      <c r="GX109">
        <f t="shared" si="106"/>
        <v>0</v>
      </c>
      <c r="HA109">
        <v>0</v>
      </c>
      <c r="HB109">
        <v>0</v>
      </c>
      <c r="HC109">
        <f t="shared" si="107"/>
        <v>0</v>
      </c>
      <c r="HE109" t="s">
        <v>4</v>
      </c>
      <c r="HF109" t="s">
        <v>4</v>
      </c>
      <c r="HM109" t="s">
        <v>4</v>
      </c>
      <c r="HN109" t="s">
        <v>4</v>
      </c>
      <c r="HO109" t="s">
        <v>4</v>
      </c>
      <c r="HP109" t="s">
        <v>4</v>
      </c>
      <c r="HQ109" t="s">
        <v>4</v>
      </c>
      <c r="IK109">
        <v>0</v>
      </c>
    </row>
    <row r="110" spans="1:255">
      <c r="A110" s="2">
        <v>17</v>
      </c>
      <c r="B110" s="2">
        <v>1</v>
      </c>
      <c r="C110" s="2"/>
      <c r="D110" s="2"/>
      <c r="E110" s="2" t="s">
        <v>185</v>
      </c>
      <c r="F110" s="2" t="s">
        <v>186</v>
      </c>
      <c r="G110" s="2" t="s">
        <v>187</v>
      </c>
      <c r="H110" s="2" t="s">
        <v>188</v>
      </c>
      <c r="I110" s="2">
        <v>16</v>
      </c>
      <c r="J110" s="2">
        <v>0</v>
      </c>
      <c r="K110" s="2">
        <v>16</v>
      </c>
      <c r="L110" s="2"/>
      <c r="M110" s="2"/>
      <c r="N110" s="2"/>
      <c r="O110" s="2">
        <f t="shared" si="70"/>
        <v>49.6</v>
      </c>
      <c r="P110" s="2">
        <f t="shared" si="71"/>
        <v>49.6</v>
      </c>
      <c r="Q110" s="2">
        <f t="shared" si="72"/>
        <v>0</v>
      </c>
      <c r="R110" s="2">
        <f t="shared" si="73"/>
        <v>0</v>
      </c>
      <c r="S110" s="2">
        <f t="shared" si="74"/>
        <v>0</v>
      </c>
      <c r="T110" s="2">
        <f t="shared" si="75"/>
        <v>0</v>
      </c>
      <c r="U110" s="2">
        <f t="shared" si="76"/>
        <v>0</v>
      </c>
      <c r="V110" s="2">
        <f t="shared" si="77"/>
        <v>0</v>
      </c>
      <c r="W110" s="2">
        <f t="shared" si="78"/>
        <v>0</v>
      </c>
      <c r="X110" s="2">
        <f t="shared" si="79"/>
        <v>0</v>
      </c>
      <c r="Y110" s="2">
        <f t="shared" si="80"/>
        <v>0</v>
      </c>
      <c r="Z110" s="2"/>
      <c r="AA110" s="2">
        <v>70305038</v>
      </c>
      <c r="AB110" s="2">
        <f t="shared" si="81"/>
        <v>3.1</v>
      </c>
      <c r="AC110" s="2">
        <f t="shared" si="82"/>
        <v>3.1</v>
      </c>
      <c r="AD110" s="2">
        <f t="shared" si="83"/>
        <v>0</v>
      </c>
      <c r="AE110" s="2">
        <f t="shared" si="84"/>
        <v>0</v>
      </c>
      <c r="AF110" s="2">
        <f t="shared" si="85"/>
        <v>0</v>
      </c>
      <c r="AG110" s="2">
        <f t="shared" si="86"/>
        <v>0</v>
      </c>
      <c r="AH110" s="2">
        <f t="shared" si="87"/>
        <v>0</v>
      </c>
      <c r="AI110" s="2">
        <f t="shared" si="88"/>
        <v>0</v>
      </c>
      <c r="AJ110" s="2">
        <f t="shared" si="89"/>
        <v>0</v>
      </c>
      <c r="AK110" s="2">
        <v>3.1</v>
      </c>
      <c r="AL110" s="2">
        <v>3.1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1</v>
      </c>
      <c r="AW110" s="2">
        <v>1</v>
      </c>
      <c r="AX110" s="2"/>
      <c r="AY110" s="2"/>
      <c r="AZ110" s="2">
        <v>1</v>
      </c>
      <c r="BA110" s="2">
        <v>1</v>
      </c>
      <c r="BB110" s="2">
        <v>1</v>
      </c>
      <c r="BC110" s="2">
        <v>1</v>
      </c>
      <c r="BD110" s="2" t="s">
        <v>4</v>
      </c>
      <c r="BE110" s="2" t="s">
        <v>4</v>
      </c>
      <c r="BF110" s="2" t="s">
        <v>4</v>
      </c>
      <c r="BG110" s="2" t="s">
        <v>4</v>
      </c>
      <c r="BH110" s="2">
        <v>3</v>
      </c>
      <c r="BI110" s="2">
        <v>1</v>
      </c>
      <c r="BJ110" s="2" t="s">
        <v>189</v>
      </c>
      <c r="BK110" s="2"/>
      <c r="BL110" s="2"/>
      <c r="BM110" s="2">
        <v>1617</v>
      </c>
      <c r="BN110" s="2">
        <v>0</v>
      </c>
      <c r="BO110" s="2" t="s">
        <v>4</v>
      </c>
      <c r="BP110" s="2">
        <v>0</v>
      </c>
      <c r="BQ110" s="2">
        <v>200</v>
      </c>
      <c r="BR110" s="2">
        <v>0</v>
      </c>
      <c r="BS110" s="2">
        <v>1</v>
      </c>
      <c r="BT110" s="2">
        <v>1</v>
      </c>
      <c r="BU110" s="2">
        <v>1</v>
      </c>
      <c r="BV110" s="2">
        <v>1</v>
      </c>
      <c r="BW110" s="2">
        <v>1</v>
      </c>
      <c r="BX110" s="2">
        <v>1</v>
      </c>
      <c r="BY110" s="2" t="s">
        <v>4</v>
      </c>
      <c r="BZ110" s="2">
        <v>0</v>
      </c>
      <c r="CA110" s="2">
        <v>0</v>
      </c>
      <c r="CB110" s="2" t="s">
        <v>4</v>
      </c>
      <c r="CC110" s="2"/>
      <c r="CD110" s="2"/>
      <c r="CE110" s="2">
        <v>30</v>
      </c>
      <c r="CF110" s="2">
        <v>0</v>
      </c>
      <c r="CG110" s="2">
        <v>0</v>
      </c>
      <c r="CH110" s="2"/>
      <c r="CI110" s="2"/>
      <c r="CJ110" s="2"/>
      <c r="CK110" s="2"/>
      <c r="CL110" s="2"/>
      <c r="CM110" s="2">
        <v>0</v>
      </c>
      <c r="CN110" s="2" t="s">
        <v>4</v>
      </c>
      <c r="CO110" s="2">
        <v>0</v>
      </c>
      <c r="CP110" s="2">
        <f t="shared" si="90"/>
        <v>49.6</v>
      </c>
      <c r="CQ110" s="2">
        <f t="shared" si="91"/>
        <v>3.1</v>
      </c>
      <c r="CR110" s="2">
        <f t="shared" si="92"/>
        <v>0</v>
      </c>
      <c r="CS110" s="2">
        <f t="shared" si="93"/>
        <v>0</v>
      </c>
      <c r="CT110" s="2">
        <f t="shared" si="94"/>
        <v>0</v>
      </c>
      <c r="CU110" s="2">
        <f t="shared" si="95"/>
        <v>0</v>
      </c>
      <c r="CV110" s="2">
        <f t="shared" si="96"/>
        <v>0</v>
      </c>
      <c r="CW110" s="2">
        <f t="shared" si="97"/>
        <v>0</v>
      </c>
      <c r="CX110" s="2">
        <f t="shared" si="98"/>
        <v>0</v>
      </c>
      <c r="CY110" s="2">
        <f>((S110*BZ110)/100)</f>
        <v>0</v>
      </c>
      <c r="CZ110" s="2">
        <f>((S110*CA110)/100)</f>
        <v>0</v>
      </c>
      <c r="DA110" s="2"/>
      <c r="DB110" s="2"/>
      <c r="DC110" s="2" t="s">
        <v>4</v>
      </c>
      <c r="DD110" s="2" t="s">
        <v>4</v>
      </c>
      <c r="DE110" s="2" t="s">
        <v>4</v>
      </c>
      <c r="DF110" s="2" t="s">
        <v>4</v>
      </c>
      <c r="DG110" s="2" t="s">
        <v>4</v>
      </c>
      <c r="DH110" s="2" t="s">
        <v>4</v>
      </c>
      <c r="DI110" s="2" t="s">
        <v>4</v>
      </c>
      <c r="DJ110" s="2" t="s">
        <v>4</v>
      </c>
      <c r="DK110" s="2" t="s">
        <v>4</v>
      </c>
      <c r="DL110" s="2" t="s">
        <v>4</v>
      </c>
      <c r="DM110" s="2" t="s">
        <v>4</v>
      </c>
      <c r="DN110" s="2">
        <v>0</v>
      </c>
      <c r="DO110" s="2">
        <v>0</v>
      </c>
      <c r="DP110" s="2">
        <v>1</v>
      </c>
      <c r="DQ110" s="2">
        <v>1</v>
      </c>
      <c r="DR110" s="2"/>
      <c r="DS110" s="2"/>
      <c r="DT110" s="2"/>
      <c r="DU110" s="2">
        <v>1010</v>
      </c>
      <c r="DV110" s="2" t="s">
        <v>188</v>
      </c>
      <c r="DW110" s="2" t="s">
        <v>188</v>
      </c>
      <c r="DX110" s="2">
        <v>1</v>
      </c>
      <c r="DY110" s="2"/>
      <c r="DZ110" s="2" t="s">
        <v>4</v>
      </c>
      <c r="EA110" s="2" t="s">
        <v>4</v>
      </c>
      <c r="EB110" s="2" t="s">
        <v>4</v>
      </c>
      <c r="EC110" s="2" t="s">
        <v>4</v>
      </c>
      <c r="ED110" s="2"/>
      <c r="EE110" s="2">
        <v>69254242</v>
      </c>
      <c r="EF110" s="2">
        <v>200</v>
      </c>
      <c r="EG110" s="2" t="s">
        <v>54</v>
      </c>
      <c r="EH110" s="2">
        <v>0</v>
      </c>
      <c r="EI110" s="2" t="s">
        <v>4</v>
      </c>
      <c r="EJ110" s="2">
        <v>1</v>
      </c>
      <c r="EK110" s="2">
        <v>1617</v>
      </c>
      <c r="EL110" s="2" t="s">
        <v>55</v>
      </c>
      <c r="EM110" s="2" t="s">
        <v>56</v>
      </c>
      <c r="EN110" s="2"/>
      <c r="EO110" s="2" t="s">
        <v>4</v>
      </c>
      <c r="EP110" s="2"/>
      <c r="EQ110" s="2">
        <v>0</v>
      </c>
      <c r="ER110" s="2">
        <v>3.1</v>
      </c>
      <c r="ES110" s="2">
        <v>3.1</v>
      </c>
      <c r="ET110" s="2">
        <v>0</v>
      </c>
      <c r="EU110" s="2">
        <v>0</v>
      </c>
      <c r="EV110" s="2">
        <v>0</v>
      </c>
      <c r="EW110" s="2">
        <v>0</v>
      </c>
      <c r="EX110" s="2">
        <v>0</v>
      </c>
      <c r="EY110" s="2">
        <v>0</v>
      </c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>
        <v>0</v>
      </c>
      <c r="FR110" s="2">
        <f t="shared" si="99"/>
        <v>0</v>
      </c>
      <c r="FS110" s="2">
        <v>0</v>
      </c>
      <c r="FT110" s="2"/>
      <c r="FU110" s="2"/>
      <c r="FV110" s="2"/>
      <c r="FW110" s="2"/>
      <c r="FX110" s="2">
        <v>0</v>
      </c>
      <c r="FY110" s="2">
        <v>0</v>
      </c>
      <c r="FZ110" s="2"/>
      <c r="GA110" s="2" t="s">
        <v>4</v>
      </c>
      <c r="GB110" s="2"/>
      <c r="GC110" s="2"/>
      <c r="GD110" s="2">
        <v>0</v>
      </c>
      <c r="GE110" s="2"/>
      <c r="GF110" s="2">
        <v>697020280</v>
      </c>
      <c r="GG110" s="2">
        <v>2</v>
      </c>
      <c r="GH110" s="2">
        <v>1</v>
      </c>
      <c r="GI110" s="2">
        <v>-2</v>
      </c>
      <c r="GJ110" s="2">
        <v>0</v>
      </c>
      <c r="GK110" s="2">
        <f>ROUND(R110*(R12)/100,2)</f>
        <v>0</v>
      </c>
      <c r="GL110" s="2">
        <f t="shared" si="100"/>
        <v>0</v>
      </c>
      <c r="GM110" s="2">
        <f t="shared" si="101"/>
        <v>49.6</v>
      </c>
      <c r="GN110" s="2">
        <f t="shared" si="102"/>
        <v>49.6</v>
      </c>
      <c r="GO110" s="2">
        <f t="shared" si="103"/>
        <v>0</v>
      </c>
      <c r="GP110" s="2">
        <f t="shared" si="104"/>
        <v>0</v>
      </c>
      <c r="GQ110" s="2"/>
      <c r="GR110" s="2">
        <v>0</v>
      </c>
      <c r="GS110" s="2">
        <v>3</v>
      </c>
      <c r="GT110" s="2">
        <v>0</v>
      </c>
      <c r="GU110" s="2" t="s">
        <v>4</v>
      </c>
      <c r="GV110" s="2">
        <f t="shared" si="105"/>
        <v>0</v>
      </c>
      <c r="GW110" s="2">
        <v>1</v>
      </c>
      <c r="GX110" s="2">
        <f t="shared" si="106"/>
        <v>0</v>
      </c>
      <c r="GY110" s="2"/>
      <c r="GZ110" s="2"/>
      <c r="HA110" s="2">
        <v>0</v>
      </c>
      <c r="HB110" s="2">
        <v>0</v>
      </c>
      <c r="HC110" s="2">
        <f t="shared" si="107"/>
        <v>0</v>
      </c>
      <c r="HD110" s="2"/>
      <c r="HE110" s="2" t="s">
        <v>4</v>
      </c>
      <c r="HF110" s="2" t="s">
        <v>4</v>
      </c>
      <c r="HG110" s="2"/>
      <c r="HH110" s="2"/>
      <c r="HI110" s="2"/>
      <c r="HJ110" s="2"/>
      <c r="HK110" s="2"/>
      <c r="HL110" s="2"/>
      <c r="HM110" s="2" t="s">
        <v>4</v>
      </c>
      <c r="HN110" s="2" t="s">
        <v>4</v>
      </c>
      <c r="HO110" s="2" t="s">
        <v>4</v>
      </c>
      <c r="HP110" s="2" t="s">
        <v>4</v>
      </c>
      <c r="HQ110" s="2" t="s">
        <v>4</v>
      </c>
      <c r="HR110" s="2"/>
      <c r="HS110" s="2"/>
      <c r="HT110" s="2"/>
      <c r="HU110" s="2"/>
      <c r="HV110" s="2"/>
      <c r="HW110" s="2"/>
      <c r="HX110" s="2"/>
      <c r="HY110" s="2"/>
      <c r="HZ110" s="2"/>
      <c r="IA110" s="2"/>
      <c r="IB110" s="2"/>
      <c r="IC110" s="2"/>
      <c r="ID110" s="2"/>
      <c r="IE110" s="2"/>
      <c r="IF110" s="2"/>
      <c r="IG110" s="2"/>
      <c r="IH110" s="2"/>
      <c r="II110" s="2"/>
      <c r="IJ110" s="2"/>
      <c r="IK110" s="2">
        <v>0</v>
      </c>
      <c r="IL110" s="2"/>
      <c r="IM110" s="2"/>
      <c r="IN110" s="2"/>
      <c r="IO110" s="2"/>
      <c r="IP110" s="2"/>
      <c r="IQ110" s="2"/>
      <c r="IR110" s="2"/>
      <c r="IS110" s="2"/>
      <c r="IT110" s="2"/>
      <c r="IU110" s="2"/>
    </row>
    <row r="111" spans="1:255">
      <c r="A111">
        <v>17</v>
      </c>
      <c r="B111">
        <v>1</v>
      </c>
      <c r="E111" t="s">
        <v>185</v>
      </c>
      <c r="F111" t="s">
        <v>186</v>
      </c>
      <c r="G111" t="s">
        <v>187</v>
      </c>
      <c r="H111" t="s">
        <v>188</v>
      </c>
      <c r="I111">
        <v>16</v>
      </c>
      <c r="J111">
        <v>0</v>
      </c>
      <c r="K111">
        <v>16</v>
      </c>
      <c r="O111">
        <f t="shared" si="70"/>
        <v>2122.38</v>
      </c>
      <c r="P111">
        <f t="shared" si="71"/>
        <v>2122.38</v>
      </c>
      <c r="Q111">
        <f t="shared" si="72"/>
        <v>0</v>
      </c>
      <c r="R111">
        <f t="shared" si="73"/>
        <v>0</v>
      </c>
      <c r="S111">
        <f t="shared" si="74"/>
        <v>0</v>
      </c>
      <c r="T111">
        <f t="shared" si="75"/>
        <v>0</v>
      </c>
      <c r="U111">
        <f t="shared" si="76"/>
        <v>0</v>
      </c>
      <c r="V111">
        <f t="shared" si="77"/>
        <v>0</v>
      </c>
      <c r="W111">
        <f t="shared" si="78"/>
        <v>0</v>
      </c>
      <c r="X111">
        <f t="shared" si="79"/>
        <v>0</v>
      </c>
      <c r="Y111">
        <f t="shared" si="80"/>
        <v>0</v>
      </c>
      <c r="AA111">
        <v>70305036</v>
      </c>
      <c r="AB111">
        <f t="shared" si="81"/>
        <v>3.1</v>
      </c>
      <c r="AC111">
        <f t="shared" si="82"/>
        <v>3.1</v>
      </c>
      <c r="AD111">
        <f t="shared" si="83"/>
        <v>0</v>
      </c>
      <c r="AE111">
        <f t="shared" si="84"/>
        <v>0</v>
      </c>
      <c r="AF111">
        <f t="shared" si="85"/>
        <v>0</v>
      </c>
      <c r="AG111">
        <f t="shared" si="86"/>
        <v>0</v>
      </c>
      <c r="AH111">
        <f t="shared" si="87"/>
        <v>0</v>
      </c>
      <c r="AI111">
        <f t="shared" si="88"/>
        <v>0</v>
      </c>
      <c r="AJ111">
        <f t="shared" si="89"/>
        <v>0</v>
      </c>
      <c r="AK111">
        <v>3.1</v>
      </c>
      <c r="AL111">
        <v>3.1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1</v>
      </c>
      <c r="AW111">
        <v>1</v>
      </c>
      <c r="AZ111">
        <v>1</v>
      </c>
      <c r="BA111">
        <v>1</v>
      </c>
      <c r="BB111">
        <v>1</v>
      </c>
      <c r="BC111">
        <v>42.79</v>
      </c>
      <c r="BD111" t="s">
        <v>4</v>
      </c>
      <c r="BE111" t="s">
        <v>4</v>
      </c>
      <c r="BF111" t="s">
        <v>4</v>
      </c>
      <c r="BG111" t="s">
        <v>4</v>
      </c>
      <c r="BH111">
        <v>3</v>
      </c>
      <c r="BI111">
        <v>1</v>
      </c>
      <c r="BJ111" t="s">
        <v>189</v>
      </c>
      <c r="BM111">
        <v>1617</v>
      </c>
      <c r="BN111">
        <v>0</v>
      </c>
      <c r="BO111" t="s">
        <v>186</v>
      </c>
      <c r="BP111">
        <v>1</v>
      </c>
      <c r="BQ111">
        <v>200</v>
      </c>
      <c r="BR111">
        <v>0</v>
      </c>
      <c r="BS111">
        <v>1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4</v>
      </c>
      <c r="BZ111">
        <v>0</v>
      </c>
      <c r="CA111">
        <v>0</v>
      </c>
      <c r="CB111" t="s">
        <v>4</v>
      </c>
      <c r="CE111">
        <v>30</v>
      </c>
      <c r="CF111">
        <v>0</v>
      </c>
      <c r="CG111">
        <v>0</v>
      </c>
      <c r="CM111">
        <v>0</v>
      </c>
      <c r="CN111" t="s">
        <v>4</v>
      </c>
      <c r="CO111">
        <v>0</v>
      </c>
      <c r="CP111">
        <f t="shared" si="90"/>
        <v>2122.38</v>
      </c>
      <c r="CQ111">
        <f t="shared" si="91"/>
        <v>132.65</v>
      </c>
      <c r="CR111">
        <f t="shared" si="92"/>
        <v>0</v>
      </c>
      <c r="CS111">
        <f t="shared" si="93"/>
        <v>0</v>
      </c>
      <c r="CT111">
        <f t="shared" si="94"/>
        <v>0</v>
      </c>
      <c r="CU111">
        <f t="shared" si="95"/>
        <v>0</v>
      </c>
      <c r="CV111">
        <f t="shared" si="96"/>
        <v>0</v>
      </c>
      <c r="CW111">
        <f t="shared" si="97"/>
        <v>0</v>
      </c>
      <c r="CX111">
        <f t="shared" si="98"/>
        <v>0</v>
      </c>
      <c r="CY111">
        <f>S111*(BZ111/100)</f>
        <v>0</v>
      </c>
      <c r="CZ111">
        <f>S111*(CA111/100)</f>
        <v>0</v>
      </c>
      <c r="DC111" t="s">
        <v>4</v>
      </c>
      <c r="DD111" t="s">
        <v>4</v>
      </c>
      <c r="DE111" t="s">
        <v>4</v>
      </c>
      <c r="DF111" t="s">
        <v>4</v>
      </c>
      <c r="DG111" t="s">
        <v>4</v>
      </c>
      <c r="DH111" t="s">
        <v>4</v>
      </c>
      <c r="DI111" t="s">
        <v>4</v>
      </c>
      <c r="DJ111" t="s">
        <v>4</v>
      </c>
      <c r="DK111" t="s">
        <v>4</v>
      </c>
      <c r="DL111" t="s">
        <v>4</v>
      </c>
      <c r="DM111" t="s">
        <v>4</v>
      </c>
      <c r="DN111">
        <v>0</v>
      </c>
      <c r="DO111">
        <v>0</v>
      </c>
      <c r="DP111">
        <v>1</v>
      </c>
      <c r="DQ111">
        <v>1</v>
      </c>
      <c r="DU111">
        <v>1010</v>
      </c>
      <c r="DV111" t="s">
        <v>188</v>
      </c>
      <c r="DW111" t="s">
        <v>188</v>
      </c>
      <c r="DX111">
        <v>1</v>
      </c>
      <c r="DZ111" t="s">
        <v>4</v>
      </c>
      <c r="EA111" t="s">
        <v>4</v>
      </c>
      <c r="EB111" t="s">
        <v>4</v>
      </c>
      <c r="EC111" t="s">
        <v>4</v>
      </c>
      <c r="EE111">
        <v>69254242</v>
      </c>
      <c r="EF111">
        <v>200</v>
      </c>
      <c r="EG111" t="s">
        <v>54</v>
      </c>
      <c r="EH111">
        <v>0</v>
      </c>
      <c r="EI111" t="s">
        <v>4</v>
      </c>
      <c r="EJ111">
        <v>1</v>
      </c>
      <c r="EK111">
        <v>1617</v>
      </c>
      <c r="EL111" t="s">
        <v>55</v>
      </c>
      <c r="EM111" t="s">
        <v>56</v>
      </c>
      <c r="EO111" t="s">
        <v>4</v>
      </c>
      <c r="EQ111">
        <v>0</v>
      </c>
      <c r="ER111">
        <v>3.1</v>
      </c>
      <c r="ES111">
        <v>3.1</v>
      </c>
      <c r="ET111">
        <v>0</v>
      </c>
      <c r="EU111">
        <v>0</v>
      </c>
      <c r="EV111">
        <v>0</v>
      </c>
      <c r="EW111">
        <v>0</v>
      </c>
      <c r="EX111">
        <v>0</v>
      </c>
      <c r="EY111">
        <v>0</v>
      </c>
      <c r="FQ111">
        <v>0</v>
      </c>
      <c r="FR111">
        <f t="shared" si="99"/>
        <v>0</v>
      </c>
      <c r="FS111">
        <v>0</v>
      </c>
      <c r="FX111">
        <v>0</v>
      </c>
      <c r="FY111">
        <v>0</v>
      </c>
      <c r="GA111" t="s">
        <v>4</v>
      </c>
      <c r="GD111">
        <v>0</v>
      </c>
      <c r="GF111">
        <v>697020280</v>
      </c>
      <c r="GG111">
        <v>2</v>
      </c>
      <c r="GH111">
        <v>1</v>
      </c>
      <c r="GI111">
        <v>2</v>
      </c>
      <c r="GJ111">
        <v>0</v>
      </c>
      <c r="GK111">
        <f>ROUND(R111*(S12)/100,2)</f>
        <v>0</v>
      </c>
      <c r="GL111">
        <f t="shared" si="100"/>
        <v>0</v>
      </c>
      <c r="GM111">
        <f t="shared" si="101"/>
        <v>2122.38</v>
      </c>
      <c r="GN111">
        <f t="shared" si="102"/>
        <v>2122.38</v>
      </c>
      <c r="GO111">
        <f t="shared" si="103"/>
        <v>0</v>
      </c>
      <c r="GP111">
        <f t="shared" si="104"/>
        <v>0</v>
      </c>
      <c r="GR111">
        <v>0</v>
      </c>
      <c r="GS111">
        <v>3</v>
      </c>
      <c r="GT111">
        <v>0</v>
      </c>
      <c r="GU111" t="s">
        <v>4</v>
      </c>
      <c r="GV111">
        <f t="shared" si="105"/>
        <v>0</v>
      </c>
      <c r="GW111">
        <v>1</v>
      </c>
      <c r="GX111">
        <f t="shared" si="106"/>
        <v>0</v>
      </c>
      <c r="HA111">
        <v>0</v>
      </c>
      <c r="HB111">
        <v>0</v>
      </c>
      <c r="HC111">
        <f t="shared" si="107"/>
        <v>0</v>
      </c>
      <c r="HE111" t="s">
        <v>4</v>
      </c>
      <c r="HF111" t="s">
        <v>4</v>
      </c>
      <c r="HM111" t="s">
        <v>4</v>
      </c>
      <c r="HN111" t="s">
        <v>4</v>
      </c>
      <c r="HO111" t="s">
        <v>4</v>
      </c>
      <c r="HP111" t="s">
        <v>4</v>
      </c>
      <c r="HQ111" t="s">
        <v>4</v>
      </c>
      <c r="IK111">
        <v>0</v>
      </c>
    </row>
    <row r="112" spans="1:255">
      <c r="A112" s="2">
        <v>17</v>
      </c>
      <c r="B112" s="2">
        <v>1</v>
      </c>
      <c r="C112" s="2">
        <f>ROW(SmtRes!A82)</f>
        <v>82</v>
      </c>
      <c r="D112" s="2">
        <f>ROW(EtalonRes!A104)</f>
        <v>104</v>
      </c>
      <c r="E112" s="2" t="s">
        <v>190</v>
      </c>
      <c r="F112" s="2" t="s">
        <v>191</v>
      </c>
      <c r="G112" s="2" t="s">
        <v>192</v>
      </c>
      <c r="H112" s="2" t="s">
        <v>193</v>
      </c>
      <c r="I112" s="2">
        <f>ROUND(ROUND((I104+I108)/12,0),9)</f>
        <v>77</v>
      </c>
      <c r="J112" s="2">
        <v>0</v>
      </c>
      <c r="K112" s="2">
        <f>ROUND(ROUND((I104+I108)/12,0),9)</f>
        <v>77</v>
      </c>
      <c r="L112" s="2"/>
      <c r="M112" s="2"/>
      <c r="N112" s="2"/>
      <c r="O112" s="2">
        <f t="shared" si="70"/>
        <v>1473.56</v>
      </c>
      <c r="P112" s="2">
        <f t="shared" si="71"/>
        <v>70.28</v>
      </c>
      <c r="Q112" s="2">
        <f t="shared" si="72"/>
        <v>184.86</v>
      </c>
      <c r="R112" s="2">
        <f t="shared" si="73"/>
        <v>0</v>
      </c>
      <c r="S112" s="2">
        <f t="shared" si="74"/>
        <v>1218.42</v>
      </c>
      <c r="T112" s="2">
        <f t="shared" si="75"/>
        <v>0</v>
      </c>
      <c r="U112" s="2">
        <f t="shared" si="76"/>
        <v>94.482849999999985</v>
      </c>
      <c r="V112" s="2">
        <f t="shared" si="77"/>
        <v>0</v>
      </c>
      <c r="W112" s="2">
        <f t="shared" si="78"/>
        <v>0</v>
      </c>
      <c r="X112" s="2">
        <f t="shared" si="79"/>
        <v>1620.5</v>
      </c>
      <c r="Y112" s="2">
        <f t="shared" si="80"/>
        <v>1376.81</v>
      </c>
      <c r="Z112" s="2"/>
      <c r="AA112" s="2">
        <v>70305038</v>
      </c>
      <c r="AB112" s="2">
        <f t="shared" si="81"/>
        <v>17.989999999999998</v>
      </c>
      <c r="AC112" s="2">
        <f t="shared" si="82"/>
        <v>0.91</v>
      </c>
      <c r="AD112" s="2">
        <f t="shared" si="83"/>
        <v>2.25</v>
      </c>
      <c r="AE112" s="2">
        <f t="shared" si="84"/>
        <v>0</v>
      </c>
      <c r="AF112" s="2">
        <f t="shared" si="85"/>
        <v>14.83</v>
      </c>
      <c r="AG112" s="2">
        <f t="shared" si="86"/>
        <v>0</v>
      </c>
      <c r="AH112" s="2">
        <f t="shared" si="87"/>
        <v>1.1499999999999999</v>
      </c>
      <c r="AI112" s="2">
        <f t="shared" si="88"/>
        <v>0</v>
      </c>
      <c r="AJ112" s="2">
        <f t="shared" si="89"/>
        <v>0</v>
      </c>
      <c r="AK112" s="2">
        <v>17.989999999999998</v>
      </c>
      <c r="AL112" s="2">
        <v>0.91</v>
      </c>
      <c r="AM112" s="2">
        <v>2.25</v>
      </c>
      <c r="AN112" s="2">
        <v>0</v>
      </c>
      <c r="AO112" s="2">
        <v>14.83</v>
      </c>
      <c r="AP112" s="2">
        <v>0</v>
      </c>
      <c r="AQ112" s="2">
        <v>1.1499999999999999</v>
      </c>
      <c r="AR112" s="2">
        <v>0</v>
      </c>
      <c r="AS112" s="2">
        <v>0</v>
      </c>
      <c r="AT112" s="2">
        <v>133</v>
      </c>
      <c r="AU112" s="2">
        <v>113</v>
      </c>
      <c r="AV112" s="2">
        <v>1.0669999999999999</v>
      </c>
      <c r="AW112" s="2">
        <v>1.0029999999999999</v>
      </c>
      <c r="AX112" s="2"/>
      <c r="AY112" s="2"/>
      <c r="AZ112" s="2">
        <v>1</v>
      </c>
      <c r="BA112" s="2">
        <v>1</v>
      </c>
      <c r="BB112" s="2">
        <v>1</v>
      </c>
      <c r="BC112" s="2">
        <v>1</v>
      </c>
      <c r="BD112" s="2" t="s">
        <v>4</v>
      </c>
      <c r="BE112" s="2" t="s">
        <v>4</v>
      </c>
      <c r="BF112" s="2" t="s">
        <v>4</v>
      </c>
      <c r="BG112" s="2" t="s">
        <v>4</v>
      </c>
      <c r="BH112" s="2">
        <v>0</v>
      </c>
      <c r="BI112" s="2">
        <v>1</v>
      </c>
      <c r="BJ112" s="2" t="s">
        <v>194</v>
      </c>
      <c r="BK112" s="2"/>
      <c r="BL112" s="2"/>
      <c r="BM112" s="2">
        <v>2167</v>
      </c>
      <c r="BN112" s="2">
        <v>0</v>
      </c>
      <c r="BO112" s="2" t="s">
        <v>4</v>
      </c>
      <c r="BP112" s="2">
        <v>0</v>
      </c>
      <c r="BQ112" s="2">
        <v>30</v>
      </c>
      <c r="BR112" s="2">
        <v>0</v>
      </c>
      <c r="BS112" s="2">
        <v>1</v>
      </c>
      <c r="BT112" s="2">
        <v>1</v>
      </c>
      <c r="BU112" s="2">
        <v>1</v>
      </c>
      <c r="BV112" s="2">
        <v>1</v>
      </c>
      <c r="BW112" s="2">
        <v>1</v>
      </c>
      <c r="BX112" s="2">
        <v>1</v>
      </c>
      <c r="BY112" s="2" t="s">
        <v>4</v>
      </c>
      <c r="BZ112" s="2">
        <v>133</v>
      </c>
      <c r="CA112" s="2">
        <v>113</v>
      </c>
      <c r="CB112" s="2" t="s">
        <v>4</v>
      </c>
      <c r="CC112" s="2"/>
      <c r="CD112" s="2"/>
      <c r="CE112" s="2">
        <v>30</v>
      </c>
      <c r="CF112" s="2">
        <v>0</v>
      </c>
      <c r="CG112" s="2">
        <v>0</v>
      </c>
      <c r="CH112" s="2"/>
      <c r="CI112" s="2"/>
      <c r="CJ112" s="2"/>
      <c r="CK112" s="2"/>
      <c r="CL112" s="2"/>
      <c r="CM112" s="2">
        <v>0</v>
      </c>
      <c r="CN112" s="2" t="s">
        <v>4</v>
      </c>
      <c r="CO112" s="2">
        <v>0</v>
      </c>
      <c r="CP112" s="2">
        <f t="shared" si="90"/>
        <v>1473.5600000000002</v>
      </c>
      <c r="CQ112" s="2">
        <f t="shared" si="91"/>
        <v>0.91</v>
      </c>
      <c r="CR112" s="2">
        <f t="shared" si="92"/>
        <v>2.4</v>
      </c>
      <c r="CS112" s="2">
        <f t="shared" si="93"/>
        <v>0</v>
      </c>
      <c r="CT112" s="2">
        <f t="shared" si="94"/>
        <v>15.82</v>
      </c>
      <c r="CU112" s="2">
        <f t="shared" si="95"/>
        <v>0</v>
      </c>
      <c r="CV112" s="2">
        <f t="shared" si="96"/>
        <v>1.2270499999999998</v>
      </c>
      <c r="CW112" s="2">
        <f t="shared" si="97"/>
        <v>0</v>
      </c>
      <c r="CX112" s="2">
        <f t="shared" si="98"/>
        <v>0</v>
      </c>
      <c r="CY112" s="2">
        <f>((S112*BZ112)/100)</f>
        <v>1620.4986000000001</v>
      </c>
      <c r="CZ112" s="2">
        <f>((S112*CA112)/100)</f>
        <v>1376.8146000000002</v>
      </c>
      <c r="DA112" s="2"/>
      <c r="DB112" s="2"/>
      <c r="DC112" s="2" t="s">
        <v>4</v>
      </c>
      <c r="DD112" s="2" t="s">
        <v>4</v>
      </c>
      <c r="DE112" s="2" t="s">
        <v>4</v>
      </c>
      <c r="DF112" s="2" t="s">
        <v>4</v>
      </c>
      <c r="DG112" s="2" t="s">
        <v>4</v>
      </c>
      <c r="DH112" s="2" t="s">
        <v>4</v>
      </c>
      <c r="DI112" s="2" t="s">
        <v>4</v>
      </c>
      <c r="DJ112" s="2" t="s">
        <v>4</v>
      </c>
      <c r="DK112" s="2" t="s">
        <v>4</v>
      </c>
      <c r="DL112" s="2" t="s">
        <v>4</v>
      </c>
      <c r="DM112" s="2" t="s">
        <v>4</v>
      </c>
      <c r="DN112" s="2">
        <v>0</v>
      </c>
      <c r="DO112" s="2">
        <v>0</v>
      </c>
      <c r="DP112" s="2">
        <v>1</v>
      </c>
      <c r="DQ112" s="2">
        <v>1</v>
      </c>
      <c r="DR112" s="2"/>
      <c r="DS112" s="2"/>
      <c r="DT112" s="2"/>
      <c r="DU112" s="2">
        <v>1013</v>
      </c>
      <c r="DV112" s="2" t="s">
        <v>193</v>
      </c>
      <c r="DW112" s="2" t="s">
        <v>193</v>
      </c>
      <c r="DX112" s="2">
        <v>1</v>
      </c>
      <c r="DY112" s="2"/>
      <c r="DZ112" s="2" t="s">
        <v>4</v>
      </c>
      <c r="EA112" s="2" t="s">
        <v>4</v>
      </c>
      <c r="EB112" s="2" t="s">
        <v>4</v>
      </c>
      <c r="EC112" s="2" t="s">
        <v>4</v>
      </c>
      <c r="ED112" s="2"/>
      <c r="EE112" s="2">
        <v>69254798</v>
      </c>
      <c r="EF112" s="2">
        <v>30</v>
      </c>
      <c r="EG112" s="2" t="s">
        <v>24</v>
      </c>
      <c r="EH112" s="2">
        <v>0</v>
      </c>
      <c r="EI112" s="2" t="s">
        <v>4</v>
      </c>
      <c r="EJ112" s="2">
        <v>1</v>
      </c>
      <c r="EK112" s="2">
        <v>2167</v>
      </c>
      <c r="EL112" s="2" t="s">
        <v>195</v>
      </c>
      <c r="EM112" s="2" t="s">
        <v>196</v>
      </c>
      <c r="EN112" s="2"/>
      <c r="EO112" s="2" t="s">
        <v>4</v>
      </c>
      <c r="EP112" s="2"/>
      <c r="EQ112" s="2">
        <v>0</v>
      </c>
      <c r="ER112" s="2">
        <v>17.989999999999998</v>
      </c>
      <c r="ES112" s="2">
        <v>0.91</v>
      </c>
      <c r="ET112" s="2">
        <v>2.25</v>
      </c>
      <c r="EU112" s="2">
        <v>0</v>
      </c>
      <c r="EV112" s="2">
        <v>14.83</v>
      </c>
      <c r="EW112" s="2">
        <v>1.1499999999999999</v>
      </c>
      <c r="EX112" s="2">
        <v>0</v>
      </c>
      <c r="EY112" s="2">
        <v>0</v>
      </c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>
        <v>0</v>
      </c>
      <c r="FR112" s="2">
        <f t="shared" si="99"/>
        <v>0</v>
      </c>
      <c r="FS112" s="2">
        <v>0</v>
      </c>
      <c r="FT112" s="2"/>
      <c r="FU112" s="2"/>
      <c r="FV112" s="2"/>
      <c r="FW112" s="2"/>
      <c r="FX112" s="2">
        <v>133</v>
      </c>
      <c r="FY112" s="2">
        <v>113</v>
      </c>
      <c r="FZ112" s="2"/>
      <c r="GA112" s="2" t="s">
        <v>4</v>
      </c>
      <c r="GB112" s="2"/>
      <c r="GC112" s="2"/>
      <c r="GD112" s="2">
        <v>0</v>
      </c>
      <c r="GE112" s="2"/>
      <c r="GF112" s="2">
        <v>-2014834153</v>
      </c>
      <c r="GG112" s="2">
        <v>2</v>
      </c>
      <c r="GH112" s="2">
        <v>1</v>
      </c>
      <c r="GI112" s="2">
        <v>-2</v>
      </c>
      <c r="GJ112" s="2">
        <v>0</v>
      </c>
      <c r="GK112" s="2">
        <f>ROUND(R112*(R12)/100,2)</f>
        <v>0</v>
      </c>
      <c r="GL112" s="2">
        <f t="shared" si="100"/>
        <v>0</v>
      </c>
      <c r="GM112" s="2">
        <f t="shared" si="101"/>
        <v>4470.87</v>
      </c>
      <c r="GN112" s="2">
        <f t="shared" si="102"/>
        <v>4470.87</v>
      </c>
      <c r="GO112" s="2">
        <f t="shared" si="103"/>
        <v>0</v>
      </c>
      <c r="GP112" s="2">
        <f t="shared" si="104"/>
        <v>0</v>
      </c>
      <c r="GQ112" s="2"/>
      <c r="GR112" s="2">
        <v>0</v>
      </c>
      <c r="GS112" s="2">
        <v>0</v>
      </c>
      <c r="GT112" s="2">
        <v>0</v>
      </c>
      <c r="GU112" s="2" t="s">
        <v>4</v>
      </c>
      <c r="GV112" s="2">
        <f t="shared" si="105"/>
        <v>0</v>
      </c>
      <c r="GW112" s="2">
        <v>1</v>
      </c>
      <c r="GX112" s="2">
        <f t="shared" si="106"/>
        <v>0</v>
      </c>
      <c r="GY112" s="2"/>
      <c r="GZ112" s="2"/>
      <c r="HA112" s="2">
        <v>0</v>
      </c>
      <c r="HB112" s="2">
        <v>0</v>
      </c>
      <c r="HC112" s="2">
        <f t="shared" si="107"/>
        <v>0</v>
      </c>
      <c r="HD112" s="2"/>
      <c r="HE112" s="2" t="s">
        <v>4</v>
      </c>
      <c r="HF112" s="2" t="s">
        <v>4</v>
      </c>
      <c r="HG112" s="2"/>
      <c r="HH112" s="2"/>
      <c r="HI112" s="2"/>
      <c r="HJ112" s="2"/>
      <c r="HK112" s="2"/>
      <c r="HL112" s="2"/>
      <c r="HM112" s="2" t="s">
        <v>4</v>
      </c>
      <c r="HN112" s="2" t="s">
        <v>4</v>
      </c>
      <c r="HO112" s="2" t="s">
        <v>4</v>
      </c>
      <c r="HP112" s="2" t="s">
        <v>4</v>
      </c>
      <c r="HQ112" s="2" t="s">
        <v>4</v>
      </c>
      <c r="HR112" s="2"/>
      <c r="HS112" s="2"/>
      <c r="HT112" s="2"/>
      <c r="HU112" s="2"/>
      <c r="HV112" s="2"/>
      <c r="HW112" s="2"/>
      <c r="HX112" s="2"/>
      <c r="HY112" s="2"/>
      <c r="HZ112" s="2"/>
      <c r="IA112" s="2"/>
      <c r="IB112" s="2"/>
      <c r="IC112" s="2"/>
      <c r="ID112" s="2"/>
      <c r="IE112" s="2"/>
      <c r="IF112" s="2"/>
      <c r="IG112" s="2"/>
      <c r="IH112" s="2"/>
      <c r="II112" s="2"/>
      <c r="IJ112" s="2"/>
      <c r="IK112" s="2">
        <v>0</v>
      </c>
      <c r="IL112" s="2"/>
      <c r="IM112" s="2"/>
      <c r="IN112" s="2"/>
      <c r="IO112" s="2"/>
      <c r="IP112" s="2"/>
      <c r="IQ112" s="2"/>
      <c r="IR112" s="2"/>
      <c r="IS112" s="2"/>
      <c r="IT112" s="2"/>
      <c r="IU112" s="2"/>
    </row>
    <row r="113" spans="1:255">
      <c r="A113">
        <v>17</v>
      </c>
      <c r="B113">
        <v>1</v>
      </c>
      <c r="C113">
        <f>ROW(SmtRes!A86)</f>
        <v>86</v>
      </c>
      <c r="D113">
        <f>ROW(EtalonRes!A108)</f>
        <v>108</v>
      </c>
      <c r="E113" t="s">
        <v>190</v>
      </c>
      <c r="F113" t="s">
        <v>191</v>
      </c>
      <c r="G113" t="s">
        <v>192</v>
      </c>
      <c r="H113" t="s">
        <v>193</v>
      </c>
      <c r="I113">
        <f>ROUND(ROUND((I105+I109)/12,0),9)</f>
        <v>77</v>
      </c>
      <c r="J113">
        <v>0</v>
      </c>
      <c r="K113">
        <f>ROUND(ROUND((I105+I109)/12,0),9)</f>
        <v>77</v>
      </c>
      <c r="O113">
        <f t="shared" si="70"/>
        <v>65966.679999999993</v>
      </c>
      <c r="P113">
        <f t="shared" si="71"/>
        <v>7365.34</v>
      </c>
      <c r="Q113">
        <f t="shared" si="72"/>
        <v>1737.68</v>
      </c>
      <c r="R113">
        <f t="shared" si="73"/>
        <v>0</v>
      </c>
      <c r="S113">
        <f t="shared" si="74"/>
        <v>56863.66</v>
      </c>
      <c r="T113">
        <f t="shared" si="75"/>
        <v>0</v>
      </c>
      <c r="U113">
        <f t="shared" si="76"/>
        <v>94.482849999999985</v>
      </c>
      <c r="V113">
        <f t="shared" si="77"/>
        <v>0</v>
      </c>
      <c r="W113">
        <f t="shared" si="78"/>
        <v>0</v>
      </c>
      <c r="X113">
        <f t="shared" si="79"/>
        <v>61981.39</v>
      </c>
      <c r="Y113">
        <f t="shared" si="80"/>
        <v>30706.38</v>
      </c>
      <c r="AA113">
        <v>70305036</v>
      </c>
      <c r="AB113">
        <f t="shared" si="81"/>
        <v>17.989999999999998</v>
      </c>
      <c r="AC113">
        <f t="shared" si="82"/>
        <v>0.91</v>
      </c>
      <c r="AD113">
        <f t="shared" si="83"/>
        <v>2.25</v>
      </c>
      <c r="AE113">
        <f t="shared" si="84"/>
        <v>0</v>
      </c>
      <c r="AF113">
        <f t="shared" si="85"/>
        <v>14.83</v>
      </c>
      <c r="AG113">
        <f t="shared" si="86"/>
        <v>0</v>
      </c>
      <c r="AH113">
        <f t="shared" si="87"/>
        <v>1.1499999999999999</v>
      </c>
      <c r="AI113">
        <f t="shared" si="88"/>
        <v>0</v>
      </c>
      <c r="AJ113">
        <f t="shared" si="89"/>
        <v>0</v>
      </c>
      <c r="AK113">
        <v>17.989999999999998</v>
      </c>
      <c r="AL113">
        <v>0.91</v>
      </c>
      <c r="AM113">
        <v>2.25</v>
      </c>
      <c r="AN113">
        <v>0</v>
      </c>
      <c r="AO113">
        <v>14.83</v>
      </c>
      <c r="AP113">
        <v>0</v>
      </c>
      <c r="AQ113">
        <v>1.1499999999999999</v>
      </c>
      <c r="AR113">
        <v>0</v>
      </c>
      <c r="AS113">
        <v>0</v>
      </c>
      <c r="AT113">
        <v>109</v>
      </c>
      <c r="AU113">
        <v>54</v>
      </c>
      <c r="AV113">
        <v>1.0669999999999999</v>
      </c>
      <c r="AW113">
        <v>1.0029999999999999</v>
      </c>
      <c r="AZ113">
        <v>1</v>
      </c>
      <c r="BA113">
        <v>46.67</v>
      </c>
      <c r="BB113">
        <v>9.4</v>
      </c>
      <c r="BC113">
        <v>104.8</v>
      </c>
      <c r="BD113" t="s">
        <v>4</v>
      </c>
      <c r="BE113" t="s">
        <v>4</v>
      </c>
      <c r="BF113" t="s">
        <v>4</v>
      </c>
      <c r="BG113" t="s">
        <v>4</v>
      </c>
      <c r="BH113">
        <v>0</v>
      </c>
      <c r="BI113">
        <v>1</v>
      </c>
      <c r="BJ113" t="s">
        <v>194</v>
      </c>
      <c r="BM113">
        <v>2167</v>
      </c>
      <c r="BN113">
        <v>0</v>
      </c>
      <c r="BO113" t="s">
        <v>191</v>
      </c>
      <c r="BP113">
        <v>1</v>
      </c>
      <c r="BQ113">
        <v>30</v>
      </c>
      <c r="BR113">
        <v>0</v>
      </c>
      <c r="BS113">
        <v>46.67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4</v>
      </c>
      <c r="BZ113">
        <v>109</v>
      </c>
      <c r="CA113">
        <v>54</v>
      </c>
      <c r="CB113" t="s">
        <v>4</v>
      </c>
      <c r="CE113">
        <v>30</v>
      </c>
      <c r="CF113">
        <v>0</v>
      </c>
      <c r="CG113">
        <v>0</v>
      </c>
      <c r="CM113">
        <v>0</v>
      </c>
      <c r="CN113" t="s">
        <v>4</v>
      </c>
      <c r="CO113">
        <v>0</v>
      </c>
      <c r="CP113">
        <f t="shared" si="90"/>
        <v>65966.680000000008</v>
      </c>
      <c r="CQ113">
        <f t="shared" si="91"/>
        <v>95.37</v>
      </c>
      <c r="CR113">
        <f t="shared" si="92"/>
        <v>22.56</v>
      </c>
      <c r="CS113">
        <f t="shared" si="93"/>
        <v>0</v>
      </c>
      <c r="CT113">
        <f t="shared" si="94"/>
        <v>738.32</v>
      </c>
      <c r="CU113">
        <f t="shared" si="95"/>
        <v>0</v>
      </c>
      <c r="CV113">
        <f t="shared" si="96"/>
        <v>1.2270499999999998</v>
      </c>
      <c r="CW113">
        <f t="shared" si="97"/>
        <v>0</v>
      </c>
      <c r="CX113">
        <f t="shared" si="98"/>
        <v>0</v>
      </c>
      <c r="CY113">
        <f>S113*(BZ113/100)</f>
        <v>61981.389400000007</v>
      </c>
      <c r="CZ113">
        <f>S113*(CA113/100)</f>
        <v>30706.376400000005</v>
      </c>
      <c r="DC113" t="s">
        <v>4</v>
      </c>
      <c r="DD113" t="s">
        <v>4</v>
      </c>
      <c r="DE113" t="s">
        <v>4</v>
      </c>
      <c r="DF113" t="s">
        <v>4</v>
      </c>
      <c r="DG113" t="s">
        <v>4</v>
      </c>
      <c r="DH113" t="s">
        <v>4</v>
      </c>
      <c r="DI113" t="s">
        <v>4</v>
      </c>
      <c r="DJ113" t="s">
        <v>4</v>
      </c>
      <c r="DK113" t="s">
        <v>4</v>
      </c>
      <c r="DL113" t="s">
        <v>4</v>
      </c>
      <c r="DM113" t="s">
        <v>4</v>
      </c>
      <c r="DN113">
        <v>133</v>
      </c>
      <c r="DO113">
        <v>113</v>
      </c>
      <c r="DP113">
        <v>1.0669999999999999</v>
      </c>
      <c r="DQ113">
        <v>1.0029999999999999</v>
      </c>
      <c r="DU113">
        <v>1013</v>
      </c>
      <c r="DV113" t="s">
        <v>193</v>
      </c>
      <c r="DW113" t="s">
        <v>193</v>
      </c>
      <c r="DX113">
        <v>1</v>
      </c>
      <c r="DZ113" t="s">
        <v>4</v>
      </c>
      <c r="EA113" t="s">
        <v>4</v>
      </c>
      <c r="EB113" t="s">
        <v>4</v>
      </c>
      <c r="EC113" t="s">
        <v>4</v>
      </c>
      <c r="EE113">
        <v>69254798</v>
      </c>
      <c r="EF113">
        <v>30</v>
      </c>
      <c r="EG113" t="s">
        <v>24</v>
      </c>
      <c r="EH113">
        <v>0</v>
      </c>
      <c r="EI113" t="s">
        <v>4</v>
      </c>
      <c r="EJ113">
        <v>1</v>
      </c>
      <c r="EK113">
        <v>2167</v>
      </c>
      <c r="EL113" t="s">
        <v>195</v>
      </c>
      <c r="EM113" t="s">
        <v>196</v>
      </c>
      <c r="EO113" t="s">
        <v>4</v>
      </c>
      <c r="EQ113">
        <v>0</v>
      </c>
      <c r="ER113">
        <v>17.989999999999998</v>
      </c>
      <c r="ES113">
        <v>0.91</v>
      </c>
      <c r="ET113">
        <v>2.25</v>
      </c>
      <c r="EU113">
        <v>0</v>
      </c>
      <c r="EV113">
        <v>14.83</v>
      </c>
      <c r="EW113">
        <v>1.1499999999999999</v>
      </c>
      <c r="EX113">
        <v>0</v>
      </c>
      <c r="EY113">
        <v>0</v>
      </c>
      <c r="FQ113">
        <v>0</v>
      </c>
      <c r="FR113">
        <f t="shared" si="99"/>
        <v>0</v>
      </c>
      <c r="FS113">
        <v>0</v>
      </c>
      <c r="FX113">
        <v>133</v>
      </c>
      <c r="FY113">
        <v>113</v>
      </c>
      <c r="GA113" t="s">
        <v>4</v>
      </c>
      <c r="GD113">
        <v>0</v>
      </c>
      <c r="GF113">
        <v>-2014834153</v>
      </c>
      <c r="GG113">
        <v>2</v>
      </c>
      <c r="GH113">
        <v>1</v>
      </c>
      <c r="GI113">
        <v>2</v>
      </c>
      <c r="GJ113">
        <v>0</v>
      </c>
      <c r="GK113">
        <f>ROUND(R113*(S12)/100,2)</f>
        <v>0</v>
      </c>
      <c r="GL113">
        <f t="shared" si="100"/>
        <v>0</v>
      </c>
      <c r="GM113">
        <f t="shared" si="101"/>
        <v>158654.45000000001</v>
      </c>
      <c r="GN113">
        <f t="shared" si="102"/>
        <v>158654.45000000001</v>
      </c>
      <c r="GO113">
        <f t="shared" si="103"/>
        <v>0</v>
      </c>
      <c r="GP113">
        <f t="shared" si="104"/>
        <v>0</v>
      </c>
      <c r="GR113">
        <v>0</v>
      </c>
      <c r="GS113">
        <v>3</v>
      </c>
      <c r="GT113">
        <v>0</v>
      </c>
      <c r="GU113" t="s">
        <v>4</v>
      </c>
      <c r="GV113">
        <f t="shared" si="105"/>
        <v>0</v>
      </c>
      <c r="GW113">
        <v>1</v>
      </c>
      <c r="GX113">
        <f t="shared" si="106"/>
        <v>0</v>
      </c>
      <c r="HA113">
        <v>0</v>
      </c>
      <c r="HB113">
        <v>0</v>
      </c>
      <c r="HC113">
        <f t="shared" si="107"/>
        <v>0</v>
      </c>
      <c r="HE113" t="s">
        <v>4</v>
      </c>
      <c r="HF113" t="s">
        <v>4</v>
      </c>
      <c r="HM113" t="s">
        <v>4</v>
      </c>
      <c r="HN113" t="s">
        <v>4</v>
      </c>
      <c r="HO113" t="s">
        <v>4</v>
      </c>
      <c r="HP113" t="s">
        <v>4</v>
      </c>
      <c r="HQ113" t="s">
        <v>4</v>
      </c>
      <c r="IK113">
        <v>0</v>
      </c>
    </row>
    <row r="114" spans="1:255">
      <c r="A114" s="2">
        <v>17</v>
      </c>
      <c r="B114" s="2">
        <v>1</v>
      </c>
      <c r="C114" s="2">
        <f>ROW(SmtRes!A87)</f>
        <v>87</v>
      </c>
      <c r="D114" s="2">
        <f>ROW(EtalonRes!A119)</f>
        <v>119</v>
      </c>
      <c r="E114" s="2" t="s">
        <v>197</v>
      </c>
      <c r="F114" s="2" t="s">
        <v>198</v>
      </c>
      <c r="G114" s="2" t="s">
        <v>199</v>
      </c>
      <c r="H114" s="2" t="s">
        <v>200</v>
      </c>
      <c r="I114" s="2">
        <f>ROUND(ROUND(((10)*2/1.5)/100,4),9)</f>
        <v>0.1333</v>
      </c>
      <c r="J114" s="2">
        <v>0</v>
      </c>
      <c r="K114" s="2">
        <f>ROUND(ROUND(((10)*2/1.5)/100,4),9)</f>
        <v>0.1333</v>
      </c>
      <c r="L114" s="2"/>
      <c r="M114" s="2"/>
      <c r="N114" s="2"/>
      <c r="O114" s="2">
        <f t="shared" si="70"/>
        <v>394.1</v>
      </c>
      <c r="P114" s="2">
        <f t="shared" si="71"/>
        <v>68.84</v>
      </c>
      <c r="Q114" s="2">
        <f t="shared" si="72"/>
        <v>55.77</v>
      </c>
      <c r="R114" s="2">
        <f t="shared" si="73"/>
        <v>0.08</v>
      </c>
      <c r="S114" s="2">
        <f t="shared" si="74"/>
        <v>269.49</v>
      </c>
      <c r="T114" s="2">
        <f t="shared" si="75"/>
        <v>0</v>
      </c>
      <c r="U114" s="2">
        <f t="shared" si="76"/>
        <v>18.841288500000001</v>
      </c>
      <c r="V114" s="2">
        <f t="shared" si="77"/>
        <v>0</v>
      </c>
      <c r="W114" s="2">
        <f t="shared" si="78"/>
        <v>0</v>
      </c>
      <c r="X114" s="2">
        <f t="shared" si="79"/>
        <v>282.95999999999998</v>
      </c>
      <c r="Y114" s="2">
        <f t="shared" si="80"/>
        <v>207.51</v>
      </c>
      <c r="Z114" s="2"/>
      <c r="AA114" s="2">
        <v>70305038</v>
      </c>
      <c r="AB114" s="2">
        <f t="shared" si="81"/>
        <v>2846.95</v>
      </c>
      <c r="AC114" s="2">
        <f t="shared" si="82"/>
        <v>516.41</v>
      </c>
      <c r="AD114" s="2">
        <f t="shared" si="83"/>
        <v>399.63</v>
      </c>
      <c r="AE114" s="2">
        <f t="shared" si="84"/>
        <v>0.59</v>
      </c>
      <c r="AF114" s="2">
        <f t="shared" si="85"/>
        <v>1930.91</v>
      </c>
      <c r="AG114" s="2">
        <f t="shared" si="86"/>
        <v>0</v>
      </c>
      <c r="AH114" s="2">
        <f t="shared" si="87"/>
        <v>135</v>
      </c>
      <c r="AI114" s="2">
        <f t="shared" si="88"/>
        <v>0</v>
      </c>
      <c r="AJ114" s="2">
        <f t="shared" si="89"/>
        <v>0</v>
      </c>
      <c r="AK114" s="2">
        <v>2846.95</v>
      </c>
      <c r="AL114" s="2">
        <v>516.41</v>
      </c>
      <c r="AM114" s="2">
        <v>399.63</v>
      </c>
      <c r="AN114" s="2">
        <v>0.59</v>
      </c>
      <c r="AO114" s="2">
        <v>1930.91</v>
      </c>
      <c r="AP114" s="2">
        <v>0</v>
      </c>
      <c r="AQ114" s="2">
        <v>135</v>
      </c>
      <c r="AR114" s="2">
        <v>0</v>
      </c>
      <c r="AS114" s="2">
        <v>0</v>
      </c>
      <c r="AT114" s="2">
        <v>105</v>
      </c>
      <c r="AU114" s="2">
        <v>77</v>
      </c>
      <c r="AV114" s="2">
        <v>1.0469999999999999</v>
      </c>
      <c r="AW114" s="2">
        <v>1</v>
      </c>
      <c r="AX114" s="2"/>
      <c r="AY114" s="2"/>
      <c r="AZ114" s="2">
        <v>1</v>
      </c>
      <c r="BA114" s="2">
        <v>1</v>
      </c>
      <c r="BB114" s="2">
        <v>1</v>
      </c>
      <c r="BC114" s="2">
        <v>1</v>
      </c>
      <c r="BD114" s="2" t="s">
        <v>4</v>
      </c>
      <c r="BE114" s="2" t="s">
        <v>4</v>
      </c>
      <c r="BF114" s="2" t="s">
        <v>4</v>
      </c>
      <c r="BG114" s="2" t="s">
        <v>4</v>
      </c>
      <c r="BH114" s="2">
        <v>0</v>
      </c>
      <c r="BI114" s="2">
        <v>1</v>
      </c>
      <c r="BJ114" s="2" t="s">
        <v>201</v>
      </c>
      <c r="BK114" s="2"/>
      <c r="BL114" s="2"/>
      <c r="BM114" s="2">
        <v>99</v>
      </c>
      <c r="BN114" s="2">
        <v>0</v>
      </c>
      <c r="BO114" s="2" t="s">
        <v>4</v>
      </c>
      <c r="BP114" s="2">
        <v>0</v>
      </c>
      <c r="BQ114" s="2">
        <v>30</v>
      </c>
      <c r="BR114" s="2">
        <v>0</v>
      </c>
      <c r="BS114" s="2">
        <v>1</v>
      </c>
      <c r="BT114" s="2">
        <v>1</v>
      </c>
      <c r="BU114" s="2">
        <v>1</v>
      </c>
      <c r="BV114" s="2">
        <v>1</v>
      </c>
      <c r="BW114" s="2">
        <v>1</v>
      </c>
      <c r="BX114" s="2">
        <v>1</v>
      </c>
      <c r="BY114" s="2" t="s">
        <v>4</v>
      </c>
      <c r="BZ114" s="2">
        <v>105</v>
      </c>
      <c r="CA114" s="2">
        <v>77</v>
      </c>
      <c r="CB114" s="2" t="s">
        <v>4</v>
      </c>
      <c r="CC114" s="2"/>
      <c r="CD114" s="2"/>
      <c r="CE114" s="2">
        <v>30</v>
      </c>
      <c r="CF114" s="2">
        <v>0</v>
      </c>
      <c r="CG114" s="2">
        <v>0</v>
      </c>
      <c r="CH114" s="2"/>
      <c r="CI114" s="2"/>
      <c r="CJ114" s="2"/>
      <c r="CK114" s="2"/>
      <c r="CL114" s="2"/>
      <c r="CM114" s="2">
        <v>0</v>
      </c>
      <c r="CN114" s="2" t="s">
        <v>4</v>
      </c>
      <c r="CO114" s="2">
        <v>0</v>
      </c>
      <c r="CP114" s="2">
        <f t="shared" si="90"/>
        <v>394.1</v>
      </c>
      <c r="CQ114" s="2">
        <f t="shared" si="91"/>
        <v>516.41</v>
      </c>
      <c r="CR114" s="2">
        <f t="shared" si="92"/>
        <v>418.41</v>
      </c>
      <c r="CS114" s="2">
        <f t="shared" si="93"/>
        <v>0.62</v>
      </c>
      <c r="CT114" s="2">
        <f t="shared" si="94"/>
        <v>2021.66</v>
      </c>
      <c r="CU114" s="2">
        <f t="shared" si="95"/>
        <v>0</v>
      </c>
      <c r="CV114" s="2">
        <f t="shared" si="96"/>
        <v>141.345</v>
      </c>
      <c r="CW114" s="2">
        <f t="shared" si="97"/>
        <v>0</v>
      </c>
      <c r="CX114" s="2">
        <f t="shared" si="98"/>
        <v>0</v>
      </c>
      <c r="CY114" s="2">
        <f>((S114*BZ114)/100)</f>
        <v>282.96449999999999</v>
      </c>
      <c r="CZ114" s="2">
        <f>((S114*CA114)/100)</f>
        <v>207.50729999999999</v>
      </c>
      <c r="DA114" s="2"/>
      <c r="DB114" s="2"/>
      <c r="DC114" s="2" t="s">
        <v>4</v>
      </c>
      <c r="DD114" s="2" t="s">
        <v>4</v>
      </c>
      <c r="DE114" s="2" t="s">
        <v>4</v>
      </c>
      <c r="DF114" s="2" t="s">
        <v>4</v>
      </c>
      <c r="DG114" s="2" t="s">
        <v>4</v>
      </c>
      <c r="DH114" s="2" t="s">
        <v>4</v>
      </c>
      <c r="DI114" s="2" t="s">
        <v>4</v>
      </c>
      <c r="DJ114" s="2" t="s">
        <v>4</v>
      </c>
      <c r="DK114" s="2" t="s">
        <v>4</v>
      </c>
      <c r="DL114" s="2" t="s">
        <v>4</v>
      </c>
      <c r="DM114" s="2" t="s">
        <v>4</v>
      </c>
      <c r="DN114" s="2">
        <v>0</v>
      </c>
      <c r="DO114" s="2">
        <v>0</v>
      </c>
      <c r="DP114" s="2">
        <v>1</v>
      </c>
      <c r="DQ114" s="2">
        <v>1</v>
      </c>
      <c r="DR114" s="2"/>
      <c r="DS114" s="2"/>
      <c r="DT114" s="2"/>
      <c r="DU114" s="2">
        <v>1013</v>
      </c>
      <c r="DV114" s="2" t="s">
        <v>200</v>
      </c>
      <c r="DW114" s="2" t="s">
        <v>200</v>
      </c>
      <c r="DX114" s="2">
        <v>1</v>
      </c>
      <c r="DY114" s="2"/>
      <c r="DZ114" s="2" t="s">
        <v>4</v>
      </c>
      <c r="EA114" s="2" t="s">
        <v>4</v>
      </c>
      <c r="EB114" s="2" t="s">
        <v>4</v>
      </c>
      <c r="EC114" s="2" t="s">
        <v>4</v>
      </c>
      <c r="ED114" s="2"/>
      <c r="EE114" s="2">
        <v>69252724</v>
      </c>
      <c r="EF114" s="2">
        <v>30</v>
      </c>
      <c r="EG114" s="2" t="s">
        <v>24</v>
      </c>
      <c r="EH114" s="2">
        <v>0</v>
      </c>
      <c r="EI114" s="2" t="s">
        <v>4</v>
      </c>
      <c r="EJ114" s="2">
        <v>1</v>
      </c>
      <c r="EK114" s="2">
        <v>99</v>
      </c>
      <c r="EL114" s="2" t="s">
        <v>202</v>
      </c>
      <c r="EM114" s="2" t="s">
        <v>203</v>
      </c>
      <c r="EN114" s="2"/>
      <c r="EO114" s="2" t="s">
        <v>4</v>
      </c>
      <c r="EP114" s="2"/>
      <c r="EQ114" s="2">
        <v>0</v>
      </c>
      <c r="ER114" s="2">
        <v>2846.95</v>
      </c>
      <c r="ES114" s="2">
        <v>516.41</v>
      </c>
      <c r="ET114" s="2">
        <v>399.63</v>
      </c>
      <c r="EU114" s="2">
        <v>0.59</v>
      </c>
      <c r="EV114" s="2">
        <v>1930.91</v>
      </c>
      <c r="EW114" s="2">
        <v>135</v>
      </c>
      <c r="EX114" s="2">
        <v>0</v>
      </c>
      <c r="EY114" s="2">
        <v>0</v>
      </c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>
        <v>0</v>
      </c>
      <c r="FR114" s="2">
        <f t="shared" si="99"/>
        <v>0</v>
      </c>
      <c r="FS114" s="2">
        <v>0</v>
      </c>
      <c r="FT114" s="2"/>
      <c r="FU114" s="2"/>
      <c r="FV114" s="2"/>
      <c r="FW114" s="2"/>
      <c r="FX114" s="2">
        <v>105</v>
      </c>
      <c r="FY114" s="2">
        <v>77</v>
      </c>
      <c r="FZ114" s="2"/>
      <c r="GA114" s="2" t="s">
        <v>4</v>
      </c>
      <c r="GB114" s="2"/>
      <c r="GC114" s="2"/>
      <c r="GD114" s="2">
        <v>0</v>
      </c>
      <c r="GE114" s="2"/>
      <c r="GF114" s="2">
        <v>-1259233256</v>
      </c>
      <c r="GG114" s="2">
        <v>2</v>
      </c>
      <c r="GH114" s="2">
        <v>1</v>
      </c>
      <c r="GI114" s="2">
        <v>-2</v>
      </c>
      <c r="GJ114" s="2">
        <v>0</v>
      </c>
      <c r="GK114" s="2">
        <f>ROUND(R114*(R12)/100,2)</f>
        <v>0.14000000000000001</v>
      </c>
      <c r="GL114" s="2">
        <f t="shared" si="100"/>
        <v>0</v>
      </c>
      <c r="GM114" s="2">
        <f t="shared" si="101"/>
        <v>884.71</v>
      </c>
      <c r="GN114" s="2">
        <f t="shared" si="102"/>
        <v>884.71</v>
      </c>
      <c r="GO114" s="2">
        <f t="shared" si="103"/>
        <v>0</v>
      </c>
      <c r="GP114" s="2">
        <f t="shared" si="104"/>
        <v>0</v>
      </c>
      <c r="GQ114" s="2"/>
      <c r="GR114" s="2">
        <v>0</v>
      </c>
      <c r="GS114" s="2">
        <v>0</v>
      </c>
      <c r="GT114" s="2">
        <v>0</v>
      </c>
      <c r="GU114" s="2" t="s">
        <v>4</v>
      </c>
      <c r="GV114" s="2">
        <f t="shared" si="105"/>
        <v>0</v>
      </c>
      <c r="GW114" s="2">
        <v>1</v>
      </c>
      <c r="GX114" s="2">
        <f t="shared" si="106"/>
        <v>0</v>
      </c>
      <c r="GY114" s="2"/>
      <c r="GZ114" s="2"/>
      <c r="HA114" s="2">
        <v>0</v>
      </c>
      <c r="HB114" s="2">
        <v>0</v>
      </c>
      <c r="HC114" s="2">
        <f t="shared" si="107"/>
        <v>0</v>
      </c>
      <c r="HD114" s="2"/>
      <c r="HE114" s="2" t="s">
        <v>4</v>
      </c>
      <c r="HF114" s="2" t="s">
        <v>4</v>
      </c>
      <c r="HG114" s="2"/>
      <c r="HH114" s="2"/>
      <c r="HI114" s="2"/>
      <c r="HJ114" s="2"/>
      <c r="HK114" s="2"/>
      <c r="HL114" s="2"/>
      <c r="HM114" s="2" t="s">
        <v>4</v>
      </c>
      <c r="HN114" s="2" t="s">
        <v>4</v>
      </c>
      <c r="HO114" s="2" t="s">
        <v>4</v>
      </c>
      <c r="HP114" s="2" t="s">
        <v>4</v>
      </c>
      <c r="HQ114" s="2" t="s">
        <v>4</v>
      </c>
      <c r="HR114" s="2"/>
      <c r="HS114" s="2"/>
      <c r="HT114" s="2"/>
      <c r="HU114" s="2"/>
      <c r="HV114" s="2"/>
      <c r="HW114" s="2"/>
      <c r="HX114" s="2"/>
      <c r="HY114" s="2"/>
      <c r="HZ114" s="2"/>
      <c r="IA114" s="2"/>
      <c r="IB114" s="2"/>
      <c r="IC114" s="2"/>
      <c r="ID114" s="2"/>
      <c r="IE114" s="2"/>
      <c r="IF114" s="2"/>
      <c r="IG114" s="2"/>
      <c r="IH114" s="2"/>
      <c r="II114" s="2"/>
      <c r="IJ114" s="2"/>
      <c r="IK114" s="2">
        <v>0</v>
      </c>
      <c r="IL114" s="2"/>
      <c r="IM114" s="2"/>
      <c r="IN114" s="2"/>
      <c r="IO114" s="2"/>
      <c r="IP114" s="2"/>
      <c r="IQ114" s="2"/>
      <c r="IR114" s="2"/>
      <c r="IS114" s="2"/>
      <c r="IT114" s="2"/>
      <c r="IU114" s="2"/>
    </row>
    <row r="115" spans="1:255">
      <c r="A115">
        <v>17</v>
      </c>
      <c r="B115">
        <v>1</v>
      </c>
      <c r="C115">
        <f>ROW(SmtRes!A88)</f>
        <v>88</v>
      </c>
      <c r="D115">
        <f>ROW(EtalonRes!A130)</f>
        <v>130</v>
      </c>
      <c r="E115" t="s">
        <v>197</v>
      </c>
      <c r="F115" t="s">
        <v>198</v>
      </c>
      <c r="G115" t="s">
        <v>199</v>
      </c>
      <c r="H115" t="s">
        <v>200</v>
      </c>
      <c r="I115">
        <f>ROUND(ROUND(((10)*2/1.5)/100,4),9)</f>
        <v>0.1333</v>
      </c>
      <c r="J115">
        <v>0</v>
      </c>
      <c r="K115">
        <f>ROUND(ROUND(((10)*2/1.5)/100,4),9)</f>
        <v>0.1333</v>
      </c>
      <c r="O115">
        <f t="shared" si="70"/>
        <v>13364.04</v>
      </c>
      <c r="P115">
        <f t="shared" si="71"/>
        <v>229.24</v>
      </c>
      <c r="Q115">
        <f t="shared" si="72"/>
        <v>557.70000000000005</v>
      </c>
      <c r="R115">
        <f t="shared" si="73"/>
        <v>3.73</v>
      </c>
      <c r="S115">
        <f t="shared" si="74"/>
        <v>12577.1</v>
      </c>
      <c r="T115">
        <f t="shared" si="75"/>
        <v>0</v>
      </c>
      <c r="U115">
        <f t="shared" si="76"/>
        <v>18.841288500000001</v>
      </c>
      <c r="V115">
        <f t="shared" si="77"/>
        <v>0</v>
      </c>
      <c r="W115">
        <f t="shared" si="78"/>
        <v>0</v>
      </c>
      <c r="X115">
        <f t="shared" si="79"/>
        <v>10942.08</v>
      </c>
      <c r="Y115">
        <f t="shared" si="80"/>
        <v>5156.6099999999997</v>
      </c>
      <c r="AA115">
        <v>70305036</v>
      </c>
      <c r="AB115">
        <f t="shared" si="81"/>
        <v>2846.95</v>
      </c>
      <c r="AC115">
        <f t="shared" si="82"/>
        <v>516.41</v>
      </c>
      <c r="AD115">
        <f t="shared" si="83"/>
        <v>399.63</v>
      </c>
      <c r="AE115">
        <f t="shared" si="84"/>
        <v>0.59</v>
      </c>
      <c r="AF115">
        <f t="shared" si="85"/>
        <v>1930.91</v>
      </c>
      <c r="AG115">
        <f t="shared" si="86"/>
        <v>0</v>
      </c>
      <c r="AH115">
        <f t="shared" si="87"/>
        <v>135</v>
      </c>
      <c r="AI115">
        <f t="shared" si="88"/>
        <v>0</v>
      </c>
      <c r="AJ115">
        <f t="shared" si="89"/>
        <v>0</v>
      </c>
      <c r="AK115">
        <v>2846.95</v>
      </c>
      <c r="AL115">
        <v>516.41</v>
      </c>
      <c r="AM115">
        <v>399.63</v>
      </c>
      <c r="AN115">
        <v>0.59</v>
      </c>
      <c r="AO115">
        <v>1930.91</v>
      </c>
      <c r="AP115">
        <v>0</v>
      </c>
      <c r="AQ115">
        <v>135</v>
      </c>
      <c r="AR115">
        <v>0</v>
      </c>
      <c r="AS115">
        <v>0</v>
      </c>
      <c r="AT115">
        <v>87</v>
      </c>
      <c r="AU115">
        <v>41</v>
      </c>
      <c r="AV115">
        <v>1.0469999999999999</v>
      </c>
      <c r="AW115">
        <v>1</v>
      </c>
      <c r="AZ115">
        <v>1</v>
      </c>
      <c r="BA115">
        <v>46.67</v>
      </c>
      <c r="BB115">
        <v>10</v>
      </c>
      <c r="BC115">
        <v>3.33</v>
      </c>
      <c r="BD115" t="s">
        <v>4</v>
      </c>
      <c r="BE115" t="s">
        <v>4</v>
      </c>
      <c r="BF115" t="s">
        <v>4</v>
      </c>
      <c r="BG115" t="s">
        <v>4</v>
      </c>
      <c r="BH115">
        <v>0</v>
      </c>
      <c r="BI115">
        <v>1</v>
      </c>
      <c r="BJ115" t="s">
        <v>201</v>
      </c>
      <c r="BM115">
        <v>99</v>
      </c>
      <c r="BN115">
        <v>0</v>
      </c>
      <c r="BO115" t="s">
        <v>198</v>
      </c>
      <c r="BP115">
        <v>1</v>
      </c>
      <c r="BQ115">
        <v>30</v>
      </c>
      <c r="BR115">
        <v>0</v>
      </c>
      <c r="BS115">
        <v>46.67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4</v>
      </c>
      <c r="BZ115">
        <v>87</v>
      </c>
      <c r="CA115">
        <v>41</v>
      </c>
      <c r="CB115" t="s">
        <v>4</v>
      </c>
      <c r="CE115">
        <v>30</v>
      </c>
      <c r="CF115">
        <v>0</v>
      </c>
      <c r="CG115">
        <v>0</v>
      </c>
      <c r="CM115">
        <v>0</v>
      </c>
      <c r="CN115" t="s">
        <v>4</v>
      </c>
      <c r="CO115">
        <v>0</v>
      </c>
      <c r="CP115">
        <f t="shared" si="90"/>
        <v>13364.04</v>
      </c>
      <c r="CQ115">
        <f t="shared" si="91"/>
        <v>1719.65</v>
      </c>
      <c r="CR115">
        <f t="shared" si="92"/>
        <v>4184.1000000000004</v>
      </c>
      <c r="CS115">
        <f t="shared" si="93"/>
        <v>28.94</v>
      </c>
      <c r="CT115">
        <f t="shared" si="94"/>
        <v>94350.87</v>
      </c>
      <c r="CU115">
        <f t="shared" si="95"/>
        <v>0</v>
      </c>
      <c r="CV115">
        <f t="shared" si="96"/>
        <v>141.345</v>
      </c>
      <c r="CW115">
        <f t="shared" si="97"/>
        <v>0</v>
      </c>
      <c r="CX115">
        <f t="shared" si="98"/>
        <v>0</v>
      </c>
      <c r="CY115">
        <f>S115*(BZ115/100)</f>
        <v>10942.077000000001</v>
      </c>
      <c r="CZ115">
        <f>S115*(CA115/100)</f>
        <v>5156.6109999999999</v>
      </c>
      <c r="DC115" t="s">
        <v>4</v>
      </c>
      <c r="DD115" t="s">
        <v>4</v>
      </c>
      <c r="DE115" t="s">
        <v>4</v>
      </c>
      <c r="DF115" t="s">
        <v>4</v>
      </c>
      <c r="DG115" t="s">
        <v>4</v>
      </c>
      <c r="DH115" t="s">
        <v>4</v>
      </c>
      <c r="DI115" t="s">
        <v>4</v>
      </c>
      <c r="DJ115" t="s">
        <v>4</v>
      </c>
      <c r="DK115" t="s">
        <v>4</v>
      </c>
      <c r="DL115" t="s">
        <v>4</v>
      </c>
      <c r="DM115" t="s">
        <v>4</v>
      </c>
      <c r="DN115">
        <v>105</v>
      </c>
      <c r="DO115">
        <v>77</v>
      </c>
      <c r="DP115">
        <v>1.0469999999999999</v>
      </c>
      <c r="DQ115">
        <v>1</v>
      </c>
      <c r="DU115">
        <v>1013</v>
      </c>
      <c r="DV115" t="s">
        <v>200</v>
      </c>
      <c r="DW115" t="s">
        <v>200</v>
      </c>
      <c r="DX115">
        <v>1</v>
      </c>
      <c r="DZ115" t="s">
        <v>4</v>
      </c>
      <c r="EA115" t="s">
        <v>4</v>
      </c>
      <c r="EB115" t="s">
        <v>4</v>
      </c>
      <c r="EC115" t="s">
        <v>4</v>
      </c>
      <c r="EE115">
        <v>69252724</v>
      </c>
      <c r="EF115">
        <v>30</v>
      </c>
      <c r="EG115" t="s">
        <v>24</v>
      </c>
      <c r="EH115">
        <v>0</v>
      </c>
      <c r="EI115" t="s">
        <v>4</v>
      </c>
      <c r="EJ115">
        <v>1</v>
      </c>
      <c r="EK115">
        <v>99</v>
      </c>
      <c r="EL115" t="s">
        <v>202</v>
      </c>
      <c r="EM115" t="s">
        <v>203</v>
      </c>
      <c r="EO115" t="s">
        <v>4</v>
      </c>
      <c r="EQ115">
        <v>0</v>
      </c>
      <c r="ER115">
        <v>2846.95</v>
      </c>
      <c r="ES115">
        <v>516.41</v>
      </c>
      <c r="ET115">
        <v>399.63</v>
      </c>
      <c r="EU115">
        <v>0.59</v>
      </c>
      <c r="EV115">
        <v>1930.91</v>
      </c>
      <c r="EW115">
        <v>135</v>
      </c>
      <c r="EX115">
        <v>0</v>
      </c>
      <c r="EY115">
        <v>0</v>
      </c>
      <c r="FQ115">
        <v>0</v>
      </c>
      <c r="FR115">
        <f t="shared" si="99"/>
        <v>0</v>
      </c>
      <c r="FS115">
        <v>0</v>
      </c>
      <c r="FX115">
        <v>105</v>
      </c>
      <c r="FY115">
        <v>77</v>
      </c>
      <c r="GA115" t="s">
        <v>4</v>
      </c>
      <c r="GD115">
        <v>0</v>
      </c>
      <c r="GF115">
        <v>-1259233256</v>
      </c>
      <c r="GG115">
        <v>2</v>
      </c>
      <c r="GH115">
        <v>1</v>
      </c>
      <c r="GI115">
        <v>2</v>
      </c>
      <c r="GJ115">
        <v>0</v>
      </c>
      <c r="GK115">
        <f>ROUND(R115*(S12)/100,2)</f>
        <v>5.97</v>
      </c>
      <c r="GL115">
        <f t="shared" si="100"/>
        <v>0</v>
      </c>
      <c r="GM115">
        <f t="shared" si="101"/>
        <v>29468.7</v>
      </c>
      <c r="GN115">
        <f t="shared" si="102"/>
        <v>29468.7</v>
      </c>
      <c r="GO115">
        <f t="shared" si="103"/>
        <v>0</v>
      </c>
      <c r="GP115">
        <f t="shared" si="104"/>
        <v>0</v>
      </c>
      <c r="GR115">
        <v>0</v>
      </c>
      <c r="GS115">
        <v>3</v>
      </c>
      <c r="GT115">
        <v>0</v>
      </c>
      <c r="GU115" t="s">
        <v>4</v>
      </c>
      <c r="GV115">
        <f t="shared" si="105"/>
        <v>0</v>
      </c>
      <c r="GW115">
        <v>1</v>
      </c>
      <c r="GX115">
        <f t="shared" si="106"/>
        <v>0</v>
      </c>
      <c r="HA115">
        <v>0</v>
      </c>
      <c r="HB115">
        <v>0</v>
      </c>
      <c r="HC115">
        <f t="shared" si="107"/>
        <v>0</v>
      </c>
      <c r="HE115" t="s">
        <v>4</v>
      </c>
      <c r="HF115" t="s">
        <v>4</v>
      </c>
      <c r="HM115" t="s">
        <v>4</v>
      </c>
      <c r="HN115" t="s">
        <v>4</v>
      </c>
      <c r="HO115" t="s">
        <v>4</v>
      </c>
      <c r="HP115" t="s">
        <v>4</v>
      </c>
      <c r="HQ115" t="s">
        <v>4</v>
      </c>
      <c r="IK115">
        <v>0</v>
      </c>
    </row>
    <row r="116" spans="1:255">
      <c r="A116" s="2">
        <v>18</v>
      </c>
      <c r="B116" s="2">
        <v>1</v>
      </c>
      <c r="C116" s="2">
        <v>87</v>
      </c>
      <c r="D116" s="2"/>
      <c r="E116" s="2" t="s">
        <v>204</v>
      </c>
      <c r="F116" s="2" t="s">
        <v>205</v>
      </c>
      <c r="G116" s="2" t="s">
        <v>524</v>
      </c>
      <c r="H116" s="2" t="s">
        <v>168</v>
      </c>
      <c r="I116" s="2">
        <f>I114*J116</f>
        <v>1.9994999999999999E-2</v>
      </c>
      <c r="J116" s="2">
        <v>0.15</v>
      </c>
      <c r="K116" s="2">
        <v>0.15</v>
      </c>
      <c r="L116" s="2"/>
      <c r="M116" s="2"/>
      <c r="N116" s="2"/>
      <c r="O116" s="2">
        <f t="shared" si="70"/>
        <v>3243.44</v>
      </c>
      <c r="P116" s="2">
        <f t="shared" si="71"/>
        <v>3243.44</v>
      </c>
      <c r="Q116" s="2">
        <f t="shared" si="72"/>
        <v>0</v>
      </c>
      <c r="R116" s="2">
        <f t="shared" si="73"/>
        <v>0</v>
      </c>
      <c r="S116" s="2">
        <f t="shared" si="74"/>
        <v>0</v>
      </c>
      <c r="T116" s="2">
        <f t="shared" si="75"/>
        <v>0</v>
      </c>
      <c r="U116" s="2">
        <f t="shared" si="76"/>
        <v>0</v>
      </c>
      <c r="V116" s="2">
        <f t="shared" si="77"/>
        <v>0</v>
      </c>
      <c r="W116" s="2">
        <f t="shared" si="78"/>
        <v>0</v>
      </c>
      <c r="X116" s="2">
        <f t="shared" si="79"/>
        <v>0</v>
      </c>
      <c r="Y116" s="2">
        <f t="shared" si="80"/>
        <v>0</v>
      </c>
      <c r="Z116" s="2"/>
      <c r="AA116" s="2">
        <v>70305038</v>
      </c>
      <c r="AB116" s="2">
        <f t="shared" si="81"/>
        <v>162212.64000000001</v>
      </c>
      <c r="AC116" s="2">
        <f t="shared" si="82"/>
        <v>162212.64000000001</v>
      </c>
      <c r="AD116" s="2">
        <f t="shared" si="83"/>
        <v>0</v>
      </c>
      <c r="AE116" s="2">
        <f t="shared" si="84"/>
        <v>0</v>
      </c>
      <c r="AF116" s="2">
        <f t="shared" si="85"/>
        <v>0</v>
      </c>
      <c r="AG116" s="2">
        <f t="shared" si="86"/>
        <v>0</v>
      </c>
      <c r="AH116" s="2">
        <f t="shared" si="87"/>
        <v>0</v>
      </c>
      <c r="AI116" s="2">
        <f t="shared" si="88"/>
        <v>0</v>
      </c>
      <c r="AJ116" s="2">
        <f t="shared" si="89"/>
        <v>0</v>
      </c>
      <c r="AK116" s="2">
        <v>162212.64000000001</v>
      </c>
      <c r="AL116" s="2">
        <v>162212.64000000001</v>
      </c>
      <c r="AM116" s="2">
        <v>0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105</v>
      </c>
      <c r="AU116" s="2">
        <v>77</v>
      </c>
      <c r="AV116" s="2">
        <v>1.0469999999999999</v>
      </c>
      <c r="AW116" s="2">
        <v>1</v>
      </c>
      <c r="AX116" s="2"/>
      <c r="AY116" s="2"/>
      <c r="AZ116" s="2">
        <v>1</v>
      </c>
      <c r="BA116" s="2">
        <v>1</v>
      </c>
      <c r="BB116" s="2">
        <v>1</v>
      </c>
      <c r="BC116" s="2">
        <v>1</v>
      </c>
      <c r="BD116" s="2" t="s">
        <v>4</v>
      </c>
      <c r="BE116" s="2" t="s">
        <v>4</v>
      </c>
      <c r="BF116" s="2" t="s">
        <v>4</v>
      </c>
      <c r="BG116" s="2" t="s">
        <v>4</v>
      </c>
      <c r="BH116" s="2">
        <v>3</v>
      </c>
      <c r="BI116" s="2">
        <v>1</v>
      </c>
      <c r="BJ116" s="2" t="s">
        <v>206</v>
      </c>
      <c r="BK116" s="2"/>
      <c r="BL116" s="2"/>
      <c r="BM116" s="2">
        <v>99</v>
      </c>
      <c r="BN116" s="2">
        <v>0</v>
      </c>
      <c r="BO116" s="2" t="s">
        <v>4</v>
      </c>
      <c r="BP116" s="2">
        <v>0</v>
      </c>
      <c r="BQ116" s="2">
        <v>30</v>
      </c>
      <c r="BR116" s="2">
        <v>0</v>
      </c>
      <c r="BS116" s="2">
        <v>1</v>
      </c>
      <c r="BT116" s="2">
        <v>1</v>
      </c>
      <c r="BU116" s="2">
        <v>1</v>
      </c>
      <c r="BV116" s="2">
        <v>1</v>
      </c>
      <c r="BW116" s="2">
        <v>1</v>
      </c>
      <c r="BX116" s="2">
        <v>1</v>
      </c>
      <c r="BY116" s="2" t="s">
        <v>4</v>
      </c>
      <c r="BZ116" s="2">
        <v>105</v>
      </c>
      <c r="CA116" s="2">
        <v>77</v>
      </c>
      <c r="CB116" s="2" t="s">
        <v>4</v>
      </c>
      <c r="CC116" s="2"/>
      <c r="CD116" s="2"/>
      <c r="CE116" s="2">
        <v>30</v>
      </c>
      <c r="CF116" s="2">
        <v>0</v>
      </c>
      <c r="CG116" s="2">
        <v>0</v>
      </c>
      <c r="CH116" s="2"/>
      <c r="CI116" s="2"/>
      <c r="CJ116" s="2"/>
      <c r="CK116" s="2"/>
      <c r="CL116" s="2"/>
      <c r="CM116" s="2">
        <v>0</v>
      </c>
      <c r="CN116" s="2" t="s">
        <v>4</v>
      </c>
      <c r="CO116" s="2">
        <v>0</v>
      </c>
      <c r="CP116" s="2">
        <f t="shared" si="90"/>
        <v>3243.44</v>
      </c>
      <c r="CQ116" s="2">
        <f t="shared" si="91"/>
        <v>162212.64000000001</v>
      </c>
      <c r="CR116" s="2">
        <f t="shared" si="92"/>
        <v>0</v>
      </c>
      <c r="CS116" s="2">
        <f t="shared" si="93"/>
        <v>0</v>
      </c>
      <c r="CT116" s="2">
        <f t="shared" si="94"/>
        <v>0</v>
      </c>
      <c r="CU116" s="2">
        <f t="shared" si="95"/>
        <v>0</v>
      </c>
      <c r="CV116" s="2">
        <f t="shared" si="96"/>
        <v>0</v>
      </c>
      <c r="CW116" s="2">
        <f t="shared" si="97"/>
        <v>0</v>
      </c>
      <c r="CX116" s="2">
        <f t="shared" si="98"/>
        <v>0</v>
      </c>
      <c r="CY116" s="2">
        <f>((S116*BZ116)/100)</f>
        <v>0</v>
      </c>
      <c r="CZ116" s="2">
        <f>((S116*CA116)/100)</f>
        <v>0</v>
      </c>
      <c r="DA116" s="2"/>
      <c r="DB116" s="2"/>
      <c r="DC116" s="2" t="s">
        <v>4</v>
      </c>
      <c r="DD116" s="2" t="s">
        <v>4</v>
      </c>
      <c r="DE116" s="2" t="s">
        <v>4</v>
      </c>
      <c r="DF116" s="2" t="s">
        <v>4</v>
      </c>
      <c r="DG116" s="2" t="s">
        <v>4</v>
      </c>
      <c r="DH116" s="2" t="s">
        <v>4</v>
      </c>
      <c r="DI116" s="2" t="s">
        <v>4</v>
      </c>
      <c r="DJ116" s="2" t="s">
        <v>4</v>
      </c>
      <c r="DK116" s="2" t="s">
        <v>4</v>
      </c>
      <c r="DL116" s="2" t="s">
        <v>4</v>
      </c>
      <c r="DM116" s="2" t="s">
        <v>4</v>
      </c>
      <c r="DN116" s="2">
        <v>0</v>
      </c>
      <c r="DO116" s="2">
        <v>0</v>
      </c>
      <c r="DP116" s="2">
        <v>1</v>
      </c>
      <c r="DQ116" s="2">
        <v>1</v>
      </c>
      <c r="DR116" s="2"/>
      <c r="DS116" s="2"/>
      <c r="DT116" s="2"/>
      <c r="DU116" s="2">
        <v>1009</v>
      </c>
      <c r="DV116" s="2" t="s">
        <v>168</v>
      </c>
      <c r="DW116" s="2" t="s">
        <v>168</v>
      </c>
      <c r="DX116" s="2">
        <v>1000</v>
      </c>
      <c r="DY116" s="2"/>
      <c r="DZ116" s="2" t="s">
        <v>4</v>
      </c>
      <c r="EA116" s="2" t="s">
        <v>4</v>
      </c>
      <c r="EB116" s="2" t="s">
        <v>4</v>
      </c>
      <c r="EC116" s="2" t="s">
        <v>4</v>
      </c>
      <c r="ED116" s="2"/>
      <c r="EE116" s="2">
        <v>69252724</v>
      </c>
      <c r="EF116" s="2">
        <v>30</v>
      </c>
      <c r="EG116" s="2" t="s">
        <v>24</v>
      </c>
      <c r="EH116" s="2">
        <v>0</v>
      </c>
      <c r="EI116" s="2" t="s">
        <v>4</v>
      </c>
      <c r="EJ116" s="2">
        <v>1</v>
      </c>
      <c r="EK116" s="2">
        <v>99</v>
      </c>
      <c r="EL116" s="2" t="s">
        <v>202</v>
      </c>
      <c r="EM116" s="2" t="s">
        <v>203</v>
      </c>
      <c r="EN116" s="2"/>
      <c r="EO116" s="2" t="s">
        <v>4</v>
      </c>
      <c r="EP116" s="2"/>
      <c r="EQ116" s="2">
        <v>0</v>
      </c>
      <c r="ER116" s="2">
        <v>162212.64000000001</v>
      </c>
      <c r="ES116" s="2">
        <v>162212.64000000001</v>
      </c>
      <c r="ET116" s="2">
        <v>0</v>
      </c>
      <c r="EU116" s="2">
        <v>0</v>
      </c>
      <c r="EV116" s="2">
        <v>0</v>
      </c>
      <c r="EW116" s="2">
        <v>0</v>
      </c>
      <c r="EX116" s="2">
        <v>0</v>
      </c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>
        <v>0</v>
      </c>
      <c r="FR116" s="2">
        <f t="shared" si="99"/>
        <v>0</v>
      </c>
      <c r="FS116" s="2">
        <v>0</v>
      </c>
      <c r="FT116" s="2"/>
      <c r="FU116" s="2"/>
      <c r="FV116" s="2"/>
      <c r="FW116" s="2"/>
      <c r="FX116" s="2">
        <v>105</v>
      </c>
      <c r="FY116" s="2">
        <v>77</v>
      </c>
      <c r="FZ116" s="2"/>
      <c r="GA116" s="2" t="s">
        <v>4</v>
      </c>
      <c r="GB116" s="2"/>
      <c r="GC116" s="2"/>
      <c r="GD116" s="2">
        <v>0</v>
      </c>
      <c r="GE116" s="2"/>
      <c r="GF116" s="2">
        <v>-1507299358</v>
      </c>
      <c r="GG116" s="2">
        <v>2</v>
      </c>
      <c r="GH116" s="2">
        <v>1</v>
      </c>
      <c r="GI116" s="2">
        <v>-2</v>
      </c>
      <c r="GJ116" s="2">
        <v>0</v>
      </c>
      <c r="GK116" s="2">
        <f>ROUND(R116*(R12)/100,2)</f>
        <v>0</v>
      </c>
      <c r="GL116" s="2">
        <f t="shared" si="100"/>
        <v>0</v>
      </c>
      <c r="GM116" s="2">
        <f t="shared" si="101"/>
        <v>3243.44</v>
      </c>
      <c r="GN116" s="2">
        <f t="shared" si="102"/>
        <v>3243.44</v>
      </c>
      <c r="GO116" s="2">
        <f t="shared" si="103"/>
        <v>0</v>
      </c>
      <c r="GP116" s="2">
        <f t="shared" si="104"/>
        <v>0</v>
      </c>
      <c r="GQ116" s="2"/>
      <c r="GR116" s="2">
        <v>0</v>
      </c>
      <c r="GS116" s="2">
        <v>0</v>
      </c>
      <c r="GT116" s="2">
        <v>0</v>
      </c>
      <c r="GU116" s="2" t="s">
        <v>4</v>
      </c>
      <c r="GV116" s="2">
        <f t="shared" si="105"/>
        <v>0</v>
      </c>
      <c r="GW116" s="2">
        <v>1</v>
      </c>
      <c r="GX116" s="2">
        <f t="shared" si="106"/>
        <v>0</v>
      </c>
      <c r="GY116" s="2"/>
      <c r="GZ116" s="2"/>
      <c r="HA116" s="2">
        <v>0</v>
      </c>
      <c r="HB116" s="2">
        <v>0</v>
      </c>
      <c r="HC116" s="2">
        <f t="shared" si="107"/>
        <v>0</v>
      </c>
      <c r="HD116" s="2"/>
      <c r="HE116" s="2" t="s">
        <v>4</v>
      </c>
      <c r="HF116" s="2" t="s">
        <v>4</v>
      </c>
      <c r="HG116" s="2"/>
      <c r="HH116" s="2"/>
      <c r="HI116" s="2"/>
      <c r="HJ116" s="2"/>
      <c r="HK116" s="2"/>
      <c r="HL116" s="2"/>
      <c r="HM116" s="2" t="s">
        <v>4</v>
      </c>
      <c r="HN116" s="2" t="s">
        <v>4</v>
      </c>
      <c r="HO116" s="2" t="s">
        <v>4</v>
      </c>
      <c r="HP116" s="2" t="s">
        <v>4</v>
      </c>
      <c r="HQ116" s="2" t="s">
        <v>4</v>
      </c>
      <c r="HR116" s="2"/>
      <c r="HS116" s="2"/>
      <c r="HT116" s="2"/>
      <c r="HU116" s="2"/>
      <c r="HV116" s="2"/>
      <c r="HW116" s="2"/>
      <c r="HX116" s="2"/>
      <c r="HY116" s="2"/>
      <c r="HZ116" s="2"/>
      <c r="IA116" s="2"/>
      <c r="IB116" s="2"/>
      <c r="IC116" s="2"/>
      <c r="ID116" s="2"/>
      <c r="IE116" s="2"/>
      <c r="IF116" s="2"/>
      <c r="IG116" s="2"/>
      <c r="IH116" s="2"/>
      <c r="II116" s="2"/>
      <c r="IJ116" s="2"/>
      <c r="IK116" s="2">
        <v>0</v>
      </c>
      <c r="IL116" s="2"/>
      <c r="IM116" s="2"/>
      <c r="IN116" s="2"/>
      <c r="IO116" s="2"/>
      <c r="IP116" s="2"/>
      <c r="IQ116" s="2"/>
      <c r="IR116" s="2"/>
      <c r="IS116" s="2"/>
      <c r="IT116" s="2"/>
      <c r="IU116" s="2"/>
    </row>
    <row r="117" spans="1:255">
      <c r="A117">
        <v>18</v>
      </c>
      <c r="B117">
        <v>1</v>
      </c>
      <c r="C117">
        <v>88</v>
      </c>
      <c r="E117" t="s">
        <v>204</v>
      </c>
      <c r="F117" t="s">
        <v>205</v>
      </c>
      <c r="G117" t="s">
        <v>524</v>
      </c>
      <c r="H117" t="s">
        <v>168</v>
      </c>
      <c r="I117">
        <f>I115*J117</f>
        <v>1.9994999999999999E-2</v>
      </c>
      <c r="J117">
        <v>0.15</v>
      </c>
      <c r="K117">
        <v>0.15</v>
      </c>
      <c r="O117">
        <f t="shared" si="70"/>
        <v>6065.23</v>
      </c>
      <c r="P117">
        <f t="shared" si="71"/>
        <v>6065.23</v>
      </c>
      <c r="Q117">
        <f t="shared" si="72"/>
        <v>0</v>
      </c>
      <c r="R117">
        <f t="shared" si="73"/>
        <v>0</v>
      </c>
      <c r="S117">
        <f t="shared" si="74"/>
        <v>0</v>
      </c>
      <c r="T117">
        <f t="shared" si="75"/>
        <v>0</v>
      </c>
      <c r="U117">
        <f t="shared" si="76"/>
        <v>0</v>
      </c>
      <c r="V117">
        <f t="shared" si="77"/>
        <v>0</v>
      </c>
      <c r="W117">
        <f t="shared" si="78"/>
        <v>0</v>
      </c>
      <c r="X117">
        <f t="shared" si="79"/>
        <v>0</v>
      </c>
      <c r="Y117">
        <f t="shared" si="80"/>
        <v>0</v>
      </c>
      <c r="AA117">
        <v>70305036</v>
      </c>
      <c r="AB117">
        <f t="shared" si="81"/>
        <v>162212.64000000001</v>
      </c>
      <c r="AC117">
        <f t="shared" si="82"/>
        <v>162212.64000000001</v>
      </c>
      <c r="AD117">
        <f t="shared" si="83"/>
        <v>0</v>
      </c>
      <c r="AE117">
        <f t="shared" si="84"/>
        <v>0</v>
      </c>
      <c r="AF117">
        <f t="shared" si="85"/>
        <v>0</v>
      </c>
      <c r="AG117">
        <f t="shared" si="86"/>
        <v>0</v>
      </c>
      <c r="AH117">
        <f t="shared" si="87"/>
        <v>0</v>
      </c>
      <c r="AI117">
        <f t="shared" si="88"/>
        <v>0</v>
      </c>
      <c r="AJ117">
        <f t="shared" si="89"/>
        <v>0</v>
      </c>
      <c r="AK117">
        <v>162212.64000000001</v>
      </c>
      <c r="AL117">
        <v>162212.64000000001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1.87</v>
      </c>
      <c r="BD117" t="s">
        <v>4</v>
      </c>
      <c r="BE117" t="s">
        <v>4</v>
      </c>
      <c r="BF117" t="s">
        <v>4</v>
      </c>
      <c r="BG117" t="s">
        <v>4</v>
      </c>
      <c r="BH117">
        <v>3</v>
      </c>
      <c r="BI117">
        <v>1</v>
      </c>
      <c r="BJ117" t="s">
        <v>206</v>
      </c>
      <c r="BM117">
        <v>99</v>
      </c>
      <c r="BN117">
        <v>0</v>
      </c>
      <c r="BO117" t="s">
        <v>205</v>
      </c>
      <c r="BP117">
        <v>1</v>
      </c>
      <c r="BQ117">
        <v>30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4</v>
      </c>
      <c r="BZ117">
        <v>0</v>
      </c>
      <c r="CA117">
        <v>0</v>
      </c>
      <c r="CB117" t="s">
        <v>4</v>
      </c>
      <c r="CE117">
        <v>30</v>
      </c>
      <c r="CF117">
        <v>0</v>
      </c>
      <c r="CG117">
        <v>0</v>
      </c>
      <c r="CM117">
        <v>0</v>
      </c>
      <c r="CN117" t="s">
        <v>4</v>
      </c>
      <c r="CO117">
        <v>0</v>
      </c>
      <c r="CP117">
        <f t="shared" si="90"/>
        <v>6065.23</v>
      </c>
      <c r="CQ117">
        <f t="shared" si="91"/>
        <v>303337.64</v>
      </c>
      <c r="CR117">
        <f t="shared" si="92"/>
        <v>0</v>
      </c>
      <c r="CS117">
        <f t="shared" si="93"/>
        <v>0</v>
      </c>
      <c r="CT117">
        <f t="shared" si="94"/>
        <v>0</v>
      </c>
      <c r="CU117">
        <f t="shared" si="95"/>
        <v>0</v>
      </c>
      <c r="CV117">
        <f t="shared" si="96"/>
        <v>0</v>
      </c>
      <c r="CW117">
        <f t="shared" si="97"/>
        <v>0</v>
      </c>
      <c r="CX117">
        <f t="shared" si="98"/>
        <v>0</v>
      </c>
      <c r="CY117">
        <f>S117*(BZ117/100)</f>
        <v>0</v>
      </c>
      <c r="CZ117">
        <f>S117*(CA117/100)</f>
        <v>0</v>
      </c>
      <c r="DC117" t="s">
        <v>4</v>
      </c>
      <c r="DD117" t="s">
        <v>4</v>
      </c>
      <c r="DE117" t="s">
        <v>4</v>
      </c>
      <c r="DF117" t="s">
        <v>4</v>
      </c>
      <c r="DG117" t="s">
        <v>4</v>
      </c>
      <c r="DH117" t="s">
        <v>4</v>
      </c>
      <c r="DI117" t="s">
        <v>4</v>
      </c>
      <c r="DJ117" t="s">
        <v>4</v>
      </c>
      <c r="DK117" t="s">
        <v>4</v>
      </c>
      <c r="DL117" t="s">
        <v>4</v>
      </c>
      <c r="DM117" t="s">
        <v>4</v>
      </c>
      <c r="DN117">
        <v>105</v>
      </c>
      <c r="DO117">
        <v>77</v>
      </c>
      <c r="DP117">
        <v>1.0469999999999999</v>
      </c>
      <c r="DQ117">
        <v>1</v>
      </c>
      <c r="DU117">
        <v>1009</v>
      </c>
      <c r="DV117" t="s">
        <v>168</v>
      </c>
      <c r="DW117" t="s">
        <v>168</v>
      </c>
      <c r="DX117">
        <v>1000</v>
      </c>
      <c r="DZ117" t="s">
        <v>4</v>
      </c>
      <c r="EA117" t="s">
        <v>4</v>
      </c>
      <c r="EB117" t="s">
        <v>4</v>
      </c>
      <c r="EC117" t="s">
        <v>4</v>
      </c>
      <c r="EE117">
        <v>69252724</v>
      </c>
      <c r="EF117">
        <v>30</v>
      </c>
      <c r="EG117" t="s">
        <v>24</v>
      </c>
      <c r="EH117">
        <v>0</v>
      </c>
      <c r="EI117" t="s">
        <v>4</v>
      </c>
      <c r="EJ117">
        <v>1</v>
      </c>
      <c r="EK117">
        <v>99</v>
      </c>
      <c r="EL117" t="s">
        <v>202</v>
      </c>
      <c r="EM117" t="s">
        <v>203</v>
      </c>
      <c r="EO117" t="s">
        <v>4</v>
      </c>
      <c r="EQ117">
        <v>0</v>
      </c>
      <c r="ER117">
        <v>162212.64000000001</v>
      </c>
      <c r="ES117">
        <v>162212.64000000001</v>
      </c>
      <c r="ET117">
        <v>0</v>
      </c>
      <c r="EU117">
        <v>0</v>
      </c>
      <c r="EV117">
        <v>0</v>
      </c>
      <c r="EW117">
        <v>0</v>
      </c>
      <c r="EX117">
        <v>0</v>
      </c>
      <c r="FQ117">
        <v>0</v>
      </c>
      <c r="FR117">
        <f t="shared" si="99"/>
        <v>0</v>
      </c>
      <c r="FS117">
        <v>0</v>
      </c>
      <c r="FX117">
        <v>105</v>
      </c>
      <c r="FY117">
        <v>77</v>
      </c>
      <c r="GA117" t="s">
        <v>4</v>
      </c>
      <c r="GD117">
        <v>0</v>
      </c>
      <c r="GF117">
        <v>-1507299358</v>
      </c>
      <c r="GG117">
        <v>2</v>
      </c>
      <c r="GH117">
        <v>1</v>
      </c>
      <c r="GI117">
        <v>2</v>
      </c>
      <c r="GJ117">
        <v>0</v>
      </c>
      <c r="GK117">
        <f>ROUND(R117*(S12)/100,2)</f>
        <v>0</v>
      </c>
      <c r="GL117">
        <f t="shared" si="100"/>
        <v>0</v>
      </c>
      <c r="GM117">
        <f t="shared" si="101"/>
        <v>6065.23</v>
      </c>
      <c r="GN117">
        <f t="shared" si="102"/>
        <v>6065.23</v>
      </c>
      <c r="GO117">
        <f t="shared" si="103"/>
        <v>0</v>
      </c>
      <c r="GP117">
        <f t="shared" si="104"/>
        <v>0</v>
      </c>
      <c r="GR117">
        <v>0</v>
      </c>
      <c r="GS117">
        <v>3</v>
      </c>
      <c r="GT117">
        <v>0</v>
      </c>
      <c r="GU117" t="s">
        <v>4</v>
      </c>
      <c r="GV117">
        <f t="shared" si="105"/>
        <v>0</v>
      </c>
      <c r="GW117">
        <v>1</v>
      </c>
      <c r="GX117">
        <f t="shared" si="106"/>
        <v>0</v>
      </c>
      <c r="HA117">
        <v>0</v>
      </c>
      <c r="HB117">
        <v>0</v>
      </c>
      <c r="HC117">
        <f t="shared" si="107"/>
        <v>0</v>
      </c>
      <c r="HE117" t="s">
        <v>4</v>
      </c>
      <c r="HF117" t="s">
        <v>4</v>
      </c>
      <c r="HM117" t="s">
        <v>4</v>
      </c>
      <c r="HN117" t="s">
        <v>4</v>
      </c>
      <c r="HO117" t="s">
        <v>4</v>
      </c>
      <c r="HP117" t="s">
        <v>4</v>
      </c>
      <c r="HQ117" t="s">
        <v>4</v>
      </c>
      <c r="IK117">
        <v>0</v>
      </c>
    </row>
    <row r="118" spans="1:255">
      <c r="A118" s="2">
        <v>17</v>
      </c>
      <c r="B118" s="2">
        <v>1</v>
      </c>
      <c r="C118" s="2"/>
      <c r="D118" s="2"/>
      <c r="E118" s="2" t="s">
        <v>4</v>
      </c>
      <c r="F118" s="2" t="s">
        <v>50</v>
      </c>
      <c r="G118" s="2" t="s">
        <v>51</v>
      </c>
      <c r="H118" s="2" t="s">
        <v>52</v>
      </c>
      <c r="I118" s="2">
        <f>ROUND(38.9,9)</f>
        <v>38.9</v>
      </c>
      <c r="J118" s="2">
        <v>0</v>
      </c>
      <c r="K118" s="2">
        <f>ROUND(38.9,9)</f>
        <v>38.9</v>
      </c>
      <c r="L118" s="2"/>
      <c r="M118" s="2"/>
      <c r="N118" s="2"/>
      <c r="O118" s="2">
        <f t="shared" si="70"/>
        <v>4084.11</v>
      </c>
      <c r="P118" s="2">
        <f t="shared" si="71"/>
        <v>4084.11</v>
      </c>
      <c r="Q118" s="2">
        <f t="shared" si="72"/>
        <v>0</v>
      </c>
      <c r="R118" s="2">
        <f t="shared" si="73"/>
        <v>0</v>
      </c>
      <c r="S118" s="2">
        <f t="shared" si="74"/>
        <v>0</v>
      </c>
      <c r="T118" s="2">
        <f t="shared" si="75"/>
        <v>0</v>
      </c>
      <c r="U118" s="2">
        <f t="shared" si="76"/>
        <v>0</v>
      </c>
      <c r="V118" s="2">
        <f t="shared" si="77"/>
        <v>0</v>
      </c>
      <c r="W118" s="2">
        <f t="shared" si="78"/>
        <v>0</v>
      </c>
      <c r="X118" s="2">
        <f t="shared" si="79"/>
        <v>0</v>
      </c>
      <c r="Y118" s="2">
        <f t="shared" si="80"/>
        <v>0</v>
      </c>
      <c r="Z118" s="2"/>
      <c r="AA118" s="2">
        <v>-1</v>
      </c>
      <c r="AB118" s="2">
        <f t="shared" si="81"/>
        <v>104.99</v>
      </c>
      <c r="AC118" s="2">
        <f t="shared" si="82"/>
        <v>104.99</v>
      </c>
      <c r="AD118" s="2">
        <f t="shared" si="83"/>
        <v>0</v>
      </c>
      <c r="AE118" s="2">
        <f t="shared" si="84"/>
        <v>0</v>
      </c>
      <c r="AF118" s="2">
        <f t="shared" si="85"/>
        <v>0</v>
      </c>
      <c r="AG118" s="2">
        <f t="shared" si="86"/>
        <v>0</v>
      </c>
      <c r="AH118" s="2">
        <f t="shared" si="87"/>
        <v>0</v>
      </c>
      <c r="AI118" s="2">
        <f t="shared" si="88"/>
        <v>0</v>
      </c>
      <c r="AJ118" s="2">
        <f t="shared" si="89"/>
        <v>0</v>
      </c>
      <c r="AK118" s="2">
        <v>104.99</v>
      </c>
      <c r="AL118" s="2">
        <v>104.99</v>
      </c>
      <c r="AM118" s="2">
        <v>0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1</v>
      </c>
      <c r="AW118" s="2">
        <v>1</v>
      </c>
      <c r="AX118" s="2"/>
      <c r="AY118" s="2"/>
      <c r="AZ118" s="2">
        <v>1</v>
      </c>
      <c r="BA118" s="2">
        <v>1</v>
      </c>
      <c r="BB118" s="2">
        <v>1</v>
      </c>
      <c r="BC118" s="2">
        <v>1</v>
      </c>
      <c r="BD118" s="2" t="s">
        <v>4</v>
      </c>
      <c r="BE118" s="2" t="s">
        <v>4</v>
      </c>
      <c r="BF118" s="2" t="s">
        <v>4</v>
      </c>
      <c r="BG118" s="2" t="s">
        <v>4</v>
      </c>
      <c r="BH118" s="2">
        <v>3</v>
      </c>
      <c r="BI118" s="2">
        <v>1</v>
      </c>
      <c r="BJ118" s="2" t="s">
        <v>53</v>
      </c>
      <c r="BK118" s="2"/>
      <c r="BL118" s="2"/>
      <c r="BM118" s="2">
        <v>1617</v>
      </c>
      <c r="BN118" s="2">
        <v>0</v>
      </c>
      <c r="BO118" s="2" t="s">
        <v>4</v>
      </c>
      <c r="BP118" s="2">
        <v>0</v>
      </c>
      <c r="BQ118" s="2">
        <v>200</v>
      </c>
      <c r="BR118" s="2">
        <v>0</v>
      </c>
      <c r="BS118" s="2">
        <v>1</v>
      </c>
      <c r="BT118" s="2">
        <v>1</v>
      </c>
      <c r="BU118" s="2">
        <v>1</v>
      </c>
      <c r="BV118" s="2">
        <v>1</v>
      </c>
      <c r="BW118" s="2">
        <v>1</v>
      </c>
      <c r="BX118" s="2">
        <v>1</v>
      </c>
      <c r="BY118" s="2" t="s">
        <v>4</v>
      </c>
      <c r="BZ118" s="2">
        <v>0</v>
      </c>
      <c r="CA118" s="2">
        <v>0</v>
      </c>
      <c r="CB118" s="2" t="s">
        <v>4</v>
      </c>
      <c r="CC118" s="2"/>
      <c r="CD118" s="2"/>
      <c r="CE118" s="2">
        <v>30</v>
      </c>
      <c r="CF118" s="2">
        <v>0</v>
      </c>
      <c r="CG118" s="2">
        <v>0</v>
      </c>
      <c r="CH118" s="2"/>
      <c r="CI118" s="2"/>
      <c r="CJ118" s="2"/>
      <c r="CK118" s="2"/>
      <c r="CL118" s="2"/>
      <c r="CM118" s="2">
        <v>0</v>
      </c>
      <c r="CN118" s="2" t="s">
        <v>4</v>
      </c>
      <c r="CO118" s="2">
        <v>0</v>
      </c>
      <c r="CP118" s="2">
        <f t="shared" si="90"/>
        <v>4084.11</v>
      </c>
      <c r="CQ118" s="2">
        <f t="shared" si="91"/>
        <v>104.99</v>
      </c>
      <c r="CR118" s="2">
        <f t="shared" si="92"/>
        <v>0</v>
      </c>
      <c r="CS118" s="2">
        <f t="shared" si="93"/>
        <v>0</v>
      </c>
      <c r="CT118" s="2">
        <f t="shared" si="94"/>
        <v>0</v>
      </c>
      <c r="CU118" s="2">
        <f t="shared" si="95"/>
        <v>0</v>
      </c>
      <c r="CV118" s="2">
        <f t="shared" si="96"/>
        <v>0</v>
      </c>
      <c r="CW118" s="2">
        <f t="shared" si="97"/>
        <v>0</v>
      </c>
      <c r="CX118" s="2">
        <f t="shared" si="98"/>
        <v>0</v>
      </c>
      <c r="CY118" s="2">
        <f>((S118*BZ118)/100)</f>
        <v>0</v>
      </c>
      <c r="CZ118" s="2">
        <f>((S118*CA118)/100)</f>
        <v>0</v>
      </c>
      <c r="DA118" s="2"/>
      <c r="DB118" s="2"/>
      <c r="DC118" s="2" t="s">
        <v>4</v>
      </c>
      <c r="DD118" s="2" t="s">
        <v>4</v>
      </c>
      <c r="DE118" s="2" t="s">
        <v>4</v>
      </c>
      <c r="DF118" s="2" t="s">
        <v>4</v>
      </c>
      <c r="DG118" s="2" t="s">
        <v>4</v>
      </c>
      <c r="DH118" s="2" t="s">
        <v>4</v>
      </c>
      <c r="DI118" s="2" t="s">
        <v>4</v>
      </c>
      <c r="DJ118" s="2" t="s">
        <v>4</v>
      </c>
      <c r="DK118" s="2" t="s">
        <v>4</v>
      </c>
      <c r="DL118" s="2" t="s">
        <v>4</v>
      </c>
      <c r="DM118" s="2" t="s">
        <v>4</v>
      </c>
      <c r="DN118" s="2">
        <v>0</v>
      </c>
      <c r="DO118" s="2">
        <v>0</v>
      </c>
      <c r="DP118" s="2">
        <v>1</v>
      </c>
      <c r="DQ118" s="2">
        <v>1</v>
      </c>
      <c r="DR118" s="2"/>
      <c r="DS118" s="2"/>
      <c r="DT118" s="2"/>
      <c r="DU118" s="2">
        <v>1007</v>
      </c>
      <c r="DV118" s="2" t="s">
        <v>52</v>
      </c>
      <c r="DW118" s="2" t="s">
        <v>52</v>
      </c>
      <c r="DX118" s="2">
        <v>1</v>
      </c>
      <c r="DY118" s="2"/>
      <c r="DZ118" s="2" t="s">
        <v>4</v>
      </c>
      <c r="EA118" s="2" t="s">
        <v>4</v>
      </c>
      <c r="EB118" s="2" t="s">
        <v>4</v>
      </c>
      <c r="EC118" s="2" t="s">
        <v>4</v>
      </c>
      <c r="ED118" s="2"/>
      <c r="EE118" s="2">
        <v>69254242</v>
      </c>
      <c r="EF118" s="2">
        <v>200</v>
      </c>
      <c r="EG118" s="2" t="s">
        <v>54</v>
      </c>
      <c r="EH118" s="2">
        <v>0</v>
      </c>
      <c r="EI118" s="2" t="s">
        <v>4</v>
      </c>
      <c r="EJ118" s="2">
        <v>1</v>
      </c>
      <c r="EK118" s="2">
        <v>1617</v>
      </c>
      <c r="EL118" s="2" t="s">
        <v>55</v>
      </c>
      <c r="EM118" s="2" t="s">
        <v>56</v>
      </c>
      <c r="EN118" s="2"/>
      <c r="EO118" s="2" t="s">
        <v>4</v>
      </c>
      <c r="EP118" s="2"/>
      <c r="EQ118" s="2">
        <v>1024</v>
      </c>
      <c r="ER118" s="2">
        <v>104.99</v>
      </c>
      <c r="ES118" s="2">
        <v>104.99</v>
      </c>
      <c r="ET118" s="2">
        <v>0</v>
      </c>
      <c r="EU118" s="2">
        <v>0</v>
      </c>
      <c r="EV118" s="2">
        <v>0</v>
      </c>
      <c r="EW118" s="2">
        <v>0</v>
      </c>
      <c r="EX118" s="2">
        <v>0</v>
      </c>
      <c r="EY118" s="2">
        <v>0</v>
      </c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>
        <v>0</v>
      </c>
      <c r="FR118" s="2">
        <f t="shared" si="99"/>
        <v>0</v>
      </c>
      <c r="FS118" s="2">
        <v>0</v>
      </c>
      <c r="FT118" s="2"/>
      <c r="FU118" s="2"/>
      <c r="FV118" s="2"/>
      <c r="FW118" s="2"/>
      <c r="FX118" s="2">
        <v>0</v>
      </c>
      <c r="FY118" s="2">
        <v>0</v>
      </c>
      <c r="FZ118" s="2"/>
      <c r="GA118" s="2" t="s">
        <v>4</v>
      </c>
      <c r="GB118" s="2"/>
      <c r="GC118" s="2"/>
      <c r="GD118" s="2">
        <v>0</v>
      </c>
      <c r="GE118" s="2"/>
      <c r="GF118" s="2">
        <v>1061610425</v>
      </c>
      <c r="GG118" s="2">
        <v>2</v>
      </c>
      <c r="GH118" s="2">
        <v>1</v>
      </c>
      <c r="GI118" s="2">
        <v>-2</v>
      </c>
      <c r="GJ118" s="2">
        <v>0</v>
      </c>
      <c r="GK118" s="2">
        <f>ROUND(R118*(R12)/100,2)</f>
        <v>0</v>
      </c>
      <c r="GL118" s="2">
        <f t="shared" si="100"/>
        <v>0</v>
      </c>
      <c r="GM118" s="2">
        <f t="shared" si="101"/>
        <v>4084.11</v>
      </c>
      <c r="GN118" s="2">
        <f t="shared" si="102"/>
        <v>4084.11</v>
      </c>
      <c r="GO118" s="2">
        <f t="shared" si="103"/>
        <v>0</v>
      </c>
      <c r="GP118" s="2">
        <f t="shared" si="104"/>
        <v>0</v>
      </c>
      <c r="GQ118" s="2"/>
      <c r="GR118" s="2">
        <v>0</v>
      </c>
      <c r="GS118" s="2">
        <v>0</v>
      </c>
      <c r="GT118" s="2">
        <v>0</v>
      </c>
      <c r="GU118" s="2" t="s">
        <v>4</v>
      </c>
      <c r="GV118" s="2">
        <f t="shared" si="105"/>
        <v>0</v>
      </c>
      <c r="GW118" s="2">
        <v>1</v>
      </c>
      <c r="GX118" s="2">
        <f t="shared" si="106"/>
        <v>0</v>
      </c>
      <c r="GY118" s="2"/>
      <c r="GZ118" s="2"/>
      <c r="HA118" s="2">
        <v>0</v>
      </c>
      <c r="HB118" s="2">
        <v>0</v>
      </c>
      <c r="HC118" s="2">
        <f t="shared" si="107"/>
        <v>0</v>
      </c>
      <c r="HD118" s="2"/>
      <c r="HE118" s="2" t="s">
        <v>4</v>
      </c>
      <c r="HF118" s="2" t="s">
        <v>4</v>
      </c>
      <c r="HG118" s="2"/>
      <c r="HH118" s="2"/>
      <c r="HI118" s="2"/>
      <c r="HJ118" s="2"/>
      <c r="HK118" s="2"/>
      <c r="HL118" s="2"/>
      <c r="HM118" s="2" t="s">
        <v>4</v>
      </c>
      <c r="HN118" s="2" t="s">
        <v>4</v>
      </c>
      <c r="HO118" s="2" t="s">
        <v>4</v>
      </c>
      <c r="HP118" s="2" t="s">
        <v>4</v>
      </c>
      <c r="HQ118" s="2" t="s">
        <v>4</v>
      </c>
      <c r="HR118" s="2"/>
      <c r="HS118" s="2"/>
      <c r="HT118" s="2"/>
      <c r="HU118" s="2"/>
      <c r="HV118" s="2"/>
      <c r="HW118" s="2"/>
      <c r="HX118" s="2"/>
      <c r="HY118" s="2"/>
      <c r="HZ118" s="2"/>
      <c r="IA118" s="2"/>
      <c r="IB118" s="2"/>
      <c r="IC118" s="2"/>
      <c r="ID118" s="2"/>
      <c r="IE118" s="2"/>
      <c r="IF118" s="2"/>
      <c r="IG118" s="2"/>
      <c r="IH118" s="2"/>
      <c r="II118" s="2"/>
      <c r="IJ118" s="2"/>
      <c r="IK118" s="2">
        <v>0</v>
      </c>
      <c r="IL118" s="2"/>
      <c r="IM118" s="2"/>
      <c r="IN118" s="2"/>
      <c r="IO118" s="2"/>
      <c r="IP118" s="2"/>
      <c r="IQ118" s="2"/>
      <c r="IR118" s="2"/>
      <c r="IS118" s="2"/>
      <c r="IT118" s="2"/>
      <c r="IU118" s="2"/>
    </row>
    <row r="119" spans="1:255">
      <c r="A119">
        <v>17</v>
      </c>
      <c r="B119">
        <v>1</v>
      </c>
      <c r="E119" t="s">
        <v>4</v>
      </c>
      <c r="F119" t="s">
        <v>50</v>
      </c>
      <c r="G119" t="s">
        <v>51</v>
      </c>
      <c r="H119" t="s">
        <v>52</v>
      </c>
      <c r="I119">
        <f>ROUND(38.9,9)</f>
        <v>38.9</v>
      </c>
      <c r="J119">
        <v>0</v>
      </c>
      <c r="K119">
        <f>ROUND(38.9,9)</f>
        <v>38.9</v>
      </c>
      <c r="O119">
        <f t="shared" si="70"/>
        <v>34959.980000000003</v>
      </c>
      <c r="P119">
        <f t="shared" si="71"/>
        <v>34959.980000000003</v>
      </c>
      <c r="Q119">
        <f t="shared" si="72"/>
        <v>0</v>
      </c>
      <c r="R119">
        <f t="shared" si="73"/>
        <v>0</v>
      </c>
      <c r="S119">
        <f t="shared" si="74"/>
        <v>0</v>
      </c>
      <c r="T119">
        <f t="shared" si="75"/>
        <v>0</v>
      </c>
      <c r="U119">
        <f t="shared" si="76"/>
        <v>0</v>
      </c>
      <c r="V119">
        <f t="shared" si="77"/>
        <v>0</v>
      </c>
      <c r="W119">
        <f t="shared" si="78"/>
        <v>0</v>
      </c>
      <c r="X119">
        <f t="shared" si="79"/>
        <v>0</v>
      </c>
      <c r="Y119">
        <f t="shared" si="80"/>
        <v>0</v>
      </c>
      <c r="AA119">
        <v>-1</v>
      </c>
      <c r="AB119">
        <f t="shared" si="81"/>
        <v>104.99</v>
      </c>
      <c r="AC119">
        <f t="shared" si="82"/>
        <v>104.99</v>
      </c>
      <c r="AD119">
        <f t="shared" si="83"/>
        <v>0</v>
      </c>
      <c r="AE119">
        <f t="shared" si="84"/>
        <v>0</v>
      </c>
      <c r="AF119">
        <f t="shared" si="85"/>
        <v>0</v>
      </c>
      <c r="AG119">
        <f t="shared" si="86"/>
        <v>0</v>
      </c>
      <c r="AH119">
        <f t="shared" si="87"/>
        <v>0</v>
      </c>
      <c r="AI119">
        <f t="shared" si="88"/>
        <v>0</v>
      </c>
      <c r="AJ119">
        <f t="shared" si="89"/>
        <v>0</v>
      </c>
      <c r="AK119">
        <v>104.99</v>
      </c>
      <c r="AL119">
        <v>104.99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8.56</v>
      </c>
      <c r="BD119" t="s">
        <v>4</v>
      </c>
      <c r="BE119" t="s">
        <v>4</v>
      </c>
      <c r="BF119" t="s">
        <v>4</v>
      </c>
      <c r="BG119" t="s">
        <v>4</v>
      </c>
      <c r="BH119">
        <v>3</v>
      </c>
      <c r="BI119">
        <v>1</v>
      </c>
      <c r="BJ119" t="s">
        <v>53</v>
      </c>
      <c r="BM119">
        <v>1617</v>
      </c>
      <c r="BN119">
        <v>0</v>
      </c>
      <c r="BO119" t="s">
        <v>50</v>
      </c>
      <c r="BP119">
        <v>1</v>
      </c>
      <c r="BQ119">
        <v>200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4</v>
      </c>
      <c r="BZ119">
        <v>0</v>
      </c>
      <c r="CA119">
        <v>0</v>
      </c>
      <c r="CB119" t="s">
        <v>4</v>
      </c>
      <c r="CE119">
        <v>30</v>
      </c>
      <c r="CF119">
        <v>0</v>
      </c>
      <c r="CG119">
        <v>0</v>
      </c>
      <c r="CM119">
        <v>0</v>
      </c>
      <c r="CN119" t="s">
        <v>4</v>
      </c>
      <c r="CO119">
        <v>0</v>
      </c>
      <c r="CP119">
        <f t="shared" si="90"/>
        <v>34959.980000000003</v>
      </c>
      <c r="CQ119">
        <f t="shared" si="91"/>
        <v>898.71</v>
      </c>
      <c r="CR119">
        <f t="shared" si="92"/>
        <v>0</v>
      </c>
      <c r="CS119">
        <f t="shared" si="93"/>
        <v>0</v>
      </c>
      <c r="CT119">
        <f t="shared" si="94"/>
        <v>0</v>
      </c>
      <c r="CU119">
        <f t="shared" si="95"/>
        <v>0</v>
      </c>
      <c r="CV119">
        <f t="shared" si="96"/>
        <v>0</v>
      </c>
      <c r="CW119">
        <f t="shared" si="97"/>
        <v>0</v>
      </c>
      <c r="CX119">
        <f t="shared" si="98"/>
        <v>0</v>
      </c>
      <c r="CY119">
        <f>S119*(BZ119/100)</f>
        <v>0</v>
      </c>
      <c r="CZ119">
        <f>S119*(CA119/100)</f>
        <v>0</v>
      </c>
      <c r="DC119" t="s">
        <v>4</v>
      </c>
      <c r="DD119" t="s">
        <v>4</v>
      </c>
      <c r="DE119" t="s">
        <v>4</v>
      </c>
      <c r="DF119" t="s">
        <v>4</v>
      </c>
      <c r="DG119" t="s">
        <v>4</v>
      </c>
      <c r="DH119" t="s">
        <v>4</v>
      </c>
      <c r="DI119" t="s">
        <v>4</v>
      </c>
      <c r="DJ119" t="s">
        <v>4</v>
      </c>
      <c r="DK119" t="s">
        <v>4</v>
      </c>
      <c r="DL119" t="s">
        <v>4</v>
      </c>
      <c r="DM119" t="s">
        <v>4</v>
      </c>
      <c r="DN119">
        <v>0</v>
      </c>
      <c r="DO119">
        <v>0</v>
      </c>
      <c r="DP119">
        <v>1</v>
      </c>
      <c r="DQ119">
        <v>1</v>
      </c>
      <c r="DU119">
        <v>1007</v>
      </c>
      <c r="DV119" t="s">
        <v>52</v>
      </c>
      <c r="DW119" t="s">
        <v>52</v>
      </c>
      <c r="DX119">
        <v>1</v>
      </c>
      <c r="DZ119" t="s">
        <v>4</v>
      </c>
      <c r="EA119" t="s">
        <v>4</v>
      </c>
      <c r="EB119" t="s">
        <v>4</v>
      </c>
      <c r="EC119" t="s">
        <v>4</v>
      </c>
      <c r="EE119">
        <v>69254242</v>
      </c>
      <c r="EF119">
        <v>200</v>
      </c>
      <c r="EG119" t="s">
        <v>54</v>
      </c>
      <c r="EH119">
        <v>0</v>
      </c>
      <c r="EI119" t="s">
        <v>4</v>
      </c>
      <c r="EJ119">
        <v>1</v>
      </c>
      <c r="EK119">
        <v>1617</v>
      </c>
      <c r="EL119" t="s">
        <v>55</v>
      </c>
      <c r="EM119" t="s">
        <v>56</v>
      </c>
      <c r="EO119" t="s">
        <v>4</v>
      </c>
      <c r="EQ119">
        <v>1024</v>
      </c>
      <c r="ER119">
        <v>104.99</v>
      </c>
      <c r="ES119">
        <v>104.99</v>
      </c>
      <c r="ET119">
        <v>0</v>
      </c>
      <c r="EU119">
        <v>0</v>
      </c>
      <c r="EV119">
        <v>0</v>
      </c>
      <c r="EW119">
        <v>0</v>
      </c>
      <c r="EX119">
        <v>0</v>
      </c>
      <c r="EY119">
        <v>0</v>
      </c>
      <c r="FQ119">
        <v>0</v>
      </c>
      <c r="FR119">
        <f t="shared" si="99"/>
        <v>0</v>
      </c>
      <c r="FS119">
        <v>0</v>
      </c>
      <c r="FX119">
        <v>0</v>
      </c>
      <c r="FY119">
        <v>0</v>
      </c>
      <c r="GA119" t="s">
        <v>4</v>
      </c>
      <c r="GD119">
        <v>0</v>
      </c>
      <c r="GF119">
        <v>1061610425</v>
      </c>
      <c r="GG119">
        <v>2</v>
      </c>
      <c r="GH119">
        <v>1</v>
      </c>
      <c r="GI119">
        <v>2</v>
      </c>
      <c r="GJ119">
        <v>0</v>
      </c>
      <c r="GK119">
        <f>ROUND(R119*(S12)/100,2)</f>
        <v>0</v>
      </c>
      <c r="GL119">
        <f t="shared" si="100"/>
        <v>0</v>
      </c>
      <c r="GM119">
        <f t="shared" si="101"/>
        <v>34959.980000000003</v>
      </c>
      <c r="GN119">
        <f t="shared" si="102"/>
        <v>34959.980000000003</v>
      </c>
      <c r="GO119">
        <f t="shared" si="103"/>
        <v>0</v>
      </c>
      <c r="GP119">
        <f t="shared" si="104"/>
        <v>0</v>
      </c>
      <c r="GR119">
        <v>0</v>
      </c>
      <c r="GS119">
        <v>3</v>
      </c>
      <c r="GT119">
        <v>0</v>
      </c>
      <c r="GU119" t="s">
        <v>4</v>
      </c>
      <c r="GV119">
        <f t="shared" si="105"/>
        <v>0</v>
      </c>
      <c r="GW119">
        <v>1</v>
      </c>
      <c r="GX119">
        <f t="shared" si="106"/>
        <v>0</v>
      </c>
      <c r="HA119">
        <v>0</v>
      </c>
      <c r="HB119">
        <v>0</v>
      </c>
      <c r="HC119">
        <f t="shared" si="107"/>
        <v>0</v>
      </c>
      <c r="HE119" t="s">
        <v>4</v>
      </c>
      <c r="HF119" t="s">
        <v>4</v>
      </c>
      <c r="HM119" t="s">
        <v>4</v>
      </c>
      <c r="HN119" t="s">
        <v>4</v>
      </c>
      <c r="HO119" t="s">
        <v>4</v>
      </c>
      <c r="HP119" t="s">
        <v>4</v>
      </c>
      <c r="HQ119" t="s">
        <v>4</v>
      </c>
      <c r="IK119">
        <v>0</v>
      </c>
    </row>
    <row r="121" spans="1:255">
      <c r="A121" s="3">
        <v>51</v>
      </c>
      <c r="B121" s="3">
        <f>B73</f>
        <v>1</v>
      </c>
      <c r="C121" s="3">
        <f>A73</f>
        <v>4</v>
      </c>
      <c r="D121" s="3">
        <f>ROW(A73)</f>
        <v>73</v>
      </c>
      <c r="E121" s="3"/>
      <c r="F121" s="3" t="str">
        <f>IF(F73&lt;&gt;"",F73,"")</f>
        <v>Новый раздел</v>
      </c>
      <c r="G121" s="3" t="str">
        <f>IF(G73&lt;&gt;"",G73,"")</f>
        <v>Строительные работы</v>
      </c>
      <c r="H121" s="3">
        <v>0</v>
      </c>
      <c r="I121" s="3"/>
      <c r="J121" s="3"/>
      <c r="K121" s="3"/>
      <c r="L121" s="3"/>
      <c r="M121" s="3"/>
      <c r="N121" s="3"/>
      <c r="O121" s="3">
        <f t="shared" ref="O121:T121" si="108">ROUND(AB121,2)</f>
        <v>285408.58</v>
      </c>
      <c r="P121" s="3">
        <f t="shared" si="108"/>
        <v>281982.82</v>
      </c>
      <c r="Q121" s="3">
        <f t="shared" si="108"/>
        <v>565.37</v>
      </c>
      <c r="R121" s="3">
        <f t="shared" si="108"/>
        <v>53.87</v>
      </c>
      <c r="S121" s="3">
        <f t="shared" si="108"/>
        <v>2860.39</v>
      </c>
      <c r="T121" s="3">
        <f t="shared" si="108"/>
        <v>0</v>
      </c>
      <c r="U121" s="3">
        <f>AH121</f>
        <v>239.74571349999997</v>
      </c>
      <c r="V121" s="3">
        <f>AI121</f>
        <v>0</v>
      </c>
      <c r="W121" s="3">
        <f>ROUND(AJ121,2)</f>
        <v>0</v>
      </c>
      <c r="X121" s="3">
        <f>ROUND(AK121,2)</f>
        <v>3421.31</v>
      </c>
      <c r="Y121" s="3">
        <f>ROUND(AL121,2)</f>
        <v>2546.7600000000002</v>
      </c>
      <c r="Z121" s="3"/>
      <c r="AA121" s="3"/>
      <c r="AB121" s="3">
        <f>ROUND(SUMIF(AA77:AA119,"=70305038",O77:O119),2)</f>
        <v>285408.58</v>
      </c>
      <c r="AC121" s="3">
        <f>ROUND(SUMIF(AA77:AA119,"=70305038",P77:P119),2)</f>
        <v>281982.82</v>
      </c>
      <c r="AD121" s="3">
        <f>ROUND(SUMIF(AA77:AA119,"=70305038",Q77:Q119),2)</f>
        <v>565.37</v>
      </c>
      <c r="AE121" s="3">
        <f>ROUND(SUMIF(AA77:AA119,"=70305038",R77:R119),2)</f>
        <v>53.87</v>
      </c>
      <c r="AF121" s="3">
        <f>ROUND(SUMIF(AA77:AA119,"=70305038",S77:S119),2)</f>
        <v>2860.39</v>
      </c>
      <c r="AG121" s="3">
        <f>ROUND(SUMIF(AA77:AA119,"=70305038",T77:T119),2)</f>
        <v>0</v>
      </c>
      <c r="AH121" s="3">
        <f>SUMIF(AA77:AA119,"=70305038",U77:U119)</f>
        <v>239.74571349999997</v>
      </c>
      <c r="AI121" s="3">
        <f>SUMIF(AA77:AA119,"=70305038",V77:V119)</f>
        <v>0</v>
      </c>
      <c r="AJ121" s="3">
        <f>ROUND(SUMIF(AA77:AA119,"=70305038",W77:W119),2)</f>
        <v>0</v>
      </c>
      <c r="AK121" s="3">
        <f>ROUND(SUMIF(AA77:AA119,"=70305038",X77:X119),2)</f>
        <v>3421.31</v>
      </c>
      <c r="AL121" s="3">
        <f>ROUND(SUMIF(AA77:AA119,"=70305038",Y77:Y119),2)</f>
        <v>2546.7600000000002</v>
      </c>
      <c r="AM121" s="3"/>
      <c r="AN121" s="3"/>
      <c r="AO121" s="3">
        <f t="shared" ref="AO121:BD121" si="109">ROUND(BX121,2)</f>
        <v>0</v>
      </c>
      <c r="AP121" s="3">
        <f t="shared" si="109"/>
        <v>0</v>
      </c>
      <c r="AQ121" s="3">
        <f t="shared" si="109"/>
        <v>0</v>
      </c>
      <c r="AR121" s="3">
        <f t="shared" si="109"/>
        <v>291470.93</v>
      </c>
      <c r="AS121" s="3">
        <f t="shared" si="109"/>
        <v>291470.93</v>
      </c>
      <c r="AT121" s="3">
        <f t="shared" si="109"/>
        <v>0</v>
      </c>
      <c r="AU121" s="3">
        <f t="shared" si="109"/>
        <v>0</v>
      </c>
      <c r="AV121" s="3">
        <f t="shared" si="109"/>
        <v>281982.82</v>
      </c>
      <c r="AW121" s="3">
        <f t="shared" si="109"/>
        <v>281982.82</v>
      </c>
      <c r="AX121" s="3">
        <f t="shared" si="109"/>
        <v>0</v>
      </c>
      <c r="AY121" s="3">
        <f t="shared" si="109"/>
        <v>281982.82</v>
      </c>
      <c r="AZ121" s="3">
        <f t="shared" si="109"/>
        <v>0</v>
      </c>
      <c r="BA121" s="3">
        <f t="shared" si="109"/>
        <v>0</v>
      </c>
      <c r="BB121" s="3">
        <f t="shared" si="109"/>
        <v>0</v>
      </c>
      <c r="BC121" s="3">
        <f t="shared" si="109"/>
        <v>0</v>
      </c>
      <c r="BD121" s="3">
        <f t="shared" si="109"/>
        <v>0</v>
      </c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>
        <f>ROUND(SUMIF(AA77:AA119,"=70305038",FQ77:FQ119),2)</f>
        <v>0</v>
      </c>
      <c r="BY121" s="3">
        <f>ROUND(SUMIF(AA77:AA119,"=70305038",FR77:FR119),2)</f>
        <v>0</v>
      </c>
      <c r="BZ121" s="3">
        <f>ROUND(SUMIF(AA77:AA119,"=70305038",GL77:GL119),2)</f>
        <v>0</v>
      </c>
      <c r="CA121" s="3">
        <f>ROUND(SUMIF(AA77:AA119,"=70305038",GM77:GM119),2)</f>
        <v>291470.93</v>
      </c>
      <c r="CB121" s="3">
        <f>ROUND(SUMIF(AA77:AA119,"=70305038",GN77:GN119),2)</f>
        <v>291470.93</v>
      </c>
      <c r="CC121" s="3">
        <f>ROUND(SUMIF(AA77:AA119,"=70305038",GO77:GO119),2)</f>
        <v>0</v>
      </c>
      <c r="CD121" s="3">
        <f>ROUND(SUMIF(AA77:AA119,"=70305038",GP77:GP119),2)</f>
        <v>0</v>
      </c>
      <c r="CE121" s="3">
        <f>AC121-BX121</f>
        <v>281982.82</v>
      </c>
      <c r="CF121" s="3">
        <f>AC121-BY121</f>
        <v>281982.82</v>
      </c>
      <c r="CG121" s="3">
        <f>BX121-BZ121</f>
        <v>0</v>
      </c>
      <c r="CH121" s="3">
        <f>AC121-BX121-BY121+BZ121</f>
        <v>281982.82</v>
      </c>
      <c r="CI121" s="3">
        <f>BY121-BZ121</f>
        <v>0</v>
      </c>
      <c r="CJ121" s="3">
        <f>ROUND(SUMIF(AA77:AA119,"=70305038",GX77:GX119),2)</f>
        <v>0</v>
      </c>
      <c r="CK121" s="3">
        <f>ROUND(SUMIF(AA77:AA119,"=70305038",GY77:GY119),2)</f>
        <v>0</v>
      </c>
      <c r="CL121" s="3">
        <f>ROUND(SUMIF(AA77:AA119,"=70305038",GZ77:GZ119),2)</f>
        <v>0</v>
      </c>
      <c r="CM121" s="3">
        <f>ROUND(SUMIF(AA77:AA119,"=70305038",HD77:HD119),2)</f>
        <v>0</v>
      </c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4">
        <f t="shared" ref="DG121:DL121" si="110">ROUND(DT121,2)</f>
        <v>1945022.11</v>
      </c>
      <c r="DH121" s="4">
        <f t="shared" si="110"/>
        <v>1804097.01</v>
      </c>
      <c r="DI121" s="4">
        <f t="shared" si="110"/>
        <v>7430.7</v>
      </c>
      <c r="DJ121" s="4">
        <f t="shared" si="110"/>
        <v>2514.11</v>
      </c>
      <c r="DK121" s="4">
        <f t="shared" si="110"/>
        <v>133494.39999999999</v>
      </c>
      <c r="DL121" s="4">
        <f t="shared" si="110"/>
        <v>0</v>
      </c>
      <c r="DM121" s="4">
        <f>DZ121</f>
        <v>239.74571349999997</v>
      </c>
      <c r="DN121" s="4">
        <f>EA121</f>
        <v>0</v>
      </c>
      <c r="DO121" s="4">
        <f>ROUND(EB121,2)</f>
        <v>0</v>
      </c>
      <c r="DP121" s="4">
        <f>ROUND(EC121,2)</f>
        <v>131130.51</v>
      </c>
      <c r="DQ121" s="4">
        <f>ROUND(ED121,2)</f>
        <v>62124.98</v>
      </c>
      <c r="DR121" s="4"/>
      <c r="DS121" s="4"/>
      <c r="DT121" s="4">
        <f>ROUND(SUMIF(AA77:AA119,"=70305036",O77:O119),2)</f>
        <v>1945022.11</v>
      </c>
      <c r="DU121" s="4">
        <f>ROUND(SUMIF(AA77:AA119,"=70305036",P77:P119),2)</f>
        <v>1804097.01</v>
      </c>
      <c r="DV121" s="4">
        <f>ROUND(SUMIF(AA77:AA119,"=70305036",Q77:Q119),2)</f>
        <v>7430.7</v>
      </c>
      <c r="DW121" s="4">
        <f>ROUND(SUMIF(AA77:AA119,"=70305036",R77:R119),2)</f>
        <v>2514.11</v>
      </c>
      <c r="DX121" s="4">
        <f>ROUND(SUMIF(AA77:AA119,"=70305036",S77:S119),2)</f>
        <v>133494.39999999999</v>
      </c>
      <c r="DY121" s="4">
        <f>ROUND(SUMIF(AA77:AA119,"=70305036",T77:T119),2)</f>
        <v>0</v>
      </c>
      <c r="DZ121" s="4">
        <f>SUMIF(AA77:AA119,"=70305036",U77:U119)</f>
        <v>239.74571349999997</v>
      </c>
      <c r="EA121" s="4">
        <f>SUMIF(AA77:AA119,"=70305036",V77:V119)</f>
        <v>0</v>
      </c>
      <c r="EB121" s="4">
        <f>ROUND(SUMIF(AA77:AA119,"=70305036",W77:W119),2)</f>
        <v>0</v>
      </c>
      <c r="EC121" s="4">
        <f>ROUND(SUMIF(AA77:AA119,"=70305036",X77:X119),2)</f>
        <v>131130.51</v>
      </c>
      <c r="ED121" s="4">
        <f>ROUND(SUMIF(AA77:AA119,"=70305036",Y77:Y119),2)</f>
        <v>62124.98</v>
      </c>
      <c r="EE121" s="4"/>
      <c r="EF121" s="4"/>
      <c r="EG121" s="4">
        <f t="shared" ref="EG121:EV121" si="111">ROUND(FP121,2)</f>
        <v>0</v>
      </c>
      <c r="EH121" s="4">
        <f t="shared" si="111"/>
        <v>0</v>
      </c>
      <c r="EI121" s="4">
        <f t="shared" si="111"/>
        <v>0</v>
      </c>
      <c r="EJ121" s="4">
        <f t="shared" si="111"/>
        <v>2142300.1800000002</v>
      </c>
      <c r="EK121" s="4">
        <f t="shared" si="111"/>
        <v>2142300.1800000002</v>
      </c>
      <c r="EL121" s="4">
        <f t="shared" si="111"/>
        <v>0</v>
      </c>
      <c r="EM121" s="4">
        <f t="shared" si="111"/>
        <v>0</v>
      </c>
      <c r="EN121" s="4">
        <f t="shared" si="111"/>
        <v>1804097.01</v>
      </c>
      <c r="EO121" s="4">
        <f t="shared" si="111"/>
        <v>1804097.01</v>
      </c>
      <c r="EP121" s="4">
        <f t="shared" si="111"/>
        <v>0</v>
      </c>
      <c r="EQ121" s="4">
        <f t="shared" si="111"/>
        <v>1804097.01</v>
      </c>
      <c r="ER121" s="4">
        <f t="shared" si="111"/>
        <v>0</v>
      </c>
      <c r="ES121" s="4">
        <f t="shared" si="111"/>
        <v>0</v>
      </c>
      <c r="ET121" s="4">
        <f t="shared" si="111"/>
        <v>0</v>
      </c>
      <c r="EU121" s="4">
        <f t="shared" si="111"/>
        <v>0</v>
      </c>
      <c r="EV121" s="4">
        <f t="shared" si="111"/>
        <v>0</v>
      </c>
      <c r="EW121" s="4"/>
      <c r="EX121" s="4"/>
      <c r="EY121" s="4"/>
      <c r="EZ121" s="4"/>
      <c r="FA121" s="4"/>
      <c r="FB121" s="4"/>
      <c r="FC121" s="4"/>
      <c r="FD121" s="4"/>
      <c r="FE121" s="4"/>
      <c r="FF121" s="4"/>
      <c r="FG121" s="4"/>
      <c r="FH121" s="4"/>
      <c r="FI121" s="4"/>
      <c r="FJ121" s="4"/>
      <c r="FK121" s="4"/>
      <c r="FL121" s="4"/>
      <c r="FM121" s="4"/>
      <c r="FN121" s="4"/>
      <c r="FO121" s="4"/>
      <c r="FP121" s="4">
        <f>ROUND(SUMIF(AA77:AA119,"=70305036",FQ77:FQ119),2)</f>
        <v>0</v>
      </c>
      <c r="FQ121" s="4">
        <f>ROUND(SUMIF(AA77:AA119,"=70305036",FR77:FR119),2)</f>
        <v>0</v>
      </c>
      <c r="FR121" s="4">
        <f>ROUND(SUMIF(AA77:AA119,"=70305036",GL77:GL119),2)</f>
        <v>0</v>
      </c>
      <c r="FS121" s="4">
        <f>ROUND(SUMIF(AA77:AA119,"=70305036",GM77:GM119),2)</f>
        <v>2142300.1800000002</v>
      </c>
      <c r="FT121" s="4">
        <f>ROUND(SUMIF(AA77:AA119,"=70305036",GN77:GN119),2)</f>
        <v>2142300.1800000002</v>
      </c>
      <c r="FU121" s="4">
        <f>ROUND(SUMIF(AA77:AA119,"=70305036",GO77:GO119),2)</f>
        <v>0</v>
      </c>
      <c r="FV121" s="4">
        <f>ROUND(SUMIF(AA77:AA119,"=70305036",GP77:GP119),2)</f>
        <v>0</v>
      </c>
      <c r="FW121" s="4">
        <f>DU121-FP121</f>
        <v>1804097.01</v>
      </c>
      <c r="FX121" s="4">
        <f>DU121-FQ121</f>
        <v>1804097.01</v>
      </c>
      <c r="FY121" s="4">
        <f>FP121-FR121</f>
        <v>0</v>
      </c>
      <c r="FZ121" s="4">
        <f>DU121-FP121-FQ121+FR121</f>
        <v>1804097.01</v>
      </c>
      <c r="GA121" s="4">
        <f>FQ121-FR121</f>
        <v>0</v>
      </c>
      <c r="GB121" s="4">
        <f>ROUND(SUMIF(AA77:AA119,"=70305036",GX77:GX119),2)</f>
        <v>0</v>
      </c>
      <c r="GC121" s="4">
        <f>ROUND(SUMIF(AA77:AA119,"=70305036",GY77:GY119),2)</f>
        <v>0</v>
      </c>
      <c r="GD121" s="4">
        <f>ROUND(SUMIF(AA77:AA119,"=70305036",GZ77:GZ119),2)</f>
        <v>0</v>
      </c>
      <c r="GE121" s="4">
        <f>ROUND(SUMIF(AA77:AA119,"=70305036",HD77:HD119),2)</f>
        <v>0</v>
      </c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>
        <v>0</v>
      </c>
    </row>
    <row r="123" spans="1:255">
      <c r="A123" s="5">
        <v>50</v>
      </c>
      <c r="B123" s="5">
        <v>0</v>
      </c>
      <c r="C123" s="5">
        <v>0</v>
      </c>
      <c r="D123" s="5">
        <v>1</v>
      </c>
      <c r="E123" s="5">
        <v>201</v>
      </c>
      <c r="F123" s="5">
        <f>ROUND(Source!O121,O123)</f>
        <v>285408.58</v>
      </c>
      <c r="G123" s="5" t="s">
        <v>64</v>
      </c>
      <c r="H123" s="5" t="s">
        <v>65</v>
      </c>
      <c r="I123" s="5"/>
      <c r="J123" s="5"/>
      <c r="K123" s="5">
        <v>201</v>
      </c>
      <c r="L123" s="5">
        <v>1</v>
      </c>
      <c r="M123" s="5">
        <v>3</v>
      </c>
      <c r="N123" s="5" t="s">
        <v>4</v>
      </c>
      <c r="O123" s="5">
        <v>2</v>
      </c>
      <c r="P123" s="5">
        <f>ROUND(Source!DG121,O123)</f>
        <v>1945022.11</v>
      </c>
      <c r="Q123" s="5"/>
      <c r="R123" s="5"/>
      <c r="S123" s="5"/>
      <c r="T123" s="5"/>
      <c r="U123" s="5"/>
      <c r="V123" s="5"/>
      <c r="W123" s="5">
        <v>285408.58</v>
      </c>
      <c r="X123" s="5">
        <v>1</v>
      </c>
      <c r="Y123" s="5">
        <v>285408.58</v>
      </c>
      <c r="Z123" s="5">
        <v>1945022.11</v>
      </c>
      <c r="AA123" s="5">
        <v>1</v>
      </c>
      <c r="AB123" s="5">
        <v>1945022.11</v>
      </c>
    </row>
    <row r="124" spans="1:255">
      <c r="A124" s="5">
        <v>50</v>
      </c>
      <c r="B124" s="5">
        <v>0</v>
      </c>
      <c r="C124" s="5">
        <v>0</v>
      </c>
      <c r="D124" s="5">
        <v>1</v>
      </c>
      <c r="E124" s="5">
        <v>202</v>
      </c>
      <c r="F124" s="5">
        <f>ROUND(Source!P121,O124)</f>
        <v>281982.82</v>
      </c>
      <c r="G124" s="5" t="s">
        <v>66</v>
      </c>
      <c r="H124" s="5" t="s">
        <v>67</v>
      </c>
      <c r="I124" s="5"/>
      <c r="J124" s="5"/>
      <c r="K124" s="5">
        <v>202</v>
      </c>
      <c r="L124" s="5">
        <v>2</v>
      </c>
      <c r="M124" s="5">
        <v>3</v>
      </c>
      <c r="N124" s="5" t="s">
        <v>4</v>
      </c>
      <c r="O124" s="5">
        <v>2</v>
      </c>
      <c r="P124" s="5">
        <f>ROUND(Source!DH121,O124)</f>
        <v>1804097.01</v>
      </c>
      <c r="Q124" s="5"/>
      <c r="R124" s="5"/>
      <c r="S124" s="5"/>
      <c r="T124" s="5"/>
      <c r="U124" s="5"/>
      <c r="V124" s="5"/>
      <c r="W124" s="5">
        <v>281982.82</v>
      </c>
      <c r="X124" s="5">
        <v>1</v>
      </c>
      <c r="Y124" s="5">
        <v>281982.82</v>
      </c>
      <c r="Z124" s="5">
        <v>1804097.01</v>
      </c>
      <c r="AA124" s="5">
        <v>1</v>
      </c>
      <c r="AB124" s="5">
        <v>1804097.01</v>
      </c>
    </row>
    <row r="125" spans="1:255">
      <c r="A125" s="5">
        <v>50</v>
      </c>
      <c r="B125" s="5">
        <v>0</v>
      </c>
      <c r="C125" s="5">
        <v>0</v>
      </c>
      <c r="D125" s="5">
        <v>1</v>
      </c>
      <c r="E125" s="5">
        <v>222</v>
      </c>
      <c r="F125" s="5">
        <f>ROUND(Source!AO121,O125)</f>
        <v>0</v>
      </c>
      <c r="G125" s="5" t="s">
        <v>68</v>
      </c>
      <c r="H125" s="5" t="s">
        <v>69</v>
      </c>
      <c r="I125" s="5"/>
      <c r="J125" s="5"/>
      <c r="K125" s="5">
        <v>222</v>
      </c>
      <c r="L125" s="5">
        <v>3</v>
      </c>
      <c r="M125" s="5">
        <v>3</v>
      </c>
      <c r="N125" s="5" t="s">
        <v>4</v>
      </c>
      <c r="O125" s="5">
        <v>2</v>
      </c>
      <c r="P125" s="5">
        <f>ROUND(Source!EG121,O125)</f>
        <v>0</v>
      </c>
      <c r="Q125" s="5"/>
      <c r="R125" s="5"/>
      <c r="S125" s="5"/>
      <c r="T125" s="5"/>
      <c r="U125" s="5"/>
      <c r="V125" s="5"/>
      <c r="W125" s="5">
        <v>0</v>
      </c>
      <c r="X125" s="5">
        <v>1</v>
      </c>
      <c r="Y125" s="5">
        <v>0</v>
      </c>
      <c r="Z125" s="5">
        <v>0</v>
      </c>
      <c r="AA125" s="5">
        <v>1</v>
      </c>
      <c r="AB125" s="5">
        <v>0</v>
      </c>
    </row>
    <row r="126" spans="1:255">
      <c r="A126" s="5">
        <v>50</v>
      </c>
      <c r="B126" s="5">
        <v>0</v>
      </c>
      <c r="C126" s="5">
        <v>0</v>
      </c>
      <c r="D126" s="5">
        <v>1</v>
      </c>
      <c r="E126" s="5">
        <v>225</v>
      </c>
      <c r="F126" s="5">
        <f>ROUND(Source!AV121,O126)</f>
        <v>281982.82</v>
      </c>
      <c r="G126" s="5" t="s">
        <v>70</v>
      </c>
      <c r="H126" s="5" t="s">
        <v>71</v>
      </c>
      <c r="I126" s="5"/>
      <c r="J126" s="5"/>
      <c r="K126" s="5">
        <v>225</v>
      </c>
      <c r="L126" s="5">
        <v>4</v>
      </c>
      <c r="M126" s="5">
        <v>3</v>
      </c>
      <c r="N126" s="5" t="s">
        <v>4</v>
      </c>
      <c r="O126" s="5">
        <v>2</v>
      </c>
      <c r="P126" s="5">
        <f>ROUND(Source!EN121,O126)</f>
        <v>1804097.01</v>
      </c>
      <c r="Q126" s="5"/>
      <c r="R126" s="5"/>
      <c r="S126" s="5"/>
      <c r="T126" s="5"/>
      <c r="U126" s="5"/>
      <c r="V126" s="5"/>
      <c r="W126" s="5">
        <v>281982.82</v>
      </c>
      <c r="X126" s="5">
        <v>1</v>
      </c>
      <c r="Y126" s="5">
        <v>281982.82</v>
      </c>
      <c r="Z126" s="5">
        <v>1804097.01</v>
      </c>
      <c r="AA126" s="5">
        <v>1</v>
      </c>
      <c r="AB126" s="5">
        <v>1804097.01</v>
      </c>
    </row>
    <row r="127" spans="1:255">
      <c r="A127" s="5">
        <v>50</v>
      </c>
      <c r="B127" s="5">
        <v>0</v>
      </c>
      <c r="C127" s="5">
        <v>0</v>
      </c>
      <c r="D127" s="5">
        <v>1</v>
      </c>
      <c r="E127" s="5">
        <v>226</v>
      </c>
      <c r="F127" s="5">
        <f>ROUND(Source!AW121,O127)</f>
        <v>281982.82</v>
      </c>
      <c r="G127" s="5" t="s">
        <v>72</v>
      </c>
      <c r="H127" s="5" t="s">
        <v>73</v>
      </c>
      <c r="I127" s="5"/>
      <c r="J127" s="5"/>
      <c r="K127" s="5">
        <v>226</v>
      </c>
      <c r="L127" s="5">
        <v>5</v>
      </c>
      <c r="M127" s="5">
        <v>3</v>
      </c>
      <c r="N127" s="5" t="s">
        <v>4</v>
      </c>
      <c r="O127" s="5">
        <v>2</v>
      </c>
      <c r="P127" s="5">
        <f>ROUND(Source!EO121,O127)</f>
        <v>1804097.01</v>
      </c>
      <c r="Q127" s="5"/>
      <c r="R127" s="5"/>
      <c r="S127" s="5"/>
      <c r="T127" s="5"/>
      <c r="U127" s="5"/>
      <c r="V127" s="5"/>
      <c r="W127" s="5">
        <v>281982.82</v>
      </c>
      <c r="X127" s="5">
        <v>1</v>
      </c>
      <c r="Y127" s="5">
        <v>281982.82</v>
      </c>
      <c r="Z127" s="5">
        <v>1804097.01</v>
      </c>
      <c r="AA127" s="5">
        <v>1</v>
      </c>
      <c r="AB127" s="5">
        <v>1804097.01</v>
      </c>
    </row>
    <row r="128" spans="1:255">
      <c r="A128" s="5">
        <v>50</v>
      </c>
      <c r="B128" s="5">
        <v>0</v>
      </c>
      <c r="C128" s="5">
        <v>0</v>
      </c>
      <c r="D128" s="5">
        <v>1</v>
      </c>
      <c r="E128" s="5">
        <v>227</v>
      </c>
      <c r="F128" s="5">
        <f>ROUND(Source!AX121,O128)</f>
        <v>0</v>
      </c>
      <c r="G128" s="5" t="s">
        <v>74</v>
      </c>
      <c r="H128" s="5" t="s">
        <v>75</v>
      </c>
      <c r="I128" s="5"/>
      <c r="J128" s="5"/>
      <c r="K128" s="5">
        <v>227</v>
      </c>
      <c r="L128" s="5">
        <v>6</v>
      </c>
      <c r="M128" s="5">
        <v>3</v>
      </c>
      <c r="N128" s="5" t="s">
        <v>4</v>
      </c>
      <c r="O128" s="5">
        <v>2</v>
      </c>
      <c r="P128" s="5">
        <f>ROUND(Source!EP121,O128)</f>
        <v>0</v>
      </c>
      <c r="Q128" s="5"/>
      <c r="R128" s="5"/>
      <c r="S128" s="5"/>
      <c r="T128" s="5"/>
      <c r="U128" s="5"/>
      <c r="V128" s="5"/>
      <c r="W128" s="5">
        <v>0</v>
      </c>
      <c r="X128" s="5">
        <v>1</v>
      </c>
      <c r="Y128" s="5">
        <v>0</v>
      </c>
      <c r="Z128" s="5">
        <v>0</v>
      </c>
      <c r="AA128" s="5">
        <v>1</v>
      </c>
      <c r="AB128" s="5">
        <v>0</v>
      </c>
    </row>
    <row r="129" spans="1:28">
      <c r="A129" s="5">
        <v>50</v>
      </c>
      <c r="B129" s="5">
        <v>0</v>
      </c>
      <c r="C129" s="5">
        <v>0</v>
      </c>
      <c r="D129" s="5">
        <v>1</v>
      </c>
      <c r="E129" s="5">
        <v>228</v>
      </c>
      <c r="F129" s="5">
        <f>ROUND(Source!AY121,O129)</f>
        <v>281982.82</v>
      </c>
      <c r="G129" s="5" t="s">
        <v>76</v>
      </c>
      <c r="H129" s="5" t="s">
        <v>77</v>
      </c>
      <c r="I129" s="5"/>
      <c r="J129" s="5"/>
      <c r="K129" s="5">
        <v>228</v>
      </c>
      <c r="L129" s="5">
        <v>7</v>
      </c>
      <c r="M129" s="5">
        <v>3</v>
      </c>
      <c r="N129" s="5" t="s">
        <v>4</v>
      </c>
      <c r="O129" s="5">
        <v>2</v>
      </c>
      <c r="P129" s="5">
        <f>ROUND(Source!EQ121,O129)</f>
        <v>1804097.01</v>
      </c>
      <c r="Q129" s="5"/>
      <c r="R129" s="5"/>
      <c r="S129" s="5"/>
      <c r="T129" s="5"/>
      <c r="U129" s="5"/>
      <c r="V129" s="5"/>
      <c r="W129" s="5">
        <v>281982.82</v>
      </c>
      <c r="X129" s="5">
        <v>1</v>
      </c>
      <c r="Y129" s="5">
        <v>281982.82</v>
      </c>
      <c r="Z129" s="5">
        <v>1804097.01</v>
      </c>
      <c r="AA129" s="5">
        <v>1</v>
      </c>
      <c r="AB129" s="5">
        <v>1804097.01</v>
      </c>
    </row>
    <row r="130" spans="1:28">
      <c r="A130" s="5">
        <v>50</v>
      </c>
      <c r="B130" s="5">
        <v>0</v>
      </c>
      <c r="C130" s="5">
        <v>0</v>
      </c>
      <c r="D130" s="5">
        <v>1</v>
      </c>
      <c r="E130" s="5">
        <v>216</v>
      </c>
      <c r="F130" s="5">
        <f>ROUND(Source!AP121,O130)</f>
        <v>0</v>
      </c>
      <c r="G130" s="5" t="s">
        <v>78</v>
      </c>
      <c r="H130" s="5" t="s">
        <v>79</v>
      </c>
      <c r="I130" s="5"/>
      <c r="J130" s="5"/>
      <c r="K130" s="5">
        <v>216</v>
      </c>
      <c r="L130" s="5">
        <v>8</v>
      </c>
      <c r="M130" s="5">
        <v>3</v>
      </c>
      <c r="N130" s="5" t="s">
        <v>4</v>
      </c>
      <c r="O130" s="5">
        <v>2</v>
      </c>
      <c r="P130" s="5">
        <f>ROUND(Source!EH121,O130)</f>
        <v>0</v>
      </c>
      <c r="Q130" s="5"/>
      <c r="R130" s="5"/>
      <c r="S130" s="5"/>
      <c r="T130" s="5"/>
      <c r="U130" s="5"/>
      <c r="V130" s="5"/>
      <c r="W130" s="5">
        <v>0</v>
      </c>
      <c r="X130" s="5">
        <v>1</v>
      </c>
      <c r="Y130" s="5">
        <v>0</v>
      </c>
      <c r="Z130" s="5">
        <v>0</v>
      </c>
      <c r="AA130" s="5">
        <v>1</v>
      </c>
      <c r="AB130" s="5">
        <v>0</v>
      </c>
    </row>
    <row r="131" spans="1:28">
      <c r="A131" s="5">
        <v>50</v>
      </c>
      <c r="B131" s="5">
        <v>0</v>
      </c>
      <c r="C131" s="5">
        <v>0</v>
      </c>
      <c r="D131" s="5">
        <v>1</v>
      </c>
      <c r="E131" s="5">
        <v>223</v>
      </c>
      <c r="F131" s="5">
        <f>ROUND(Source!AQ121,O131)</f>
        <v>0</v>
      </c>
      <c r="G131" s="5" t="s">
        <v>80</v>
      </c>
      <c r="H131" s="5" t="s">
        <v>81</v>
      </c>
      <c r="I131" s="5"/>
      <c r="J131" s="5"/>
      <c r="K131" s="5">
        <v>223</v>
      </c>
      <c r="L131" s="5">
        <v>9</v>
      </c>
      <c r="M131" s="5">
        <v>3</v>
      </c>
      <c r="N131" s="5" t="s">
        <v>4</v>
      </c>
      <c r="O131" s="5">
        <v>2</v>
      </c>
      <c r="P131" s="5">
        <f>ROUND(Source!EI121,O131)</f>
        <v>0</v>
      </c>
      <c r="Q131" s="5"/>
      <c r="R131" s="5"/>
      <c r="S131" s="5"/>
      <c r="T131" s="5"/>
      <c r="U131" s="5"/>
      <c r="V131" s="5"/>
      <c r="W131" s="5">
        <v>0</v>
      </c>
      <c r="X131" s="5">
        <v>1</v>
      </c>
      <c r="Y131" s="5">
        <v>0</v>
      </c>
      <c r="Z131" s="5">
        <v>0</v>
      </c>
      <c r="AA131" s="5">
        <v>1</v>
      </c>
      <c r="AB131" s="5">
        <v>0</v>
      </c>
    </row>
    <row r="132" spans="1:28">
      <c r="A132" s="5">
        <v>50</v>
      </c>
      <c r="B132" s="5">
        <v>0</v>
      </c>
      <c r="C132" s="5">
        <v>0</v>
      </c>
      <c r="D132" s="5">
        <v>1</v>
      </c>
      <c r="E132" s="5">
        <v>229</v>
      </c>
      <c r="F132" s="5">
        <f>ROUND(Source!AZ121,O132)</f>
        <v>0</v>
      </c>
      <c r="G132" s="5" t="s">
        <v>82</v>
      </c>
      <c r="H132" s="5" t="s">
        <v>83</v>
      </c>
      <c r="I132" s="5"/>
      <c r="J132" s="5"/>
      <c r="K132" s="5">
        <v>229</v>
      </c>
      <c r="L132" s="5">
        <v>10</v>
      </c>
      <c r="M132" s="5">
        <v>3</v>
      </c>
      <c r="N132" s="5" t="s">
        <v>4</v>
      </c>
      <c r="O132" s="5">
        <v>2</v>
      </c>
      <c r="P132" s="5">
        <f>ROUND(Source!ER121,O132)</f>
        <v>0</v>
      </c>
      <c r="Q132" s="5"/>
      <c r="R132" s="5"/>
      <c r="S132" s="5"/>
      <c r="T132" s="5"/>
      <c r="U132" s="5"/>
      <c r="V132" s="5"/>
      <c r="W132" s="5">
        <v>0</v>
      </c>
      <c r="X132" s="5">
        <v>1</v>
      </c>
      <c r="Y132" s="5">
        <v>0</v>
      </c>
      <c r="Z132" s="5">
        <v>0</v>
      </c>
      <c r="AA132" s="5">
        <v>1</v>
      </c>
      <c r="AB132" s="5">
        <v>0</v>
      </c>
    </row>
    <row r="133" spans="1:28">
      <c r="A133" s="5">
        <v>50</v>
      </c>
      <c r="B133" s="5">
        <v>0</v>
      </c>
      <c r="C133" s="5">
        <v>0</v>
      </c>
      <c r="D133" s="5">
        <v>1</v>
      </c>
      <c r="E133" s="5">
        <v>203</v>
      </c>
      <c r="F133" s="5">
        <f>ROUND(Source!Q121,O133)</f>
        <v>565.37</v>
      </c>
      <c r="G133" s="5" t="s">
        <v>84</v>
      </c>
      <c r="H133" s="5" t="s">
        <v>85</v>
      </c>
      <c r="I133" s="5"/>
      <c r="J133" s="5"/>
      <c r="K133" s="5">
        <v>203</v>
      </c>
      <c r="L133" s="5">
        <v>11</v>
      </c>
      <c r="M133" s="5">
        <v>3</v>
      </c>
      <c r="N133" s="5" t="s">
        <v>4</v>
      </c>
      <c r="O133" s="5">
        <v>2</v>
      </c>
      <c r="P133" s="5">
        <f>ROUND(Source!DI121,O133)</f>
        <v>7430.7</v>
      </c>
      <c r="Q133" s="5"/>
      <c r="R133" s="5"/>
      <c r="S133" s="5"/>
      <c r="T133" s="5"/>
      <c r="U133" s="5"/>
      <c r="V133" s="5"/>
      <c r="W133" s="5">
        <v>565.37</v>
      </c>
      <c r="X133" s="5">
        <v>1</v>
      </c>
      <c r="Y133" s="5">
        <v>565.37</v>
      </c>
      <c r="Z133" s="5">
        <v>7430.7</v>
      </c>
      <c r="AA133" s="5">
        <v>1</v>
      </c>
      <c r="AB133" s="5">
        <v>7430.7</v>
      </c>
    </row>
    <row r="134" spans="1:28">
      <c r="A134" s="5">
        <v>50</v>
      </c>
      <c r="B134" s="5">
        <v>0</v>
      </c>
      <c r="C134" s="5">
        <v>0</v>
      </c>
      <c r="D134" s="5">
        <v>1</v>
      </c>
      <c r="E134" s="5">
        <v>231</v>
      </c>
      <c r="F134" s="5">
        <f>ROUND(Source!BB121,O134)</f>
        <v>0</v>
      </c>
      <c r="G134" s="5" t="s">
        <v>86</v>
      </c>
      <c r="H134" s="5" t="s">
        <v>87</v>
      </c>
      <c r="I134" s="5"/>
      <c r="J134" s="5"/>
      <c r="K134" s="5">
        <v>231</v>
      </c>
      <c r="L134" s="5">
        <v>12</v>
      </c>
      <c r="M134" s="5">
        <v>3</v>
      </c>
      <c r="N134" s="5" t="s">
        <v>4</v>
      </c>
      <c r="O134" s="5">
        <v>2</v>
      </c>
      <c r="P134" s="5">
        <f>ROUND(Source!ET121,O134)</f>
        <v>0</v>
      </c>
      <c r="Q134" s="5"/>
      <c r="R134" s="5"/>
      <c r="S134" s="5"/>
      <c r="T134" s="5"/>
      <c r="U134" s="5"/>
      <c r="V134" s="5"/>
      <c r="W134" s="5">
        <v>0</v>
      </c>
      <c r="X134" s="5">
        <v>1</v>
      </c>
      <c r="Y134" s="5">
        <v>0</v>
      </c>
      <c r="Z134" s="5">
        <v>0</v>
      </c>
      <c r="AA134" s="5">
        <v>1</v>
      </c>
      <c r="AB134" s="5">
        <v>0</v>
      </c>
    </row>
    <row r="135" spans="1:28">
      <c r="A135" s="5">
        <v>50</v>
      </c>
      <c r="B135" s="5">
        <v>0</v>
      </c>
      <c r="C135" s="5">
        <v>0</v>
      </c>
      <c r="D135" s="5">
        <v>1</v>
      </c>
      <c r="E135" s="5">
        <v>204</v>
      </c>
      <c r="F135" s="5">
        <f>ROUND(Source!R121,O135)</f>
        <v>53.87</v>
      </c>
      <c r="G135" s="5" t="s">
        <v>88</v>
      </c>
      <c r="H135" s="5" t="s">
        <v>89</v>
      </c>
      <c r="I135" s="5"/>
      <c r="J135" s="5"/>
      <c r="K135" s="5">
        <v>204</v>
      </c>
      <c r="L135" s="5">
        <v>13</v>
      </c>
      <c r="M135" s="5">
        <v>3</v>
      </c>
      <c r="N135" s="5" t="s">
        <v>4</v>
      </c>
      <c r="O135" s="5">
        <v>2</v>
      </c>
      <c r="P135" s="5">
        <f>ROUND(Source!DJ121,O135)</f>
        <v>2514.11</v>
      </c>
      <c r="Q135" s="5"/>
      <c r="R135" s="5"/>
      <c r="S135" s="5"/>
      <c r="T135" s="5"/>
      <c r="U135" s="5"/>
      <c r="V135" s="5"/>
      <c r="W135" s="5">
        <v>53.87</v>
      </c>
      <c r="X135" s="5">
        <v>1</v>
      </c>
      <c r="Y135" s="5">
        <v>53.87</v>
      </c>
      <c r="Z135" s="5">
        <v>2514.11</v>
      </c>
      <c r="AA135" s="5">
        <v>1</v>
      </c>
      <c r="AB135" s="5">
        <v>2514.11</v>
      </c>
    </row>
    <row r="136" spans="1:28">
      <c r="A136" s="5">
        <v>50</v>
      </c>
      <c r="B136" s="5">
        <v>0</v>
      </c>
      <c r="C136" s="5">
        <v>0</v>
      </c>
      <c r="D136" s="5">
        <v>1</v>
      </c>
      <c r="E136" s="5">
        <v>205</v>
      </c>
      <c r="F136" s="5">
        <f>ROUND(Source!S121,O136)</f>
        <v>2860.39</v>
      </c>
      <c r="G136" s="5" t="s">
        <v>90</v>
      </c>
      <c r="H136" s="5" t="s">
        <v>91</v>
      </c>
      <c r="I136" s="5"/>
      <c r="J136" s="5"/>
      <c r="K136" s="5">
        <v>205</v>
      </c>
      <c r="L136" s="5">
        <v>14</v>
      </c>
      <c r="M136" s="5">
        <v>3</v>
      </c>
      <c r="N136" s="5" t="s">
        <v>4</v>
      </c>
      <c r="O136" s="5">
        <v>2</v>
      </c>
      <c r="P136" s="5">
        <f>ROUND(Source!DK121,O136)</f>
        <v>133494.39999999999</v>
      </c>
      <c r="Q136" s="5"/>
      <c r="R136" s="5"/>
      <c r="S136" s="5"/>
      <c r="T136" s="5"/>
      <c r="U136" s="5"/>
      <c r="V136" s="5"/>
      <c r="W136" s="5">
        <v>2860.39</v>
      </c>
      <c r="X136" s="5">
        <v>1</v>
      </c>
      <c r="Y136" s="5">
        <v>2860.39</v>
      </c>
      <c r="Z136" s="5">
        <v>133494.39999999999</v>
      </c>
      <c r="AA136" s="5">
        <v>1</v>
      </c>
      <c r="AB136" s="5">
        <v>133494.39999999999</v>
      </c>
    </row>
    <row r="137" spans="1:28">
      <c r="A137" s="5">
        <v>50</v>
      </c>
      <c r="B137" s="5">
        <v>0</v>
      </c>
      <c r="C137" s="5">
        <v>0</v>
      </c>
      <c r="D137" s="5">
        <v>1</v>
      </c>
      <c r="E137" s="5">
        <v>232</v>
      </c>
      <c r="F137" s="5">
        <f>ROUND(Source!BC121,O137)</f>
        <v>0</v>
      </c>
      <c r="G137" s="5" t="s">
        <v>92</v>
      </c>
      <c r="H137" s="5" t="s">
        <v>93</v>
      </c>
      <c r="I137" s="5"/>
      <c r="J137" s="5"/>
      <c r="K137" s="5">
        <v>232</v>
      </c>
      <c r="L137" s="5">
        <v>15</v>
      </c>
      <c r="M137" s="5">
        <v>3</v>
      </c>
      <c r="N137" s="5" t="s">
        <v>4</v>
      </c>
      <c r="O137" s="5">
        <v>2</v>
      </c>
      <c r="P137" s="5">
        <f>ROUND(Source!EU121,O137)</f>
        <v>0</v>
      </c>
      <c r="Q137" s="5"/>
      <c r="R137" s="5"/>
      <c r="S137" s="5"/>
      <c r="T137" s="5"/>
      <c r="U137" s="5"/>
      <c r="V137" s="5"/>
      <c r="W137" s="5">
        <v>0</v>
      </c>
      <c r="X137" s="5">
        <v>1</v>
      </c>
      <c r="Y137" s="5">
        <v>0</v>
      </c>
      <c r="Z137" s="5">
        <v>0</v>
      </c>
      <c r="AA137" s="5">
        <v>1</v>
      </c>
      <c r="AB137" s="5">
        <v>0</v>
      </c>
    </row>
    <row r="138" spans="1:28">
      <c r="A138" s="5">
        <v>50</v>
      </c>
      <c r="B138" s="5">
        <v>0</v>
      </c>
      <c r="C138" s="5">
        <v>0</v>
      </c>
      <c r="D138" s="5">
        <v>1</v>
      </c>
      <c r="E138" s="5">
        <v>214</v>
      </c>
      <c r="F138" s="5">
        <f>ROUND(Source!AS121,O138)</f>
        <v>291470.93</v>
      </c>
      <c r="G138" s="5" t="s">
        <v>94</v>
      </c>
      <c r="H138" s="5" t="s">
        <v>95</v>
      </c>
      <c r="I138" s="5"/>
      <c r="J138" s="5"/>
      <c r="K138" s="5">
        <v>214</v>
      </c>
      <c r="L138" s="5">
        <v>16</v>
      </c>
      <c r="M138" s="5">
        <v>3</v>
      </c>
      <c r="N138" s="5" t="s">
        <v>4</v>
      </c>
      <c r="O138" s="5">
        <v>2</v>
      </c>
      <c r="P138" s="5">
        <f>ROUND(Source!EK121,O138)</f>
        <v>2142300.1800000002</v>
      </c>
      <c r="Q138" s="5"/>
      <c r="R138" s="5"/>
      <c r="S138" s="5"/>
      <c r="T138" s="5"/>
      <c r="U138" s="5"/>
      <c r="V138" s="5"/>
      <c r="W138" s="5">
        <v>291470.93</v>
      </c>
      <c r="X138" s="5">
        <v>1</v>
      </c>
      <c r="Y138" s="5">
        <v>291470.93</v>
      </c>
      <c r="Z138" s="5">
        <v>2142300.1800000002</v>
      </c>
      <c r="AA138" s="5">
        <v>1</v>
      </c>
      <c r="AB138" s="5">
        <v>2142300.1800000002</v>
      </c>
    </row>
    <row r="139" spans="1:28">
      <c r="A139" s="5">
        <v>50</v>
      </c>
      <c r="B139" s="5">
        <v>0</v>
      </c>
      <c r="C139" s="5">
        <v>0</v>
      </c>
      <c r="D139" s="5">
        <v>1</v>
      </c>
      <c r="E139" s="5">
        <v>215</v>
      </c>
      <c r="F139" s="5">
        <f>ROUND(Source!AT121,O139)</f>
        <v>0</v>
      </c>
      <c r="G139" s="5" t="s">
        <v>96</v>
      </c>
      <c r="H139" s="5" t="s">
        <v>97</v>
      </c>
      <c r="I139" s="5"/>
      <c r="J139" s="5"/>
      <c r="K139" s="5">
        <v>215</v>
      </c>
      <c r="L139" s="5">
        <v>17</v>
      </c>
      <c r="M139" s="5">
        <v>3</v>
      </c>
      <c r="N139" s="5" t="s">
        <v>4</v>
      </c>
      <c r="O139" s="5">
        <v>2</v>
      </c>
      <c r="P139" s="5">
        <f>ROUND(Source!EL121,O139)</f>
        <v>0</v>
      </c>
      <c r="Q139" s="5"/>
      <c r="R139" s="5"/>
      <c r="S139" s="5"/>
      <c r="T139" s="5"/>
      <c r="U139" s="5"/>
      <c r="V139" s="5"/>
      <c r="W139" s="5">
        <v>0</v>
      </c>
      <c r="X139" s="5">
        <v>1</v>
      </c>
      <c r="Y139" s="5">
        <v>0</v>
      </c>
      <c r="Z139" s="5">
        <v>0</v>
      </c>
      <c r="AA139" s="5">
        <v>1</v>
      </c>
      <c r="AB139" s="5">
        <v>0</v>
      </c>
    </row>
    <row r="140" spans="1:28">
      <c r="A140" s="5">
        <v>50</v>
      </c>
      <c r="B140" s="5">
        <v>0</v>
      </c>
      <c r="C140" s="5">
        <v>0</v>
      </c>
      <c r="D140" s="5">
        <v>1</v>
      </c>
      <c r="E140" s="5">
        <v>217</v>
      </c>
      <c r="F140" s="5">
        <f>ROUND(Source!AU121,O140)</f>
        <v>0</v>
      </c>
      <c r="G140" s="5" t="s">
        <v>98</v>
      </c>
      <c r="H140" s="5" t="s">
        <v>99</v>
      </c>
      <c r="I140" s="5"/>
      <c r="J140" s="5"/>
      <c r="K140" s="5">
        <v>217</v>
      </c>
      <c r="L140" s="5">
        <v>18</v>
      </c>
      <c r="M140" s="5">
        <v>3</v>
      </c>
      <c r="N140" s="5" t="s">
        <v>4</v>
      </c>
      <c r="O140" s="5">
        <v>2</v>
      </c>
      <c r="P140" s="5">
        <f>ROUND(Source!EM121,O140)</f>
        <v>0</v>
      </c>
      <c r="Q140" s="5"/>
      <c r="R140" s="5"/>
      <c r="S140" s="5"/>
      <c r="T140" s="5"/>
      <c r="U140" s="5"/>
      <c r="V140" s="5"/>
      <c r="W140" s="5">
        <v>0</v>
      </c>
      <c r="X140" s="5">
        <v>1</v>
      </c>
      <c r="Y140" s="5">
        <v>0</v>
      </c>
      <c r="Z140" s="5">
        <v>0</v>
      </c>
      <c r="AA140" s="5">
        <v>1</v>
      </c>
      <c r="AB140" s="5">
        <v>0</v>
      </c>
    </row>
    <row r="141" spans="1:28">
      <c r="A141" s="5">
        <v>50</v>
      </c>
      <c r="B141" s="5">
        <v>0</v>
      </c>
      <c r="C141" s="5">
        <v>0</v>
      </c>
      <c r="D141" s="5">
        <v>1</v>
      </c>
      <c r="E141" s="5">
        <v>230</v>
      </c>
      <c r="F141" s="5">
        <f>ROUND(Source!BA121,O141)</f>
        <v>0</v>
      </c>
      <c r="G141" s="5" t="s">
        <v>100</v>
      </c>
      <c r="H141" s="5" t="s">
        <v>101</v>
      </c>
      <c r="I141" s="5"/>
      <c r="J141" s="5"/>
      <c r="K141" s="5">
        <v>230</v>
      </c>
      <c r="L141" s="5">
        <v>19</v>
      </c>
      <c r="M141" s="5">
        <v>3</v>
      </c>
      <c r="N141" s="5" t="s">
        <v>4</v>
      </c>
      <c r="O141" s="5">
        <v>2</v>
      </c>
      <c r="P141" s="5">
        <f>ROUND(Source!ES121,O141)</f>
        <v>0</v>
      </c>
      <c r="Q141" s="5"/>
      <c r="R141" s="5"/>
      <c r="S141" s="5"/>
      <c r="T141" s="5"/>
      <c r="U141" s="5"/>
      <c r="V141" s="5"/>
      <c r="W141" s="5">
        <v>0</v>
      </c>
      <c r="X141" s="5">
        <v>1</v>
      </c>
      <c r="Y141" s="5">
        <v>0</v>
      </c>
      <c r="Z141" s="5">
        <v>0</v>
      </c>
      <c r="AA141" s="5">
        <v>1</v>
      </c>
      <c r="AB141" s="5">
        <v>0</v>
      </c>
    </row>
    <row r="142" spans="1:28">
      <c r="A142" s="5">
        <v>50</v>
      </c>
      <c r="B142" s="5">
        <v>0</v>
      </c>
      <c r="C142" s="5">
        <v>0</v>
      </c>
      <c r="D142" s="5">
        <v>1</v>
      </c>
      <c r="E142" s="5">
        <v>206</v>
      </c>
      <c r="F142" s="5">
        <f>ROUND(Source!T121,O142)</f>
        <v>0</v>
      </c>
      <c r="G142" s="5" t="s">
        <v>102</v>
      </c>
      <c r="H142" s="5" t="s">
        <v>103</v>
      </c>
      <c r="I142" s="5"/>
      <c r="J142" s="5"/>
      <c r="K142" s="5">
        <v>206</v>
      </c>
      <c r="L142" s="5">
        <v>20</v>
      </c>
      <c r="M142" s="5">
        <v>3</v>
      </c>
      <c r="N142" s="5" t="s">
        <v>4</v>
      </c>
      <c r="O142" s="5">
        <v>2</v>
      </c>
      <c r="P142" s="5">
        <f>ROUND(Source!DL121,O142)</f>
        <v>0</v>
      </c>
      <c r="Q142" s="5"/>
      <c r="R142" s="5"/>
      <c r="S142" s="5"/>
      <c r="T142" s="5"/>
      <c r="U142" s="5"/>
      <c r="V142" s="5"/>
      <c r="W142" s="5">
        <v>0</v>
      </c>
      <c r="X142" s="5">
        <v>1</v>
      </c>
      <c r="Y142" s="5">
        <v>0</v>
      </c>
      <c r="Z142" s="5">
        <v>0</v>
      </c>
      <c r="AA142" s="5">
        <v>1</v>
      </c>
      <c r="AB142" s="5">
        <v>0</v>
      </c>
    </row>
    <row r="143" spans="1:28">
      <c r="A143" s="5">
        <v>50</v>
      </c>
      <c r="B143" s="5">
        <v>0</v>
      </c>
      <c r="C143" s="5">
        <v>0</v>
      </c>
      <c r="D143" s="5">
        <v>1</v>
      </c>
      <c r="E143" s="5">
        <v>207</v>
      </c>
      <c r="F143" s="5">
        <f>Source!U121</f>
        <v>239.74571349999997</v>
      </c>
      <c r="G143" s="5" t="s">
        <v>104</v>
      </c>
      <c r="H143" s="5" t="s">
        <v>105</v>
      </c>
      <c r="I143" s="5"/>
      <c r="J143" s="5"/>
      <c r="K143" s="5">
        <v>207</v>
      </c>
      <c r="L143" s="5">
        <v>21</v>
      </c>
      <c r="M143" s="5">
        <v>3</v>
      </c>
      <c r="N143" s="5" t="s">
        <v>4</v>
      </c>
      <c r="O143" s="5">
        <v>-1</v>
      </c>
      <c r="P143" s="5">
        <f>Source!DM121</f>
        <v>239.74571349999997</v>
      </c>
      <c r="Q143" s="5"/>
      <c r="R143" s="5"/>
      <c r="S143" s="5"/>
      <c r="T143" s="5"/>
      <c r="U143" s="5"/>
      <c r="V143" s="5"/>
      <c r="W143" s="5">
        <v>239.74571349999999</v>
      </c>
      <c r="X143" s="5">
        <v>1</v>
      </c>
      <c r="Y143" s="5">
        <v>239.74571349999999</v>
      </c>
      <c r="Z143" s="5">
        <v>239.74571349999999</v>
      </c>
      <c r="AA143" s="5">
        <v>1</v>
      </c>
      <c r="AB143" s="5">
        <v>239.74571349999999</v>
      </c>
    </row>
    <row r="144" spans="1:28">
      <c r="A144" s="5">
        <v>50</v>
      </c>
      <c r="B144" s="5">
        <v>0</v>
      </c>
      <c r="C144" s="5">
        <v>0</v>
      </c>
      <c r="D144" s="5">
        <v>1</v>
      </c>
      <c r="E144" s="5">
        <v>208</v>
      </c>
      <c r="F144" s="5">
        <f>Source!V121</f>
        <v>0</v>
      </c>
      <c r="G144" s="5" t="s">
        <v>106</v>
      </c>
      <c r="H144" s="5" t="s">
        <v>107</v>
      </c>
      <c r="I144" s="5"/>
      <c r="J144" s="5"/>
      <c r="K144" s="5">
        <v>208</v>
      </c>
      <c r="L144" s="5">
        <v>22</v>
      </c>
      <c r="M144" s="5">
        <v>3</v>
      </c>
      <c r="N144" s="5" t="s">
        <v>4</v>
      </c>
      <c r="O144" s="5">
        <v>-1</v>
      </c>
      <c r="P144" s="5">
        <f>Source!DN121</f>
        <v>0</v>
      </c>
      <c r="Q144" s="5"/>
      <c r="R144" s="5"/>
      <c r="S144" s="5"/>
      <c r="T144" s="5"/>
      <c r="U144" s="5"/>
      <c r="V144" s="5"/>
      <c r="W144" s="5">
        <v>0</v>
      </c>
      <c r="X144" s="5">
        <v>1</v>
      </c>
      <c r="Y144" s="5">
        <v>0</v>
      </c>
      <c r="Z144" s="5">
        <v>0</v>
      </c>
      <c r="AA144" s="5">
        <v>1</v>
      </c>
      <c r="AB144" s="5">
        <v>0</v>
      </c>
    </row>
    <row r="145" spans="1:255">
      <c r="A145" s="5">
        <v>50</v>
      </c>
      <c r="B145" s="5">
        <v>0</v>
      </c>
      <c r="C145" s="5">
        <v>0</v>
      </c>
      <c r="D145" s="5">
        <v>1</v>
      </c>
      <c r="E145" s="5">
        <v>209</v>
      </c>
      <c r="F145" s="5">
        <f>ROUND(Source!W121,O145)</f>
        <v>0</v>
      </c>
      <c r="G145" s="5" t="s">
        <v>108</v>
      </c>
      <c r="H145" s="5" t="s">
        <v>109</v>
      </c>
      <c r="I145" s="5"/>
      <c r="J145" s="5"/>
      <c r="K145" s="5">
        <v>209</v>
      </c>
      <c r="L145" s="5">
        <v>23</v>
      </c>
      <c r="M145" s="5">
        <v>3</v>
      </c>
      <c r="N145" s="5" t="s">
        <v>4</v>
      </c>
      <c r="O145" s="5">
        <v>2</v>
      </c>
      <c r="P145" s="5">
        <f>ROUND(Source!DO121,O145)</f>
        <v>0</v>
      </c>
      <c r="Q145" s="5"/>
      <c r="R145" s="5"/>
      <c r="S145" s="5"/>
      <c r="T145" s="5"/>
      <c r="U145" s="5"/>
      <c r="V145" s="5"/>
      <c r="W145" s="5">
        <v>0</v>
      </c>
      <c r="X145" s="5">
        <v>1</v>
      </c>
      <c r="Y145" s="5">
        <v>0</v>
      </c>
      <c r="Z145" s="5">
        <v>0</v>
      </c>
      <c r="AA145" s="5">
        <v>1</v>
      </c>
      <c r="AB145" s="5">
        <v>0</v>
      </c>
    </row>
    <row r="146" spans="1:255">
      <c r="A146" s="5">
        <v>50</v>
      </c>
      <c r="B146" s="5">
        <v>0</v>
      </c>
      <c r="C146" s="5">
        <v>0</v>
      </c>
      <c r="D146" s="5">
        <v>1</v>
      </c>
      <c r="E146" s="5">
        <v>233</v>
      </c>
      <c r="F146" s="5">
        <f>ROUND(Source!BD121,O146)</f>
        <v>0</v>
      </c>
      <c r="G146" s="5" t="s">
        <v>110</v>
      </c>
      <c r="H146" s="5" t="s">
        <v>111</v>
      </c>
      <c r="I146" s="5"/>
      <c r="J146" s="5"/>
      <c r="K146" s="5">
        <v>233</v>
      </c>
      <c r="L146" s="5">
        <v>24</v>
      </c>
      <c r="M146" s="5">
        <v>3</v>
      </c>
      <c r="N146" s="5" t="s">
        <v>4</v>
      </c>
      <c r="O146" s="5">
        <v>2</v>
      </c>
      <c r="P146" s="5">
        <f>ROUND(Source!EV121,O146)</f>
        <v>0</v>
      </c>
      <c r="Q146" s="5"/>
      <c r="R146" s="5"/>
      <c r="S146" s="5"/>
      <c r="T146" s="5"/>
      <c r="U146" s="5"/>
      <c r="V146" s="5"/>
      <c r="W146" s="5">
        <v>0</v>
      </c>
      <c r="X146" s="5">
        <v>1</v>
      </c>
      <c r="Y146" s="5">
        <v>0</v>
      </c>
      <c r="Z146" s="5">
        <v>0</v>
      </c>
      <c r="AA146" s="5">
        <v>1</v>
      </c>
      <c r="AB146" s="5">
        <v>0</v>
      </c>
    </row>
    <row r="147" spans="1:255">
      <c r="A147" s="5">
        <v>50</v>
      </c>
      <c r="B147" s="5">
        <v>0</v>
      </c>
      <c r="C147" s="5">
        <v>0</v>
      </c>
      <c r="D147" s="5">
        <v>1</v>
      </c>
      <c r="E147" s="5">
        <v>210</v>
      </c>
      <c r="F147" s="5">
        <f>ROUND(Source!X121,O147)</f>
        <v>3421.31</v>
      </c>
      <c r="G147" s="5" t="s">
        <v>112</v>
      </c>
      <c r="H147" s="5" t="s">
        <v>113</v>
      </c>
      <c r="I147" s="5"/>
      <c r="J147" s="5"/>
      <c r="K147" s="5">
        <v>210</v>
      </c>
      <c r="L147" s="5">
        <v>25</v>
      </c>
      <c r="M147" s="5">
        <v>3</v>
      </c>
      <c r="N147" s="5" t="s">
        <v>4</v>
      </c>
      <c r="O147" s="5">
        <v>2</v>
      </c>
      <c r="P147" s="5">
        <f>ROUND(Source!DP121,O147)</f>
        <v>131130.51</v>
      </c>
      <c r="Q147" s="5"/>
      <c r="R147" s="5"/>
      <c r="S147" s="5"/>
      <c r="T147" s="5"/>
      <c r="U147" s="5"/>
      <c r="V147" s="5"/>
      <c r="W147" s="5">
        <v>3421.31</v>
      </c>
      <c r="X147" s="5">
        <v>1</v>
      </c>
      <c r="Y147" s="5">
        <v>3421.31</v>
      </c>
      <c r="Z147" s="5">
        <v>131130.51</v>
      </c>
      <c r="AA147" s="5">
        <v>1</v>
      </c>
      <c r="AB147" s="5">
        <v>131130.51</v>
      </c>
    </row>
    <row r="148" spans="1:255">
      <c r="A148" s="5">
        <v>50</v>
      </c>
      <c r="B148" s="5">
        <v>0</v>
      </c>
      <c r="C148" s="5">
        <v>0</v>
      </c>
      <c r="D148" s="5">
        <v>1</v>
      </c>
      <c r="E148" s="5">
        <v>211</v>
      </c>
      <c r="F148" s="5">
        <f>ROUND(Source!Y121,O148)</f>
        <v>2546.7600000000002</v>
      </c>
      <c r="G148" s="5" t="s">
        <v>114</v>
      </c>
      <c r="H148" s="5" t="s">
        <v>115</v>
      </c>
      <c r="I148" s="5"/>
      <c r="J148" s="5"/>
      <c r="K148" s="5">
        <v>211</v>
      </c>
      <c r="L148" s="5">
        <v>26</v>
      </c>
      <c r="M148" s="5">
        <v>3</v>
      </c>
      <c r="N148" s="5" t="s">
        <v>4</v>
      </c>
      <c r="O148" s="5">
        <v>2</v>
      </c>
      <c r="P148" s="5">
        <f>ROUND(Source!DQ121,O148)</f>
        <v>62124.98</v>
      </c>
      <c r="Q148" s="5"/>
      <c r="R148" s="5"/>
      <c r="S148" s="5"/>
      <c r="T148" s="5"/>
      <c r="U148" s="5"/>
      <c r="V148" s="5"/>
      <c r="W148" s="5">
        <v>2546.7600000000002</v>
      </c>
      <c r="X148" s="5">
        <v>1</v>
      </c>
      <c r="Y148" s="5">
        <v>2546.7600000000002</v>
      </c>
      <c r="Z148" s="5">
        <v>62124.98</v>
      </c>
      <c r="AA148" s="5">
        <v>1</v>
      </c>
      <c r="AB148" s="5">
        <v>62124.98</v>
      </c>
    </row>
    <row r="149" spans="1:255">
      <c r="A149" s="5">
        <v>50</v>
      </c>
      <c r="B149" s="5">
        <v>0</v>
      </c>
      <c r="C149" s="5">
        <v>0</v>
      </c>
      <c r="D149" s="5">
        <v>1</v>
      </c>
      <c r="E149" s="5">
        <v>224</v>
      </c>
      <c r="F149" s="5">
        <f>ROUND(Source!AR121,O149)</f>
        <v>291470.93</v>
      </c>
      <c r="G149" s="5" t="s">
        <v>116</v>
      </c>
      <c r="H149" s="5" t="s">
        <v>117</v>
      </c>
      <c r="I149" s="5"/>
      <c r="J149" s="5"/>
      <c r="K149" s="5">
        <v>224</v>
      </c>
      <c r="L149" s="5">
        <v>27</v>
      </c>
      <c r="M149" s="5">
        <v>3</v>
      </c>
      <c r="N149" s="5" t="s">
        <v>4</v>
      </c>
      <c r="O149" s="5">
        <v>2</v>
      </c>
      <c r="P149" s="5">
        <f>ROUND(Source!EJ121,O149)</f>
        <v>2142300.1800000002</v>
      </c>
      <c r="Q149" s="5"/>
      <c r="R149" s="5"/>
      <c r="S149" s="5"/>
      <c r="T149" s="5"/>
      <c r="U149" s="5"/>
      <c r="V149" s="5"/>
      <c r="W149" s="5">
        <v>291470.93</v>
      </c>
      <c r="X149" s="5">
        <v>1</v>
      </c>
      <c r="Y149" s="5">
        <v>291470.93</v>
      </c>
      <c r="Z149" s="5">
        <v>2142300.1800000002</v>
      </c>
      <c r="AA149" s="5">
        <v>1</v>
      </c>
      <c r="AB149" s="5">
        <v>2142300.1800000002</v>
      </c>
    </row>
    <row r="151" spans="1:255">
      <c r="A151" s="1">
        <v>4</v>
      </c>
      <c r="B151" s="1">
        <v>1</v>
      </c>
      <c r="C151" s="1"/>
      <c r="D151" s="1">
        <f>ROW(A253)</f>
        <v>253</v>
      </c>
      <c r="E151" s="1"/>
      <c r="F151" s="1" t="s">
        <v>17</v>
      </c>
      <c r="G151" s="1" t="s">
        <v>207</v>
      </c>
      <c r="H151" s="1" t="s">
        <v>4</v>
      </c>
      <c r="I151" s="1">
        <v>0</v>
      </c>
      <c r="J151" s="1"/>
      <c r="K151" s="1">
        <v>0</v>
      </c>
      <c r="L151" s="1"/>
      <c r="M151" s="1" t="s">
        <v>4</v>
      </c>
      <c r="N151" s="1"/>
      <c r="O151" s="1"/>
      <c r="P151" s="1"/>
      <c r="Q151" s="1"/>
      <c r="R151" s="1"/>
      <c r="S151" s="1">
        <v>0</v>
      </c>
      <c r="T151" s="1">
        <v>0</v>
      </c>
      <c r="U151" s="1" t="s">
        <v>4</v>
      </c>
      <c r="V151" s="1">
        <v>0</v>
      </c>
      <c r="W151" s="1"/>
      <c r="X151" s="1"/>
      <c r="Y151" s="1"/>
      <c r="Z151" s="1"/>
      <c r="AA151" s="1"/>
      <c r="AB151" s="1" t="s">
        <v>4</v>
      </c>
      <c r="AC151" s="1" t="s">
        <v>4</v>
      </c>
      <c r="AD151" s="1" t="s">
        <v>4</v>
      </c>
      <c r="AE151" s="1" t="s">
        <v>4</v>
      </c>
      <c r="AF151" s="1" t="s">
        <v>4</v>
      </c>
      <c r="AG151" s="1" t="s">
        <v>4</v>
      </c>
      <c r="AH151" s="1"/>
      <c r="AI151" s="1"/>
      <c r="AJ151" s="1"/>
      <c r="AK151" s="1"/>
      <c r="AL151" s="1"/>
      <c r="AM151" s="1"/>
      <c r="AN151" s="1"/>
      <c r="AO151" s="1"/>
      <c r="AP151" s="1" t="s">
        <v>4</v>
      </c>
      <c r="AQ151" s="1" t="s">
        <v>4</v>
      </c>
      <c r="AR151" s="1" t="s">
        <v>4</v>
      </c>
      <c r="AS151" s="1"/>
      <c r="AT151" s="1"/>
      <c r="AU151" s="1"/>
      <c r="AV151" s="1"/>
      <c r="AW151" s="1"/>
      <c r="AX151" s="1"/>
      <c r="AY151" s="1"/>
      <c r="AZ151" s="1" t="s">
        <v>4</v>
      </c>
      <c r="BA151" s="1"/>
      <c r="BB151" s="1" t="s">
        <v>4</v>
      </c>
      <c r="BC151" s="1" t="s">
        <v>4</v>
      </c>
      <c r="BD151" s="1" t="s">
        <v>4</v>
      </c>
      <c r="BE151" s="1" t="s">
        <v>4</v>
      </c>
      <c r="BF151" s="1" t="s">
        <v>4</v>
      </c>
      <c r="BG151" s="1" t="s">
        <v>4</v>
      </c>
      <c r="BH151" s="1" t="s">
        <v>4</v>
      </c>
      <c r="BI151" s="1" t="s">
        <v>4</v>
      </c>
      <c r="BJ151" s="1" t="s">
        <v>4</v>
      </c>
      <c r="BK151" s="1" t="s">
        <v>4</v>
      </c>
      <c r="BL151" s="1" t="s">
        <v>4</v>
      </c>
      <c r="BM151" s="1" t="s">
        <v>4</v>
      </c>
      <c r="BN151" s="1" t="s">
        <v>4</v>
      </c>
      <c r="BO151" s="1" t="s">
        <v>4</v>
      </c>
      <c r="BP151" s="1" t="s">
        <v>4</v>
      </c>
      <c r="BQ151" s="1"/>
      <c r="BR151" s="1"/>
      <c r="BS151" s="1"/>
      <c r="BT151" s="1"/>
      <c r="BU151" s="1"/>
      <c r="BV151" s="1"/>
      <c r="BW151" s="1"/>
      <c r="BX151" s="1">
        <v>0</v>
      </c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>
        <v>0</v>
      </c>
    </row>
    <row r="153" spans="1:255">
      <c r="A153" s="3">
        <v>52</v>
      </c>
      <c r="B153" s="3">
        <f t="shared" ref="B153:G153" si="112">B253</f>
        <v>1</v>
      </c>
      <c r="C153" s="3">
        <f t="shared" si="112"/>
        <v>4</v>
      </c>
      <c r="D153" s="3">
        <f t="shared" si="112"/>
        <v>151</v>
      </c>
      <c r="E153" s="3">
        <f t="shared" si="112"/>
        <v>0</v>
      </c>
      <c r="F153" s="3" t="str">
        <f t="shared" si="112"/>
        <v>Новый раздел</v>
      </c>
      <c r="G153" s="3" t="str">
        <f t="shared" si="112"/>
        <v>Монтажные работы</v>
      </c>
      <c r="H153" s="3"/>
      <c r="I153" s="3"/>
      <c r="J153" s="3"/>
      <c r="K153" s="3"/>
      <c r="L153" s="3"/>
      <c r="M153" s="3"/>
      <c r="N153" s="3"/>
      <c r="O153" s="3">
        <f t="shared" ref="O153:AT153" si="113">O253</f>
        <v>2498814.2999999998</v>
      </c>
      <c r="P153" s="3">
        <f t="shared" si="113"/>
        <v>2429244.7000000002</v>
      </c>
      <c r="Q153" s="3">
        <f t="shared" si="113"/>
        <v>18964.28</v>
      </c>
      <c r="R153" s="3">
        <f t="shared" si="113"/>
        <v>1960.77</v>
      </c>
      <c r="S153" s="3">
        <f t="shared" si="113"/>
        <v>50605.32</v>
      </c>
      <c r="T153" s="3">
        <f t="shared" si="113"/>
        <v>0</v>
      </c>
      <c r="U153" s="3">
        <f t="shared" si="113"/>
        <v>4119.6834743999998</v>
      </c>
      <c r="V153" s="3">
        <f t="shared" si="113"/>
        <v>0</v>
      </c>
      <c r="W153" s="3">
        <f t="shared" si="113"/>
        <v>0</v>
      </c>
      <c r="X153" s="3">
        <f t="shared" si="113"/>
        <v>56677.95</v>
      </c>
      <c r="Y153" s="3">
        <f t="shared" si="113"/>
        <v>35423.730000000003</v>
      </c>
      <c r="Z153" s="3">
        <f t="shared" si="113"/>
        <v>0</v>
      </c>
      <c r="AA153" s="3">
        <f t="shared" si="113"/>
        <v>0</v>
      </c>
      <c r="AB153" s="3">
        <f t="shared" si="113"/>
        <v>0</v>
      </c>
      <c r="AC153" s="3">
        <f t="shared" si="113"/>
        <v>0</v>
      </c>
      <c r="AD153" s="3">
        <f t="shared" si="113"/>
        <v>0</v>
      </c>
      <c r="AE153" s="3">
        <f t="shared" si="113"/>
        <v>0</v>
      </c>
      <c r="AF153" s="3">
        <f t="shared" si="113"/>
        <v>0</v>
      </c>
      <c r="AG153" s="3">
        <f t="shared" si="113"/>
        <v>0</v>
      </c>
      <c r="AH153" s="3">
        <f t="shared" si="113"/>
        <v>0</v>
      </c>
      <c r="AI153" s="3">
        <f t="shared" si="113"/>
        <v>0</v>
      </c>
      <c r="AJ153" s="3">
        <f t="shared" si="113"/>
        <v>0</v>
      </c>
      <c r="AK153" s="3">
        <f t="shared" si="113"/>
        <v>0</v>
      </c>
      <c r="AL153" s="3">
        <f t="shared" si="113"/>
        <v>0</v>
      </c>
      <c r="AM153" s="3">
        <f t="shared" si="113"/>
        <v>0</v>
      </c>
      <c r="AN153" s="3">
        <f t="shared" si="113"/>
        <v>0</v>
      </c>
      <c r="AO153" s="3">
        <f t="shared" si="113"/>
        <v>0</v>
      </c>
      <c r="AP153" s="3">
        <f t="shared" si="113"/>
        <v>0</v>
      </c>
      <c r="AQ153" s="3">
        <f t="shared" si="113"/>
        <v>0</v>
      </c>
      <c r="AR153" s="3">
        <f t="shared" si="113"/>
        <v>2594347.34</v>
      </c>
      <c r="AS153" s="3">
        <f t="shared" si="113"/>
        <v>5543.47</v>
      </c>
      <c r="AT153" s="3">
        <f t="shared" si="113"/>
        <v>2588803.87</v>
      </c>
      <c r="AU153" s="3">
        <f t="shared" ref="AU153:BZ153" si="114">AU253</f>
        <v>0</v>
      </c>
      <c r="AV153" s="3">
        <f t="shared" si="114"/>
        <v>2429244.7000000002</v>
      </c>
      <c r="AW153" s="3">
        <f t="shared" si="114"/>
        <v>2429244.7000000002</v>
      </c>
      <c r="AX153" s="3">
        <f t="shared" si="114"/>
        <v>0</v>
      </c>
      <c r="AY153" s="3">
        <f t="shared" si="114"/>
        <v>2429244.7000000002</v>
      </c>
      <c r="AZ153" s="3">
        <f t="shared" si="114"/>
        <v>0</v>
      </c>
      <c r="BA153" s="3">
        <f t="shared" si="114"/>
        <v>0</v>
      </c>
      <c r="BB153" s="3">
        <f t="shared" si="114"/>
        <v>0</v>
      </c>
      <c r="BC153" s="3">
        <f t="shared" si="114"/>
        <v>0</v>
      </c>
      <c r="BD153" s="3">
        <f t="shared" si="114"/>
        <v>0</v>
      </c>
      <c r="BE153" s="3">
        <f t="shared" si="114"/>
        <v>0</v>
      </c>
      <c r="BF153" s="3">
        <f t="shared" si="114"/>
        <v>0</v>
      </c>
      <c r="BG153" s="3">
        <f t="shared" si="114"/>
        <v>0</v>
      </c>
      <c r="BH153" s="3">
        <f t="shared" si="114"/>
        <v>0</v>
      </c>
      <c r="BI153" s="3">
        <f t="shared" si="114"/>
        <v>0</v>
      </c>
      <c r="BJ153" s="3">
        <f t="shared" si="114"/>
        <v>0</v>
      </c>
      <c r="BK153" s="3">
        <f t="shared" si="114"/>
        <v>0</v>
      </c>
      <c r="BL153" s="3">
        <f t="shared" si="114"/>
        <v>0</v>
      </c>
      <c r="BM153" s="3">
        <f t="shared" si="114"/>
        <v>0</v>
      </c>
      <c r="BN153" s="3">
        <f t="shared" si="114"/>
        <v>0</v>
      </c>
      <c r="BO153" s="3">
        <f t="shared" si="114"/>
        <v>0</v>
      </c>
      <c r="BP153" s="3">
        <f t="shared" si="114"/>
        <v>0</v>
      </c>
      <c r="BQ153" s="3">
        <f t="shared" si="114"/>
        <v>0</v>
      </c>
      <c r="BR153" s="3">
        <f t="shared" si="114"/>
        <v>0</v>
      </c>
      <c r="BS153" s="3">
        <f t="shared" si="114"/>
        <v>0</v>
      </c>
      <c r="BT153" s="3">
        <f t="shared" si="114"/>
        <v>0</v>
      </c>
      <c r="BU153" s="3">
        <f t="shared" si="114"/>
        <v>0</v>
      </c>
      <c r="BV153" s="3">
        <f t="shared" si="114"/>
        <v>0</v>
      </c>
      <c r="BW153" s="3">
        <f t="shared" si="114"/>
        <v>0</v>
      </c>
      <c r="BX153" s="3">
        <f t="shared" si="114"/>
        <v>0</v>
      </c>
      <c r="BY153" s="3">
        <f t="shared" si="114"/>
        <v>0</v>
      </c>
      <c r="BZ153" s="3">
        <f t="shared" si="114"/>
        <v>0</v>
      </c>
      <c r="CA153" s="3">
        <f t="shared" ref="CA153:DF153" si="115">CA253</f>
        <v>0</v>
      </c>
      <c r="CB153" s="3">
        <f t="shared" si="115"/>
        <v>0</v>
      </c>
      <c r="CC153" s="3">
        <f t="shared" si="115"/>
        <v>0</v>
      </c>
      <c r="CD153" s="3">
        <f t="shared" si="115"/>
        <v>0</v>
      </c>
      <c r="CE153" s="3">
        <f t="shared" si="115"/>
        <v>0</v>
      </c>
      <c r="CF153" s="3">
        <f t="shared" si="115"/>
        <v>0</v>
      </c>
      <c r="CG153" s="3">
        <f t="shared" si="115"/>
        <v>0</v>
      </c>
      <c r="CH153" s="3">
        <f t="shared" si="115"/>
        <v>0</v>
      </c>
      <c r="CI153" s="3">
        <f t="shared" si="115"/>
        <v>0</v>
      </c>
      <c r="CJ153" s="3">
        <f t="shared" si="115"/>
        <v>0</v>
      </c>
      <c r="CK153" s="3">
        <f t="shared" si="115"/>
        <v>0</v>
      </c>
      <c r="CL153" s="3">
        <f t="shared" si="115"/>
        <v>0</v>
      </c>
      <c r="CM153" s="3">
        <f t="shared" si="115"/>
        <v>0</v>
      </c>
      <c r="CN153" s="3">
        <f t="shared" si="115"/>
        <v>0</v>
      </c>
      <c r="CO153" s="3">
        <f t="shared" si="115"/>
        <v>0</v>
      </c>
      <c r="CP153" s="3">
        <f t="shared" si="115"/>
        <v>0</v>
      </c>
      <c r="CQ153" s="3">
        <f t="shared" si="115"/>
        <v>0</v>
      </c>
      <c r="CR153" s="3">
        <f t="shared" si="115"/>
        <v>0</v>
      </c>
      <c r="CS153" s="3">
        <f t="shared" si="115"/>
        <v>0</v>
      </c>
      <c r="CT153" s="3">
        <f t="shared" si="115"/>
        <v>0</v>
      </c>
      <c r="CU153" s="3">
        <f t="shared" si="115"/>
        <v>0</v>
      </c>
      <c r="CV153" s="3">
        <f t="shared" si="115"/>
        <v>0</v>
      </c>
      <c r="CW153" s="3">
        <f t="shared" si="115"/>
        <v>0</v>
      </c>
      <c r="CX153" s="3">
        <f t="shared" si="115"/>
        <v>0</v>
      </c>
      <c r="CY153" s="3">
        <f t="shared" si="115"/>
        <v>0</v>
      </c>
      <c r="CZ153" s="3">
        <f t="shared" si="115"/>
        <v>0</v>
      </c>
      <c r="DA153" s="3">
        <f t="shared" si="115"/>
        <v>0</v>
      </c>
      <c r="DB153" s="3">
        <f t="shared" si="115"/>
        <v>0</v>
      </c>
      <c r="DC153" s="3">
        <f t="shared" si="115"/>
        <v>0</v>
      </c>
      <c r="DD153" s="3">
        <f t="shared" si="115"/>
        <v>0</v>
      </c>
      <c r="DE153" s="3">
        <f t="shared" si="115"/>
        <v>0</v>
      </c>
      <c r="DF153" s="3">
        <f t="shared" si="115"/>
        <v>0</v>
      </c>
      <c r="DG153" s="4">
        <f t="shared" ref="DG153:EL153" si="116">DG253</f>
        <v>23202679.010000002</v>
      </c>
      <c r="DH153" s="4">
        <f t="shared" si="116"/>
        <v>20595645.219999999</v>
      </c>
      <c r="DI153" s="4">
        <f t="shared" si="116"/>
        <v>245283.5</v>
      </c>
      <c r="DJ153" s="4">
        <f t="shared" si="116"/>
        <v>91509.14</v>
      </c>
      <c r="DK153" s="4">
        <f t="shared" si="116"/>
        <v>2361750.29</v>
      </c>
      <c r="DL153" s="4">
        <f t="shared" si="116"/>
        <v>0</v>
      </c>
      <c r="DM153" s="4">
        <f t="shared" si="116"/>
        <v>4119.6834743999998</v>
      </c>
      <c r="DN153" s="4">
        <f t="shared" si="116"/>
        <v>0</v>
      </c>
      <c r="DO153" s="4">
        <f t="shared" si="116"/>
        <v>0</v>
      </c>
      <c r="DP153" s="4">
        <f t="shared" si="116"/>
        <v>2172810.2599999998</v>
      </c>
      <c r="DQ153" s="4">
        <f t="shared" si="116"/>
        <v>1015552.62</v>
      </c>
      <c r="DR153" s="4">
        <f t="shared" si="116"/>
        <v>0</v>
      </c>
      <c r="DS153" s="4">
        <f t="shared" si="116"/>
        <v>0</v>
      </c>
      <c r="DT153" s="4">
        <f t="shared" si="116"/>
        <v>0</v>
      </c>
      <c r="DU153" s="4">
        <f t="shared" si="116"/>
        <v>0</v>
      </c>
      <c r="DV153" s="4">
        <f t="shared" si="116"/>
        <v>0</v>
      </c>
      <c r="DW153" s="4">
        <f t="shared" si="116"/>
        <v>0</v>
      </c>
      <c r="DX153" s="4">
        <f t="shared" si="116"/>
        <v>0</v>
      </c>
      <c r="DY153" s="4">
        <f t="shared" si="116"/>
        <v>0</v>
      </c>
      <c r="DZ153" s="4">
        <f t="shared" si="116"/>
        <v>0</v>
      </c>
      <c r="EA153" s="4">
        <f t="shared" si="116"/>
        <v>0</v>
      </c>
      <c r="EB153" s="4">
        <f t="shared" si="116"/>
        <v>0</v>
      </c>
      <c r="EC153" s="4">
        <f t="shared" si="116"/>
        <v>0</v>
      </c>
      <c r="ED153" s="4">
        <f t="shared" si="116"/>
        <v>0</v>
      </c>
      <c r="EE153" s="4">
        <f t="shared" si="116"/>
        <v>0</v>
      </c>
      <c r="EF153" s="4">
        <f t="shared" si="116"/>
        <v>0</v>
      </c>
      <c r="EG153" s="4">
        <f t="shared" si="116"/>
        <v>0</v>
      </c>
      <c r="EH153" s="4">
        <f t="shared" si="116"/>
        <v>0</v>
      </c>
      <c r="EI153" s="4">
        <f t="shared" si="116"/>
        <v>0</v>
      </c>
      <c r="EJ153" s="4">
        <f t="shared" si="116"/>
        <v>26537456.530000001</v>
      </c>
      <c r="EK153" s="4">
        <f t="shared" si="116"/>
        <v>47452.1</v>
      </c>
      <c r="EL153" s="4">
        <f t="shared" si="116"/>
        <v>26490004.43</v>
      </c>
      <c r="EM153" s="4">
        <f t="shared" ref="EM153:FR153" si="117">EM253</f>
        <v>0</v>
      </c>
      <c r="EN153" s="4">
        <f t="shared" si="117"/>
        <v>20595645.219999999</v>
      </c>
      <c r="EO153" s="4">
        <f t="shared" si="117"/>
        <v>20595645.219999999</v>
      </c>
      <c r="EP153" s="4">
        <f t="shared" si="117"/>
        <v>0</v>
      </c>
      <c r="EQ153" s="4">
        <f t="shared" si="117"/>
        <v>20595645.219999999</v>
      </c>
      <c r="ER153" s="4">
        <f t="shared" si="117"/>
        <v>0</v>
      </c>
      <c r="ES153" s="4">
        <f t="shared" si="117"/>
        <v>0</v>
      </c>
      <c r="ET153" s="4">
        <f t="shared" si="117"/>
        <v>0</v>
      </c>
      <c r="EU153" s="4">
        <f t="shared" si="117"/>
        <v>0</v>
      </c>
      <c r="EV153" s="4">
        <f t="shared" si="117"/>
        <v>0</v>
      </c>
      <c r="EW153" s="4">
        <f t="shared" si="117"/>
        <v>0</v>
      </c>
      <c r="EX153" s="4">
        <f t="shared" si="117"/>
        <v>0</v>
      </c>
      <c r="EY153" s="4">
        <f t="shared" si="117"/>
        <v>0</v>
      </c>
      <c r="EZ153" s="4">
        <f t="shared" si="117"/>
        <v>0</v>
      </c>
      <c r="FA153" s="4">
        <f t="shared" si="117"/>
        <v>0</v>
      </c>
      <c r="FB153" s="4">
        <f t="shared" si="117"/>
        <v>0</v>
      </c>
      <c r="FC153" s="4">
        <f t="shared" si="117"/>
        <v>0</v>
      </c>
      <c r="FD153" s="4">
        <f t="shared" si="117"/>
        <v>0</v>
      </c>
      <c r="FE153" s="4">
        <f t="shared" si="117"/>
        <v>0</v>
      </c>
      <c r="FF153" s="4">
        <f t="shared" si="117"/>
        <v>0</v>
      </c>
      <c r="FG153" s="4">
        <f t="shared" si="117"/>
        <v>0</v>
      </c>
      <c r="FH153" s="4">
        <f t="shared" si="117"/>
        <v>0</v>
      </c>
      <c r="FI153" s="4">
        <f t="shared" si="117"/>
        <v>0</v>
      </c>
      <c r="FJ153" s="4">
        <f t="shared" si="117"/>
        <v>0</v>
      </c>
      <c r="FK153" s="4">
        <f t="shared" si="117"/>
        <v>0</v>
      </c>
      <c r="FL153" s="4">
        <f t="shared" si="117"/>
        <v>0</v>
      </c>
      <c r="FM153" s="4">
        <f t="shared" si="117"/>
        <v>0</v>
      </c>
      <c r="FN153" s="4">
        <f t="shared" si="117"/>
        <v>0</v>
      </c>
      <c r="FO153" s="4">
        <f t="shared" si="117"/>
        <v>0</v>
      </c>
      <c r="FP153" s="4">
        <f t="shared" si="117"/>
        <v>0</v>
      </c>
      <c r="FQ153" s="4">
        <f t="shared" si="117"/>
        <v>0</v>
      </c>
      <c r="FR153" s="4">
        <f t="shared" si="117"/>
        <v>0</v>
      </c>
      <c r="FS153" s="4">
        <f t="shared" ref="FS153:GX153" si="118">FS253</f>
        <v>0</v>
      </c>
      <c r="FT153" s="4">
        <f t="shared" si="118"/>
        <v>0</v>
      </c>
      <c r="FU153" s="4">
        <f t="shared" si="118"/>
        <v>0</v>
      </c>
      <c r="FV153" s="4">
        <f t="shared" si="118"/>
        <v>0</v>
      </c>
      <c r="FW153" s="4">
        <f t="shared" si="118"/>
        <v>0</v>
      </c>
      <c r="FX153" s="4">
        <f t="shared" si="118"/>
        <v>0</v>
      </c>
      <c r="FY153" s="4">
        <f t="shared" si="118"/>
        <v>0</v>
      </c>
      <c r="FZ153" s="4">
        <f t="shared" si="118"/>
        <v>0</v>
      </c>
      <c r="GA153" s="4">
        <f t="shared" si="118"/>
        <v>0</v>
      </c>
      <c r="GB153" s="4">
        <f t="shared" si="118"/>
        <v>0</v>
      </c>
      <c r="GC153" s="4">
        <f t="shared" si="118"/>
        <v>0</v>
      </c>
      <c r="GD153" s="4">
        <f t="shared" si="118"/>
        <v>0</v>
      </c>
      <c r="GE153" s="4">
        <f t="shared" si="118"/>
        <v>0</v>
      </c>
      <c r="GF153" s="4">
        <f t="shared" si="118"/>
        <v>0</v>
      </c>
      <c r="GG153" s="4">
        <f t="shared" si="118"/>
        <v>0</v>
      </c>
      <c r="GH153" s="4">
        <f t="shared" si="118"/>
        <v>0</v>
      </c>
      <c r="GI153" s="4">
        <f t="shared" si="118"/>
        <v>0</v>
      </c>
      <c r="GJ153" s="4">
        <f t="shared" si="118"/>
        <v>0</v>
      </c>
      <c r="GK153" s="4">
        <f t="shared" si="118"/>
        <v>0</v>
      </c>
      <c r="GL153" s="4">
        <f t="shared" si="118"/>
        <v>0</v>
      </c>
      <c r="GM153" s="4">
        <f t="shared" si="118"/>
        <v>0</v>
      </c>
      <c r="GN153" s="4">
        <f t="shared" si="118"/>
        <v>0</v>
      </c>
      <c r="GO153" s="4">
        <f t="shared" si="118"/>
        <v>0</v>
      </c>
      <c r="GP153" s="4">
        <f t="shared" si="118"/>
        <v>0</v>
      </c>
      <c r="GQ153" s="4">
        <f t="shared" si="118"/>
        <v>0</v>
      </c>
      <c r="GR153" s="4">
        <f t="shared" si="118"/>
        <v>0</v>
      </c>
      <c r="GS153" s="4">
        <f t="shared" si="118"/>
        <v>0</v>
      </c>
      <c r="GT153" s="4">
        <f t="shared" si="118"/>
        <v>0</v>
      </c>
      <c r="GU153" s="4">
        <f t="shared" si="118"/>
        <v>0</v>
      </c>
      <c r="GV153" s="4">
        <f t="shared" si="118"/>
        <v>0</v>
      </c>
      <c r="GW153" s="4">
        <f t="shared" si="118"/>
        <v>0</v>
      </c>
      <c r="GX153" s="4">
        <f t="shared" si="118"/>
        <v>0</v>
      </c>
    </row>
    <row r="155" spans="1:255">
      <c r="A155" s="2">
        <v>17</v>
      </c>
      <c r="B155" s="2">
        <v>1</v>
      </c>
      <c r="C155" s="2"/>
      <c r="D155" s="2"/>
      <c r="E155" s="2" t="s">
        <v>4</v>
      </c>
      <c r="F155" s="2" t="s">
        <v>4</v>
      </c>
      <c r="G155" s="2" t="s">
        <v>208</v>
      </c>
      <c r="H155" s="2" t="s">
        <v>209</v>
      </c>
      <c r="I155" s="2">
        <f>ROUND((I165+I174+I189+I206)*1000,9)</f>
        <v>20502</v>
      </c>
      <c r="J155" s="2">
        <v>0</v>
      </c>
      <c r="K155" s="2">
        <f>ROUND((I165+I174+I189+I206)*1000,9)</f>
        <v>20502</v>
      </c>
      <c r="L155" s="2"/>
      <c r="M155" s="2"/>
      <c r="N155" s="2"/>
      <c r="O155" s="2">
        <f>ROUND(CP155,2)</f>
        <v>0</v>
      </c>
      <c r="P155" s="2">
        <f>ROUND((ROUND((AC155*AW155*I155),2)*BC155),2)</f>
        <v>0</v>
      </c>
      <c r="Q155" s="2">
        <f>(ROUND((ROUND(((ET155)*AV155*I155),2)*BB155),2)+ROUND((ROUND(((AE155-(EU155))*AV155*I155),2)*BS155),2))</f>
        <v>0</v>
      </c>
      <c r="R155" s="2">
        <f>ROUND((ROUND((AE155*AV155*I155),2)*BS155),2)</f>
        <v>0</v>
      </c>
      <c r="S155" s="2">
        <f>ROUND((ROUND((AF155*AV155*I155),2)*BA155),2)</f>
        <v>0</v>
      </c>
      <c r="T155" s="2">
        <f>ROUND(CU155*I155,2)</f>
        <v>0</v>
      </c>
      <c r="U155" s="2">
        <f>CV155*I155</f>
        <v>0</v>
      </c>
      <c r="V155" s="2">
        <f>CW155*I155</f>
        <v>0</v>
      </c>
      <c r="W155" s="2">
        <f>ROUND(CX155*I155,2)</f>
        <v>0</v>
      </c>
      <c r="X155" s="2">
        <f>ROUND(CY155,2)</f>
        <v>0</v>
      </c>
      <c r="Y155" s="2">
        <f>ROUND(CZ155,2)</f>
        <v>0</v>
      </c>
      <c r="Z155" s="2"/>
      <c r="AA155" s="2">
        <v>-1</v>
      </c>
      <c r="AB155" s="2">
        <f>ROUND((AC155+AD155+AF155),6)</f>
        <v>0</v>
      </c>
      <c r="AC155" s="2">
        <f>ROUND((ES155),6)</f>
        <v>0</v>
      </c>
      <c r="AD155" s="2">
        <f>ROUND((((ET155)-(EU155))+AE155),6)</f>
        <v>0</v>
      </c>
      <c r="AE155" s="2">
        <f>ROUND((EU155),6)</f>
        <v>0</v>
      </c>
      <c r="AF155" s="2">
        <f>ROUND((EV155),6)</f>
        <v>0</v>
      </c>
      <c r="AG155" s="2">
        <f>ROUND((AP155),6)</f>
        <v>0</v>
      </c>
      <c r="AH155" s="2">
        <f>(EW155)</f>
        <v>0</v>
      </c>
      <c r="AI155" s="2">
        <f>(EX155)</f>
        <v>0</v>
      </c>
      <c r="AJ155" s="2">
        <f>(AS155)</f>
        <v>0</v>
      </c>
      <c r="AK155" s="2">
        <v>0</v>
      </c>
      <c r="AL155" s="2">
        <v>0</v>
      </c>
      <c r="AM155" s="2">
        <v>0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1</v>
      </c>
      <c r="AW155" s="2">
        <v>1</v>
      </c>
      <c r="AX155" s="2"/>
      <c r="AY155" s="2"/>
      <c r="AZ155" s="2">
        <v>1</v>
      </c>
      <c r="BA155" s="2">
        <v>1</v>
      </c>
      <c r="BB155" s="2">
        <v>1</v>
      </c>
      <c r="BC155" s="2">
        <v>1</v>
      </c>
      <c r="BD155" s="2" t="s">
        <v>4</v>
      </c>
      <c r="BE155" s="2" t="s">
        <v>4</v>
      </c>
      <c r="BF155" s="2" t="s">
        <v>4</v>
      </c>
      <c r="BG155" s="2" t="s">
        <v>4</v>
      </c>
      <c r="BH155" s="2">
        <v>3</v>
      </c>
      <c r="BI155" s="2">
        <v>1</v>
      </c>
      <c r="BJ155" s="2" t="s">
        <v>4</v>
      </c>
      <c r="BK155" s="2"/>
      <c r="BL155" s="2"/>
      <c r="BM155" s="2">
        <v>400002</v>
      </c>
      <c r="BN155" s="2">
        <v>0</v>
      </c>
      <c r="BO155" s="2" t="s">
        <v>4</v>
      </c>
      <c r="BP155" s="2">
        <v>0</v>
      </c>
      <c r="BQ155" s="2">
        <v>202</v>
      </c>
      <c r="BR155" s="2">
        <v>0</v>
      </c>
      <c r="BS155" s="2">
        <v>1</v>
      </c>
      <c r="BT155" s="2">
        <v>1</v>
      </c>
      <c r="BU155" s="2">
        <v>1</v>
      </c>
      <c r="BV155" s="2">
        <v>1</v>
      </c>
      <c r="BW155" s="2">
        <v>1</v>
      </c>
      <c r="BX155" s="2">
        <v>1</v>
      </c>
      <c r="BY155" s="2" t="s">
        <v>4</v>
      </c>
      <c r="BZ155" s="2">
        <v>0</v>
      </c>
      <c r="CA155" s="2">
        <v>0</v>
      </c>
      <c r="CB155" s="2" t="s">
        <v>4</v>
      </c>
      <c r="CC155" s="2"/>
      <c r="CD155" s="2"/>
      <c r="CE155" s="2">
        <v>30</v>
      </c>
      <c r="CF155" s="2">
        <v>0</v>
      </c>
      <c r="CG155" s="2">
        <v>0</v>
      </c>
      <c r="CH155" s="2"/>
      <c r="CI155" s="2"/>
      <c r="CJ155" s="2"/>
      <c r="CK155" s="2"/>
      <c r="CL155" s="2"/>
      <c r="CM155" s="2">
        <v>0</v>
      </c>
      <c r="CN155" s="2" t="s">
        <v>4</v>
      </c>
      <c r="CO155" s="2">
        <v>0</v>
      </c>
      <c r="CP155" s="2">
        <f>(P155+Q155+S155)</f>
        <v>0</v>
      </c>
      <c r="CQ155" s="2">
        <f>ROUND((ROUND((AC155*AW155*1),2)*BC155),2)</f>
        <v>0</v>
      </c>
      <c r="CR155" s="2">
        <f>(ROUND((ROUND(((ET155)*AV155*1),2)*BB155),2)+ROUND((ROUND(((AE155-(EU155))*AV155*1),2)*BS155),2))</f>
        <v>0</v>
      </c>
      <c r="CS155" s="2">
        <f>ROUND((ROUND((AE155*AV155*1),2)*BS155),2)</f>
        <v>0</v>
      </c>
      <c r="CT155" s="2">
        <f>ROUND((ROUND((AF155*AV155*1),2)*BA155),2)</f>
        <v>0</v>
      </c>
      <c r="CU155" s="2">
        <f>AG155</f>
        <v>0</v>
      </c>
      <c r="CV155" s="2">
        <f>(AH155*AV155)</f>
        <v>0</v>
      </c>
      <c r="CW155" s="2">
        <f>AI155</f>
        <v>0</v>
      </c>
      <c r="CX155" s="2">
        <f>AJ155</f>
        <v>0</v>
      </c>
      <c r="CY155" s="2">
        <f>((S155*BZ155)/100)</f>
        <v>0</v>
      </c>
      <c r="CZ155" s="2">
        <f>((S155*CA155)/100)</f>
        <v>0</v>
      </c>
      <c r="DA155" s="2"/>
      <c r="DB155" s="2"/>
      <c r="DC155" s="2" t="s">
        <v>4</v>
      </c>
      <c r="DD155" s="2" t="s">
        <v>4</v>
      </c>
      <c r="DE155" s="2" t="s">
        <v>4</v>
      </c>
      <c r="DF155" s="2" t="s">
        <v>4</v>
      </c>
      <c r="DG155" s="2" t="s">
        <v>4</v>
      </c>
      <c r="DH155" s="2" t="s">
        <v>4</v>
      </c>
      <c r="DI155" s="2" t="s">
        <v>4</v>
      </c>
      <c r="DJ155" s="2" t="s">
        <v>4</v>
      </c>
      <c r="DK155" s="2" t="s">
        <v>4</v>
      </c>
      <c r="DL155" s="2" t="s">
        <v>4</v>
      </c>
      <c r="DM155" s="2" t="s">
        <v>4</v>
      </c>
      <c r="DN155" s="2">
        <v>0</v>
      </c>
      <c r="DO155" s="2">
        <v>0</v>
      </c>
      <c r="DP155" s="2">
        <v>1</v>
      </c>
      <c r="DQ155" s="2">
        <v>1</v>
      </c>
      <c r="DR155" s="2"/>
      <c r="DS155" s="2"/>
      <c r="DT155" s="2"/>
      <c r="DU155" s="2">
        <v>1003</v>
      </c>
      <c r="DV155" s="2" t="s">
        <v>209</v>
      </c>
      <c r="DW155" s="2" t="s">
        <v>209</v>
      </c>
      <c r="DX155" s="2">
        <v>1000</v>
      </c>
      <c r="DY155" s="2"/>
      <c r="DZ155" s="2" t="s">
        <v>4</v>
      </c>
      <c r="EA155" s="2" t="s">
        <v>4</v>
      </c>
      <c r="EB155" s="2" t="s">
        <v>4</v>
      </c>
      <c r="EC155" s="2" t="s">
        <v>4</v>
      </c>
      <c r="ED155" s="2"/>
      <c r="EE155" s="2">
        <v>69254592</v>
      </c>
      <c r="EF155" s="2">
        <v>202</v>
      </c>
      <c r="EG155" s="2" t="s">
        <v>210</v>
      </c>
      <c r="EH155" s="2">
        <v>0</v>
      </c>
      <c r="EI155" s="2" t="s">
        <v>4</v>
      </c>
      <c r="EJ155" s="2">
        <v>1</v>
      </c>
      <c r="EK155" s="2">
        <v>400002</v>
      </c>
      <c r="EL155" s="2" t="s">
        <v>211</v>
      </c>
      <c r="EM155" s="2" t="s">
        <v>210</v>
      </c>
      <c r="EN155" s="2"/>
      <c r="EO155" s="2" t="s">
        <v>4</v>
      </c>
      <c r="EP155" s="2"/>
      <c r="EQ155" s="2">
        <v>1024</v>
      </c>
      <c r="ER155" s="2">
        <v>0</v>
      </c>
      <c r="ES155" s="2">
        <v>0</v>
      </c>
      <c r="ET155" s="2">
        <v>0</v>
      </c>
      <c r="EU155" s="2">
        <v>0</v>
      </c>
      <c r="EV155" s="2">
        <v>0</v>
      </c>
      <c r="EW155" s="2">
        <v>0</v>
      </c>
      <c r="EX155" s="2">
        <v>0</v>
      </c>
      <c r="EY155" s="2">
        <v>0</v>
      </c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>
        <v>0</v>
      </c>
      <c r="FR155" s="2">
        <f>ROUND(IF(BI155=3,GM155,0),2)</f>
        <v>0</v>
      </c>
      <c r="FS155" s="2">
        <v>0</v>
      </c>
      <c r="FT155" s="2"/>
      <c r="FU155" s="2"/>
      <c r="FV155" s="2"/>
      <c r="FW155" s="2"/>
      <c r="FX155" s="2">
        <v>0</v>
      </c>
      <c r="FY155" s="2">
        <v>0</v>
      </c>
      <c r="FZ155" s="2"/>
      <c r="GA155" s="2" t="s">
        <v>4</v>
      </c>
      <c r="GB155" s="2"/>
      <c r="GC155" s="2"/>
      <c r="GD155" s="2">
        <v>0</v>
      </c>
      <c r="GE155" s="2"/>
      <c r="GF155" s="2">
        <v>-1137357498</v>
      </c>
      <c r="GG155" s="2">
        <v>2</v>
      </c>
      <c r="GH155" s="2">
        <v>0</v>
      </c>
      <c r="GI155" s="2">
        <v>-2</v>
      </c>
      <c r="GJ155" s="2">
        <v>0</v>
      </c>
      <c r="GK155" s="2">
        <f>ROUND(R155*(R12)/100,2)</f>
        <v>0</v>
      </c>
      <c r="GL155" s="2">
        <f>ROUND(IF(AND(BH155=3,BI155=3,FS155&lt;&gt;0),P155,0),2)</f>
        <v>0</v>
      </c>
      <c r="GM155" s="2">
        <f>ROUND(O155+X155+Y155+GK155,2)+GX155</f>
        <v>0</v>
      </c>
      <c r="GN155" s="2">
        <f>IF(OR(BI155=0,BI155=1),GM155-GX155,0)</f>
        <v>0</v>
      </c>
      <c r="GO155" s="2">
        <f>IF(BI155=2,GM155-GX155,0)</f>
        <v>0</v>
      </c>
      <c r="GP155" s="2">
        <f>IF(BI155=4,GM155-GX155,0)</f>
        <v>0</v>
      </c>
      <c r="GQ155" s="2"/>
      <c r="GR155" s="2">
        <v>0</v>
      </c>
      <c r="GS155" s="2">
        <v>3</v>
      </c>
      <c r="GT155" s="2">
        <v>0</v>
      </c>
      <c r="GU155" s="2" t="s">
        <v>4</v>
      </c>
      <c r="GV155" s="2">
        <f>ROUND((GT155),6)</f>
        <v>0</v>
      </c>
      <c r="GW155" s="2">
        <v>1</v>
      </c>
      <c r="GX155" s="2">
        <f>ROUND(HC155*I155,2)</f>
        <v>0</v>
      </c>
      <c r="GY155" s="2"/>
      <c r="GZ155" s="2"/>
      <c r="HA155" s="2">
        <v>0</v>
      </c>
      <c r="HB155" s="2">
        <v>0</v>
      </c>
      <c r="HC155" s="2">
        <f>GV155*GW155</f>
        <v>0</v>
      </c>
      <c r="HD155" s="2"/>
      <c r="HE155" s="2" t="s">
        <v>4</v>
      </c>
      <c r="HF155" s="2" t="s">
        <v>4</v>
      </c>
      <c r="HG155" s="2"/>
      <c r="HH155" s="2"/>
      <c r="HI155" s="2"/>
      <c r="HJ155" s="2"/>
      <c r="HK155" s="2"/>
      <c r="HL155" s="2"/>
      <c r="HM155" s="2" t="s">
        <v>4</v>
      </c>
      <c r="HN155" s="2" t="s">
        <v>4</v>
      </c>
      <c r="HO155" s="2" t="s">
        <v>4</v>
      </c>
      <c r="HP155" s="2" t="s">
        <v>4</v>
      </c>
      <c r="HQ155" s="2" t="s">
        <v>4</v>
      </c>
      <c r="HR155" s="2"/>
      <c r="HS155" s="2"/>
      <c r="HT155" s="2"/>
      <c r="HU155" s="2"/>
      <c r="HV155" s="2"/>
      <c r="HW155" s="2"/>
      <c r="HX155" s="2"/>
      <c r="HY155" s="2"/>
      <c r="HZ155" s="2"/>
      <c r="IA155" s="2"/>
      <c r="IB155" s="2"/>
      <c r="IC155" s="2"/>
      <c r="ID155" s="2"/>
      <c r="IE155" s="2"/>
      <c r="IF155" s="2"/>
      <c r="IG155" s="2"/>
      <c r="IH155" s="2"/>
      <c r="II155" s="2"/>
      <c r="IJ155" s="2"/>
      <c r="IK155" s="2">
        <v>0</v>
      </c>
      <c r="IL155" s="2"/>
      <c r="IM155" s="2"/>
      <c r="IN155" s="2"/>
      <c r="IO155" s="2"/>
      <c r="IP155" s="2"/>
      <c r="IQ155" s="2"/>
      <c r="IR155" s="2"/>
      <c r="IS155" s="2"/>
      <c r="IT155" s="2"/>
      <c r="IU155" s="2"/>
    </row>
    <row r="156" spans="1:255">
      <c r="A156">
        <v>17</v>
      </c>
      <c r="B156">
        <v>1</v>
      </c>
      <c r="E156" t="s">
        <v>4</v>
      </c>
      <c r="F156" t="s">
        <v>4</v>
      </c>
      <c r="G156" t="s">
        <v>208</v>
      </c>
      <c r="H156" t="s">
        <v>209</v>
      </c>
      <c r="I156">
        <f>ROUND((I166+I175+I190+I207)*1000,9)</f>
        <v>20502</v>
      </c>
      <c r="J156">
        <v>0</v>
      </c>
      <c r="K156">
        <f>ROUND((I166+I175+I190+I207)*1000,9)</f>
        <v>20502</v>
      </c>
      <c r="O156">
        <f>ROUND(CP156,2)</f>
        <v>0</v>
      </c>
      <c r="P156">
        <f>ROUND((ROUND((AC156*AW156*I156),2)*BC156),2)</f>
        <v>0</v>
      </c>
      <c r="Q156">
        <f>(ROUND((ROUND(((ET156)*AV156*I156),2)*BB156),2)+ROUND((ROUND(((AE156-(EU156))*AV156*I156),2)*BS156),2))</f>
        <v>0</v>
      </c>
      <c r="R156">
        <f>ROUND((ROUND((AE156*AV156*I156),2)*BS156),2)</f>
        <v>0</v>
      </c>
      <c r="S156">
        <f>ROUND((ROUND((AF156*AV156*I156),2)*BA156),2)</f>
        <v>0</v>
      </c>
      <c r="T156">
        <f>ROUND(CU156*I156,2)</f>
        <v>0</v>
      </c>
      <c r="U156">
        <f>CV156*I156</f>
        <v>0</v>
      </c>
      <c r="V156">
        <f>CW156*I156</f>
        <v>0</v>
      </c>
      <c r="W156">
        <f>ROUND(CX156*I156,2)</f>
        <v>0</v>
      </c>
      <c r="X156">
        <f>ROUND(CY156,2)</f>
        <v>0</v>
      </c>
      <c r="Y156">
        <f>ROUND(CZ156,2)</f>
        <v>0</v>
      </c>
      <c r="AA156">
        <v>-1</v>
      </c>
      <c r="AB156">
        <f>ROUND((AC156+AD156+AF156),6)</f>
        <v>0</v>
      </c>
      <c r="AC156">
        <f>ROUND((ES156),6)</f>
        <v>0</v>
      </c>
      <c r="AD156">
        <f>ROUND((((ET156)-(EU156))+AE156),6)</f>
        <v>0</v>
      </c>
      <c r="AE156">
        <f>ROUND((EU156),6)</f>
        <v>0</v>
      </c>
      <c r="AF156">
        <f>ROUND((EV156),6)</f>
        <v>0</v>
      </c>
      <c r="AG156">
        <f>ROUND((AP156),6)</f>
        <v>0</v>
      </c>
      <c r="AH156">
        <f>(EW156)</f>
        <v>0</v>
      </c>
      <c r="AI156">
        <f>(EX156)</f>
        <v>0</v>
      </c>
      <c r="AJ156">
        <f>(AS156)</f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</v>
      </c>
      <c r="BD156" t="s">
        <v>4</v>
      </c>
      <c r="BE156" t="s">
        <v>4</v>
      </c>
      <c r="BF156" t="s">
        <v>4</v>
      </c>
      <c r="BG156" t="s">
        <v>4</v>
      </c>
      <c r="BH156">
        <v>3</v>
      </c>
      <c r="BI156">
        <v>1</v>
      </c>
      <c r="BJ156" t="s">
        <v>4</v>
      </c>
      <c r="BM156">
        <v>400002</v>
      </c>
      <c r="BN156">
        <v>0</v>
      </c>
      <c r="BO156" t="s">
        <v>4</v>
      </c>
      <c r="BP156">
        <v>0</v>
      </c>
      <c r="BQ156">
        <v>202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4</v>
      </c>
      <c r="BZ156">
        <v>0</v>
      </c>
      <c r="CA156">
        <v>0</v>
      </c>
      <c r="CB156" t="s">
        <v>4</v>
      </c>
      <c r="CE156">
        <v>30</v>
      </c>
      <c r="CF156">
        <v>0</v>
      </c>
      <c r="CG156">
        <v>0</v>
      </c>
      <c r="CM156">
        <v>0</v>
      </c>
      <c r="CN156" t="s">
        <v>4</v>
      </c>
      <c r="CO156">
        <v>0</v>
      </c>
      <c r="CP156">
        <f>(P156+Q156+S156)</f>
        <v>0</v>
      </c>
      <c r="CQ156">
        <f>ROUND((ROUND((AC156*AW156*1),2)*BC156),2)</f>
        <v>0</v>
      </c>
      <c r="CR156">
        <f>(ROUND((ROUND(((ET156)*AV156*1),2)*BB156),2)+ROUND((ROUND(((AE156-(EU156))*AV156*1),2)*BS156),2))</f>
        <v>0</v>
      </c>
      <c r="CS156">
        <f>ROUND((ROUND((AE156*AV156*1),2)*BS156),2)</f>
        <v>0</v>
      </c>
      <c r="CT156">
        <f>ROUND((ROUND((AF156*AV156*1),2)*BA156),2)</f>
        <v>0</v>
      </c>
      <c r="CU156">
        <f>AG156</f>
        <v>0</v>
      </c>
      <c r="CV156">
        <f>(AH156*AV156)</f>
        <v>0</v>
      </c>
      <c r="CW156">
        <f>AI156</f>
        <v>0</v>
      </c>
      <c r="CX156">
        <f>AJ156</f>
        <v>0</v>
      </c>
      <c r="CY156">
        <f>S156*(BZ156/100)</f>
        <v>0</v>
      </c>
      <c r="CZ156">
        <f>S156*(CA156/100)</f>
        <v>0</v>
      </c>
      <c r="DC156" t="s">
        <v>4</v>
      </c>
      <c r="DD156" t="s">
        <v>4</v>
      </c>
      <c r="DE156" t="s">
        <v>4</v>
      </c>
      <c r="DF156" t="s">
        <v>4</v>
      </c>
      <c r="DG156" t="s">
        <v>4</v>
      </c>
      <c r="DH156" t="s">
        <v>4</v>
      </c>
      <c r="DI156" t="s">
        <v>4</v>
      </c>
      <c r="DJ156" t="s">
        <v>4</v>
      </c>
      <c r="DK156" t="s">
        <v>4</v>
      </c>
      <c r="DL156" t="s">
        <v>4</v>
      </c>
      <c r="DM156" t="s">
        <v>4</v>
      </c>
      <c r="DN156">
        <v>0</v>
      </c>
      <c r="DO156">
        <v>0</v>
      </c>
      <c r="DP156">
        <v>1</v>
      </c>
      <c r="DQ156">
        <v>1</v>
      </c>
      <c r="DU156">
        <v>1003</v>
      </c>
      <c r="DV156" t="s">
        <v>209</v>
      </c>
      <c r="DW156" t="s">
        <v>209</v>
      </c>
      <c r="DX156">
        <v>1000</v>
      </c>
      <c r="DZ156" t="s">
        <v>4</v>
      </c>
      <c r="EA156" t="s">
        <v>4</v>
      </c>
      <c r="EB156" t="s">
        <v>4</v>
      </c>
      <c r="EC156" t="s">
        <v>4</v>
      </c>
      <c r="EE156">
        <v>69254592</v>
      </c>
      <c r="EF156">
        <v>202</v>
      </c>
      <c r="EG156" t="s">
        <v>210</v>
      </c>
      <c r="EH156">
        <v>0</v>
      </c>
      <c r="EI156" t="s">
        <v>4</v>
      </c>
      <c r="EJ156">
        <v>1</v>
      </c>
      <c r="EK156">
        <v>400002</v>
      </c>
      <c r="EL156" t="s">
        <v>211</v>
      </c>
      <c r="EM156" t="s">
        <v>210</v>
      </c>
      <c r="EO156" t="s">
        <v>4</v>
      </c>
      <c r="EQ156">
        <v>1024</v>
      </c>
      <c r="ER156">
        <v>0</v>
      </c>
      <c r="ES156">
        <v>0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FQ156">
        <v>0</v>
      </c>
      <c r="FR156">
        <f>ROUND(IF(BI156=3,GM156,0),2)</f>
        <v>0</v>
      </c>
      <c r="FS156">
        <v>0</v>
      </c>
      <c r="FX156">
        <v>0</v>
      </c>
      <c r="FY156">
        <v>0</v>
      </c>
      <c r="GA156" t="s">
        <v>4</v>
      </c>
      <c r="GD156">
        <v>0</v>
      </c>
      <c r="GF156">
        <v>-1137357498</v>
      </c>
      <c r="GG156">
        <v>2</v>
      </c>
      <c r="GH156">
        <v>0</v>
      </c>
      <c r="GI156">
        <v>-2</v>
      </c>
      <c r="GJ156">
        <v>0</v>
      </c>
      <c r="GK156">
        <f>ROUND(R156*(S12)/100,2)</f>
        <v>0</v>
      </c>
      <c r="GL156">
        <f>ROUND(IF(AND(BH156=3,BI156=3,FS156&lt;&gt;0),P156,0),2)</f>
        <v>0</v>
      </c>
      <c r="GM156">
        <f>ROUND(O156+X156+Y156+GK156,2)+GX156</f>
        <v>0</v>
      </c>
      <c r="GN156">
        <f>IF(OR(BI156=0,BI156=1),GM156-GX156,0)</f>
        <v>0</v>
      </c>
      <c r="GO156">
        <f>IF(BI156=2,GM156-GX156,0)</f>
        <v>0</v>
      </c>
      <c r="GP156">
        <f>IF(BI156=4,GM156-GX156,0)</f>
        <v>0</v>
      </c>
      <c r="GR156">
        <v>0</v>
      </c>
      <c r="GS156">
        <v>3</v>
      </c>
      <c r="GT156">
        <v>0</v>
      </c>
      <c r="GU156" t="s">
        <v>4</v>
      </c>
      <c r="GV156">
        <f>ROUND((GT156),6)</f>
        <v>0</v>
      </c>
      <c r="GW156">
        <v>1</v>
      </c>
      <c r="GX156">
        <f>ROUND(HC156*I156,2)</f>
        <v>0</v>
      </c>
      <c r="HA156">
        <v>0</v>
      </c>
      <c r="HB156">
        <v>0</v>
      </c>
      <c r="HC156">
        <f>GV156*GW156</f>
        <v>0</v>
      </c>
      <c r="HE156" t="s">
        <v>4</v>
      </c>
      <c r="HF156" t="s">
        <v>4</v>
      </c>
      <c r="HM156" t="s">
        <v>4</v>
      </c>
      <c r="HN156" t="s">
        <v>4</v>
      </c>
      <c r="HO156" t="s">
        <v>4</v>
      </c>
      <c r="HP156" t="s">
        <v>4</v>
      </c>
      <c r="HQ156" t="s">
        <v>4</v>
      </c>
      <c r="IK156">
        <v>0</v>
      </c>
    </row>
    <row r="158" spans="1:255">
      <c r="A158" s="1">
        <v>5</v>
      </c>
      <c r="B158" s="1">
        <v>1</v>
      </c>
      <c r="C158" s="1"/>
      <c r="D158" s="1">
        <f>ROW(A223)</f>
        <v>223</v>
      </c>
      <c r="E158" s="1"/>
      <c r="F158" s="1" t="s">
        <v>212</v>
      </c>
      <c r="G158" s="1" t="s">
        <v>118</v>
      </c>
      <c r="H158" s="1" t="s">
        <v>4</v>
      </c>
      <c r="I158" s="1">
        <v>0</v>
      </c>
      <c r="J158" s="1"/>
      <c r="K158" s="1">
        <v>-1</v>
      </c>
      <c r="L158" s="1"/>
      <c r="M158" s="1" t="s">
        <v>4</v>
      </c>
      <c r="N158" s="1"/>
      <c r="O158" s="1"/>
      <c r="P158" s="1"/>
      <c r="Q158" s="1"/>
      <c r="R158" s="1"/>
      <c r="S158" s="1">
        <v>0</v>
      </c>
      <c r="T158" s="1">
        <v>0</v>
      </c>
      <c r="U158" s="1" t="s">
        <v>4</v>
      </c>
      <c r="V158" s="1">
        <v>0</v>
      </c>
      <c r="W158" s="1"/>
      <c r="X158" s="1"/>
      <c r="Y158" s="1"/>
      <c r="Z158" s="1"/>
      <c r="AA158" s="1"/>
      <c r="AB158" s="1" t="s">
        <v>4</v>
      </c>
      <c r="AC158" s="1" t="s">
        <v>4</v>
      </c>
      <c r="AD158" s="1" t="s">
        <v>4</v>
      </c>
      <c r="AE158" s="1" t="s">
        <v>4</v>
      </c>
      <c r="AF158" s="1" t="s">
        <v>4</v>
      </c>
      <c r="AG158" s="1" t="s">
        <v>4</v>
      </c>
      <c r="AH158" s="1"/>
      <c r="AI158" s="1"/>
      <c r="AJ158" s="1"/>
      <c r="AK158" s="1"/>
      <c r="AL158" s="1"/>
      <c r="AM158" s="1"/>
      <c r="AN158" s="1"/>
      <c r="AO158" s="1"/>
      <c r="AP158" s="1" t="s">
        <v>4</v>
      </c>
      <c r="AQ158" s="1" t="s">
        <v>4</v>
      </c>
      <c r="AR158" s="1" t="s">
        <v>4</v>
      </c>
      <c r="AS158" s="1"/>
      <c r="AT158" s="1"/>
      <c r="AU158" s="1"/>
      <c r="AV158" s="1"/>
      <c r="AW158" s="1"/>
      <c r="AX158" s="1"/>
      <c r="AY158" s="1"/>
      <c r="AZ158" s="1" t="s">
        <v>4</v>
      </c>
      <c r="BA158" s="1"/>
      <c r="BB158" s="1" t="s">
        <v>4</v>
      </c>
      <c r="BC158" s="1" t="s">
        <v>4</v>
      </c>
      <c r="BD158" s="1" t="s">
        <v>4</v>
      </c>
      <c r="BE158" s="1" t="s">
        <v>4</v>
      </c>
      <c r="BF158" s="1" t="s">
        <v>4</v>
      </c>
      <c r="BG158" s="1" t="s">
        <v>4</v>
      </c>
      <c r="BH158" s="1" t="s">
        <v>4</v>
      </c>
      <c r="BI158" s="1" t="s">
        <v>4</v>
      </c>
      <c r="BJ158" s="1" t="s">
        <v>4</v>
      </c>
      <c r="BK158" s="1" t="s">
        <v>4</v>
      </c>
      <c r="BL158" s="1" t="s">
        <v>4</v>
      </c>
      <c r="BM158" s="1" t="s">
        <v>4</v>
      </c>
      <c r="BN158" s="1" t="s">
        <v>4</v>
      </c>
      <c r="BO158" s="1" t="s">
        <v>4</v>
      </c>
      <c r="BP158" s="1" t="s">
        <v>4</v>
      </c>
      <c r="BQ158" s="1"/>
      <c r="BR158" s="1"/>
      <c r="BS158" s="1"/>
      <c r="BT158" s="1"/>
      <c r="BU158" s="1"/>
      <c r="BV158" s="1"/>
      <c r="BW158" s="1"/>
      <c r="BX158" s="1">
        <v>0</v>
      </c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>
        <v>0</v>
      </c>
    </row>
    <row r="160" spans="1:255">
      <c r="A160" s="3">
        <v>52</v>
      </c>
      <c r="B160" s="3">
        <f t="shared" ref="B160:G160" si="119">B223</f>
        <v>1</v>
      </c>
      <c r="C160" s="3">
        <f t="shared" si="119"/>
        <v>5</v>
      </c>
      <c r="D160" s="3">
        <f t="shared" si="119"/>
        <v>158</v>
      </c>
      <c r="E160" s="3">
        <f t="shared" si="119"/>
        <v>0</v>
      </c>
      <c r="F160" s="3" t="str">
        <f t="shared" si="119"/>
        <v>Новый подраздел</v>
      </c>
      <c r="G160" s="3" t="str">
        <f t="shared" si="119"/>
        <v>от РТП 27044 до ТП 27616</v>
      </c>
      <c r="H160" s="3"/>
      <c r="I160" s="3"/>
      <c r="J160" s="3"/>
      <c r="K160" s="3"/>
      <c r="L160" s="3"/>
      <c r="M160" s="3"/>
      <c r="N160" s="3"/>
      <c r="O160" s="3">
        <f t="shared" ref="O160:AT160" si="120">O223</f>
        <v>2498814.2999999998</v>
      </c>
      <c r="P160" s="3">
        <f t="shared" si="120"/>
        <v>2429244.7000000002</v>
      </c>
      <c r="Q160" s="3">
        <f t="shared" si="120"/>
        <v>18964.28</v>
      </c>
      <c r="R160" s="3">
        <f t="shared" si="120"/>
        <v>1960.77</v>
      </c>
      <c r="S160" s="3">
        <f t="shared" si="120"/>
        <v>50605.32</v>
      </c>
      <c r="T160" s="3">
        <f t="shared" si="120"/>
        <v>0</v>
      </c>
      <c r="U160" s="3">
        <f t="shared" si="120"/>
        <v>4119.6834743999998</v>
      </c>
      <c r="V160" s="3">
        <f t="shared" si="120"/>
        <v>0</v>
      </c>
      <c r="W160" s="3">
        <f t="shared" si="120"/>
        <v>0</v>
      </c>
      <c r="X160" s="3">
        <f t="shared" si="120"/>
        <v>56677.95</v>
      </c>
      <c r="Y160" s="3">
        <f t="shared" si="120"/>
        <v>35423.730000000003</v>
      </c>
      <c r="Z160" s="3">
        <f t="shared" si="120"/>
        <v>0</v>
      </c>
      <c r="AA160" s="3">
        <f t="shared" si="120"/>
        <v>0</v>
      </c>
      <c r="AB160" s="3">
        <f t="shared" si="120"/>
        <v>2498814.2999999998</v>
      </c>
      <c r="AC160" s="3">
        <f t="shared" si="120"/>
        <v>2429244.7000000002</v>
      </c>
      <c r="AD160" s="3">
        <f t="shared" si="120"/>
        <v>18964.28</v>
      </c>
      <c r="AE160" s="3">
        <f t="shared" si="120"/>
        <v>1960.77</v>
      </c>
      <c r="AF160" s="3">
        <f t="shared" si="120"/>
        <v>50605.32</v>
      </c>
      <c r="AG160" s="3">
        <f t="shared" si="120"/>
        <v>0</v>
      </c>
      <c r="AH160" s="3">
        <f t="shared" si="120"/>
        <v>4119.6834743999998</v>
      </c>
      <c r="AI160" s="3">
        <f t="shared" si="120"/>
        <v>0</v>
      </c>
      <c r="AJ160" s="3">
        <f t="shared" si="120"/>
        <v>0</v>
      </c>
      <c r="AK160" s="3">
        <f t="shared" si="120"/>
        <v>56677.95</v>
      </c>
      <c r="AL160" s="3">
        <f t="shared" si="120"/>
        <v>35423.730000000003</v>
      </c>
      <c r="AM160" s="3">
        <f t="shared" si="120"/>
        <v>0</v>
      </c>
      <c r="AN160" s="3">
        <f t="shared" si="120"/>
        <v>0</v>
      </c>
      <c r="AO160" s="3">
        <f t="shared" si="120"/>
        <v>0</v>
      </c>
      <c r="AP160" s="3">
        <f t="shared" si="120"/>
        <v>0</v>
      </c>
      <c r="AQ160" s="3">
        <f t="shared" si="120"/>
        <v>0</v>
      </c>
      <c r="AR160" s="3">
        <f t="shared" si="120"/>
        <v>2594347.34</v>
      </c>
      <c r="AS160" s="3">
        <f t="shared" si="120"/>
        <v>5543.47</v>
      </c>
      <c r="AT160" s="3">
        <f t="shared" si="120"/>
        <v>2588803.87</v>
      </c>
      <c r="AU160" s="3">
        <f t="shared" ref="AU160:BZ160" si="121">AU223</f>
        <v>0</v>
      </c>
      <c r="AV160" s="3">
        <f t="shared" si="121"/>
        <v>2429244.7000000002</v>
      </c>
      <c r="AW160" s="3">
        <f t="shared" si="121"/>
        <v>2429244.7000000002</v>
      </c>
      <c r="AX160" s="3">
        <f t="shared" si="121"/>
        <v>0</v>
      </c>
      <c r="AY160" s="3">
        <f t="shared" si="121"/>
        <v>2429244.7000000002</v>
      </c>
      <c r="AZ160" s="3">
        <f t="shared" si="121"/>
        <v>0</v>
      </c>
      <c r="BA160" s="3">
        <f t="shared" si="121"/>
        <v>0</v>
      </c>
      <c r="BB160" s="3">
        <f t="shared" si="121"/>
        <v>0</v>
      </c>
      <c r="BC160" s="3">
        <f t="shared" si="121"/>
        <v>0</v>
      </c>
      <c r="BD160" s="3">
        <f t="shared" si="121"/>
        <v>0</v>
      </c>
      <c r="BE160" s="3">
        <f t="shared" si="121"/>
        <v>0</v>
      </c>
      <c r="BF160" s="3">
        <f t="shared" si="121"/>
        <v>0</v>
      </c>
      <c r="BG160" s="3">
        <f t="shared" si="121"/>
        <v>0</v>
      </c>
      <c r="BH160" s="3">
        <f t="shared" si="121"/>
        <v>0</v>
      </c>
      <c r="BI160" s="3">
        <f t="shared" si="121"/>
        <v>0</v>
      </c>
      <c r="BJ160" s="3">
        <f t="shared" si="121"/>
        <v>0</v>
      </c>
      <c r="BK160" s="3">
        <f t="shared" si="121"/>
        <v>0</v>
      </c>
      <c r="BL160" s="3">
        <f t="shared" si="121"/>
        <v>0</v>
      </c>
      <c r="BM160" s="3">
        <f t="shared" si="121"/>
        <v>0</v>
      </c>
      <c r="BN160" s="3">
        <f t="shared" si="121"/>
        <v>0</v>
      </c>
      <c r="BO160" s="3">
        <f t="shared" si="121"/>
        <v>0</v>
      </c>
      <c r="BP160" s="3">
        <f t="shared" si="121"/>
        <v>0</v>
      </c>
      <c r="BQ160" s="3">
        <f t="shared" si="121"/>
        <v>0</v>
      </c>
      <c r="BR160" s="3">
        <f t="shared" si="121"/>
        <v>0</v>
      </c>
      <c r="BS160" s="3">
        <f t="shared" si="121"/>
        <v>0</v>
      </c>
      <c r="BT160" s="3">
        <f t="shared" si="121"/>
        <v>0</v>
      </c>
      <c r="BU160" s="3">
        <f t="shared" si="121"/>
        <v>0</v>
      </c>
      <c r="BV160" s="3">
        <f t="shared" si="121"/>
        <v>0</v>
      </c>
      <c r="BW160" s="3">
        <f t="shared" si="121"/>
        <v>0</v>
      </c>
      <c r="BX160" s="3">
        <f t="shared" si="121"/>
        <v>0</v>
      </c>
      <c r="BY160" s="3">
        <f t="shared" si="121"/>
        <v>0</v>
      </c>
      <c r="BZ160" s="3">
        <f t="shared" si="121"/>
        <v>0</v>
      </c>
      <c r="CA160" s="3">
        <f t="shared" ref="CA160:DF160" si="122">CA223</f>
        <v>2594347.34</v>
      </c>
      <c r="CB160" s="3">
        <f t="shared" si="122"/>
        <v>5543.47</v>
      </c>
      <c r="CC160" s="3">
        <f t="shared" si="122"/>
        <v>2588803.87</v>
      </c>
      <c r="CD160" s="3">
        <f t="shared" si="122"/>
        <v>0</v>
      </c>
      <c r="CE160" s="3">
        <f t="shared" si="122"/>
        <v>2429244.7000000002</v>
      </c>
      <c r="CF160" s="3">
        <f t="shared" si="122"/>
        <v>2429244.7000000002</v>
      </c>
      <c r="CG160" s="3">
        <f t="shared" si="122"/>
        <v>0</v>
      </c>
      <c r="CH160" s="3">
        <f t="shared" si="122"/>
        <v>2429244.7000000002</v>
      </c>
      <c r="CI160" s="3">
        <f t="shared" si="122"/>
        <v>0</v>
      </c>
      <c r="CJ160" s="3">
        <f t="shared" si="122"/>
        <v>0</v>
      </c>
      <c r="CK160" s="3">
        <f t="shared" si="122"/>
        <v>0</v>
      </c>
      <c r="CL160" s="3">
        <f t="shared" si="122"/>
        <v>0</v>
      </c>
      <c r="CM160" s="3">
        <f t="shared" si="122"/>
        <v>0</v>
      </c>
      <c r="CN160" s="3">
        <f t="shared" si="122"/>
        <v>0</v>
      </c>
      <c r="CO160" s="3">
        <f t="shared" si="122"/>
        <v>0</v>
      </c>
      <c r="CP160" s="3">
        <f t="shared" si="122"/>
        <v>0</v>
      </c>
      <c r="CQ160" s="3">
        <f t="shared" si="122"/>
        <v>0</v>
      </c>
      <c r="CR160" s="3">
        <f t="shared" si="122"/>
        <v>0</v>
      </c>
      <c r="CS160" s="3">
        <f t="shared" si="122"/>
        <v>0</v>
      </c>
      <c r="CT160" s="3">
        <f t="shared" si="122"/>
        <v>0</v>
      </c>
      <c r="CU160" s="3">
        <f t="shared" si="122"/>
        <v>0</v>
      </c>
      <c r="CV160" s="3">
        <f t="shared" si="122"/>
        <v>0</v>
      </c>
      <c r="CW160" s="3">
        <f t="shared" si="122"/>
        <v>0</v>
      </c>
      <c r="CX160" s="3">
        <f t="shared" si="122"/>
        <v>0</v>
      </c>
      <c r="CY160" s="3">
        <f t="shared" si="122"/>
        <v>0</v>
      </c>
      <c r="CZ160" s="3">
        <f t="shared" si="122"/>
        <v>0</v>
      </c>
      <c r="DA160" s="3">
        <f t="shared" si="122"/>
        <v>0</v>
      </c>
      <c r="DB160" s="3">
        <f t="shared" si="122"/>
        <v>0</v>
      </c>
      <c r="DC160" s="3">
        <f t="shared" si="122"/>
        <v>0</v>
      </c>
      <c r="DD160" s="3">
        <f t="shared" si="122"/>
        <v>0</v>
      </c>
      <c r="DE160" s="3">
        <f t="shared" si="122"/>
        <v>0</v>
      </c>
      <c r="DF160" s="3">
        <f t="shared" si="122"/>
        <v>0</v>
      </c>
      <c r="DG160" s="4">
        <f t="shared" ref="DG160:EL160" si="123">DG223</f>
        <v>23202679.010000002</v>
      </c>
      <c r="DH160" s="4">
        <f t="shared" si="123"/>
        <v>20595645.219999999</v>
      </c>
      <c r="DI160" s="4">
        <f t="shared" si="123"/>
        <v>245283.5</v>
      </c>
      <c r="DJ160" s="4">
        <f t="shared" si="123"/>
        <v>91509.14</v>
      </c>
      <c r="DK160" s="4">
        <f t="shared" si="123"/>
        <v>2361750.29</v>
      </c>
      <c r="DL160" s="4">
        <f t="shared" si="123"/>
        <v>0</v>
      </c>
      <c r="DM160" s="4">
        <f t="shared" si="123"/>
        <v>4119.6834743999998</v>
      </c>
      <c r="DN160" s="4">
        <f t="shared" si="123"/>
        <v>0</v>
      </c>
      <c r="DO160" s="4">
        <f t="shared" si="123"/>
        <v>0</v>
      </c>
      <c r="DP160" s="4">
        <f t="shared" si="123"/>
        <v>2172810.2599999998</v>
      </c>
      <c r="DQ160" s="4">
        <f t="shared" si="123"/>
        <v>1015552.62</v>
      </c>
      <c r="DR160" s="4">
        <f t="shared" si="123"/>
        <v>0</v>
      </c>
      <c r="DS160" s="4">
        <f t="shared" si="123"/>
        <v>0</v>
      </c>
      <c r="DT160" s="4">
        <f t="shared" si="123"/>
        <v>23202679.010000002</v>
      </c>
      <c r="DU160" s="4">
        <f t="shared" si="123"/>
        <v>20595645.219999999</v>
      </c>
      <c r="DV160" s="4">
        <f t="shared" si="123"/>
        <v>245283.5</v>
      </c>
      <c r="DW160" s="4">
        <f t="shared" si="123"/>
        <v>91509.14</v>
      </c>
      <c r="DX160" s="4">
        <f t="shared" si="123"/>
        <v>2361750.29</v>
      </c>
      <c r="DY160" s="4">
        <f t="shared" si="123"/>
        <v>0</v>
      </c>
      <c r="DZ160" s="4">
        <f t="shared" si="123"/>
        <v>4119.6834743999998</v>
      </c>
      <c r="EA160" s="4">
        <f t="shared" si="123"/>
        <v>0</v>
      </c>
      <c r="EB160" s="4">
        <f t="shared" si="123"/>
        <v>0</v>
      </c>
      <c r="EC160" s="4">
        <f t="shared" si="123"/>
        <v>2172810.2599999998</v>
      </c>
      <c r="ED160" s="4">
        <f t="shared" si="123"/>
        <v>1015552.62</v>
      </c>
      <c r="EE160" s="4">
        <f t="shared" si="123"/>
        <v>0</v>
      </c>
      <c r="EF160" s="4">
        <f t="shared" si="123"/>
        <v>0</v>
      </c>
      <c r="EG160" s="4">
        <f t="shared" si="123"/>
        <v>0</v>
      </c>
      <c r="EH160" s="4">
        <f t="shared" si="123"/>
        <v>0</v>
      </c>
      <c r="EI160" s="4">
        <f t="shared" si="123"/>
        <v>0</v>
      </c>
      <c r="EJ160" s="4">
        <f t="shared" si="123"/>
        <v>26537456.530000001</v>
      </c>
      <c r="EK160" s="4">
        <f t="shared" si="123"/>
        <v>47452.1</v>
      </c>
      <c r="EL160" s="4">
        <f t="shared" si="123"/>
        <v>26490004.43</v>
      </c>
      <c r="EM160" s="4">
        <f t="shared" ref="EM160:FR160" si="124">EM223</f>
        <v>0</v>
      </c>
      <c r="EN160" s="4">
        <f t="shared" si="124"/>
        <v>20595645.219999999</v>
      </c>
      <c r="EO160" s="4">
        <f t="shared" si="124"/>
        <v>20595645.219999999</v>
      </c>
      <c r="EP160" s="4">
        <f t="shared" si="124"/>
        <v>0</v>
      </c>
      <c r="EQ160" s="4">
        <f t="shared" si="124"/>
        <v>20595645.219999999</v>
      </c>
      <c r="ER160" s="4">
        <f t="shared" si="124"/>
        <v>0</v>
      </c>
      <c r="ES160" s="4">
        <f t="shared" si="124"/>
        <v>0</v>
      </c>
      <c r="ET160" s="4">
        <f t="shared" si="124"/>
        <v>0</v>
      </c>
      <c r="EU160" s="4">
        <f t="shared" si="124"/>
        <v>0</v>
      </c>
      <c r="EV160" s="4">
        <f t="shared" si="124"/>
        <v>0</v>
      </c>
      <c r="EW160" s="4">
        <f t="shared" si="124"/>
        <v>0</v>
      </c>
      <c r="EX160" s="4">
        <f t="shared" si="124"/>
        <v>0</v>
      </c>
      <c r="EY160" s="4">
        <f t="shared" si="124"/>
        <v>0</v>
      </c>
      <c r="EZ160" s="4">
        <f t="shared" si="124"/>
        <v>0</v>
      </c>
      <c r="FA160" s="4">
        <f t="shared" si="124"/>
        <v>0</v>
      </c>
      <c r="FB160" s="4">
        <f t="shared" si="124"/>
        <v>0</v>
      </c>
      <c r="FC160" s="4">
        <f t="shared" si="124"/>
        <v>0</v>
      </c>
      <c r="FD160" s="4">
        <f t="shared" si="124"/>
        <v>0</v>
      </c>
      <c r="FE160" s="4">
        <f t="shared" si="124"/>
        <v>0</v>
      </c>
      <c r="FF160" s="4">
        <f t="shared" si="124"/>
        <v>0</v>
      </c>
      <c r="FG160" s="4">
        <f t="shared" si="124"/>
        <v>0</v>
      </c>
      <c r="FH160" s="4">
        <f t="shared" si="124"/>
        <v>0</v>
      </c>
      <c r="FI160" s="4">
        <f t="shared" si="124"/>
        <v>0</v>
      </c>
      <c r="FJ160" s="4">
        <f t="shared" si="124"/>
        <v>0</v>
      </c>
      <c r="FK160" s="4">
        <f t="shared" si="124"/>
        <v>0</v>
      </c>
      <c r="FL160" s="4">
        <f t="shared" si="124"/>
        <v>0</v>
      </c>
      <c r="FM160" s="4">
        <f t="shared" si="124"/>
        <v>0</v>
      </c>
      <c r="FN160" s="4">
        <f t="shared" si="124"/>
        <v>0</v>
      </c>
      <c r="FO160" s="4">
        <f t="shared" si="124"/>
        <v>0</v>
      </c>
      <c r="FP160" s="4">
        <f t="shared" si="124"/>
        <v>0</v>
      </c>
      <c r="FQ160" s="4">
        <f t="shared" si="124"/>
        <v>0</v>
      </c>
      <c r="FR160" s="4">
        <f t="shared" si="124"/>
        <v>0</v>
      </c>
      <c r="FS160" s="4">
        <f t="shared" ref="FS160:GX160" si="125">FS223</f>
        <v>26537456.530000001</v>
      </c>
      <c r="FT160" s="4">
        <f t="shared" si="125"/>
        <v>47452.1</v>
      </c>
      <c r="FU160" s="4">
        <f t="shared" si="125"/>
        <v>26490004.43</v>
      </c>
      <c r="FV160" s="4">
        <f t="shared" si="125"/>
        <v>0</v>
      </c>
      <c r="FW160" s="4">
        <f t="shared" si="125"/>
        <v>20595645.219999999</v>
      </c>
      <c r="FX160" s="4">
        <f t="shared" si="125"/>
        <v>20595645.219999999</v>
      </c>
      <c r="FY160" s="4">
        <f t="shared" si="125"/>
        <v>0</v>
      </c>
      <c r="FZ160" s="4">
        <f t="shared" si="125"/>
        <v>20595645.219999999</v>
      </c>
      <c r="GA160" s="4">
        <f t="shared" si="125"/>
        <v>0</v>
      </c>
      <c r="GB160" s="4">
        <f t="shared" si="125"/>
        <v>0</v>
      </c>
      <c r="GC160" s="4">
        <f t="shared" si="125"/>
        <v>0</v>
      </c>
      <c r="GD160" s="4">
        <f t="shared" si="125"/>
        <v>0</v>
      </c>
      <c r="GE160" s="4">
        <f t="shared" si="125"/>
        <v>0</v>
      </c>
      <c r="GF160" s="4">
        <f t="shared" si="125"/>
        <v>0</v>
      </c>
      <c r="GG160" s="4">
        <f t="shared" si="125"/>
        <v>0</v>
      </c>
      <c r="GH160" s="4">
        <f t="shared" si="125"/>
        <v>0</v>
      </c>
      <c r="GI160" s="4">
        <f t="shared" si="125"/>
        <v>0</v>
      </c>
      <c r="GJ160" s="4">
        <f t="shared" si="125"/>
        <v>0</v>
      </c>
      <c r="GK160" s="4">
        <f t="shared" si="125"/>
        <v>0</v>
      </c>
      <c r="GL160" s="4">
        <f t="shared" si="125"/>
        <v>0</v>
      </c>
      <c r="GM160" s="4">
        <f t="shared" si="125"/>
        <v>0</v>
      </c>
      <c r="GN160" s="4">
        <f t="shared" si="125"/>
        <v>0</v>
      </c>
      <c r="GO160" s="4">
        <f t="shared" si="125"/>
        <v>0</v>
      </c>
      <c r="GP160" s="4">
        <f t="shared" si="125"/>
        <v>0</v>
      </c>
      <c r="GQ160" s="4">
        <f t="shared" si="125"/>
        <v>0</v>
      </c>
      <c r="GR160" s="4">
        <f t="shared" si="125"/>
        <v>0</v>
      </c>
      <c r="GS160" s="4">
        <f t="shared" si="125"/>
        <v>0</v>
      </c>
      <c r="GT160" s="4">
        <f t="shared" si="125"/>
        <v>0</v>
      </c>
      <c r="GU160" s="4">
        <f t="shared" si="125"/>
        <v>0</v>
      </c>
      <c r="GV160" s="4">
        <f t="shared" si="125"/>
        <v>0</v>
      </c>
      <c r="GW160" s="4">
        <f t="shared" si="125"/>
        <v>0</v>
      </c>
      <c r="GX160" s="4">
        <f t="shared" si="125"/>
        <v>0</v>
      </c>
    </row>
    <row r="162" spans="1:255">
      <c r="A162" s="2">
        <v>19</v>
      </c>
      <c r="B162" s="2">
        <v>1</v>
      </c>
      <c r="C162" s="2"/>
      <c r="D162" s="2"/>
      <c r="E162" s="2"/>
      <c r="F162" s="2" t="s">
        <v>4</v>
      </c>
      <c r="G162" s="2" t="s">
        <v>213</v>
      </c>
      <c r="H162" s="2" t="s">
        <v>4</v>
      </c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>
        <v>1</v>
      </c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  <c r="EN162" s="2"/>
      <c r="EO162" s="2"/>
      <c r="EP162" s="2"/>
      <c r="EQ162" s="2"/>
      <c r="ER162" s="2"/>
      <c r="ES162" s="2"/>
      <c r="ET162" s="2"/>
      <c r="EU162" s="2"/>
      <c r="EV162" s="2"/>
      <c r="EW162" s="2"/>
      <c r="EX162" s="2"/>
      <c r="EY162" s="2"/>
      <c r="EZ162" s="2"/>
      <c r="FA162" s="2"/>
      <c r="FB162" s="2"/>
      <c r="FC162" s="2"/>
      <c r="FD162" s="2"/>
      <c r="FE162" s="2"/>
      <c r="FF162" s="2"/>
      <c r="FG162" s="2"/>
      <c r="FH162" s="2"/>
      <c r="FI162" s="2"/>
      <c r="FJ162" s="2"/>
      <c r="FK162" s="2"/>
      <c r="FL162" s="2"/>
      <c r="FM162" s="2"/>
      <c r="FN162" s="2"/>
      <c r="FO162" s="2"/>
      <c r="FP162" s="2"/>
      <c r="FQ162" s="2"/>
      <c r="FR162" s="2"/>
      <c r="FS162" s="2"/>
      <c r="FT162" s="2"/>
      <c r="FU162" s="2"/>
      <c r="FV162" s="2"/>
      <c r="FW162" s="2"/>
      <c r="FX162" s="2"/>
      <c r="FY162" s="2"/>
      <c r="FZ162" s="2"/>
      <c r="GA162" s="2"/>
      <c r="GB162" s="2"/>
      <c r="GC162" s="2"/>
      <c r="GD162" s="2"/>
      <c r="GE162" s="2"/>
      <c r="GF162" s="2"/>
      <c r="GG162" s="2"/>
      <c r="GH162" s="2"/>
      <c r="GI162" s="2"/>
      <c r="GJ162" s="2"/>
      <c r="GK162" s="2"/>
      <c r="GL162" s="2"/>
      <c r="GM162" s="2"/>
      <c r="GN162" s="2"/>
      <c r="GO162" s="2"/>
      <c r="GP162" s="2"/>
      <c r="GQ162" s="2"/>
      <c r="GR162" s="2"/>
      <c r="GS162" s="2"/>
      <c r="GT162" s="2"/>
      <c r="GU162" s="2"/>
      <c r="GV162" s="2"/>
      <c r="GW162" s="2"/>
      <c r="GX162" s="2"/>
      <c r="GY162" s="2"/>
      <c r="GZ162" s="2"/>
      <c r="HA162" s="2"/>
      <c r="HB162" s="2"/>
      <c r="HC162" s="2"/>
      <c r="HD162" s="2"/>
      <c r="HE162" s="2"/>
      <c r="HF162" s="2"/>
      <c r="HG162" s="2"/>
      <c r="HH162" s="2"/>
      <c r="HI162" s="2"/>
      <c r="HJ162" s="2"/>
      <c r="HK162" s="2"/>
      <c r="HL162" s="2"/>
      <c r="HM162" s="2"/>
      <c r="HN162" s="2"/>
      <c r="HO162" s="2"/>
      <c r="HP162" s="2"/>
      <c r="HQ162" s="2"/>
      <c r="HR162" s="2"/>
      <c r="HS162" s="2"/>
      <c r="HT162" s="2"/>
      <c r="HU162" s="2"/>
      <c r="HV162" s="2"/>
      <c r="HW162" s="2"/>
      <c r="HX162" s="2"/>
      <c r="HY162" s="2"/>
      <c r="HZ162" s="2"/>
      <c r="IA162" s="2"/>
      <c r="IB162" s="2"/>
      <c r="IC162" s="2"/>
      <c r="ID162" s="2"/>
      <c r="IE162" s="2"/>
      <c r="IF162" s="2"/>
      <c r="IG162" s="2"/>
      <c r="IH162" s="2"/>
      <c r="II162" s="2"/>
      <c r="IJ162" s="2"/>
      <c r="IK162" s="2">
        <v>0</v>
      </c>
      <c r="IL162" s="2"/>
      <c r="IM162" s="2"/>
      <c r="IN162" s="2"/>
      <c r="IO162" s="2"/>
      <c r="IP162" s="2"/>
      <c r="IQ162" s="2"/>
      <c r="IR162" s="2"/>
      <c r="IS162" s="2"/>
      <c r="IT162" s="2"/>
      <c r="IU162" s="2"/>
    </row>
    <row r="163" spans="1:255">
      <c r="A163" s="2">
        <v>17</v>
      </c>
      <c r="B163" s="2">
        <v>1</v>
      </c>
      <c r="C163" s="2"/>
      <c r="D163" s="2">
        <f>ROW(EtalonRes!A145)</f>
        <v>145</v>
      </c>
      <c r="E163" s="2" t="s">
        <v>214</v>
      </c>
      <c r="F163" s="2" t="s">
        <v>215</v>
      </c>
      <c r="G163" s="2" t="s">
        <v>216</v>
      </c>
      <c r="H163" s="2" t="s">
        <v>217</v>
      </c>
      <c r="I163" s="2">
        <f>ROUND((115+115+65+165+155+115+165+105+115+85+115+310+345+205+85+125+105+165+75)*2/100,9)</f>
        <v>54.6</v>
      </c>
      <c r="J163" s="2">
        <v>0</v>
      </c>
      <c r="K163" s="2">
        <f>ROUND((115+115+65+165+155+115+165+105+115+85+115+310+345+205+85+125+105+165+75)*2/100,9)</f>
        <v>54.6</v>
      </c>
      <c r="L163" s="2"/>
      <c r="M163" s="2"/>
      <c r="N163" s="2"/>
      <c r="O163" s="2">
        <f t="shared" ref="O163:O170" si="126">ROUND(CP163,2)</f>
        <v>60736.7</v>
      </c>
      <c r="P163" s="2">
        <f t="shared" ref="P163:P170" si="127">ROUND((ROUND((AC163*AW163*I163),2)*BC163),2)</f>
        <v>10292.1</v>
      </c>
      <c r="Q163" s="2">
        <f t="shared" ref="Q163:Q170" si="128">(ROUND((ROUND(((ET163)*AV163*I163),2)*BB163),2)+ROUND((ROUND(((AE163-(EU163))*AV163*I163),2)*BS163),2))</f>
        <v>12892.12</v>
      </c>
      <c r="R163" s="2">
        <f t="shared" ref="R163:R170" si="129">ROUND((ROUND((AE163*AV163*I163),2)*BS163),2)</f>
        <v>1284.52</v>
      </c>
      <c r="S163" s="2">
        <f t="shared" ref="S163:S170" si="130">ROUND((ROUND((AF163*AV163*I163),2)*BA163),2)</f>
        <v>37552.480000000003</v>
      </c>
      <c r="T163" s="2">
        <f t="shared" ref="T163:T170" si="131">ROUND(CU163*I163,2)</f>
        <v>0</v>
      </c>
      <c r="U163" s="2">
        <f t="shared" ref="U163:U170" si="132">CV163*I163</f>
        <v>3093.8347439999998</v>
      </c>
      <c r="V163" s="2">
        <f t="shared" ref="V163:V170" si="133">CW163*I163</f>
        <v>0</v>
      </c>
      <c r="W163" s="2">
        <f t="shared" ref="W163:W170" si="134">ROUND(CX163*I163,2)</f>
        <v>0</v>
      </c>
      <c r="X163" s="2">
        <f t="shared" ref="X163:Y170" si="135">ROUND(CY163,2)</f>
        <v>42058.78</v>
      </c>
      <c r="Y163" s="2">
        <f t="shared" si="135"/>
        <v>26286.74</v>
      </c>
      <c r="Z163" s="2"/>
      <c r="AA163" s="2">
        <v>70305038</v>
      </c>
      <c r="AB163" s="2">
        <f t="shared" ref="AB163:AB170" si="136">ROUND((AC163+AD163+AF163),6)</f>
        <v>1070.92</v>
      </c>
      <c r="AC163" s="2">
        <f t="shared" ref="AC163:AC170" si="137">ROUND((ES163),6)</f>
        <v>188.5</v>
      </c>
      <c r="AD163" s="2">
        <f t="shared" ref="AD163:AD170" si="138">ROUND((((ET163)-(EU163))+AE163),6)</f>
        <v>225.52</v>
      </c>
      <c r="AE163" s="2">
        <f t="shared" ref="AE163:AF170" si="139">ROUND((EU163),6)</f>
        <v>22.47</v>
      </c>
      <c r="AF163" s="2">
        <f t="shared" si="139"/>
        <v>656.9</v>
      </c>
      <c r="AG163" s="2">
        <f t="shared" ref="AG163:AG170" si="140">ROUND((AP163),6)</f>
        <v>0</v>
      </c>
      <c r="AH163" s="2">
        <f t="shared" ref="AH163:AI170" si="141">(EW163)</f>
        <v>54.12</v>
      </c>
      <c r="AI163" s="2">
        <f t="shared" si="141"/>
        <v>0</v>
      </c>
      <c r="AJ163" s="2">
        <f t="shared" ref="AJ163:AJ170" si="142">(AS163)</f>
        <v>0</v>
      </c>
      <c r="AK163" s="2">
        <v>1070.92</v>
      </c>
      <c r="AL163" s="2">
        <v>188.5</v>
      </c>
      <c r="AM163" s="2">
        <v>225.52</v>
      </c>
      <c r="AN163" s="2">
        <v>22.47</v>
      </c>
      <c r="AO163" s="2">
        <v>656.9</v>
      </c>
      <c r="AP163" s="2">
        <v>0</v>
      </c>
      <c r="AQ163" s="2">
        <v>54.12</v>
      </c>
      <c r="AR163" s="2">
        <v>0</v>
      </c>
      <c r="AS163" s="2">
        <v>0</v>
      </c>
      <c r="AT163" s="2">
        <v>112</v>
      </c>
      <c r="AU163" s="2">
        <v>70</v>
      </c>
      <c r="AV163" s="2">
        <v>1.0469999999999999</v>
      </c>
      <c r="AW163" s="2">
        <v>1</v>
      </c>
      <c r="AX163" s="2"/>
      <c r="AY163" s="2"/>
      <c r="AZ163" s="2">
        <v>1</v>
      </c>
      <c r="BA163" s="2">
        <v>1</v>
      </c>
      <c r="BB163" s="2">
        <v>1</v>
      </c>
      <c r="BC163" s="2">
        <v>1</v>
      </c>
      <c r="BD163" s="2" t="s">
        <v>4</v>
      </c>
      <c r="BE163" s="2" t="s">
        <v>4</v>
      </c>
      <c r="BF163" s="2" t="s">
        <v>4</v>
      </c>
      <c r="BG163" s="2" t="s">
        <v>4</v>
      </c>
      <c r="BH163" s="2">
        <v>0</v>
      </c>
      <c r="BI163" s="2">
        <v>2</v>
      </c>
      <c r="BJ163" s="2" t="s">
        <v>218</v>
      </c>
      <c r="BK163" s="2"/>
      <c r="BL163" s="2"/>
      <c r="BM163" s="2">
        <v>1726</v>
      </c>
      <c r="BN163" s="2">
        <v>0</v>
      </c>
      <c r="BO163" s="2" t="s">
        <v>4</v>
      </c>
      <c r="BP163" s="2">
        <v>0</v>
      </c>
      <c r="BQ163" s="2">
        <v>40</v>
      </c>
      <c r="BR163" s="2">
        <v>0</v>
      </c>
      <c r="BS163" s="2">
        <v>1</v>
      </c>
      <c r="BT163" s="2">
        <v>1</v>
      </c>
      <c r="BU163" s="2">
        <v>1</v>
      </c>
      <c r="BV163" s="2">
        <v>1</v>
      </c>
      <c r="BW163" s="2">
        <v>1</v>
      </c>
      <c r="BX163" s="2">
        <v>1</v>
      </c>
      <c r="BY163" s="2" t="s">
        <v>4</v>
      </c>
      <c r="BZ163" s="2">
        <v>112</v>
      </c>
      <c r="CA163" s="2">
        <v>70</v>
      </c>
      <c r="CB163" s="2" t="s">
        <v>4</v>
      </c>
      <c r="CC163" s="2"/>
      <c r="CD163" s="2"/>
      <c r="CE163" s="2">
        <v>30</v>
      </c>
      <c r="CF163" s="2">
        <v>0</v>
      </c>
      <c r="CG163" s="2">
        <v>0</v>
      </c>
      <c r="CH163" s="2"/>
      <c r="CI163" s="2"/>
      <c r="CJ163" s="2"/>
      <c r="CK163" s="2"/>
      <c r="CL163" s="2"/>
      <c r="CM163" s="2">
        <v>0</v>
      </c>
      <c r="CN163" s="2" t="s">
        <v>4</v>
      </c>
      <c r="CO163" s="2">
        <v>0</v>
      </c>
      <c r="CP163" s="2">
        <f t="shared" ref="CP163:CP170" si="143">(P163+Q163+S163)</f>
        <v>60736.700000000004</v>
      </c>
      <c r="CQ163" s="2">
        <f t="shared" ref="CQ163:CQ170" si="144">ROUND((ROUND((AC163*AW163*1),2)*BC163),2)</f>
        <v>188.5</v>
      </c>
      <c r="CR163" s="2">
        <f t="shared" ref="CR163:CR170" si="145">(ROUND((ROUND(((ET163)*AV163*1),2)*BB163),2)+ROUND((ROUND(((AE163-(EU163))*AV163*1),2)*BS163),2))</f>
        <v>236.12</v>
      </c>
      <c r="CS163" s="2">
        <f t="shared" ref="CS163:CS170" si="146">ROUND((ROUND((AE163*AV163*1),2)*BS163),2)</f>
        <v>23.53</v>
      </c>
      <c r="CT163" s="2">
        <f t="shared" ref="CT163:CT170" si="147">ROUND((ROUND((AF163*AV163*1),2)*BA163),2)</f>
        <v>687.77</v>
      </c>
      <c r="CU163" s="2">
        <f t="shared" ref="CU163:CU170" si="148">AG163</f>
        <v>0</v>
      </c>
      <c r="CV163" s="2">
        <f t="shared" ref="CV163:CV170" si="149">(AH163*AV163)</f>
        <v>56.663639999999994</v>
      </c>
      <c r="CW163" s="2">
        <f t="shared" ref="CW163:CX170" si="150">AI163</f>
        <v>0</v>
      </c>
      <c r="CX163" s="2">
        <f t="shared" si="150"/>
        <v>0</v>
      </c>
      <c r="CY163" s="2">
        <f>((S163*BZ163)/100)</f>
        <v>42058.777600000009</v>
      </c>
      <c r="CZ163" s="2">
        <f>((S163*CA163)/100)</f>
        <v>26286.736000000001</v>
      </c>
      <c r="DA163" s="2"/>
      <c r="DB163" s="2"/>
      <c r="DC163" s="2" t="s">
        <v>4</v>
      </c>
      <c r="DD163" s="2" t="s">
        <v>4</v>
      </c>
      <c r="DE163" s="2" t="s">
        <v>4</v>
      </c>
      <c r="DF163" s="2" t="s">
        <v>4</v>
      </c>
      <c r="DG163" s="2" t="s">
        <v>4</v>
      </c>
      <c r="DH163" s="2" t="s">
        <v>4</v>
      </c>
      <c r="DI163" s="2" t="s">
        <v>4</v>
      </c>
      <c r="DJ163" s="2" t="s">
        <v>4</v>
      </c>
      <c r="DK163" s="2" t="s">
        <v>4</v>
      </c>
      <c r="DL163" s="2" t="s">
        <v>4</v>
      </c>
      <c r="DM163" s="2" t="s">
        <v>4</v>
      </c>
      <c r="DN163" s="2">
        <v>0</v>
      </c>
      <c r="DO163" s="2">
        <v>0</v>
      </c>
      <c r="DP163" s="2">
        <v>1</v>
      </c>
      <c r="DQ163" s="2">
        <v>1</v>
      </c>
      <c r="DR163" s="2"/>
      <c r="DS163" s="2"/>
      <c r="DT163" s="2"/>
      <c r="DU163" s="2">
        <v>1003</v>
      </c>
      <c r="DV163" s="2" t="s">
        <v>217</v>
      </c>
      <c r="DW163" s="2" t="s">
        <v>217</v>
      </c>
      <c r="DX163" s="2">
        <v>100</v>
      </c>
      <c r="DY163" s="2"/>
      <c r="DZ163" s="2" t="s">
        <v>4</v>
      </c>
      <c r="EA163" s="2" t="s">
        <v>4</v>
      </c>
      <c r="EB163" s="2" t="s">
        <v>4</v>
      </c>
      <c r="EC163" s="2" t="s">
        <v>4</v>
      </c>
      <c r="ED163" s="2"/>
      <c r="EE163" s="2">
        <v>69254351</v>
      </c>
      <c r="EF163" s="2">
        <v>40</v>
      </c>
      <c r="EG163" s="2" t="s">
        <v>219</v>
      </c>
      <c r="EH163" s="2">
        <v>0</v>
      </c>
      <c r="EI163" s="2" t="s">
        <v>4</v>
      </c>
      <c r="EJ163" s="2">
        <v>2</v>
      </c>
      <c r="EK163" s="2">
        <v>1726</v>
      </c>
      <c r="EL163" s="2" t="s">
        <v>220</v>
      </c>
      <c r="EM163" s="2" t="s">
        <v>221</v>
      </c>
      <c r="EN163" s="2"/>
      <c r="EO163" s="2" t="s">
        <v>4</v>
      </c>
      <c r="EP163" s="2"/>
      <c r="EQ163" s="2">
        <v>0</v>
      </c>
      <c r="ER163" s="2">
        <v>1070.92</v>
      </c>
      <c r="ES163" s="2">
        <v>188.5</v>
      </c>
      <c r="ET163" s="2">
        <v>225.52</v>
      </c>
      <c r="EU163" s="2">
        <v>22.47</v>
      </c>
      <c r="EV163" s="2">
        <v>656.9</v>
      </c>
      <c r="EW163" s="2">
        <v>54.12</v>
      </c>
      <c r="EX163" s="2">
        <v>0</v>
      </c>
      <c r="EY163" s="2">
        <v>0</v>
      </c>
      <c r="EZ163" s="2"/>
      <c r="FA163" s="2"/>
      <c r="FB163" s="2"/>
      <c r="FC163" s="2"/>
      <c r="FD163" s="2"/>
      <c r="FE163" s="2"/>
      <c r="FF163" s="2"/>
      <c r="FG163" s="2"/>
      <c r="FH163" s="2"/>
      <c r="FI163" s="2"/>
      <c r="FJ163" s="2"/>
      <c r="FK163" s="2"/>
      <c r="FL163" s="2"/>
      <c r="FM163" s="2"/>
      <c r="FN163" s="2"/>
      <c r="FO163" s="2"/>
      <c r="FP163" s="2"/>
      <c r="FQ163" s="2">
        <v>0</v>
      </c>
      <c r="FR163" s="2">
        <f t="shared" ref="FR163:FR170" si="151">ROUND(IF(BI163=3,GM163,0),2)</f>
        <v>0</v>
      </c>
      <c r="FS163" s="2">
        <v>0</v>
      </c>
      <c r="FT163" s="2"/>
      <c r="FU163" s="2"/>
      <c r="FV163" s="2"/>
      <c r="FW163" s="2"/>
      <c r="FX163" s="2">
        <v>112</v>
      </c>
      <c r="FY163" s="2">
        <v>70</v>
      </c>
      <c r="FZ163" s="2"/>
      <c r="GA163" s="2" t="s">
        <v>4</v>
      </c>
      <c r="GB163" s="2"/>
      <c r="GC163" s="2"/>
      <c r="GD163" s="2">
        <v>0</v>
      </c>
      <c r="GE163" s="2"/>
      <c r="GF163" s="2">
        <v>869171780</v>
      </c>
      <c r="GG163" s="2">
        <v>2</v>
      </c>
      <c r="GH163" s="2">
        <v>1</v>
      </c>
      <c r="GI163" s="2">
        <v>-2</v>
      </c>
      <c r="GJ163" s="2">
        <v>0</v>
      </c>
      <c r="GK163" s="2">
        <f>ROUND(R163*(R12)/100,2)</f>
        <v>2247.91</v>
      </c>
      <c r="GL163" s="2">
        <f t="shared" ref="GL163:GL170" si="152">ROUND(IF(AND(BH163=3,BI163=3,FS163&lt;&gt;0),P163,0),2)</f>
        <v>0</v>
      </c>
      <c r="GM163" s="2">
        <f t="shared" ref="GM163:GM170" si="153">ROUND(O163+X163+Y163+GK163,2)+GX163</f>
        <v>131330.13</v>
      </c>
      <c r="GN163" s="2">
        <f t="shared" ref="GN163:GN170" si="154">IF(OR(BI163=0,BI163=1),GM163-GX163,0)</f>
        <v>0</v>
      </c>
      <c r="GO163" s="2">
        <f t="shared" ref="GO163:GO170" si="155">IF(BI163=2,GM163-GX163,0)</f>
        <v>131330.13</v>
      </c>
      <c r="GP163" s="2">
        <f t="shared" ref="GP163:GP170" si="156">IF(BI163=4,GM163-GX163,0)</f>
        <v>0</v>
      </c>
      <c r="GQ163" s="2"/>
      <c r="GR163" s="2">
        <v>0</v>
      </c>
      <c r="GS163" s="2">
        <v>0</v>
      </c>
      <c r="GT163" s="2">
        <v>0</v>
      </c>
      <c r="GU163" s="2" t="s">
        <v>4</v>
      </c>
      <c r="GV163" s="2">
        <f t="shared" ref="GV163:GV170" si="157">ROUND((GT163),6)</f>
        <v>0</v>
      </c>
      <c r="GW163" s="2">
        <v>1</v>
      </c>
      <c r="GX163" s="2">
        <f t="shared" ref="GX163:GX170" si="158">ROUND(HC163*I163,2)</f>
        <v>0</v>
      </c>
      <c r="GY163" s="2"/>
      <c r="GZ163" s="2"/>
      <c r="HA163" s="2">
        <v>0</v>
      </c>
      <c r="HB163" s="2">
        <v>0</v>
      </c>
      <c r="HC163" s="2">
        <f t="shared" ref="HC163:HC170" si="159">GV163*GW163</f>
        <v>0</v>
      </c>
      <c r="HD163" s="2"/>
      <c r="HE163" s="2" t="s">
        <v>4</v>
      </c>
      <c r="HF163" s="2" t="s">
        <v>4</v>
      </c>
      <c r="HG163" s="2"/>
      <c r="HH163" s="2"/>
      <c r="HI163" s="2"/>
      <c r="HJ163" s="2"/>
      <c r="HK163" s="2"/>
      <c r="HL163" s="2"/>
      <c r="HM163" s="2" t="s">
        <v>4</v>
      </c>
      <c r="HN163" s="2" t="s">
        <v>4</v>
      </c>
      <c r="HO163" s="2" t="s">
        <v>4</v>
      </c>
      <c r="HP163" s="2" t="s">
        <v>4</v>
      </c>
      <c r="HQ163" s="2" t="s">
        <v>4</v>
      </c>
      <c r="HR163" s="2"/>
      <c r="HS163" s="2"/>
      <c r="HT163" s="2"/>
      <c r="HU163" s="2"/>
      <c r="HV163" s="2"/>
      <c r="HW163" s="2"/>
      <c r="HX163" s="2"/>
      <c r="HY163" s="2"/>
      <c r="HZ163" s="2"/>
      <c r="IA163" s="2"/>
      <c r="IB163" s="2"/>
      <c r="IC163" s="2"/>
      <c r="ID163" s="2"/>
      <c r="IE163" s="2"/>
      <c r="IF163" s="2"/>
      <c r="IG163" s="2"/>
      <c r="IH163" s="2"/>
      <c r="II163" s="2"/>
      <c r="IJ163" s="2"/>
      <c r="IK163" s="2">
        <v>0</v>
      </c>
      <c r="IL163" s="2"/>
      <c r="IM163" s="2"/>
      <c r="IN163" s="2"/>
      <c r="IO163" s="2"/>
      <c r="IP163" s="2"/>
      <c r="IQ163" s="2"/>
      <c r="IR163" s="2"/>
      <c r="IS163" s="2"/>
      <c r="IT163" s="2"/>
      <c r="IU163" s="2"/>
    </row>
    <row r="164" spans="1:255">
      <c r="A164">
        <v>17</v>
      </c>
      <c r="B164">
        <v>1</v>
      </c>
      <c r="D164">
        <f>ROW(EtalonRes!A160)</f>
        <v>160</v>
      </c>
      <c r="E164" t="s">
        <v>214</v>
      </c>
      <c r="F164" t="s">
        <v>215</v>
      </c>
      <c r="G164" t="s">
        <v>216</v>
      </c>
      <c r="H164" t="s">
        <v>217</v>
      </c>
      <c r="I164">
        <f>ROUND((115+115+65+165+155+115+165+105+115+85+115+310+345+205+85+125+105+165+75)*2/100,9)</f>
        <v>54.6</v>
      </c>
      <c r="J164">
        <v>0</v>
      </c>
      <c r="K164">
        <f>ROUND((115+115+65+165+155+115+165+105+115+85+115+310+345+205+85+125+105+165+75)*2/100,9)</f>
        <v>54.6</v>
      </c>
      <c r="O164">
        <f t="shared" si="126"/>
        <v>1985171.27</v>
      </c>
      <c r="P164">
        <f t="shared" si="127"/>
        <v>62678.89</v>
      </c>
      <c r="Q164">
        <f t="shared" si="128"/>
        <v>169918.14</v>
      </c>
      <c r="R164">
        <f t="shared" si="129"/>
        <v>59948.55</v>
      </c>
      <c r="S164">
        <f t="shared" si="130"/>
        <v>1752574.24</v>
      </c>
      <c r="T164">
        <f t="shared" si="131"/>
        <v>0</v>
      </c>
      <c r="U164">
        <f t="shared" si="132"/>
        <v>3093.8347439999998</v>
      </c>
      <c r="V164">
        <f t="shared" si="133"/>
        <v>0</v>
      </c>
      <c r="W164">
        <f t="shared" si="134"/>
        <v>0</v>
      </c>
      <c r="X164">
        <f t="shared" si="135"/>
        <v>1612368.3</v>
      </c>
      <c r="Y164">
        <f t="shared" si="135"/>
        <v>753606.92</v>
      </c>
      <c r="AA164">
        <v>70305036</v>
      </c>
      <c r="AB164">
        <f t="shared" si="136"/>
        <v>1070.92</v>
      </c>
      <c r="AC164">
        <f t="shared" si="137"/>
        <v>188.5</v>
      </c>
      <c r="AD164">
        <f t="shared" si="138"/>
        <v>225.52</v>
      </c>
      <c r="AE164">
        <f t="shared" si="139"/>
        <v>22.47</v>
      </c>
      <c r="AF164">
        <f t="shared" si="139"/>
        <v>656.9</v>
      </c>
      <c r="AG164">
        <f t="shared" si="140"/>
        <v>0</v>
      </c>
      <c r="AH164">
        <f t="shared" si="141"/>
        <v>54.12</v>
      </c>
      <c r="AI164">
        <f t="shared" si="141"/>
        <v>0</v>
      </c>
      <c r="AJ164">
        <f t="shared" si="142"/>
        <v>0</v>
      </c>
      <c r="AK164">
        <v>1070.92</v>
      </c>
      <c r="AL164">
        <v>188.5</v>
      </c>
      <c r="AM164">
        <v>225.52</v>
      </c>
      <c r="AN164">
        <v>22.47</v>
      </c>
      <c r="AO164">
        <v>656.9</v>
      </c>
      <c r="AP164">
        <v>0</v>
      </c>
      <c r="AQ164">
        <v>54.12</v>
      </c>
      <c r="AR164">
        <v>0</v>
      </c>
      <c r="AS164">
        <v>0</v>
      </c>
      <c r="AT164">
        <v>92</v>
      </c>
      <c r="AU164">
        <v>43</v>
      </c>
      <c r="AV164">
        <v>1.0469999999999999</v>
      </c>
      <c r="AW164">
        <v>1</v>
      </c>
      <c r="AZ164">
        <v>1</v>
      </c>
      <c r="BA164">
        <v>46.67</v>
      </c>
      <c r="BB164">
        <v>13.18</v>
      </c>
      <c r="BC164">
        <v>6.09</v>
      </c>
      <c r="BD164" t="s">
        <v>4</v>
      </c>
      <c r="BE164" t="s">
        <v>4</v>
      </c>
      <c r="BF164" t="s">
        <v>4</v>
      </c>
      <c r="BG164" t="s">
        <v>4</v>
      </c>
      <c r="BH164">
        <v>0</v>
      </c>
      <c r="BI164">
        <v>2</v>
      </c>
      <c r="BJ164" t="s">
        <v>218</v>
      </c>
      <c r="BM164">
        <v>1726</v>
      </c>
      <c r="BN164">
        <v>0</v>
      </c>
      <c r="BO164" t="s">
        <v>215</v>
      </c>
      <c r="BP164">
        <v>1</v>
      </c>
      <c r="BQ164">
        <v>40</v>
      </c>
      <c r="BR164">
        <v>0</v>
      </c>
      <c r="BS164">
        <v>46.67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4</v>
      </c>
      <c r="BZ164">
        <v>92</v>
      </c>
      <c r="CA164">
        <v>43</v>
      </c>
      <c r="CB164" t="s">
        <v>4</v>
      </c>
      <c r="CE164">
        <v>30</v>
      </c>
      <c r="CF164">
        <v>0</v>
      </c>
      <c r="CG164">
        <v>0</v>
      </c>
      <c r="CM164">
        <v>0</v>
      </c>
      <c r="CN164" t="s">
        <v>4</v>
      </c>
      <c r="CO164">
        <v>0</v>
      </c>
      <c r="CP164">
        <f t="shared" si="143"/>
        <v>1985171.27</v>
      </c>
      <c r="CQ164">
        <f t="shared" si="144"/>
        <v>1147.97</v>
      </c>
      <c r="CR164">
        <f t="shared" si="145"/>
        <v>3112.06</v>
      </c>
      <c r="CS164">
        <f t="shared" si="146"/>
        <v>1098.1500000000001</v>
      </c>
      <c r="CT164">
        <f t="shared" si="147"/>
        <v>32098.23</v>
      </c>
      <c r="CU164">
        <f t="shared" si="148"/>
        <v>0</v>
      </c>
      <c r="CV164">
        <f t="shared" si="149"/>
        <v>56.663639999999994</v>
      </c>
      <c r="CW164">
        <f t="shared" si="150"/>
        <v>0</v>
      </c>
      <c r="CX164">
        <f t="shared" si="150"/>
        <v>0</v>
      </c>
      <c r="CY164">
        <f>S164*(BZ164/100)</f>
        <v>1612368.3008000001</v>
      </c>
      <c r="CZ164">
        <f>S164*(CA164/100)</f>
        <v>753606.92319999996</v>
      </c>
      <c r="DC164" t="s">
        <v>4</v>
      </c>
      <c r="DD164" t="s">
        <v>4</v>
      </c>
      <c r="DE164" t="s">
        <v>4</v>
      </c>
      <c r="DF164" t="s">
        <v>4</v>
      </c>
      <c r="DG164" t="s">
        <v>4</v>
      </c>
      <c r="DH164" t="s">
        <v>4</v>
      </c>
      <c r="DI164" t="s">
        <v>4</v>
      </c>
      <c r="DJ164" t="s">
        <v>4</v>
      </c>
      <c r="DK164" t="s">
        <v>4</v>
      </c>
      <c r="DL164" t="s">
        <v>4</v>
      </c>
      <c r="DM164" t="s">
        <v>4</v>
      </c>
      <c r="DN164">
        <v>112</v>
      </c>
      <c r="DO164">
        <v>70</v>
      </c>
      <c r="DP164">
        <v>1.0469999999999999</v>
      </c>
      <c r="DQ164">
        <v>1</v>
      </c>
      <c r="DU164">
        <v>1003</v>
      </c>
      <c r="DV164" t="s">
        <v>217</v>
      </c>
      <c r="DW164" t="s">
        <v>217</v>
      </c>
      <c r="DX164">
        <v>100</v>
      </c>
      <c r="DZ164" t="s">
        <v>4</v>
      </c>
      <c r="EA164" t="s">
        <v>4</v>
      </c>
      <c r="EB164" t="s">
        <v>4</v>
      </c>
      <c r="EC164" t="s">
        <v>4</v>
      </c>
      <c r="EE164">
        <v>69254351</v>
      </c>
      <c r="EF164">
        <v>40</v>
      </c>
      <c r="EG164" t="s">
        <v>219</v>
      </c>
      <c r="EH164">
        <v>0</v>
      </c>
      <c r="EI164" t="s">
        <v>4</v>
      </c>
      <c r="EJ164">
        <v>2</v>
      </c>
      <c r="EK164">
        <v>1726</v>
      </c>
      <c r="EL164" t="s">
        <v>220</v>
      </c>
      <c r="EM164" t="s">
        <v>221</v>
      </c>
      <c r="EO164" t="s">
        <v>4</v>
      </c>
      <c r="EQ164">
        <v>0</v>
      </c>
      <c r="ER164">
        <v>1070.92</v>
      </c>
      <c r="ES164">
        <v>188.5</v>
      </c>
      <c r="ET164">
        <v>225.52</v>
      </c>
      <c r="EU164">
        <v>22.47</v>
      </c>
      <c r="EV164">
        <v>656.9</v>
      </c>
      <c r="EW164">
        <v>54.12</v>
      </c>
      <c r="EX164">
        <v>0</v>
      </c>
      <c r="EY164">
        <v>0</v>
      </c>
      <c r="FQ164">
        <v>0</v>
      </c>
      <c r="FR164">
        <f t="shared" si="151"/>
        <v>0</v>
      </c>
      <c r="FS164">
        <v>0</v>
      </c>
      <c r="FX164">
        <v>112</v>
      </c>
      <c r="FY164">
        <v>70</v>
      </c>
      <c r="GA164" t="s">
        <v>4</v>
      </c>
      <c r="GD164">
        <v>0</v>
      </c>
      <c r="GF164">
        <v>869171780</v>
      </c>
      <c r="GG164">
        <v>2</v>
      </c>
      <c r="GH164">
        <v>1</v>
      </c>
      <c r="GI164">
        <v>2</v>
      </c>
      <c r="GJ164">
        <v>0</v>
      </c>
      <c r="GK164">
        <f>ROUND(R164*(S12)/100,2)</f>
        <v>95917.68</v>
      </c>
      <c r="GL164">
        <f t="shared" si="152"/>
        <v>0</v>
      </c>
      <c r="GM164">
        <f t="shared" si="153"/>
        <v>4447064.17</v>
      </c>
      <c r="GN164">
        <f t="shared" si="154"/>
        <v>0</v>
      </c>
      <c r="GO164">
        <f t="shared" si="155"/>
        <v>4447064.17</v>
      </c>
      <c r="GP164">
        <f t="shared" si="156"/>
        <v>0</v>
      </c>
      <c r="GR164">
        <v>0</v>
      </c>
      <c r="GS164">
        <v>3</v>
      </c>
      <c r="GT164">
        <v>0</v>
      </c>
      <c r="GU164" t="s">
        <v>4</v>
      </c>
      <c r="GV164">
        <f t="shared" si="157"/>
        <v>0</v>
      </c>
      <c r="GW164">
        <v>1</v>
      </c>
      <c r="GX164">
        <f t="shared" si="158"/>
        <v>0</v>
      </c>
      <c r="HA164">
        <v>0</v>
      </c>
      <c r="HB164">
        <v>0</v>
      </c>
      <c r="HC164">
        <f t="shared" si="159"/>
        <v>0</v>
      </c>
      <c r="HE164" t="s">
        <v>4</v>
      </c>
      <c r="HF164" t="s">
        <v>4</v>
      </c>
      <c r="HM164" t="s">
        <v>4</v>
      </c>
      <c r="HN164" t="s">
        <v>4</v>
      </c>
      <c r="HO164" t="s">
        <v>4</v>
      </c>
      <c r="HP164" t="s">
        <v>4</v>
      </c>
      <c r="HQ164" t="s">
        <v>4</v>
      </c>
      <c r="IK164">
        <v>0</v>
      </c>
    </row>
    <row r="165" spans="1:255">
      <c r="A165" s="2">
        <v>17</v>
      </c>
      <c r="B165" s="2">
        <v>1</v>
      </c>
      <c r="C165" s="2"/>
      <c r="D165" s="2"/>
      <c r="E165" s="2" t="s">
        <v>222</v>
      </c>
      <c r="F165" s="2" t="s">
        <v>223</v>
      </c>
      <c r="G165" s="2" t="s">
        <v>224</v>
      </c>
      <c r="H165" s="2" t="s">
        <v>209</v>
      </c>
      <c r="I165" s="2">
        <f>ROUND(I163*3*1.02/10,9)</f>
        <v>16.707599999999999</v>
      </c>
      <c r="J165" s="2">
        <v>0</v>
      </c>
      <c r="K165" s="2">
        <f>ROUND(I163*3*1.02/10,9)</f>
        <v>16.707599999999999</v>
      </c>
      <c r="L165" s="2"/>
      <c r="M165" s="2"/>
      <c r="N165" s="2"/>
      <c r="O165" s="2">
        <f t="shared" si="126"/>
        <v>1824892.29</v>
      </c>
      <c r="P165" s="2">
        <f t="shared" si="127"/>
        <v>1824892.29</v>
      </c>
      <c r="Q165" s="2">
        <f t="shared" si="128"/>
        <v>0</v>
      </c>
      <c r="R165" s="2">
        <f t="shared" si="129"/>
        <v>0</v>
      </c>
      <c r="S165" s="2">
        <f t="shared" si="130"/>
        <v>0</v>
      </c>
      <c r="T165" s="2">
        <f t="shared" si="131"/>
        <v>0</v>
      </c>
      <c r="U165" s="2">
        <f t="shared" si="132"/>
        <v>0</v>
      </c>
      <c r="V165" s="2">
        <f t="shared" si="133"/>
        <v>0</v>
      </c>
      <c r="W165" s="2">
        <f t="shared" si="134"/>
        <v>0</v>
      </c>
      <c r="X165" s="2">
        <f t="shared" si="135"/>
        <v>0</v>
      </c>
      <c r="Y165" s="2">
        <f t="shared" si="135"/>
        <v>0</v>
      </c>
      <c r="Z165" s="2"/>
      <c r="AA165" s="2">
        <v>70305038</v>
      </c>
      <c r="AB165" s="2">
        <f t="shared" si="136"/>
        <v>109225.28</v>
      </c>
      <c r="AC165" s="2">
        <f t="shared" si="137"/>
        <v>109225.28</v>
      </c>
      <c r="AD165" s="2">
        <f t="shared" si="138"/>
        <v>0</v>
      </c>
      <c r="AE165" s="2">
        <f t="shared" si="139"/>
        <v>0</v>
      </c>
      <c r="AF165" s="2">
        <f t="shared" si="139"/>
        <v>0</v>
      </c>
      <c r="AG165" s="2">
        <f t="shared" si="140"/>
        <v>0</v>
      </c>
      <c r="AH165" s="2">
        <f t="shared" si="141"/>
        <v>0</v>
      </c>
      <c r="AI165" s="2">
        <f t="shared" si="141"/>
        <v>0</v>
      </c>
      <c r="AJ165" s="2">
        <f t="shared" si="142"/>
        <v>0</v>
      </c>
      <c r="AK165" s="2">
        <v>109225.28</v>
      </c>
      <c r="AL165" s="2">
        <v>109225.28</v>
      </c>
      <c r="AM165" s="2">
        <v>0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1</v>
      </c>
      <c r="AW165" s="2">
        <v>1</v>
      </c>
      <c r="AX165" s="2"/>
      <c r="AY165" s="2"/>
      <c r="AZ165" s="2">
        <v>1</v>
      </c>
      <c r="BA165" s="2">
        <v>1</v>
      </c>
      <c r="BB165" s="2">
        <v>1</v>
      </c>
      <c r="BC165" s="2">
        <v>1</v>
      </c>
      <c r="BD165" s="2" t="s">
        <v>4</v>
      </c>
      <c r="BE165" s="2" t="s">
        <v>4</v>
      </c>
      <c r="BF165" s="2" t="s">
        <v>4</v>
      </c>
      <c r="BG165" s="2" t="s">
        <v>4</v>
      </c>
      <c r="BH165" s="2">
        <v>3</v>
      </c>
      <c r="BI165" s="2">
        <v>2</v>
      </c>
      <c r="BJ165" s="2" t="s">
        <v>225</v>
      </c>
      <c r="BK165" s="2"/>
      <c r="BL165" s="2"/>
      <c r="BM165" s="2">
        <v>1618</v>
      </c>
      <c r="BN165" s="2">
        <v>0</v>
      </c>
      <c r="BO165" s="2" t="s">
        <v>4</v>
      </c>
      <c r="BP165" s="2">
        <v>0</v>
      </c>
      <c r="BQ165" s="2">
        <v>201</v>
      </c>
      <c r="BR165" s="2">
        <v>0</v>
      </c>
      <c r="BS165" s="2">
        <v>1</v>
      </c>
      <c r="BT165" s="2">
        <v>1</v>
      </c>
      <c r="BU165" s="2">
        <v>1</v>
      </c>
      <c r="BV165" s="2">
        <v>1</v>
      </c>
      <c r="BW165" s="2">
        <v>1</v>
      </c>
      <c r="BX165" s="2">
        <v>1</v>
      </c>
      <c r="BY165" s="2" t="s">
        <v>4</v>
      </c>
      <c r="BZ165" s="2">
        <v>0</v>
      </c>
      <c r="CA165" s="2">
        <v>0</v>
      </c>
      <c r="CB165" s="2" t="s">
        <v>4</v>
      </c>
      <c r="CC165" s="2"/>
      <c r="CD165" s="2"/>
      <c r="CE165" s="2">
        <v>30</v>
      </c>
      <c r="CF165" s="2">
        <v>0</v>
      </c>
      <c r="CG165" s="2">
        <v>0</v>
      </c>
      <c r="CH165" s="2"/>
      <c r="CI165" s="2"/>
      <c r="CJ165" s="2"/>
      <c r="CK165" s="2"/>
      <c r="CL165" s="2"/>
      <c r="CM165" s="2">
        <v>0</v>
      </c>
      <c r="CN165" s="2" t="s">
        <v>4</v>
      </c>
      <c r="CO165" s="2">
        <v>0</v>
      </c>
      <c r="CP165" s="2">
        <f t="shared" si="143"/>
        <v>1824892.29</v>
      </c>
      <c r="CQ165" s="2">
        <f t="shared" si="144"/>
        <v>109225.28</v>
      </c>
      <c r="CR165" s="2">
        <f t="shared" si="145"/>
        <v>0</v>
      </c>
      <c r="CS165" s="2">
        <f t="shared" si="146"/>
        <v>0</v>
      </c>
      <c r="CT165" s="2">
        <f t="shared" si="147"/>
        <v>0</v>
      </c>
      <c r="CU165" s="2">
        <f t="shared" si="148"/>
        <v>0</v>
      </c>
      <c r="CV165" s="2">
        <f t="shared" si="149"/>
        <v>0</v>
      </c>
      <c r="CW165" s="2">
        <f t="shared" si="150"/>
        <v>0</v>
      </c>
      <c r="CX165" s="2">
        <f t="shared" si="150"/>
        <v>0</v>
      </c>
      <c r="CY165" s="2">
        <f>((S165*BZ165)/100)</f>
        <v>0</v>
      </c>
      <c r="CZ165" s="2">
        <f>((S165*CA165)/100)</f>
        <v>0</v>
      </c>
      <c r="DA165" s="2"/>
      <c r="DB165" s="2"/>
      <c r="DC165" s="2" t="s">
        <v>4</v>
      </c>
      <c r="DD165" s="2" t="s">
        <v>4</v>
      </c>
      <c r="DE165" s="2" t="s">
        <v>4</v>
      </c>
      <c r="DF165" s="2" t="s">
        <v>4</v>
      </c>
      <c r="DG165" s="2" t="s">
        <v>4</v>
      </c>
      <c r="DH165" s="2" t="s">
        <v>4</v>
      </c>
      <c r="DI165" s="2" t="s">
        <v>4</v>
      </c>
      <c r="DJ165" s="2" t="s">
        <v>4</v>
      </c>
      <c r="DK165" s="2" t="s">
        <v>4</v>
      </c>
      <c r="DL165" s="2" t="s">
        <v>4</v>
      </c>
      <c r="DM165" s="2" t="s">
        <v>4</v>
      </c>
      <c r="DN165" s="2">
        <v>0</v>
      </c>
      <c r="DO165" s="2">
        <v>0</v>
      </c>
      <c r="DP165" s="2">
        <v>1</v>
      </c>
      <c r="DQ165" s="2">
        <v>1</v>
      </c>
      <c r="DR165" s="2"/>
      <c r="DS165" s="2"/>
      <c r="DT165" s="2"/>
      <c r="DU165" s="2">
        <v>1003</v>
      </c>
      <c r="DV165" s="2" t="s">
        <v>209</v>
      </c>
      <c r="DW165" s="2" t="s">
        <v>209</v>
      </c>
      <c r="DX165" s="2">
        <v>1000</v>
      </c>
      <c r="DY165" s="2"/>
      <c r="DZ165" s="2" t="s">
        <v>4</v>
      </c>
      <c r="EA165" s="2" t="s">
        <v>4</v>
      </c>
      <c r="EB165" s="2" t="s">
        <v>4</v>
      </c>
      <c r="EC165" s="2" t="s">
        <v>4</v>
      </c>
      <c r="ED165" s="2"/>
      <c r="EE165" s="2">
        <v>69254243</v>
      </c>
      <c r="EF165" s="2">
        <v>201</v>
      </c>
      <c r="EG165" s="2" t="s">
        <v>226</v>
      </c>
      <c r="EH165" s="2">
        <v>0</v>
      </c>
      <c r="EI165" s="2" t="s">
        <v>4</v>
      </c>
      <c r="EJ165" s="2">
        <v>2</v>
      </c>
      <c r="EK165" s="2">
        <v>1618</v>
      </c>
      <c r="EL165" s="2" t="s">
        <v>227</v>
      </c>
      <c r="EM165" s="2" t="s">
        <v>228</v>
      </c>
      <c r="EN165" s="2"/>
      <c r="EO165" s="2" t="s">
        <v>4</v>
      </c>
      <c r="EP165" s="2"/>
      <c r="EQ165" s="2">
        <v>0</v>
      </c>
      <c r="ER165" s="2">
        <v>109225.28</v>
      </c>
      <c r="ES165" s="2">
        <v>109225.28</v>
      </c>
      <c r="ET165" s="2">
        <v>0</v>
      </c>
      <c r="EU165" s="2">
        <v>0</v>
      </c>
      <c r="EV165" s="2">
        <v>0</v>
      </c>
      <c r="EW165" s="2">
        <v>0</v>
      </c>
      <c r="EX165" s="2">
        <v>0</v>
      </c>
      <c r="EY165" s="2">
        <v>0</v>
      </c>
      <c r="EZ165" s="2"/>
      <c r="FA165" s="2"/>
      <c r="FB165" s="2"/>
      <c r="FC165" s="2"/>
      <c r="FD165" s="2"/>
      <c r="FE165" s="2"/>
      <c r="FF165" s="2"/>
      <c r="FG165" s="2"/>
      <c r="FH165" s="2"/>
      <c r="FI165" s="2"/>
      <c r="FJ165" s="2"/>
      <c r="FK165" s="2"/>
      <c r="FL165" s="2"/>
      <c r="FM165" s="2"/>
      <c r="FN165" s="2"/>
      <c r="FO165" s="2"/>
      <c r="FP165" s="2"/>
      <c r="FQ165" s="2">
        <v>0</v>
      </c>
      <c r="FR165" s="2">
        <f t="shared" si="151"/>
        <v>0</v>
      </c>
      <c r="FS165" s="2">
        <v>0</v>
      </c>
      <c r="FT165" s="2"/>
      <c r="FU165" s="2"/>
      <c r="FV165" s="2"/>
      <c r="FW165" s="2"/>
      <c r="FX165" s="2">
        <v>0</v>
      </c>
      <c r="FY165" s="2">
        <v>0</v>
      </c>
      <c r="FZ165" s="2"/>
      <c r="GA165" s="2" t="s">
        <v>4</v>
      </c>
      <c r="GB165" s="2"/>
      <c r="GC165" s="2"/>
      <c r="GD165" s="2">
        <v>0</v>
      </c>
      <c r="GE165" s="2"/>
      <c r="GF165" s="2">
        <v>241870239</v>
      </c>
      <c r="GG165" s="2">
        <v>2</v>
      </c>
      <c r="GH165" s="2">
        <v>1</v>
      </c>
      <c r="GI165" s="2">
        <v>-2</v>
      </c>
      <c r="GJ165" s="2">
        <v>0</v>
      </c>
      <c r="GK165" s="2">
        <f>ROUND(R165*(R12)/100,2)</f>
        <v>0</v>
      </c>
      <c r="GL165" s="2">
        <f t="shared" si="152"/>
        <v>0</v>
      </c>
      <c r="GM165" s="2">
        <f t="shared" si="153"/>
        <v>1824892.29</v>
      </c>
      <c r="GN165" s="2">
        <f t="shared" si="154"/>
        <v>0</v>
      </c>
      <c r="GO165" s="2">
        <f t="shared" si="155"/>
        <v>1824892.29</v>
      </c>
      <c r="GP165" s="2">
        <f t="shared" si="156"/>
        <v>0</v>
      </c>
      <c r="GQ165" s="2"/>
      <c r="GR165" s="2">
        <v>0</v>
      </c>
      <c r="GS165" s="2">
        <v>3</v>
      </c>
      <c r="GT165" s="2">
        <v>0</v>
      </c>
      <c r="GU165" s="2" t="s">
        <v>4</v>
      </c>
      <c r="GV165" s="2">
        <f t="shared" si="157"/>
        <v>0</v>
      </c>
      <c r="GW165" s="2">
        <v>1</v>
      </c>
      <c r="GX165" s="2">
        <f t="shared" si="158"/>
        <v>0</v>
      </c>
      <c r="GY165" s="2"/>
      <c r="GZ165" s="2"/>
      <c r="HA165" s="2">
        <v>0</v>
      </c>
      <c r="HB165" s="2">
        <v>0</v>
      </c>
      <c r="HC165" s="2">
        <f t="shared" si="159"/>
        <v>0</v>
      </c>
      <c r="HD165" s="2"/>
      <c r="HE165" s="2" t="s">
        <v>4</v>
      </c>
      <c r="HF165" s="2" t="s">
        <v>4</v>
      </c>
      <c r="HG165" s="2"/>
      <c r="HH165" s="2"/>
      <c r="HI165" s="2"/>
      <c r="HJ165" s="2"/>
      <c r="HK165" s="2"/>
      <c r="HL165" s="2"/>
      <c r="HM165" s="2" t="s">
        <v>4</v>
      </c>
      <c r="HN165" s="2" t="s">
        <v>4</v>
      </c>
      <c r="HO165" s="2" t="s">
        <v>4</v>
      </c>
      <c r="HP165" s="2" t="s">
        <v>4</v>
      </c>
      <c r="HQ165" s="2" t="s">
        <v>4</v>
      </c>
      <c r="HR165" s="2"/>
      <c r="HS165" s="2"/>
      <c r="HT165" s="2"/>
      <c r="HU165" s="2"/>
      <c r="HV165" s="2"/>
      <c r="HW165" s="2"/>
      <c r="HX165" s="2"/>
      <c r="HY165" s="2"/>
      <c r="HZ165" s="2"/>
      <c r="IA165" s="2"/>
      <c r="IB165" s="2"/>
      <c r="IC165" s="2"/>
      <c r="ID165" s="2"/>
      <c r="IE165" s="2"/>
      <c r="IF165" s="2"/>
      <c r="IG165" s="2"/>
      <c r="IH165" s="2"/>
      <c r="II165" s="2"/>
      <c r="IJ165" s="2"/>
      <c r="IK165" s="2">
        <v>0</v>
      </c>
      <c r="IL165" s="2"/>
      <c r="IM165" s="2"/>
      <c r="IN165" s="2"/>
      <c r="IO165" s="2"/>
      <c r="IP165" s="2"/>
      <c r="IQ165" s="2"/>
      <c r="IR165" s="2"/>
      <c r="IS165" s="2"/>
      <c r="IT165" s="2"/>
      <c r="IU165" s="2"/>
    </row>
    <row r="166" spans="1:255">
      <c r="A166">
        <v>17</v>
      </c>
      <c r="B166">
        <v>1</v>
      </c>
      <c r="E166" t="s">
        <v>222</v>
      </c>
      <c r="F166" t="s">
        <v>223</v>
      </c>
      <c r="G166" t="s">
        <v>224</v>
      </c>
      <c r="H166" t="s">
        <v>209</v>
      </c>
      <c r="I166">
        <f>ROUND(I164*3*1.02/10,9)</f>
        <v>16.707599999999999</v>
      </c>
      <c r="J166">
        <v>0</v>
      </c>
      <c r="K166">
        <f>ROUND(I164*3*1.02/10,9)</f>
        <v>16.707599999999999</v>
      </c>
      <c r="O166">
        <f t="shared" si="126"/>
        <v>15840065.08</v>
      </c>
      <c r="P166">
        <f t="shared" si="127"/>
        <v>15840065.08</v>
      </c>
      <c r="Q166">
        <f t="shared" si="128"/>
        <v>0</v>
      </c>
      <c r="R166">
        <f t="shared" si="129"/>
        <v>0</v>
      </c>
      <c r="S166">
        <f t="shared" si="130"/>
        <v>0</v>
      </c>
      <c r="T166">
        <f t="shared" si="131"/>
        <v>0</v>
      </c>
      <c r="U166">
        <f t="shared" si="132"/>
        <v>0</v>
      </c>
      <c r="V166">
        <f t="shared" si="133"/>
        <v>0</v>
      </c>
      <c r="W166">
        <f t="shared" si="134"/>
        <v>0</v>
      </c>
      <c r="X166">
        <f t="shared" si="135"/>
        <v>0</v>
      </c>
      <c r="Y166">
        <f t="shared" si="135"/>
        <v>0</v>
      </c>
      <c r="AA166">
        <v>70305036</v>
      </c>
      <c r="AB166">
        <f t="shared" si="136"/>
        <v>109225.28</v>
      </c>
      <c r="AC166">
        <f t="shared" si="137"/>
        <v>109225.28</v>
      </c>
      <c r="AD166">
        <f t="shared" si="138"/>
        <v>0</v>
      </c>
      <c r="AE166">
        <f t="shared" si="139"/>
        <v>0</v>
      </c>
      <c r="AF166">
        <f t="shared" si="139"/>
        <v>0</v>
      </c>
      <c r="AG166">
        <f t="shared" si="140"/>
        <v>0</v>
      </c>
      <c r="AH166">
        <f t="shared" si="141"/>
        <v>0</v>
      </c>
      <c r="AI166">
        <f t="shared" si="141"/>
        <v>0</v>
      </c>
      <c r="AJ166">
        <f t="shared" si="142"/>
        <v>0</v>
      </c>
      <c r="AK166">
        <v>109225.28</v>
      </c>
      <c r="AL166">
        <v>109225.28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8.68</v>
      </c>
      <c r="BD166" t="s">
        <v>4</v>
      </c>
      <c r="BE166" t="s">
        <v>4</v>
      </c>
      <c r="BF166" t="s">
        <v>4</v>
      </c>
      <c r="BG166" t="s">
        <v>4</v>
      </c>
      <c r="BH166">
        <v>3</v>
      </c>
      <c r="BI166">
        <v>2</v>
      </c>
      <c r="BJ166" t="s">
        <v>225</v>
      </c>
      <c r="BM166">
        <v>1618</v>
      </c>
      <c r="BN166">
        <v>0</v>
      </c>
      <c r="BO166" t="s">
        <v>223</v>
      </c>
      <c r="BP166">
        <v>1</v>
      </c>
      <c r="BQ166">
        <v>201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4</v>
      </c>
      <c r="BZ166">
        <v>0</v>
      </c>
      <c r="CA166">
        <v>0</v>
      </c>
      <c r="CB166" t="s">
        <v>4</v>
      </c>
      <c r="CE166">
        <v>30</v>
      </c>
      <c r="CF166">
        <v>0</v>
      </c>
      <c r="CG166">
        <v>0</v>
      </c>
      <c r="CM166">
        <v>0</v>
      </c>
      <c r="CN166" t="s">
        <v>4</v>
      </c>
      <c r="CO166">
        <v>0</v>
      </c>
      <c r="CP166">
        <f t="shared" si="143"/>
        <v>15840065.08</v>
      </c>
      <c r="CQ166">
        <f t="shared" si="144"/>
        <v>948075.43</v>
      </c>
      <c r="CR166">
        <f t="shared" si="145"/>
        <v>0</v>
      </c>
      <c r="CS166">
        <f t="shared" si="146"/>
        <v>0</v>
      </c>
      <c r="CT166">
        <f t="shared" si="147"/>
        <v>0</v>
      </c>
      <c r="CU166">
        <f t="shared" si="148"/>
        <v>0</v>
      </c>
      <c r="CV166">
        <f t="shared" si="149"/>
        <v>0</v>
      </c>
      <c r="CW166">
        <f t="shared" si="150"/>
        <v>0</v>
      </c>
      <c r="CX166">
        <f t="shared" si="150"/>
        <v>0</v>
      </c>
      <c r="CY166">
        <f>S166*(BZ166/100)</f>
        <v>0</v>
      </c>
      <c r="CZ166">
        <f>S166*(CA166/100)</f>
        <v>0</v>
      </c>
      <c r="DC166" t="s">
        <v>4</v>
      </c>
      <c r="DD166" t="s">
        <v>4</v>
      </c>
      <c r="DE166" t="s">
        <v>4</v>
      </c>
      <c r="DF166" t="s">
        <v>4</v>
      </c>
      <c r="DG166" t="s">
        <v>4</v>
      </c>
      <c r="DH166" t="s">
        <v>4</v>
      </c>
      <c r="DI166" t="s">
        <v>4</v>
      </c>
      <c r="DJ166" t="s">
        <v>4</v>
      </c>
      <c r="DK166" t="s">
        <v>4</v>
      </c>
      <c r="DL166" t="s">
        <v>4</v>
      </c>
      <c r="DM166" t="s">
        <v>4</v>
      </c>
      <c r="DN166">
        <v>0</v>
      </c>
      <c r="DO166">
        <v>0</v>
      </c>
      <c r="DP166">
        <v>1</v>
      </c>
      <c r="DQ166">
        <v>1</v>
      </c>
      <c r="DU166">
        <v>1003</v>
      </c>
      <c r="DV166" t="s">
        <v>209</v>
      </c>
      <c r="DW166" t="s">
        <v>209</v>
      </c>
      <c r="DX166">
        <v>1000</v>
      </c>
      <c r="DZ166" t="s">
        <v>4</v>
      </c>
      <c r="EA166" t="s">
        <v>4</v>
      </c>
      <c r="EB166" t="s">
        <v>4</v>
      </c>
      <c r="EC166" t="s">
        <v>4</v>
      </c>
      <c r="EE166">
        <v>69254243</v>
      </c>
      <c r="EF166">
        <v>201</v>
      </c>
      <c r="EG166" t="s">
        <v>226</v>
      </c>
      <c r="EH166">
        <v>0</v>
      </c>
      <c r="EI166" t="s">
        <v>4</v>
      </c>
      <c r="EJ166">
        <v>2</v>
      </c>
      <c r="EK166">
        <v>1618</v>
      </c>
      <c r="EL166" t="s">
        <v>227</v>
      </c>
      <c r="EM166" t="s">
        <v>228</v>
      </c>
      <c r="EO166" t="s">
        <v>4</v>
      </c>
      <c r="EQ166">
        <v>0</v>
      </c>
      <c r="ER166">
        <v>109225.28</v>
      </c>
      <c r="ES166">
        <v>109225.28</v>
      </c>
      <c r="ET166">
        <v>0</v>
      </c>
      <c r="EU166">
        <v>0</v>
      </c>
      <c r="EV166">
        <v>0</v>
      </c>
      <c r="EW166">
        <v>0</v>
      </c>
      <c r="EX166">
        <v>0</v>
      </c>
      <c r="EY166">
        <v>0</v>
      </c>
      <c r="FQ166">
        <v>0</v>
      </c>
      <c r="FR166">
        <f t="shared" si="151"/>
        <v>0</v>
      </c>
      <c r="FS166">
        <v>0</v>
      </c>
      <c r="FX166">
        <v>0</v>
      </c>
      <c r="FY166">
        <v>0</v>
      </c>
      <c r="GA166" t="s">
        <v>4</v>
      </c>
      <c r="GD166">
        <v>0</v>
      </c>
      <c r="GF166">
        <v>241870239</v>
      </c>
      <c r="GG166">
        <v>2</v>
      </c>
      <c r="GH166">
        <v>1</v>
      </c>
      <c r="GI166">
        <v>2</v>
      </c>
      <c r="GJ166">
        <v>0</v>
      </c>
      <c r="GK166">
        <f>ROUND(R166*(S12)/100,2)</f>
        <v>0</v>
      </c>
      <c r="GL166">
        <f t="shared" si="152"/>
        <v>0</v>
      </c>
      <c r="GM166">
        <f t="shared" si="153"/>
        <v>15840065.08</v>
      </c>
      <c r="GN166">
        <f t="shared" si="154"/>
        <v>0</v>
      </c>
      <c r="GO166">
        <f t="shared" si="155"/>
        <v>15840065.08</v>
      </c>
      <c r="GP166">
        <f t="shared" si="156"/>
        <v>0</v>
      </c>
      <c r="GR166">
        <v>0</v>
      </c>
      <c r="GS166">
        <v>3</v>
      </c>
      <c r="GT166">
        <v>0</v>
      </c>
      <c r="GU166" t="s">
        <v>4</v>
      </c>
      <c r="GV166">
        <f t="shared" si="157"/>
        <v>0</v>
      </c>
      <c r="GW166">
        <v>1</v>
      </c>
      <c r="GX166">
        <f t="shared" si="158"/>
        <v>0</v>
      </c>
      <c r="HA166">
        <v>0</v>
      </c>
      <c r="HB166">
        <v>0</v>
      </c>
      <c r="HC166">
        <f t="shared" si="159"/>
        <v>0</v>
      </c>
      <c r="HE166" t="s">
        <v>4</v>
      </c>
      <c r="HF166" t="s">
        <v>4</v>
      </c>
      <c r="HM166" t="s">
        <v>4</v>
      </c>
      <c r="HN166" t="s">
        <v>4</v>
      </c>
      <c r="HO166" t="s">
        <v>4</v>
      </c>
      <c r="HP166" t="s">
        <v>4</v>
      </c>
      <c r="HQ166" t="s">
        <v>4</v>
      </c>
      <c r="IK166">
        <v>0</v>
      </c>
    </row>
    <row r="167" spans="1:255">
      <c r="A167" s="2">
        <v>17</v>
      </c>
      <c r="B167" s="2">
        <v>1</v>
      </c>
      <c r="C167" s="2"/>
      <c r="D167" s="2">
        <f>ROW(EtalonRes!A169)</f>
        <v>169</v>
      </c>
      <c r="E167" s="2" t="s">
        <v>229</v>
      </c>
      <c r="F167" s="2" t="s">
        <v>230</v>
      </c>
      <c r="G167" s="2" t="s">
        <v>231</v>
      </c>
      <c r="H167" s="2" t="s">
        <v>232</v>
      </c>
      <c r="I167" s="2">
        <f>ROUND(18*2*2/100,9)</f>
        <v>0.72</v>
      </c>
      <c r="J167" s="2">
        <v>0</v>
      </c>
      <c r="K167" s="2">
        <f>ROUND(18*2*2/100,9)</f>
        <v>0.72</v>
      </c>
      <c r="L167" s="2"/>
      <c r="M167" s="2"/>
      <c r="N167" s="2"/>
      <c r="O167" s="2">
        <f t="shared" si="126"/>
        <v>2542.9899999999998</v>
      </c>
      <c r="P167" s="2">
        <f t="shared" si="127"/>
        <v>385.58</v>
      </c>
      <c r="Q167" s="2">
        <f t="shared" si="128"/>
        <v>539.5</v>
      </c>
      <c r="R167" s="2">
        <f t="shared" si="129"/>
        <v>46.56</v>
      </c>
      <c r="S167" s="2">
        <f t="shared" si="130"/>
        <v>1617.91</v>
      </c>
      <c r="T167" s="2">
        <f t="shared" si="131"/>
        <v>0</v>
      </c>
      <c r="U167" s="2">
        <f t="shared" si="132"/>
        <v>117.50857919999999</v>
      </c>
      <c r="V167" s="2">
        <f t="shared" si="133"/>
        <v>0</v>
      </c>
      <c r="W167" s="2">
        <f t="shared" si="134"/>
        <v>0</v>
      </c>
      <c r="X167" s="2">
        <f t="shared" si="135"/>
        <v>1812.06</v>
      </c>
      <c r="Y167" s="2">
        <f t="shared" si="135"/>
        <v>1132.54</v>
      </c>
      <c r="Z167" s="2"/>
      <c r="AA167" s="2">
        <v>70305038</v>
      </c>
      <c r="AB167" s="2">
        <f t="shared" si="136"/>
        <v>3397.43</v>
      </c>
      <c r="AC167" s="2">
        <f t="shared" si="137"/>
        <v>535.53</v>
      </c>
      <c r="AD167" s="2">
        <f t="shared" si="138"/>
        <v>715.67</v>
      </c>
      <c r="AE167" s="2">
        <f t="shared" si="139"/>
        <v>61.76</v>
      </c>
      <c r="AF167" s="2">
        <f t="shared" si="139"/>
        <v>2146.23</v>
      </c>
      <c r="AG167" s="2">
        <f t="shared" si="140"/>
        <v>0</v>
      </c>
      <c r="AH167" s="2">
        <f t="shared" si="141"/>
        <v>155.88</v>
      </c>
      <c r="AI167" s="2">
        <f t="shared" si="141"/>
        <v>0</v>
      </c>
      <c r="AJ167" s="2">
        <f t="shared" si="142"/>
        <v>0</v>
      </c>
      <c r="AK167" s="2">
        <v>3397.43</v>
      </c>
      <c r="AL167" s="2">
        <v>535.53</v>
      </c>
      <c r="AM167" s="2">
        <v>715.67</v>
      </c>
      <c r="AN167" s="2">
        <v>61.76</v>
      </c>
      <c r="AO167" s="2">
        <v>2146.23</v>
      </c>
      <c r="AP167" s="2">
        <v>0</v>
      </c>
      <c r="AQ167" s="2">
        <v>155.88</v>
      </c>
      <c r="AR167" s="2">
        <v>0</v>
      </c>
      <c r="AS167" s="2">
        <v>0</v>
      </c>
      <c r="AT167" s="2">
        <v>112</v>
      </c>
      <c r="AU167" s="2">
        <v>70</v>
      </c>
      <c r="AV167" s="2">
        <v>1.0469999999999999</v>
      </c>
      <c r="AW167" s="2">
        <v>1</v>
      </c>
      <c r="AX167" s="2"/>
      <c r="AY167" s="2"/>
      <c r="AZ167" s="2">
        <v>1</v>
      </c>
      <c r="BA167" s="2">
        <v>1</v>
      </c>
      <c r="BB167" s="2">
        <v>1</v>
      </c>
      <c r="BC167" s="2">
        <v>1</v>
      </c>
      <c r="BD167" s="2" t="s">
        <v>4</v>
      </c>
      <c r="BE167" s="2" t="s">
        <v>4</v>
      </c>
      <c r="BF167" s="2" t="s">
        <v>4</v>
      </c>
      <c r="BG167" s="2" t="s">
        <v>4</v>
      </c>
      <c r="BH167" s="2">
        <v>0</v>
      </c>
      <c r="BI167" s="2">
        <v>2</v>
      </c>
      <c r="BJ167" s="2" t="s">
        <v>233</v>
      </c>
      <c r="BK167" s="2"/>
      <c r="BL167" s="2"/>
      <c r="BM167" s="2">
        <v>1726</v>
      </c>
      <c r="BN167" s="2">
        <v>0</v>
      </c>
      <c r="BO167" s="2" t="s">
        <v>4</v>
      </c>
      <c r="BP167" s="2">
        <v>0</v>
      </c>
      <c r="BQ167" s="2">
        <v>40</v>
      </c>
      <c r="BR167" s="2">
        <v>0</v>
      </c>
      <c r="BS167" s="2">
        <v>1</v>
      </c>
      <c r="BT167" s="2">
        <v>1</v>
      </c>
      <c r="BU167" s="2">
        <v>1</v>
      </c>
      <c r="BV167" s="2">
        <v>1</v>
      </c>
      <c r="BW167" s="2">
        <v>1</v>
      </c>
      <c r="BX167" s="2">
        <v>1</v>
      </c>
      <c r="BY167" s="2" t="s">
        <v>4</v>
      </c>
      <c r="BZ167" s="2">
        <v>112</v>
      </c>
      <c r="CA167" s="2">
        <v>70</v>
      </c>
      <c r="CB167" s="2" t="s">
        <v>4</v>
      </c>
      <c r="CC167" s="2"/>
      <c r="CD167" s="2"/>
      <c r="CE167" s="2">
        <v>30</v>
      </c>
      <c r="CF167" s="2">
        <v>0</v>
      </c>
      <c r="CG167" s="2">
        <v>0</v>
      </c>
      <c r="CH167" s="2"/>
      <c r="CI167" s="2"/>
      <c r="CJ167" s="2"/>
      <c r="CK167" s="2"/>
      <c r="CL167" s="2"/>
      <c r="CM167" s="2">
        <v>0</v>
      </c>
      <c r="CN167" s="2" t="s">
        <v>4</v>
      </c>
      <c r="CO167" s="2">
        <v>0</v>
      </c>
      <c r="CP167" s="2">
        <f t="shared" si="143"/>
        <v>2542.9899999999998</v>
      </c>
      <c r="CQ167" s="2">
        <f t="shared" si="144"/>
        <v>535.53</v>
      </c>
      <c r="CR167" s="2">
        <f t="shared" si="145"/>
        <v>749.31</v>
      </c>
      <c r="CS167" s="2">
        <f t="shared" si="146"/>
        <v>64.66</v>
      </c>
      <c r="CT167" s="2">
        <f t="shared" si="147"/>
        <v>2247.1</v>
      </c>
      <c r="CU167" s="2">
        <f t="shared" si="148"/>
        <v>0</v>
      </c>
      <c r="CV167" s="2">
        <f t="shared" si="149"/>
        <v>163.20635999999999</v>
      </c>
      <c r="CW167" s="2">
        <f t="shared" si="150"/>
        <v>0</v>
      </c>
      <c r="CX167" s="2">
        <f t="shared" si="150"/>
        <v>0</v>
      </c>
      <c r="CY167" s="2">
        <f>((S167*BZ167)/100)</f>
        <v>1812.0592000000001</v>
      </c>
      <c r="CZ167" s="2">
        <f>((S167*CA167)/100)</f>
        <v>1132.537</v>
      </c>
      <c r="DA167" s="2"/>
      <c r="DB167" s="2"/>
      <c r="DC167" s="2" t="s">
        <v>4</v>
      </c>
      <c r="DD167" s="2" t="s">
        <v>4</v>
      </c>
      <c r="DE167" s="2" t="s">
        <v>4</v>
      </c>
      <c r="DF167" s="2" t="s">
        <v>4</v>
      </c>
      <c r="DG167" s="2" t="s">
        <v>4</v>
      </c>
      <c r="DH167" s="2" t="s">
        <v>4</v>
      </c>
      <c r="DI167" s="2" t="s">
        <v>4</v>
      </c>
      <c r="DJ167" s="2" t="s">
        <v>4</v>
      </c>
      <c r="DK167" s="2" t="s">
        <v>4</v>
      </c>
      <c r="DL167" s="2" t="s">
        <v>4</v>
      </c>
      <c r="DM167" s="2" t="s">
        <v>4</v>
      </c>
      <c r="DN167" s="2">
        <v>0</v>
      </c>
      <c r="DO167" s="2">
        <v>0</v>
      </c>
      <c r="DP167" s="2">
        <v>1</v>
      </c>
      <c r="DQ167" s="2">
        <v>1</v>
      </c>
      <c r="DR167" s="2"/>
      <c r="DS167" s="2"/>
      <c r="DT167" s="2"/>
      <c r="DU167" s="2">
        <v>1013</v>
      </c>
      <c r="DV167" s="2" t="s">
        <v>232</v>
      </c>
      <c r="DW167" s="2" t="s">
        <v>232</v>
      </c>
      <c r="DX167" s="2">
        <v>1</v>
      </c>
      <c r="DY167" s="2"/>
      <c r="DZ167" s="2" t="s">
        <v>4</v>
      </c>
      <c r="EA167" s="2" t="s">
        <v>4</v>
      </c>
      <c r="EB167" s="2" t="s">
        <v>4</v>
      </c>
      <c r="EC167" s="2" t="s">
        <v>4</v>
      </c>
      <c r="ED167" s="2"/>
      <c r="EE167" s="2">
        <v>69254351</v>
      </c>
      <c r="EF167" s="2">
        <v>40</v>
      </c>
      <c r="EG167" s="2" t="s">
        <v>219</v>
      </c>
      <c r="EH167" s="2">
        <v>0</v>
      </c>
      <c r="EI167" s="2" t="s">
        <v>4</v>
      </c>
      <c r="EJ167" s="2">
        <v>2</v>
      </c>
      <c r="EK167" s="2">
        <v>1726</v>
      </c>
      <c r="EL167" s="2" t="s">
        <v>220</v>
      </c>
      <c r="EM167" s="2" t="s">
        <v>221</v>
      </c>
      <c r="EN167" s="2"/>
      <c r="EO167" s="2" t="s">
        <v>4</v>
      </c>
      <c r="EP167" s="2"/>
      <c r="EQ167" s="2">
        <v>0</v>
      </c>
      <c r="ER167" s="2">
        <v>3397.43</v>
      </c>
      <c r="ES167" s="2">
        <v>535.53</v>
      </c>
      <c r="ET167" s="2">
        <v>715.67</v>
      </c>
      <c r="EU167" s="2">
        <v>61.76</v>
      </c>
      <c r="EV167" s="2">
        <v>2146.23</v>
      </c>
      <c r="EW167" s="2">
        <v>155.88</v>
      </c>
      <c r="EX167" s="2">
        <v>0</v>
      </c>
      <c r="EY167" s="2">
        <v>0</v>
      </c>
      <c r="EZ167" s="2"/>
      <c r="FA167" s="2"/>
      <c r="FB167" s="2"/>
      <c r="FC167" s="2"/>
      <c r="FD167" s="2"/>
      <c r="FE167" s="2"/>
      <c r="FF167" s="2"/>
      <c r="FG167" s="2"/>
      <c r="FH167" s="2"/>
      <c r="FI167" s="2"/>
      <c r="FJ167" s="2"/>
      <c r="FK167" s="2"/>
      <c r="FL167" s="2"/>
      <c r="FM167" s="2"/>
      <c r="FN167" s="2"/>
      <c r="FO167" s="2"/>
      <c r="FP167" s="2"/>
      <c r="FQ167" s="2">
        <v>0</v>
      </c>
      <c r="FR167" s="2">
        <f t="shared" si="151"/>
        <v>0</v>
      </c>
      <c r="FS167" s="2">
        <v>0</v>
      </c>
      <c r="FT167" s="2"/>
      <c r="FU167" s="2"/>
      <c r="FV167" s="2"/>
      <c r="FW167" s="2"/>
      <c r="FX167" s="2">
        <v>112</v>
      </c>
      <c r="FY167" s="2">
        <v>70</v>
      </c>
      <c r="FZ167" s="2"/>
      <c r="GA167" s="2" t="s">
        <v>4</v>
      </c>
      <c r="GB167" s="2"/>
      <c r="GC167" s="2"/>
      <c r="GD167" s="2">
        <v>0</v>
      </c>
      <c r="GE167" s="2"/>
      <c r="GF167" s="2">
        <v>-596521548</v>
      </c>
      <c r="GG167" s="2">
        <v>2</v>
      </c>
      <c r="GH167" s="2">
        <v>1</v>
      </c>
      <c r="GI167" s="2">
        <v>-2</v>
      </c>
      <c r="GJ167" s="2">
        <v>0</v>
      </c>
      <c r="GK167" s="2">
        <f>ROUND(R167*(R12)/100,2)</f>
        <v>81.48</v>
      </c>
      <c r="GL167" s="2">
        <f t="shared" si="152"/>
        <v>0</v>
      </c>
      <c r="GM167" s="2">
        <f t="shared" si="153"/>
        <v>5569.07</v>
      </c>
      <c r="GN167" s="2">
        <f t="shared" si="154"/>
        <v>0</v>
      </c>
      <c r="GO167" s="2">
        <f t="shared" si="155"/>
        <v>5569.07</v>
      </c>
      <c r="GP167" s="2">
        <f t="shared" si="156"/>
        <v>0</v>
      </c>
      <c r="GQ167" s="2"/>
      <c r="GR167" s="2">
        <v>0</v>
      </c>
      <c r="GS167" s="2">
        <v>0</v>
      </c>
      <c r="GT167" s="2">
        <v>0</v>
      </c>
      <c r="GU167" s="2" t="s">
        <v>4</v>
      </c>
      <c r="GV167" s="2">
        <f t="shared" si="157"/>
        <v>0</v>
      </c>
      <c r="GW167" s="2">
        <v>1</v>
      </c>
      <c r="GX167" s="2">
        <f t="shared" si="158"/>
        <v>0</v>
      </c>
      <c r="GY167" s="2"/>
      <c r="GZ167" s="2"/>
      <c r="HA167" s="2">
        <v>0</v>
      </c>
      <c r="HB167" s="2">
        <v>0</v>
      </c>
      <c r="HC167" s="2">
        <f t="shared" si="159"/>
        <v>0</v>
      </c>
      <c r="HD167" s="2"/>
      <c r="HE167" s="2" t="s">
        <v>4</v>
      </c>
      <c r="HF167" s="2" t="s">
        <v>4</v>
      </c>
      <c r="HG167" s="2"/>
      <c r="HH167" s="2"/>
      <c r="HI167" s="2"/>
      <c r="HJ167" s="2"/>
      <c r="HK167" s="2"/>
      <c r="HL167" s="2"/>
      <c r="HM167" s="2" t="s">
        <v>4</v>
      </c>
      <c r="HN167" s="2" t="s">
        <v>4</v>
      </c>
      <c r="HO167" s="2" t="s">
        <v>4</v>
      </c>
      <c r="HP167" s="2" t="s">
        <v>4</v>
      </c>
      <c r="HQ167" s="2" t="s">
        <v>4</v>
      </c>
      <c r="HR167" s="2"/>
      <c r="HS167" s="2"/>
      <c r="HT167" s="2"/>
      <c r="HU167" s="2"/>
      <c r="HV167" s="2"/>
      <c r="HW167" s="2"/>
      <c r="HX167" s="2"/>
      <c r="HY167" s="2"/>
      <c r="HZ167" s="2"/>
      <c r="IA167" s="2"/>
      <c r="IB167" s="2"/>
      <c r="IC167" s="2"/>
      <c r="ID167" s="2"/>
      <c r="IE167" s="2"/>
      <c r="IF167" s="2"/>
      <c r="IG167" s="2"/>
      <c r="IH167" s="2"/>
      <c r="II167" s="2"/>
      <c r="IJ167" s="2"/>
      <c r="IK167" s="2">
        <v>0</v>
      </c>
      <c r="IL167" s="2"/>
      <c r="IM167" s="2"/>
      <c r="IN167" s="2"/>
      <c r="IO167" s="2"/>
      <c r="IP167" s="2"/>
      <c r="IQ167" s="2"/>
      <c r="IR167" s="2"/>
      <c r="IS167" s="2"/>
      <c r="IT167" s="2"/>
      <c r="IU167" s="2"/>
    </row>
    <row r="168" spans="1:255">
      <c r="A168">
        <v>17</v>
      </c>
      <c r="B168">
        <v>1</v>
      </c>
      <c r="D168">
        <f>ROW(EtalonRes!A178)</f>
        <v>178</v>
      </c>
      <c r="E168" t="s">
        <v>229</v>
      </c>
      <c r="F168" t="s">
        <v>230</v>
      </c>
      <c r="G168" t="s">
        <v>231</v>
      </c>
      <c r="H168" t="s">
        <v>232</v>
      </c>
      <c r="I168">
        <f>ROUND(18*2*2/100,9)</f>
        <v>0.72</v>
      </c>
      <c r="J168">
        <v>0</v>
      </c>
      <c r="K168">
        <f>ROUND(18*2*2/100,9)</f>
        <v>0.72</v>
      </c>
      <c r="O168">
        <f t="shared" si="126"/>
        <v>82586.899999999994</v>
      </c>
      <c r="P168">
        <f t="shared" si="127"/>
        <v>2714.48</v>
      </c>
      <c r="Q168">
        <f t="shared" si="128"/>
        <v>4364.5600000000004</v>
      </c>
      <c r="R168">
        <f t="shared" si="129"/>
        <v>2172.96</v>
      </c>
      <c r="S168">
        <f t="shared" si="130"/>
        <v>75507.86</v>
      </c>
      <c r="T168">
        <f t="shared" si="131"/>
        <v>0</v>
      </c>
      <c r="U168">
        <f t="shared" si="132"/>
        <v>117.50857919999999</v>
      </c>
      <c r="V168">
        <f t="shared" si="133"/>
        <v>0</v>
      </c>
      <c r="W168">
        <f t="shared" si="134"/>
        <v>0</v>
      </c>
      <c r="X168">
        <f t="shared" si="135"/>
        <v>69467.23</v>
      </c>
      <c r="Y168">
        <f t="shared" si="135"/>
        <v>32468.38</v>
      </c>
      <c r="AA168">
        <v>70305036</v>
      </c>
      <c r="AB168">
        <f t="shared" si="136"/>
        <v>3397.43</v>
      </c>
      <c r="AC168">
        <f t="shared" si="137"/>
        <v>535.53</v>
      </c>
      <c r="AD168">
        <f t="shared" si="138"/>
        <v>715.67</v>
      </c>
      <c r="AE168">
        <f t="shared" si="139"/>
        <v>61.76</v>
      </c>
      <c r="AF168">
        <f t="shared" si="139"/>
        <v>2146.23</v>
      </c>
      <c r="AG168">
        <f t="shared" si="140"/>
        <v>0</v>
      </c>
      <c r="AH168">
        <f t="shared" si="141"/>
        <v>155.88</v>
      </c>
      <c r="AI168">
        <f t="shared" si="141"/>
        <v>0</v>
      </c>
      <c r="AJ168">
        <f t="shared" si="142"/>
        <v>0</v>
      </c>
      <c r="AK168">
        <v>3397.43</v>
      </c>
      <c r="AL168">
        <v>535.53</v>
      </c>
      <c r="AM168">
        <v>715.67</v>
      </c>
      <c r="AN168">
        <v>61.76</v>
      </c>
      <c r="AO168">
        <v>2146.23</v>
      </c>
      <c r="AP168">
        <v>0</v>
      </c>
      <c r="AQ168">
        <v>155.88</v>
      </c>
      <c r="AR168">
        <v>0</v>
      </c>
      <c r="AS168">
        <v>0</v>
      </c>
      <c r="AT168">
        <v>92</v>
      </c>
      <c r="AU168">
        <v>43</v>
      </c>
      <c r="AV168">
        <v>1.0469999999999999</v>
      </c>
      <c r="AW168">
        <v>1</v>
      </c>
      <c r="AZ168">
        <v>1</v>
      </c>
      <c r="BA168">
        <v>46.67</v>
      </c>
      <c r="BB168">
        <v>8.09</v>
      </c>
      <c r="BC168">
        <v>7.04</v>
      </c>
      <c r="BD168" t="s">
        <v>4</v>
      </c>
      <c r="BE168" t="s">
        <v>4</v>
      </c>
      <c r="BF168" t="s">
        <v>4</v>
      </c>
      <c r="BG168" t="s">
        <v>4</v>
      </c>
      <c r="BH168">
        <v>0</v>
      </c>
      <c r="BI168">
        <v>2</v>
      </c>
      <c r="BJ168" t="s">
        <v>233</v>
      </c>
      <c r="BM168">
        <v>1726</v>
      </c>
      <c r="BN168">
        <v>0</v>
      </c>
      <c r="BO168" t="s">
        <v>230</v>
      </c>
      <c r="BP168">
        <v>1</v>
      </c>
      <c r="BQ168">
        <v>40</v>
      </c>
      <c r="BR168">
        <v>0</v>
      </c>
      <c r="BS168">
        <v>46.67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4</v>
      </c>
      <c r="BZ168">
        <v>92</v>
      </c>
      <c r="CA168">
        <v>43</v>
      </c>
      <c r="CB168" t="s">
        <v>4</v>
      </c>
      <c r="CE168">
        <v>30</v>
      </c>
      <c r="CF168">
        <v>0</v>
      </c>
      <c r="CG168">
        <v>0</v>
      </c>
      <c r="CM168">
        <v>0</v>
      </c>
      <c r="CN168" t="s">
        <v>4</v>
      </c>
      <c r="CO168">
        <v>0</v>
      </c>
      <c r="CP168">
        <f t="shared" si="143"/>
        <v>82586.899999999994</v>
      </c>
      <c r="CQ168">
        <f t="shared" si="144"/>
        <v>3770.13</v>
      </c>
      <c r="CR168">
        <f t="shared" si="145"/>
        <v>6061.92</v>
      </c>
      <c r="CS168">
        <f t="shared" si="146"/>
        <v>3017.68</v>
      </c>
      <c r="CT168">
        <f t="shared" si="147"/>
        <v>104872.16</v>
      </c>
      <c r="CU168">
        <f t="shared" si="148"/>
        <v>0</v>
      </c>
      <c r="CV168">
        <f t="shared" si="149"/>
        <v>163.20635999999999</v>
      </c>
      <c r="CW168">
        <f t="shared" si="150"/>
        <v>0</v>
      </c>
      <c r="CX168">
        <f t="shared" si="150"/>
        <v>0</v>
      </c>
      <c r="CY168">
        <f>S168*(BZ168/100)</f>
        <v>69467.231200000009</v>
      </c>
      <c r="CZ168">
        <f>S168*(CA168/100)</f>
        <v>32468.379799999999</v>
      </c>
      <c r="DC168" t="s">
        <v>4</v>
      </c>
      <c r="DD168" t="s">
        <v>4</v>
      </c>
      <c r="DE168" t="s">
        <v>4</v>
      </c>
      <c r="DF168" t="s">
        <v>4</v>
      </c>
      <c r="DG168" t="s">
        <v>4</v>
      </c>
      <c r="DH168" t="s">
        <v>4</v>
      </c>
      <c r="DI168" t="s">
        <v>4</v>
      </c>
      <c r="DJ168" t="s">
        <v>4</v>
      </c>
      <c r="DK168" t="s">
        <v>4</v>
      </c>
      <c r="DL168" t="s">
        <v>4</v>
      </c>
      <c r="DM168" t="s">
        <v>4</v>
      </c>
      <c r="DN168">
        <v>112</v>
      </c>
      <c r="DO168">
        <v>70</v>
      </c>
      <c r="DP168">
        <v>1.0469999999999999</v>
      </c>
      <c r="DQ168">
        <v>1</v>
      </c>
      <c r="DU168">
        <v>1013</v>
      </c>
      <c r="DV168" t="s">
        <v>232</v>
      </c>
      <c r="DW168" t="s">
        <v>232</v>
      </c>
      <c r="DX168">
        <v>1</v>
      </c>
      <c r="DZ168" t="s">
        <v>4</v>
      </c>
      <c r="EA168" t="s">
        <v>4</v>
      </c>
      <c r="EB168" t="s">
        <v>4</v>
      </c>
      <c r="EC168" t="s">
        <v>4</v>
      </c>
      <c r="EE168">
        <v>69254351</v>
      </c>
      <c r="EF168">
        <v>40</v>
      </c>
      <c r="EG168" t="s">
        <v>219</v>
      </c>
      <c r="EH168">
        <v>0</v>
      </c>
      <c r="EI168" t="s">
        <v>4</v>
      </c>
      <c r="EJ168">
        <v>2</v>
      </c>
      <c r="EK168">
        <v>1726</v>
      </c>
      <c r="EL168" t="s">
        <v>220</v>
      </c>
      <c r="EM168" t="s">
        <v>221</v>
      </c>
      <c r="EO168" t="s">
        <v>4</v>
      </c>
      <c r="EQ168">
        <v>0</v>
      </c>
      <c r="ER168">
        <v>3397.43</v>
      </c>
      <c r="ES168">
        <v>535.53</v>
      </c>
      <c r="ET168">
        <v>715.67</v>
      </c>
      <c r="EU168">
        <v>61.76</v>
      </c>
      <c r="EV168">
        <v>2146.23</v>
      </c>
      <c r="EW168">
        <v>155.88</v>
      </c>
      <c r="EX168">
        <v>0</v>
      </c>
      <c r="EY168">
        <v>0</v>
      </c>
      <c r="FQ168">
        <v>0</v>
      </c>
      <c r="FR168">
        <f t="shared" si="151"/>
        <v>0</v>
      </c>
      <c r="FS168">
        <v>0</v>
      </c>
      <c r="FX168">
        <v>112</v>
      </c>
      <c r="FY168">
        <v>70</v>
      </c>
      <c r="GA168" t="s">
        <v>4</v>
      </c>
      <c r="GD168">
        <v>0</v>
      </c>
      <c r="GF168">
        <v>-596521548</v>
      </c>
      <c r="GG168">
        <v>2</v>
      </c>
      <c r="GH168">
        <v>1</v>
      </c>
      <c r="GI168">
        <v>2</v>
      </c>
      <c r="GJ168">
        <v>0</v>
      </c>
      <c r="GK168">
        <f>ROUND(R168*(S12)/100,2)</f>
        <v>3476.74</v>
      </c>
      <c r="GL168">
        <f t="shared" si="152"/>
        <v>0</v>
      </c>
      <c r="GM168">
        <f t="shared" si="153"/>
        <v>187999.25</v>
      </c>
      <c r="GN168">
        <f t="shared" si="154"/>
        <v>0</v>
      </c>
      <c r="GO168">
        <f t="shared" si="155"/>
        <v>187999.25</v>
      </c>
      <c r="GP168">
        <f t="shared" si="156"/>
        <v>0</v>
      </c>
      <c r="GR168">
        <v>0</v>
      </c>
      <c r="GS168">
        <v>3</v>
      </c>
      <c r="GT168">
        <v>0</v>
      </c>
      <c r="GU168" t="s">
        <v>4</v>
      </c>
      <c r="GV168">
        <f t="shared" si="157"/>
        <v>0</v>
      </c>
      <c r="GW168">
        <v>1</v>
      </c>
      <c r="GX168">
        <f t="shared" si="158"/>
        <v>0</v>
      </c>
      <c r="HA168">
        <v>0</v>
      </c>
      <c r="HB168">
        <v>0</v>
      </c>
      <c r="HC168">
        <f t="shared" si="159"/>
        <v>0</v>
      </c>
      <c r="HE168" t="s">
        <v>4</v>
      </c>
      <c r="HF168" t="s">
        <v>4</v>
      </c>
      <c r="HM168" t="s">
        <v>4</v>
      </c>
      <c r="HN168" t="s">
        <v>4</v>
      </c>
      <c r="HO168" t="s">
        <v>4</v>
      </c>
      <c r="HP168" t="s">
        <v>4</v>
      </c>
      <c r="HQ168" t="s">
        <v>4</v>
      </c>
      <c r="IK168">
        <v>0</v>
      </c>
    </row>
    <row r="169" spans="1:255">
      <c r="A169" s="2">
        <v>17</v>
      </c>
      <c r="B169" s="2">
        <v>1</v>
      </c>
      <c r="C169" s="2"/>
      <c r="D169" s="2"/>
      <c r="E169" s="2" t="s">
        <v>234</v>
      </c>
      <c r="F169" s="2" t="s">
        <v>235</v>
      </c>
      <c r="G169" s="2" t="s">
        <v>236</v>
      </c>
      <c r="H169" s="2" t="s">
        <v>237</v>
      </c>
      <c r="I169" s="2">
        <f>ROUND(I167*100,9)</f>
        <v>72</v>
      </c>
      <c r="J169" s="2">
        <v>0</v>
      </c>
      <c r="K169" s="2">
        <f>ROUND(I167*100,9)</f>
        <v>72</v>
      </c>
      <c r="L169" s="2"/>
      <c r="M169" s="2"/>
      <c r="N169" s="2"/>
      <c r="O169" s="2">
        <f t="shared" si="126"/>
        <v>11061.36</v>
      </c>
      <c r="P169" s="2">
        <f t="shared" si="127"/>
        <v>11061.36</v>
      </c>
      <c r="Q169" s="2">
        <f t="shared" si="128"/>
        <v>0</v>
      </c>
      <c r="R169" s="2">
        <f t="shared" si="129"/>
        <v>0</v>
      </c>
      <c r="S169" s="2">
        <f t="shared" si="130"/>
        <v>0</v>
      </c>
      <c r="T169" s="2">
        <f t="shared" si="131"/>
        <v>0</v>
      </c>
      <c r="U169" s="2">
        <f t="shared" si="132"/>
        <v>0</v>
      </c>
      <c r="V169" s="2">
        <f t="shared" si="133"/>
        <v>0</v>
      </c>
      <c r="W169" s="2">
        <f t="shared" si="134"/>
        <v>0</v>
      </c>
      <c r="X169" s="2">
        <f t="shared" si="135"/>
        <v>0</v>
      </c>
      <c r="Y169" s="2">
        <f t="shared" si="135"/>
        <v>0</v>
      </c>
      <c r="Z169" s="2"/>
      <c r="AA169" s="2">
        <v>70305038</v>
      </c>
      <c r="AB169" s="2">
        <f t="shared" si="136"/>
        <v>153.63</v>
      </c>
      <c r="AC169" s="2">
        <f t="shared" si="137"/>
        <v>153.63</v>
      </c>
      <c r="AD169" s="2">
        <f t="shared" si="138"/>
        <v>0</v>
      </c>
      <c r="AE169" s="2">
        <f t="shared" si="139"/>
        <v>0</v>
      </c>
      <c r="AF169" s="2">
        <f t="shared" si="139"/>
        <v>0</v>
      </c>
      <c r="AG169" s="2">
        <f t="shared" si="140"/>
        <v>0</v>
      </c>
      <c r="AH169" s="2">
        <f t="shared" si="141"/>
        <v>0</v>
      </c>
      <c r="AI169" s="2">
        <f t="shared" si="141"/>
        <v>0</v>
      </c>
      <c r="AJ169" s="2">
        <f t="shared" si="142"/>
        <v>0</v>
      </c>
      <c r="AK169" s="2">
        <v>153.63</v>
      </c>
      <c r="AL169" s="2">
        <v>153.63</v>
      </c>
      <c r="AM169" s="2">
        <v>0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1</v>
      </c>
      <c r="AW169" s="2">
        <v>1</v>
      </c>
      <c r="AX169" s="2"/>
      <c r="AY169" s="2"/>
      <c r="AZ169" s="2">
        <v>1</v>
      </c>
      <c r="BA169" s="2">
        <v>1</v>
      </c>
      <c r="BB169" s="2">
        <v>1</v>
      </c>
      <c r="BC169" s="2">
        <v>1</v>
      </c>
      <c r="BD169" s="2" t="s">
        <v>4</v>
      </c>
      <c r="BE169" s="2" t="s">
        <v>4</v>
      </c>
      <c r="BF169" s="2" t="s">
        <v>4</v>
      </c>
      <c r="BG169" s="2" t="s">
        <v>4</v>
      </c>
      <c r="BH169" s="2">
        <v>3</v>
      </c>
      <c r="BI169" s="2">
        <v>2</v>
      </c>
      <c r="BJ169" s="2" t="s">
        <v>238</v>
      </c>
      <c r="BK169" s="2"/>
      <c r="BL169" s="2"/>
      <c r="BM169" s="2">
        <v>1618</v>
      </c>
      <c r="BN169" s="2">
        <v>0</v>
      </c>
      <c r="BO169" s="2" t="s">
        <v>4</v>
      </c>
      <c r="BP169" s="2">
        <v>0</v>
      </c>
      <c r="BQ169" s="2">
        <v>201</v>
      </c>
      <c r="BR169" s="2">
        <v>0</v>
      </c>
      <c r="BS169" s="2">
        <v>1</v>
      </c>
      <c r="BT169" s="2">
        <v>1</v>
      </c>
      <c r="BU169" s="2">
        <v>1</v>
      </c>
      <c r="BV169" s="2">
        <v>1</v>
      </c>
      <c r="BW169" s="2">
        <v>1</v>
      </c>
      <c r="BX169" s="2">
        <v>1</v>
      </c>
      <c r="BY169" s="2" t="s">
        <v>4</v>
      </c>
      <c r="BZ169" s="2">
        <v>0</v>
      </c>
      <c r="CA169" s="2">
        <v>0</v>
      </c>
      <c r="CB169" s="2" t="s">
        <v>4</v>
      </c>
      <c r="CC169" s="2"/>
      <c r="CD169" s="2"/>
      <c r="CE169" s="2">
        <v>30</v>
      </c>
      <c r="CF169" s="2">
        <v>0</v>
      </c>
      <c r="CG169" s="2">
        <v>0</v>
      </c>
      <c r="CH169" s="2"/>
      <c r="CI169" s="2"/>
      <c r="CJ169" s="2"/>
      <c r="CK169" s="2"/>
      <c r="CL169" s="2"/>
      <c r="CM169" s="2">
        <v>0</v>
      </c>
      <c r="CN169" s="2" t="s">
        <v>4</v>
      </c>
      <c r="CO169" s="2">
        <v>0</v>
      </c>
      <c r="CP169" s="2">
        <f t="shared" si="143"/>
        <v>11061.36</v>
      </c>
      <c r="CQ169" s="2">
        <f t="shared" si="144"/>
        <v>153.63</v>
      </c>
      <c r="CR169" s="2">
        <f t="shared" si="145"/>
        <v>0</v>
      </c>
      <c r="CS169" s="2">
        <f t="shared" si="146"/>
        <v>0</v>
      </c>
      <c r="CT169" s="2">
        <f t="shared" si="147"/>
        <v>0</v>
      </c>
      <c r="CU169" s="2">
        <f t="shared" si="148"/>
        <v>0</v>
      </c>
      <c r="CV169" s="2">
        <f t="shared" si="149"/>
        <v>0</v>
      </c>
      <c r="CW169" s="2">
        <f t="shared" si="150"/>
        <v>0</v>
      </c>
      <c r="CX169" s="2">
        <f t="shared" si="150"/>
        <v>0</v>
      </c>
      <c r="CY169" s="2">
        <f>((S169*BZ169)/100)</f>
        <v>0</v>
      </c>
      <c r="CZ169" s="2">
        <f>((S169*CA169)/100)</f>
        <v>0</v>
      </c>
      <c r="DA169" s="2"/>
      <c r="DB169" s="2"/>
      <c r="DC169" s="2" t="s">
        <v>4</v>
      </c>
      <c r="DD169" s="2" t="s">
        <v>4</v>
      </c>
      <c r="DE169" s="2" t="s">
        <v>4</v>
      </c>
      <c r="DF169" s="2" t="s">
        <v>4</v>
      </c>
      <c r="DG169" s="2" t="s">
        <v>4</v>
      </c>
      <c r="DH169" s="2" t="s">
        <v>4</v>
      </c>
      <c r="DI169" s="2" t="s">
        <v>4</v>
      </c>
      <c r="DJ169" s="2" t="s">
        <v>4</v>
      </c>
      <c r="DK169" s="2" t="s">
        <v>4</v>
      </c>
      <c r="DL169" s="2" t="s">
        <v>4</v>
      </c>
      <c r="DM169" s="2" t="s">
        <v>4</v>
      </c>
      <c r="DN169" s="2">
        <v>0</v>
      </c>
      <c r="DO169" s="2">
        <v>0</v>
      </c>
      <c r="DP169" s="2">
        <v>1</v>
      </c>
      <c r="DQ169" s="2">
        <v>1</v>
      </c>
      <c r="DR169" s="2"/>
      <c r="DS169" s="2"/>
      <c r="DT169" s="2"/>
      <c r="DU169" s="2">
        <v>1013</v>
      </c>
      <c r="DV169" s="2" t="s">
        <v>237</v>
      </c>
      <c r="DW169" s="2" t="s">
        <v>237</v>
      </c>
      <c r="DX169" s="2">
        <v>1</v>
      </c>
      <c r="DY169" s="2"/>
      <c r="DZ169" s="2" t="s">
        <v>4</v>
      </c>
      <c r="EA169" s="2" t="s">
        <v>4</v>
      </c>
      <c r="EB169" s="2" t="s">
        <v>4</v>
      </c>
      <c r="EC169" s="2" t="s">
        <v>4</v>
      </c>
      <c r="ED169" s="2"/>
      <c r="EE169" s="2">
        <v>69254243</v>
      </c>
      <c r="EF169" s="2">
        <v>201</v>
      </c>
      <c r="EG169" s="2" t="s">
        <v>226</v>
      </c>
      <c r="EH169" s="2">
        <v>0</v>
      </c>
      <c r="EI169" s="2" t="s">
        <v>4</v>
      </c>
      <c r="EJ169" s="2">
        <v>2</v>
      </c>
      <c r="EK169" s="2">
        <v>1618</v>
      </c>
      <c r="EL169" s="2" t="s">
        <v>227</v>
      </c>
      <c r="EM169" s="2" t="s">
        <v>228</v>
      </c>
      <c r="EN169" s="2"/>
      <c r="EO169" s="2" t="s">
        <v>4</v>
      </c>
      <c r="EP169" s="2"/>
      <c r="EQ169" s="2">
        <v>0</v>
      </c>
      <c r="ER169" s="2">
        <v>153.63</v>
      </c>
      <c r="ES169" s="2">
        <v>153.63</v>
      </c>
      <c r="ET169" s="2">
        <v>0</v>
      </c>
      <c r="EU169" s="2">
        <v>0</v>
      </c>
      <c r="EV169" s="2">
        <v>0</v>
      </c>
      <c r="EW169" s="2">
        <v>0</v>
      </c>
      <c r="EX169" s="2">
        <v>0</v>
      </c>
      <c r="EY169" s="2">
        <v>0</v>
      </c>
      <c r="EZ169" s="2"/>
      <c r="FA169" s="2"/>
      <c r="FB169" s="2"/>
      <c r="FC169" s="2"/>
      <c r="FD169" s="2"/>
      <c r="FE169" s="2"/>
      <c r="FF169" s="2"/>
      <c r="FG169" s="2"/>
      <c r="FH169" s="2"/>
      <c r="FI169" s="2"/>
      <c r="FJ169" s="2"/>
      <c r="FK169" s="2"/>
      <c r="FL169" s="2"/>
      <c r="FM169" s="2"/>
      <c r="FN169" s="2"/>
      <c r="FO169" s="2"/>
      <c r="FP169" s="2"/>
      <c r="FQ169" s="2">
        <v>0</v>
      </c>
      <c r="FR169" s="2">
        <f t="shared" si="151"/>
        <v>0</v>
      </c>
      <c r="FS169" s="2">
        <v>0</v>
      </c>
      <c r="FT169" s="2"/>
      <c r="FU169" s="2"/>
      <c r="FV169" s="2"/>
      <c r="FW169" s="2"/>
      <c r="FX169" s="2">
        <v>0</v>
      </c>
      <c r="FY169" s="2">
        <v>0</v>
      </c>
      <c r="FZ169" s="2"/>
      <c r="GA169" s="2" t="s">
        <v>4</v>
      </c>
      <c r="GB169" s="2"/>
      <c r="GC169" s="2"/>
      <c r="GD169" s="2">
        <v>0</v>
      </c>
      <c r="GE169" s="2"/>
      <c r="GF169" s="2">
        <v>-729980367</v>
      </c>
      <c r="GG169" s="2">
        <v>2</v>
      </c>
      <c r="GH169" s="2">
        <v>1</v>
      </c>
      <c r="GI169" s="2">
        <v>-2</v>
      </c>
      <c r="GJ169" s="2">
        <v>0</v>
      </c>
      <c r="GK169" s="2">
        <f>ROUND(R169*(R12)/100,2)</f>
        <v>0</v>
      </c>
      <c r="GL169" s="2">
        <f t="shared" si="152"/>
        <v>0</v>
      </c>
      <c r="GM169" s="2">
        <f t="shared" si="153"/>
        <v>11061.36</v>
      </c>
      <c r="GN169" s="2">
        <f t="shared" si="154"/>
        <v>0</v>
      </c>
      <c r="GO169" s="2">
        <f t="shared" si="155"/>
        <v>11061.36</v>
      </c>
      <c r="GP169" s="2">
        <f t="shared" si="156"/>
        <v>0</v>
      </c>
      <c r="GQ169" s="2"/>
      <c r="GR169" s="2">
        <v>0</v>
      </c>
      <c r="GS169" s="2">
        <v>0</v>
      </c>
      <c r="GT169" s="2">
        <v>0</v>
      </c>
      <c r="GU169" s="2" t="s">
        <v>4</v>
      </c>
      <c r="GV169" s="2">
        <f t="shared" si="157"/>
        <v>0</v>
      </c>
      <c r="GW169" s="2">
        <v>1</v>
      </c>
      <c r="GX169" s="2">
        <f t="shared" si="158"/>
        <v>0</v>
      </c>
      <c r="GY169" s="2"/>
      <c r="GZ169" s="2"/>
      <c r="HA169" s="2">
        <v>0</v>
      </c>
      <c r="HB169" s="2">
        <v>0</v>
      </c>
      <c r="HC169" s="2">
        <f t="shared" si="159"/>
        <v>0</v>
      </c>
      <c r="HD169" s="2"/>
      <c r="HE169" s="2" t="s">
        <v>4</v>
      </c>
      <c r="HF169" s="2" t="s">
        <v>4</v>
      </c>
      <c r="HG169" s="2"/>
      <c r="HH169" s="2"/>
      <c r="HI169" s="2"/>
      <c r="HJ169" s="2"/>
      <c r="HK169" s="2"/>
      <c r="HL169" s="2"/>
      <c r="HM169" s="2" t="s">
        <v>4</v>
      </c>
      <c r="HN169" s="2" t="s">
        <v>4</v>
      </c>
      <c r="HO169" s="2" t="s">
        <v>4</v>
      </c>
      <c r="HP169" s="2" t="s">
        <v>4</v>
      </c>
      <c r="HQ169" s="2" t="s">
        <v>4</v>
      </c>
      <c r="HR169" s="2"/>
      <c r="HS169" s="2"/>
      <c r="HT169" s="2"/>
      <c r="HU169" s="2"/>
      <c r="HV169" s="2"/>
      <c r="HW169" s="2"/>
      <c r="HX169" s="2"/>
      <c r="HY169" s="2"/>
      <c r="HZ169" s="2"/>
      <c r="IA169" s="2"/>
      <c r="IB169" s="2"/>
      <c r="IC169" s="2"/>
      <c r="ID169" s="2"/>
      <c r="IE169" s="2"/>
      <c r="IF169" s="2"/>
      <c r="IG169" s="2"/>
      <c r="IH169" s="2"/>
      <c r="II169" s="2"/>
      <c r="IJ169" s="2"/>
      <c r="IK169" s="2">
        <v>0</v>
      </c>
      <c r="IL169" s="2"/>
      <c r="IM169" s="2"/>
      <c r="IN169" s="2"/>
      <c r="IO169" s="2"/>
      <c r="IP169" s="2"/>
      <c r="IQ169" s="2"/>
      <c r="IR169" s="2"/>
      <c r="IS169" s="2"/>
      <c r="IT169" s="2"/>
      <c r="IU169" s="2"/>
    </row>
    <row r="170" spans="1:255">
      <c r="A170">
        <v>17</v>
      </c>
      <c r="B170">
        <v>1</v>
      </c>
      <c r="E170" t="s">
        <v>234</v>
      </c>
      <c r="F170" t="s">
        <v>235</v>
      </c>
      <c r="G170" t="s">
        <v>236</v>
      </c>
      <c r="H170" t="s">
        <v>237</v>
      </c>
      <c r="I170">
        <f>ROUND(I168*100,9)</f>
        <v>72</v>
      </c>
      <c r="J170">
        <v>0</v>
      </c>
      <c r="K170">
        <f>ROUND(I168*100,9)</f>
        <v>72</v>
      </c>
      <c r="O170">
        <f t="shared" si="126"/>
        <v>23339.47</v>
      </c>
      <c r="P170">
        <f t="shared" si="127"/>
        <v>23339.47</v>
      </c>
      <c r="Q170">
        <f t="shared" si="128"/>
        <v>0</v>
      </c>
      <c r="R170">
        <f t="shared" si="129"/>
        <v>0</v>
      </c>
      <c r="S170">
        <f t="shared" si="130"/>
        <v>0</v>
      </c>
      <c r="T170">
        <f t="shared" si="131"/>
        <v>0</v>
      </c>
      <c r="U170">
        <f t="shared" si="132"/>
        <v>0</v>
      </c>
      <c r="V170">
        <f t="shared" si="133"/>
        <v>0</v>
      </c>
      <c r="W170">
        <f t="shared" si="134"/>
        <v>0</v>
      </c>
      <c r="X170">
        <f t="shared" si="135"/>
        <v>0</v>
      </c>
      <c r="Y170">
        <f t="shared" si="135"/>
        <v>0</v>
      </c>
      <c r="AA170">
        <v>70305036</v>
      </c>
      <c r="AB170">
        <f t="shared" si="136"/>
        <v>153.63</v>
      </c>
      <c r="AC170">
        <f t="shared" si="137"/>
        <v>153.63</v>
      </c>
      <c r="AD170">
        <f t="shared" si="138"/>
        <v>0</v>
      </c>
      <c r="AE170">
        <f t="shared" si="139"/>
        <v>0</v>
      </c>
      <c r="AF170">
        <f t="shared" si="139"/>
        <v>0</v>
      </c>
      <c r="AG170">
        <f t="shared" si="140"/>
        <v>0</v>
      </c>
      <c r="AH170">
        <f t="shared" si="141"/>
        <v>0</v>
      </c>
      <c r="AI170">
        <f t="shared" si="141"/>
        <v>0</v>
      </c>
      <c r="AJ170">
        <f t="shared" si="142"/>
        <v>0</v>
      </c>
      <c r="AK170">
        <v>153.63</v>
      </c>
      <c r="AL170">
        <v>153.63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1</v>
      </c>
      <c r="AW170">
        <v>1</v>
      </c>
      <c r="AZ170">
        <v>1</v>
      </c>
      <c r="BA170">
        <v>1</v>
      </c>
      <c r="BB170">
        <v>1</v>
      </c>
      <c r="BC170">
        <v>2.11</v>
      </c>
      <c r="BD170" t="s">
        <v>4</v>
      </c>
      <c r="BE170" t="s">
        <v>4</v>
      </c>
      <c r="BF170" t="s">
        <v>4</v>
      </c>
      <c r="BG170" t="s">
        <v>4</v>
      </c>
      <c r="BH170">
        <v>3</v>
      </c>
      <c r="BI170">
        <v>2</v>
      </c>
      <c r="BJ170" t="s">
        <v>238</v>
      </c>
      <c r="BM170">
        <v>1618</v>
      </c>
      <c r="BN170">
        <v>0</v>
      </c>
      <c r="BO170" t="s">
        <v>235</v>
      </c>
      <c r="BP170">
        <v>1</v>
      </c>
      <c r="BQ170">
        <v>201</v>
      </c>
      <c r="BR170">
        <v>0</v>
      </c>
      <c r="BS170">
        <v>1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4</v>
      </c>
      <c r="BZ170">
        <v>0</v>
      </c>
      <c r="CA170">
        <v>0</v>
      </c>
      <c r="CB170" t="s">
        <v>4</v>
      </c>
      <c r="CE170">
        <v>30</v>
      </c>
      <c r="CF170">
        <v>0</v>
      </c>
      <c r="CG170">
        <v>0</v>
      </c>
      <c r="CM170">
        <v>0</v>
      </c>
      <c r="CN170" t="s">
        <v>4</v>
      </c>
      <c r="CO170">
        <v>0</v>
      </c>
      <c r="CP170">
        <f t="shared" si="143"/>
        <v>23339.47</v>
      </c>
      <c r="CQ170">
        <f t="shared" si="144"/>
        <v>324.16000000000003</v>
      </c>
      <c r="CR170">
        <f t="shared" si="145"/>
        <v>0</v>
      </c>
      <c r="CS170">
        <f t="shared" si="146"/>
        <v>0</v>
      </c>
      <c r="CT170">
        <f t="shared" si="147"/>
        <v>0</v>
      </c>
      <c r="CU170">
        <f t="shared" si="148"/>
        <v>0</v>
      </c>
      <c r="CV170">
        <f t="shared" si="149"/>
        <v>0</v>
      </c>
      <c r="CW170">
        <f t="shared" si="150"/>
        <v>0</v>
      </c>
      <c r="CX170">
        <f t="shared" si="150"/>
        <v>0</v>
      </c>
      <c r="CY170">
        <f>S170*(BZ170/100)</f>
        <v>0</v>
      </c>
      <c r="CZ170">
        <f>S170*(CA170/100)</f>
        <v>0</v>
      </c>
      <c r="DC170" t="s">
        <v>4</v>
      </c>
      <c r="DD170" t="s">
        <v>4</v>
      </c>
      <c r="DE170" t="s">
        <v>4</v>
      </c>
      <c r="DF170" t="s">
        <v>4</v>
      </c>
      <c r="DG170" t="s">
        <v>4</v>
      </c>
      <c r="DH170" t="s">
        <v>4</v>
      </c>
      <c r="DI170" t="s">
        <v>4</v>
      </c>
      <c r="DJ170" t="s">
        <v>4</v>
      </c>
      <c r="DK170" t="s">
        <v>4</v>
      </c>
      <c r="DL170" t="s">
        <v>4</v>
      </c>
      <c r="DM170" t="s">
        <v>4</v>
      </c>
      <c r="DN170">
        <v>0</v>
      </c>
      <c r="DO170">
        <v>0</v>
      </c>
      <c r="DP170">
        <v>1</v>
      </c>
      <c r="DQ170">
        <v>1</v>
      </c>
      <c r="DU170">
        <v>1013</v>
      </c>
      <c r="DV170" t="s">
        <v>237</v>
      </c>
      <c r="DW170" t="s">
        <v>237</v>
      </c>
      <c r="DX170">
        <v>1</v>
      </c>
      <c r="DZ170" t="s">
        <v>4</v>
      </c>
      <c r="EA170" t="s">
        <v>4</v>
      </c>
      <c r="EB170" t="s">
        <v>4</v>
      </c>
      <c r="EC170" t="s">
        <v>4</v>
      </c>
      <c r="EE170">
        <v>69254243</v>
      </c>
      <c r="EF170">
        <v>201</v>
      </c>
      <c r="EG170" t="s">
        <v>226</v>
      </c>
      <c r="EH170">
        <v>0</v>
      </c>
      <c r="EI170" t="s">
        <v>4</v>
      </c>
      <c r="EJ170">
        <v>2</v>
      </c>
      <c r="EK170">
        <v>1618</v>
      </c>
      <c r="EL170" t="s">
        <v>227</v>
      </c>
      <c r="EM170" t="s">
        <v>228</v>
      </c>
      <c r="EO170" t="s">
        <v>4</v>
      </c>
      <c r="EQ170">
        <v>0</v>
      </c>
      <c r="ER170">
        <v>153.63</v>
      </c>
      <c r="ES170">
        <v>153.63</v>
      </c>
      <c r="ET170">
        <v>0</v>
      </c>
      <c r="EU170">
        <v>0</v>
      </c>
      <c r="EV170">
        <v>0</v>
      </c>
      <c r="EW170">
        <v>0</v>
      </c>
      <c r="EX170">
        <v>0</v>
      </c>
      <c r="EY170">
        <v>0</v>
      </c>
      <c r="FQ170">
        <v>0</v>
      </c>
      <c r="FR170">
        <f t="shared" si="151"/>
        <v>0</v>
      </c>
      <c r="FS170">
        <v>0</v>
      </c>
      <c r="FX170">
        <v>0</v>
      </c>
      <c r="FY170">
        <v>0</v>
      </c>
      <c r="GA170" t="s">
        <v>4</v>
      </c>
      <c r="GD170">
        <v>0</v>
      </c>
      <c r="GF170">
        <v>-729980367</v>
      </c>
      <c r="GG170">
        <v>2</v>
      </c>
      <c r="GH170">
        <v>1</v>
      </c>
      <c r="GI170">
        <v>2</v>
      </c>
      <c r="GJ170">
        <v>0</v>
      </c>
      <c r="GK170">
        <f>ROUND(R170*(S12)/100,2)</f>
        <v>0</v>
      </c>
      <c r="GL170">
        <f t="shared" si="152"/>
        <v>0</v>
      </c>
      <c r="GM170">
        <f t="shared" si="153"/>
        <v>23339.47</v>
      </c>
      <c r="GN170">
        <f t="shared" si="154"/>
        <v>0</v>
      </c>
      <c r="GO170">
        <f t="shared" si="155"/>
        <v>23339.47</v>
      </c>
      <c r="GP170">
        <f t="shared" si="156"/>
        <v>0</v>
      </c>
      <c r="GR170">
        <v>0</v>
      </c>
      <c r="GS170">
        <v>3</v>
      </c>
      <c r="GT170">
        <v>0</v>
      </c>
      <c r="GU170" t="s">
        <v>4</v>
      </c>
      <c r="GV170">
        <f t="shared" si="157"/>
        <v>0</v>
      </c>
      <c r="GW170">
        <v>1</v>
      </c>
      <c r="GX170">
        <f t="shared" si="158"/>
        <v>0</v>
      </c>
      <c r="HA170">
        <v>0</v>
      </c>
      <c r="HB170">
        <v>0</v>
      </c>
      <c r="HC170">
        <f t="shared" si="159"/>
        <v>0</v>
      </c>
      <c r="HE170" t="s">
        <v>4</v>
      </c>
      <c r="HF170" t="s">
        <v>4</v>
      </c>
      <c r="HM170" t="s">
        <v>4</v>
      </c>
      <c r="HN170" t="s">
        <v>4</v>
      </c>
      <c r="HO170" t="s">
        <v>4</v>
      </c>
      <c r="HP170" t="s">
        <v>4</v>
      </c>
      <c r="HQ170" t="s">
        <v>4</v>
      </c>
      <c r="IK170">
        <v>0</v>
      </c>
    </row>
    <row r="171" spans="1:255">
      <c r="A171" s="2">
        <v>19</v>
      </c>
      <c r="B171" s="2">
        <v>1</v>
      </c>
      <c r="C171" s="2"/>
      <c r="D171" s="2"/>
      <c r="E171" s="2"/>
      <c r="F171" s="2" t="s">
        <v>4</v>
      </c>
      <c r="G171" s="2" t="s">
        <v>239</v>
      </c>
      <c r="H171" s="2" t="s">
        <v>4</v>
      </c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>
        <v>1</v>
      </c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  <c r="EC171" s="2"/>
      <c r="ED171" s="2"/>
      <c r="EE171" s="2"/>
      <c r="EF171" s="2"/>
      <c r="EG171" s="2"/>
      <c r="EH171" s="2"/>
      <c r="EI171" s="2"/>
      <c r="EJ171" s="2"/>
      <c r="EK171" s="2"/>
      <c r="EL171" s="2"/>
      <c r="EM171" s="2"/>
      <c r="EN171" s="2"/>
      <c r="EO171" s="2"/>
      <c r="EP171" s="2"/>
      <c r="EQ171" s="2"/>
      <c r="ER171" s="2"/>
      <c r="ES171" s="2"/>
      <c r="ET171" s="2"/>
      <c r="EU171" s="2"/>
      <c r="EV171" s="2"/>
      <c r="EW171" s="2"/>
      <c r="EX171" s="2"/>
      <c r="EY171" s="2"/>
      <c r="EZ171" s="2"/>
      <c r="FA171" s="2"/>
      <c r="FB171" s="2"/>
      <c r="FC171" s="2"/>
      <c r="FD171" s="2"/>
      <c r="FE171" s="2"/>
      <c r="FF171" s="2"/>
      <c r="FG171" s="2"/>
      <c r="FH171" s="2"/>
      <c r="FI171" s="2"/>
      <c r="FJ171" s="2"/>
      <c r="FK171" s="2"/>
      <c r="FL171" s="2"/>
      <c r="FM171" s="2"/>
      <c r="FN171" s="2"/>
      <c r="FO171" s="2"/>
      <c r="FP171" s="2"/>
      <c r="FQ171" s="2"/>
      <c r="FR171" s="2"/>
      <c r="FS171" s="2"/>
      <c r="FT171" s="2"/>
      <c r="FU171" s="2"/>
      <c r="FV171" s="2"/>
      <c r="FW171" s="2"/>
      <c r="FX171" s="2"/>
      <c r="FY171" s="2"/>
      <c r="FZ171" s="2"/>
      <c r="GA171" s="2"/>
      <c r="GB171" s="2"/>
      <c r="GC171" s="2"/>
      <c r="GD171" s="2"/>
      <c r="GE171" s="2"/>
      <c r="GF171" s="2"/>
      <c r="GG171" s="2"/>
      <c r="GH171" s="2"/>
      <c r="GI171" s="2"/>
      <c r="GJ171" s="2"/>
      <c r="GK171" s="2"/>
      <c r="GL171" s="2"/>
      <c r="GM171" s="2"/>
      <c r="GN171" s="2"/>
      <c r="GO171" s="2"/>
      <c r="GP171" s="2"/>
      <c r="GQ171" s="2"/>
      <c r="GR171" s="2"/>
      <c r="GS171" s="2"/>
      <c r="GT171" s="2"/>
      <c r="GU171" s="2"/>
      <c r="GV171" s="2"/>
      <c r="GW171" s="2"/>
      <c r="GX171" s="2"/>
      <c r="GY171" s="2"/>
      <c r="GZ171" s="2"/>
      <c r="HA171" s="2"/>
      <c r="HB171" s="2"/>
      <c r="HC171" s="2"/>
      <c r="HD171" s="2"/>
      <c r="HE171" s="2"/>
      <c r="HF171" s="2"/>
      <c r="HG171" s="2"/>
      <c r="HH171" s="2"/>
      <c r="HI171" s="2"/>
      <c r="HJ171" s="2"/>
      <c r="HK171" s="2"/>
      <c r="HL171" s="2"/>
      <c r="HM171" s="2"/>
      <c r="HN171" s="2"/>
      <c r="HO171" s="2"/>
      <c r="HP171" s="2"/>
      <c r="HQ171" s="2"/>
      <c r="HR171" s="2"/>
      <c r="HS171" s="2"/>
      <c r="HT171" s="2"/>
      <c r="HU171" s="2"/>
      <c r="HV171" s="2"/>
      <c r="HW171" s="2"/>
      <c r="HX171" s="2"/>
      <c r="HY171" s="2"/>
      <c r="HZ171" s="2"/>
      <c r="IA171" s="2"/>
      <c r="IB171" s="2"/>
      <c r="IC171" s="2"/>
      <c r="ID171" s="2"/>
      <c r="IE171" s="2"/>
      <c r="IF171" s="2"/>
      <c r="IG171" s="2"/>
      <c r="IH171" s="2"/>
      <c r="II171" s="2"/>
      <c r="IJ171" s="2"/>
      <c r="IK171" s="2">
        <v>0</v>
      </c>
      <c r="IL171" s="2"/>
      <c r="IM171" s="2"/>
      <c r="IN171" s="2"/>
      <c r="IO171" s="2"/>
      <c r="IP171" s="2"/>
      <c r="IQ171" s="2"/>
      <c r="IR171" s="2"/>
      <c r="IS171" s="2"/>
      <c r="IT171" s="2"/>
      <c r="IU171" s="2"/>
    </row>
    <row r="172" spans="1:255">
      <c r="A172" s="2">
        <v>17</v>
      </c>
      <c r="B172" s="2">
        <v>1</v>
      </c>
      <c r="C172" s="2"/>
      <c r="D172" s="2">
        <f>ROW(EtalonRes!A193)</f>
        <v>193</v>
      </c>
      <c r="E172" s="2" t="s">
        <v>240</v>
      </c>
      <c r="F172" s="2" t="s">
        <v>215</v>
      </c>
      <c r="G172" s="2" t="s">
        <v>216</v>
      </c>
      <c r="H172" s="2" t="s">
        <v>217</v>
      </c>
      <c r="I172" s="2">
        <f>ROUND((300*2)/100,9)</f>
        <v>6</v>
      </c>
      <c r="J172" s="2">
        <v>0</v>
      </c>
      <c r="K172" s="2">
        <f>ROUND((300*2)/100,9)</f>
        <v>6</v>
      </c>
      <c r="L172" s="2"/>
      <c r="M172" s="2"/>
      <c r="N172" s="2"/>
      <c r="O172" s="2">
        <f t="shared" ref="O172:O179" si="160">ROUND(CP172,2)</f>
        <v>6674.37</v>
      </c>
      <c r="P172" s="2">
        <f t="shared" ref="P172:P179" si="161">ROUND((ROUND((AC172*AW172*I172),2)*BC172),2)</f>
        <v>1131</v>
      </c>
      <c r="Q172" s="2">
        <f t="shared" ref="Q172:Q179" si="162">(ROUND((ROUND(((ET172)*AV172*I172),2)*BB172),2)+ROUND((ROUND(((AE172-(EU172))*AV172*I172),2)*BS172),2))</f>
        <v>1416.72</v>
      </c>
      <c r="R172" s="2">
        <f t="shared" ref="R172:R179" si="163">ROUND((ROUND((AE172*AV172*I172),2)*BS172),2)</f>
        <v>141.16</v>
      </c>
      <c r="S172" s="2">
        <f t="shared" ref="S172:S179" si="164">ROUND((ROUND((AF172*AV172*I172),2)*BA172),2)</f>
        <v>4126.6499999999996</v>
      </c>
      <c r="T172" s="2">
        <f t="shared" ref="T172:T179" si="165">ROUND(CU172*I172,2)</f>
        <v>0</v>
      </c>
      <c r="U172" s="2">
        <f t="shared" ref="U172:U179" si="166">CV172*I172</f>
        <v>339.98183999999998</v>
      </c>
      <c r="V172" s="2">
        <f t="shared" ref="V172:V179" si="167">CW172*I172</f>
        <v>0</v>
      </c>
      <c r="W172" s="2">
        <f t="shared" ref="W172:W179" si="168">ROUND(CX172*I172,2)</f>
        <v>0</v>
      </c>
      <c r="X172" s="2">
        <f t="shared" ref="X172:Y179" si="169">ROUND(CY172,2)</f>
        <v>4621.8500000000004</v>
      </c>
      <c r="Y172" s="2">
        <f t="shared" si="169"/>
        <v>2888.66</v>
      </c>
      <c r="Z172" s="2"/>
      <c r="AA172" s="2">
        <v>70305038</v>
      </c>
      <c r="AB172" s="2">
        <f t="shared" ref="AB172:AB179" si="170">ROUND((AC172+AD172+AF172),6)</f>
        <v>1070.92</v>
      </c>
      <c r="AC172" s="2">
        <f t="shared" ref="AC172:AC179" si="171">ROUND((ES172),6)</f>
        <v>188.5</v>
      </c>
      <c r="AD172" s="2">
        <f t="shared" ref="AD172:AD179" si="172">ROUND((((ET172)-(EU172))+AE172),6)</f>
        <v>225.52</v>
      </c>
      <c r="AE172" s="2">
        <f t="shared" ref="AE172:AF179" si="173">ROUND((EU172),6)</f>
        <v>22.47</v>
      </c>
      <c r="AF172" s="2">
        <f t="shared" si="173"/>
        <v>656.9</v>
      </c>
      <c r="AG172" s="2">
        <f t="shared" ref="AG172:AG179" si="174">ROUND((AP172),6)</f>
        <v>0</v>
      </c>
      <c r="AH172" s="2">
        <f t="shared" ref="AH172:AI179" si="175">(EW172)</f>
        <v>54.12</v>
      </c>
      <c r="AI172" s="2">
        <f t="shared" si="175"/>
        <v>0</v>
      </c>
      <c r="AJ172" s="2">
        <f t="shared" ref="AJ172:AJ179" si="176">(AS172)</f>
        <v>0</v>
      </c>
      <c r="AK172" s="2">
        <v>1070.92</v>
      </c>
      <c r="AL172" s="2">
        <v>188.5</v>
      </c>
      <c r="AM172" s="2">
        <v>225.52</v>
      </c>
      <c r="AN172" s="2">
        <v>22.47</v>
      </c>
      <c r="AO172" s="2">
        <v>656.9</v>
      </c>
      <c r="AP172" s="2">
        <v>0</v>
      </c>
      <c r="AQ172" s="2">
        <v>54.12</v>
      </c>
      <c r="AR172" s="2">
        <v>0</v>
      </c>
      <c r="AS172" s="2">
        <v>0</v>
      </c>
      <c r="AT172" s="2">
        <v>112</v>
      </c>
      <c r="AU172" s="2">
        <v>70</v>
      </c>
      <c r="AV172" s="2">
        <v>1.0469999999999999</v>
      </c>
      <c r="AW172" s="2">
        <v>1</v>
      </c>
      <c r="AX172" s="2"/>
      <c r="AY172" s="2"/>
      <c r="AZ172" s="2">
        <v>1</v>
      </c>
      <c r="BA172" s="2">
        <v>1</v>
      </c>
      <c r="BB172" s="2">
        <v>1</v>
      </c>
      <c r="BC172" s="2">
        <v>1</v>
      </c>
      <c r="BD172" s="2" t="s">
        <v>4</v>
      </c>
      <c r="BE172" s="2" t="s">
        <v>4</v>
      </c>
      <c r="BF172" s="2" t="s">
        <v>4</v>
      </c>
      <c r="BG172" s="2" t="s">
        <v>4</v>
      </c>
      <c r="BH172" s="2">
        <v>0</v>
      </c>
      <c r="BI172" s="2">
        <v>2</v>
      </c>
      <c r="BJ172" s="2" t="s">
        <v>218</v>
      </c>
      <c r="BK172" s="2"/>
      <c r="BL172" s="2"/>
      <c r="BM172" s="2">
        <v>1726</v>
      </c>
      <c r="BN172" s="2">
        <v>0</v>
      </c>
      <c r="BO172" s="2" t="s">
        <v>4</v>
      </c>
      <c r="BP172" s="2">
        <v>0</v>
      </c>
      <c r="BQ172" s="2">
        <v>40</v>
      </c>
      <c r="BR172" s="2">
        <v>0</v>
      </c>
      <c r="BS172" s="2">
        <v>1</v>
      </c>
      <c r="BT172" s="2">
        <v>1</v>
      </c>
      <c r="BU172" s="2">
        <v>1</v>
      </c>
      <c r="BV172" s="2">
        <v>1</v>
      </c>
      <c r="BW172" s="2">
        <v>1</v>
      </c>
      <c r="BX172" s="2">
        <v>1</v>
      </c>
      <c r="BY172" s="2" t="s">
        <v>4</v>
      </c>
      <c r="BZ172" s="2">
        <v>112</v>
      </c>
      <c r="CA172" s="2">
        <v>70</v>
      </c>
      <c r="CB172" s="2" t="s">
        <v>4</v>
      </c>
      <c r="CC172" s="2"/>
      <c r="CD172" s="2"/>
      <c r="CE172" s="2">
        <v>30</v>
      </c>
      <c r="CF172" s="2">
        <v>0</v>
      </c>
      <c r="CG172" s="2">
        <v>0</v>
      </c>
      <c r="CH172" s="2"/>
      <c r="CI172" s="2"/>
      <c r="CJ172" s="2"/>
      <c r="CK172" s="2"/>
      <c r="CL172" s="2"/>
      <c r="CM172" s="2">
        <v>0</v>
      </c>
      <c r="CN172" s="2" t="s">
        <v>4</v>
      </c>
      <c r="CO172" s="2">
        <v>0</v>
      </c>
      <c r="CP172" s="2">
        <f t="shared" ref="CP172:CP179" si="177">(P172+Q172+S172)</f>
        <v>6674.37</v>
      </c>
      <c r="CQ172" s="2">
        <f t="shared" ref="CQ172:CQ179" si="178">ROUND((ROUND((AC172*AW172*1),2)*BC172),2)</f>
        <v>188.5</v>
      </c>
      <c r="CR172" s="2">
        <f t="shared" ref="CR172:CR179" si="179">(ROUND((ROUND(((ET172)*AV172*1),2)*BB172),2)+ROUND((ROUND(((AE172-(EU172))*AV172*1),2)*BS172),2))</f>
        <v>236.12</v>
      </c>
      <c r="CS172" s="2">
        <f t="shared" ref="CS172:CS179" si="180">ROUND((ROUND((AE172*AV172*1),2)*BS172),2)</f>
        <v>23.53</v>
      </c>
      <c r="CT172" s="2">
        <f t="shared" ref="CT172:CT179" si="181">ROUND((ROUND((AF172*AV172*1),2)*BA172),2)</f>
        <v>687.77</v>
      </c>
      <c r="CU172" s="2">
        <f t="shared" ref="CU172:CU179" si="182">AG172</f>
        <v>0</v>
      </c>
      <c r="CV172" s="2">
        <f t="shared" ref="CV172:CV179" si="183">(AH172*AV172)</f>
        <v>56.663639999999994</v>
      </c>
      <c r="CW172" s="2">
        <f t="shared" ref="CW172:CX179" si="184">AI172</f>
        <v>0</v>
      </c>
      <c r="CX172" s="2">
        <f t="shared" si="184"/>
        <v>0</v>
      </c>
      <c r="CY172" s="2">
        <f>((S172*BZ172)/100)</f>
        <v>4621.847999999999</v>
      </c>
      <c r="CZ172" s="2">
        <f>((S172*CA172)/100)</f>
        <v>2888.6550000000002</v>
      </c>
      <c r="DA172" s="2"/>
      <c r="DB172" s="2"/>
      <c r="DC172" s="2" t="s">
        <v>4</v>
      </c>
      <c r="DD172" s="2" t="s">
        <v>4</v>
      </c>
      <c r="DE172" s="2" t="s">
        <v>4</v>
      </c>
      <c r="DF172" s="2" t="s">
        <v>4</v>
      </c>
      <c r="DG172" s="2" t="s">
        <v>4</v>
      </c>
      <c r="DH172" s="2" t="s">
        <v>4</v>
      </c>
      <c r="DI172" s="2" t="s">
        <v>4</v>
      </c>
      <c r="DJ172" s="2" t="s">
        <v>4</v>
      </c>
      <c r="DK172" s="2" t="s">
        <v>4</v>
      </c>
      <c r="DL172" s="2" t="s">
        <v>4</v>
      </c>
      <c r="DM172" s="2" t="s">
        <v>4</v>
      </c>
      <c r="DN172" s="2">
        <v>0</v>
      </c>
      <c r="DO172" s="2">
        <v>0</v>
      </c>
      <c r="DP172" s="2">
        <v>1</v>
      </c>
      <c r="DQ172" s="2">
        <v>1</v>
      </c>
      <c r="DR172" s="2"/>
      <c r="DS172" s="2"/>
      <c r="DT172" s="2"/>
      <c r="DU172" s="2">
        <v>1003</v>
      </c>
      <c r="DV172" s="2" t="s">
        <v>217</v>
      </c>
      <c r="DW172" s="2" t="s">
        <v>217</v>
      </c>
      <c r="DX172" s="2">
        <v>100</v>
      </c>
      <c r="DY172" s="2"/>
      <c r="DZ172" s="2" t="s">
        <v>4</v>
      </c>
      <c r="EA172" s="2" t="s">
        <v>4</v>
      </c>
      <c r="EB172" s="2" t="s">
        <v>4</v>
      </c>
      <c r="EC172" s="2" t="s">
        <v>4</v>
      </c>
      <c r="ED172" s="2"/>
      <c r="EE172" s="2">
        <v>69254351</v>
      </c>
      <c r="EF172" s="2">
        <v>40</v>
      </c>
      <c r="EG172" s="2" t="s">
        <v>219</v>
      </c>
      <c r="EH172" s="2">
        <v>0</v>
      </c>
      <c r="EI172" s="2" t="s">
        <v>4</v>
      </c>
      <c r="EJ172" s="2">
        <v>2</v>
      </c>
      <c r="EK172" s="2">
        <v>1726</v>
      </c>
      <c r="EL172" s="2" t="s">
        <v>220</v>
      </c>
      <c r="EM172" s="2" t="s">
        <v>221</v>
      </c>
      <c r="EN172" s="2"/>
      <c r="EO172" s="2" t="s">
        <v>4</v>
      </c>
      <c r="EP172" s="2"/>
      <c r="EQ172" s="2">
        <v>131072</v>
      </c>
      <c r="ER172" s="2">
        <v>1070.92</v>
      </c>
      <c r="ES172" s="2">
        <v>188.5</v>
      </c>
      <c r="ET172" s="2">
        <v>225.52</v>
      </c>
      <c r="EU172" s="2">
        <v>22.47</v>
      </c>
      <c r="EV172" s="2">
        <v>656.9</v>
      </c>
      <c r="EW172" s="2">
        <v>54.12</v>
      </c>
      <c r="EX172" s="2">
        <v>0</v>
      </c>
      <c r="EY172" s="2">
        <v>0</v>
      </c>
      <c r="EZ172" s="2"/>
      <c r="FA172" s="2"/>
      <c r="FB172" s="2"/>
      <c r="FC172" s="2"/>
      <c r="FD172" s="2"/>
      <c r="FE172" s="2"/>
      <c r="FF172" s="2"/>
      <c r="FG172" s="2"/>
      <c r="FH172" s="2"/>
      <c r="FI172" s="2"/>
      <c r="FJ172" s="2"/>
      <c r="FK172" s="2"/>
      <c r="FL172" s="2"/>
      <c r="FM172" s="2"/>
      <c r="FN172" s="2"/>
      <c r="FO172" s="2"/>
      <c r="FP172" s="2"/>
      <c r="FQ172" s="2">
        <v>0</v>
      </c>
      <c r="FR172" s="2">
        <f t="shared" ref="FR172:FR179" si="185">ROUND(IF(BI172=3,GM172,0),2)</f>
        <v>0</v>
      </c>
      <c r="FS172" s="2">
        <v>0</v>
      </c>
      <c r="FT172" s="2"/>
      <c r="FU172" s="2"/>
      <c r="FV172" s="2"/>
      <c r="FW172" s="2"/>
      <c r="FX172" s="2">
        <v>112</v>
      </c>
      <c r="FY172" s="2">
        <v>70</v>
      </c>
      <c r="FZ172" s="2"/>
      <c r="GA172" s="2" t="s">
        <v>4</v>
      </c>
      <c r="GB172" s="2"/>
      <c r="GC172" s="2"/>
      <c r="GD172" s="2">
        <v>0</v>
      </c>
      <c r="GE172" s="2"/>
      <c r="GF172" s="2">
        <v>869171780</v>
      </c>
      <c r="GG172" s="2">
        <v>2</v>
      </c>
      <c r="GH172" s="2">
        <v>1</v>
      </c>
      <c r="GI172" s="2">
        <v>-2</v>
      </c>
      <c r="GJ172" s="2">
        <v>0</v>
      </c>
      <c r="GK172" s="2">
        <f>ROUND(R172*(R12)/100,2)</f>
        <v>247.03</v>
      </c>
      <c r="GL172" s="2">
        <f t="shared" ref="GL172:GL179" si="186">ROUND(IF(AND(BH172=3,BI172=3,FS172&lt;&gt;0),P172,0),2)</f>
        <v>0</v>
      </c>
      <c r="GM172" s="2">
        <f t="shared" ref="GM172:GM179" si="187">ROUND(O172+X172+Y172+GK172,2)+GX172</f>
        <v>14431.91</v>
      </c>
      <c r="GN172" s="2">
        <f t="shared" ref="GN172:GN179" si="188">IF(OR(BI172=0,BI172=1),GM172-GX172,0)</f>
        <v>0</v>
      </c>
      <c r="GO172" s="2">
        <f t="shared" ref="GO172:GO179" si="189">IF(BI172=2,GM172-GX172,0)</f>
        <v>14431.91</v>
      </c>
      <c r="GP172" s="2">
        <f t="shared" ref="GP172:GP179" si="190">IF(BI172=4,GM172-GX172,0)</f>
        <v>0</v>
      </c>
      <c r="GQ172" s="2"/>
      <c r="GR172" s="2">
        <v>0</v>
      </c>
      <c r="GS172" s="2">
        <v>0</v>
      </c>
      <c r="GT172" s="2">
        <v>0</v>
      </c>
      <c r="GU172" s="2" t="s">
        <v>4</v>
      </c>
      <c r="GV172" s="2">
        <f t="shared" ref="GV172:GV179" si="191">ROUND((GT172),6)</f>
        <v>0</v>
      </c>
      <c r="GW172" s="2">
        <v>1</v>
      </c>
      <c r="GX172" s="2">
        <f t="shared" ref="GX172:GX179" si="192">ROUND(HC172*I172,2)</f>
        <v>0</v>
      </c>
      <c r="GY172" s="2"/>
      <c r="GZ172" s="2"/>
      <c r="HA172" s="2">
        <v>0</v>
      </c>
      <c r="HB172" s="2">
        <v>0</v>
      </c>
      <c r="HC172" s="2">
        <f t="shared" ref="HC172:HC179" si="193">GV172*GW172</f>
        <v>0</v>
      </c>
      <c r="HD172" s="2"/>
      <c r="HE172" s="2" t="s">
        <v>4</v>
      </c>
      <c r="HF172" s="2" t="s">
        <v>4</v>
      </c>
      <c r="HG172" s="2"/>
      <c r="HH172" s="2"/>
      <c r="HI172" s="2"/>
      <c r="HJ172" s="2"/>
      <c r="HK172" s="2"/>
      <c r="HL172" s="2"/>
      <c r="HM172" s="2" t="s">
        <v>4</v>
      </c>
      <c r="HN172" s="2" t="s">
        <v>4</v>
      </c>
      <c r="HO172" s="2" t="s">
        <v>4</v>
      </c>
      <c r="HP172" s="2" t="s">
        <v>4</v>
      </c>
      <c r="HQ172" s="2" t="s">
        <v>4</v>
      </c>
      <c r="HR172" s="2"/>
      <c r="HS172" s="2"/>
      <c r="HT172" s="2"/>
      <c r="HU172" s="2"/>
      <c r="HV172" s="2"/>
      <c r="HW172" s="2"/>
      <c r="HX172" s="2"/>
      <c r="HY172" s="2"/>
      <c r="HZ172" s="2"/>
      <c r="IA172" s="2"/>
      <c r="IB172" s="2"/>
      <c r="IC172" s="2"/>
      <c r="ID172" s="2"/>
      <c r="IE172" s="2"/>
      <c r="IF172" s="2"/>
      <c r="IG172" s="2"/>
      <c r="IH172" s="2"/>
      <c r="II172" s="2"/>
      <c r="IJ172" s="2"/>
      <c r="IK172" s="2">
        <v>0</v>
      </c>
      <c r="IL172" s="2"/>
      <c r="IM172" s="2"/>
      <c r="IN172" s="2"/>
      <c r="IO172" s="2"/>
      <c r="IP172" s="2"/>
      <c r="IQ172" s="2"/>
      <c r="IR172" s="2"/>
      <c r="IS172" s="2"/>
      <c r="IT172" s="2"/>
      <c r="IU172" s="2"/>
    </row>
    <row r="173" spans="1:255">
      <c r="A173">
        <v>17</v>
      </c>
      <c r="B173">
        <v>1</v>
      </c>
      <c r="D173">
        <f>ROW(EtalonRes!A208)</f>
        <v>208</v>
      </c>
      <c r="E173" t="s">
        <v>240</v>
      </c>
      <c r="F173" t="s">
        <v>215</v>
      </c>
      <c r="G173" t="s">
        <v>216</v>
      </c>
      <c r="H173" t="s">
        <v>217</v>
      </c>
      <c r="I173">
        <f>ROUND((300*2)/100,9)</f>
        <v>6</v>
      </c>
      <c r="J173">
        <v>0</v>
      </c>
      <c r="K173">
        <f>ROUND((300*2)/100,9)</f>
        <v>6</v>
      </c>
      <c r="O173">
        <f t="shared" si="160"/>
        <v>218150.92</v>
      </c>
      <c r="P173">
        <f t="shared" si="161"/>
        <v>6887.79</v>
      </c>
      <c r="Q173">
        <f t="shared" si="162"/>
        <v>18672.37</v>
      </c>
      <c r="R173">
        <f t="shared" si="163"/>
        <v>6587.94</v>
      </c>
      <c r="S173">
        <f t="shared" si="164"/>
        <v>192590.76</v>
      </c>
      <c r="T173">
        <f t="shared" si="165"/>
        <v>0</v>
      </c>
      <c r="U173">
        <f t="shared" si="166"/>
        <v>339.98183999999998</v>
      </c>
      <c r="V173">
        <f t="shared" si="167"/>
        <v>0</v>
      </c>
      <c r="W173">
        <f t="shared" si="168"/>
        <v>0</v>
      </c>
      <c r="X173">
        <f t="shared" si="169"/>
        <v>177183.5</v>
      </c>
      <c r="Y173">
        <f t="shared" si="169"/>
        <v>82814.03</v>
      </c>
      <c r="AA173">
        <v>70305036</v>
      </c>
      <c r="AB173">
        <f t="shared" si="170"/>
        <v>1070.92</v>
      </c>
      <c r="AC173">
        <f t="shared" si="171"/>
        <v>188.5</v>
      </c>
      <c r="AD173">
        <f t="shared" si="172"/>
        <v>225.52</v>
      </c>
      <c r="AE173">
        <f t="shared" si="173"/>
        <v>22.47</v>
      </c>
      <c r="AF173">
        <f t="shared" si="173"/>
        <v>656.9</v>
      </c>
      <c r="AG173">
        <f t="shared" si="174"/>
        <v>0</v>
      </c>
      <c r="AH173">
        <f t="shared" si="175"/>
        <v>54.12</v>
      </c>
      <c r="AI173">
        <f t="shared" si="175"/>
        <v>0</v>
      </c>
      <c r="AJ173">
        <f t="shared" si="176"/>
        <v>0</v>
      </c>
      <c r="AK173">
        <v>1070.92</v>
      </c>
      <c r="AL173">
        <v>188.5</v>
      </c>
      <c r="AM173">
        <v>225.52</v>
      </c>
      <c r="AN173">
        <v>22.47</v>
      </c>
      <c r="AO173">
        <v>656.9</v>
      </c>
      <c r="AP173">
        <v>0</v>
      </c>
      <c r="AQ173">
        <v>54.12</v>
      </c>
      <c r="AR173">
        <v>0</v>
      </c>
      <c r="AS173">
        <v>0</v>
      </c>
      <c r="AT173">
        <v>92</v>
      </c>
      <c r="AU173">
        <v>43</v>
      </c>
      <c r="AV173">
        <v>1.0469999999999999</v>
      </c>
      <c r="AW173">
        <v>1</v>
      </c>
      <c r="AZ173">
        <v>1</v>
      </c>
      <c r="BA173">
        <v>46.67</v>
      </c>
      <c r="BB173">
        <v>13.18</v>
      </c>
      <c r="BC173">
        <v>6.09</v>
      </c>
      <c r="BD173" t="s">
        <v>4</v>
      </c>
      <c r="BE173" t="s">
        <v>4</v>
      </c>
      <c r="BF173" t="s">
        <v>4</v>
      </c>
      <c r="BG173" t="s">
        <v>4</v>
      </c>
      <c r="BH173">
        <v>0</v>
      </c>
      <c r="BI173">
        <v>2</v>
      </c>
      <c r="BJ173" t="s">
        <v>218</v>
      </c>
      <c r="BM173">
        <v>1726</v>
      </c>
      <c r="BN173">
        <v>0</v>
      </c>
      <c r="BO173" t="s">
        <v>215</v>
      </c>
      <c r="BP173">
        <v>1</v>
      </c>
      <c r="BQ173">
        <v>40</v>
      </c>
      <c r="BR173">
        <v>0</v>
      </c>
      <c r="BS173">
        <v>46.67</v>
      </c>
      <c r="BT173">
        <v>1</v>
      </c>
      <c r="BU173">
        <v>1</v>
      </c>
      <c r="BV173">
        <v>1</v>
      </c>
      <c r="BW173">
        <v>1</v>
      </c>
      <c r="BX173">
        <v>1</v>
      </c>
      <c r="BY173" t="s">
        <v>4</v>
      </c>
      <c r="BZ173">
        <v>92</v>
      </c>
      <c r="CA173">
        <v>43</v>
      </c>
      <c r="CB173" t="s">
        <v>4</v>
      </c>
      <c r="CE173">
        <v>30</v>
      </c>
      <c r="CF173">
        <v>0</v>
      </c>
      <c r="CG173">
        <v>0</v>
      </c>
      <c r="CM173">
        <v>0</v>
      </c>
      <c r="CN173" t="s">
        <v>4</v>
      </c>
      <c r="CO173">
        <v>0</v>
      </c>
      <c r="CP173">
        <f t="shared" si="177"/>
        <v>218150.92</v>
      </c>
      <c r="CQ173">
        <f t="shared" si="178"/>
        <v>1147.97</v>
      </c>
      <c r="CR173">
        <f t="shared" si="179"/>
        <v>3112.06</v>
      </c>
      <c r="CS173">
        <f t="shared" si="180"/>
        <v>1098.1500000000001</v>
      </c>
      <c r="CT173">
        <f t="shared" si="181"/>
        <v>32098.23</v>
      </c>
      <c r="CU173">
        <f t="shared" si="182"/>
        <v>0</v>
      </c>
      <c r="CV173">
        <f t="shared" si="183"/>
        <v>56.663639999999994</v>
      </c>
      <c r="CW173">
        <f t="shared" si="184"/>
        <v>0</v>
      </c>
      <c r="CX173">
        <f t="shared" si="184"/>
        <v>0</v>
      </c>
      <c r="CY173">
        <f>S173*(BZ173/100)</f>
        <v>177183.49920000002</v>
      </c>
      <c r="CZ173">
        <f>S173*(CA173/100)</f>
        <v>82814.026800000007</v>
      </c>
      <c r="DC173" t="s">
        <v>4</v>
      </c>
      <c r="DD173" t="s">
        <v>4</v>
      </c>
      <c r="DE173" t="s">
        <v>4</v>
      </c>
      <c r="DF173" t="s">
        <v>4</v>
      </c>
      <c r="DG173" t="s">
        <v>4</v>
      </c>
      <c r="DH173" t="s">
        <v>4</v>
      </c>
      <c r="DI173" t="s">
        <v>4</v>
      </c>
      <c r="DJ173" t="s">
        <v>4</v>
      </c>
      <c r="DK173" t="s">
        <v>4</v>
      </c>
      <c r="DL173" t="s">
        <v>4</v>
      </c>
      <c r="DM173" t="s">
        <v>4</v>
      </c>
      <c r="DN173">
        <v>112</v>
      </c>
      <c r="DO173">
        <v>70</v>
      </c>
      <c r="DP173">
        <v>1.0469999999999999</v>
      </c>
      <c r="DQ173">
        <v>1</v>
      </c>
      <c r="DU173">
        <v>1003</v>
      </c>
      <c r="DV173" t="s">
        <v>217</v>
      </c>
      <c r="DW173" t="s">
        <v>217</v>
      </c>
      <c r="DX173">
        <v>100</v>
      </c>
      <c r="DZ173" t="s">
        <v>4</v>
      </c>
      <c r="EA173" t="s">
        <v>4</v>
      </c>
      <c r="EB173" t="s">
        <v>4</v>
      </c>
      <c r="EC173" t="s">
        <v>4</v>
      </c>
      <c r="EE173">
        <v>69254351</v>
      </c>
      <c r="EF173">
        <v>40</v>
      </c>
      <c r="EG173" t="s">
        <v>219</v>
      </c>
      <c r="EH173">
        <v>0</v>
      </c>
      <c r="EI173" t="s">
        <v>4</v>
      </c>
      <c r="EJ173">
        <v>2</v>
      </c>
      <c r="EK173">
        <v>1726</v>
      </c>
      <c r="EL173" t="s">
        <v>220</v>
      </c>
      <c r="EM173" t="s">
        <v>221</v>
      </c>
      <c r="EO173" t="s">
        <v>4</v>
      </c>
      <c r="EQ173">
        <v>131072</v>
      </c>
      <c r="ER173">
        <v>1070.92</v>
      </c>
      <c r="ES173">
        <v>188.5</v>
      </c>
      <c r="ET173">
        <v>225.52</v>
      </c>
      <c r="EU173">
        <v>22.47</v>
      </c>
      <c r="EV173">
        <v>656.9</v>
      </c>
      <c r="EW173">
        <v>54.12</v>
      </c>
      <c r="EX173">
        <v>0</v>
      </c>
      <c r="EY173">
        <v>0</v>
      </c>
      <c r="FQ173">
        <v>0</v>
      </c>
      <c r="FR173">
        <f t="shared" si="185"/>
        <v>0</v>
      </c>
      <c r="FS173">
        <v>0</v>
      </c>
      <c r="FX173">
        <v>112</v>
      </c>
      <c r="FY173">
        <v>70</v>
      </c>
      <c r="GA173" t="s">
        <v>4</v>
      </c>
      <c r="GD173">
        <v>0</v>
      </c>
      <c r="GF173">
        <v>869171780</v>
      </c>
      <c r="GG173">
        <v>2</v>
      </c>
      <c r="GH173">
        <v>1</v>
      </c>
      <c r="GI173">
        <v>2</v>
      </c>
      <c r="GJ173">
        <v>0</v>
      </c>
      <c r="GK173">
        <f>ROUND(R173*(S12)/100,2)</f>
        <v>10540.7</v>
      </c>
      <c r="GL173">
        <f t="shared" si="186"/>
        <v>0</v>
      </c>
      <c r="GM173">
        <f t="shared" si="187"/>
        <v>488689.15</v>
      </c>
      <c r="GN173">
        <f t="shared" si="188"/>
        <v>0</v>
      </c>
      <c r="GO173">
        <f t="shared" si="189"/>
        <v>488689.15</v>
      </c>
      <c r="GP173">
        <f t="shared" si="190"/>
        <v>0</v>
      </c>
      <c r="GR173">
        <v>0</v>
      </c>
      <c r="GS173">
        <v>3</v>
      </c>
      <c r="GT173">
        <v>0</v>
      </c>
      <c r="GU173" t="s">
        <v>4</v>
      </c>
      <c r="GV173">
        <f t="shared" si="191"/>
        <v>0</v>
      </c>
      <c r="GW173">
        <v>1</v>
      </c>
      <c r="GX173">
        <f t="shared" si="192"/>
        <v>0</v>
      </c>
      <c r="HA173">
        <v>0</v>
      </c>
      <c r="HB173">
        <v>0</v>
      </c>
      <c r="HC173">
        <f t="shared" si="193"/>
        <v>0</v>
      </c>
      <c r="HE173" t="s">
        <v>4</v>
      </c>
      <c r="HF173" t="s">
        <v>4</v>
      </c>
      <c r="HM173" t="s">
        <v>4</v>
      </c>
      <c r="HN173" t="s">
        <v>4</v>
      </c>
      <c r="HO173" t="s">
        <v>4</v>
      </c>
      <c r="HP173" t="s">
        <v>4</v>
      </c>
      <c r="HQ173" t="s">
        <v>4</v>
      </c>
      <c r="IK173">
        <v>0</v>
      </c>
    </row>
    <row r="174" spans="1:255">
      <c r="A174" s="2">
        <v>17</v>
      </c>
      <c r="B174" s="2">
        <v>1</v>
      </c>
      <c r="C174" s="2"/>
      <c r="D174" s="2"/>
      <c r="E174" s="2" t="s">
        <v>241</v>
      </c>
      <c r="F174" s="2" t="s">
        <v>223</v>
      </c>
      <c r="G174" s="2" t="s">
        <v>224</v>
      </c>
      <c r="H174" s="2" t="s">
        <v>209</v>
      </c>
      <c r="I174" s="2">
        <f>ROUND(I172*3*1.02/10,9)</f>
        <v>1.8360000000000001</v>
      </c>
      <c r="J174" s="2">
        <v>0</v>
      </c>
      <c r="K174" s="2">
        <f>ROUND(I172*3*1.02/10,9)</f>
        <v>1.8360000000000001</v>
      </c>
      <c r="L174" s="2"/>
      <c r="M174" s="2"/>
      <c r="N174" s="2"/>
      <c r="O174" s="2">
        <f t="shared" si="160"/>
        <v>200537.61</v>
      </c>
      <c r="P174" s="2">
        <f t="shared" si="161"/>
        <v>200537.61</v>
      </c>
      <c r="Q174" s="2">
        <f t="shared" si="162"/>
        <v>0</v>
      </c>
      <c r="R174" s="2">
        <f t="shared" si="163"/>
        <v>0</v>
      </c>
      <c r="S174" s="2">
        <f t="shared" si="164"/>
        <v>0</v>
      </c>
      <c r="T174" s="2">
        <f t="shared" si="165"/>
        <v>0</v>
      </c>
      <c r="U174" s="2">
        <f t="shared" si="166"/>
        <v>0</v>
      </c>
      <c r="V174" s="2">
        <f t="shared" si="167"/>
        <v>0</v>
      </c>
      <c r="W174" s="2">
        <f t="shared" si="168"/>
        <v>0</v>
      </c>
      <c r="X174" s="2">
        <f t="shared" si="169"/>
        <v>0</v>
      </c>
      <c r="Y174" s="2">
        <f t="shared" si="169"/>
        <v>0</v>
      </c>
      <c r="Z174" s="2"/>
      <c r="AA174" s="2">
        <v>70305038</v>
      </c>
      <c r="AB174" s="2">
        <f t="shared" si="170"/>
        <v>109225.28</v>
      </c>
      <c r="AC174" s="2">
        <f t="shared" si="171"/>
        <v>109225.28</v>
      </c>
      <c r="AD174" s="2">
        <f t="shared" si="172"/>
        <v>0</v>
      </c>
      <c r="AE174" s="2">
        <f t="shared" si="173"/>
        <v>0</v>
      </c>
      <c r="AF174" s="2">
        <f t="shared" si="173"/>
        <v>0</v>
      </c>
      <c r="AG174" s="2">
        <f t="shared" si="174"/>
        <v>0</v>
      </c>
      <c r="AH174" s="2">
        <f t="shared" si="175"/>
        <v>0</v>
      </c>
      <c r="AI174" s="2">
        <f t="shared" si="175"/>
        <v>0</v>
      </c>
      <c r="AJ174" s="2">
        <f t="shared" si="176"/>
        <v>0</v>
      </c>
      <c r="AK174" s="2">
        <v>109225.28</v>
      </c>
      <c r="AL174" s="2">
        <v>109225.28</v>
      </c>
      <c r="AM174" s="2">
        <v>0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1</v>
      </c>
      <c r="AW174" s="2">
        <v>1</v>
      </c>
      <c r="AX174" s="2"/>
      <c r="AY174" s="2"/>
      <c r="AZ174" s="2">
        <v>1</v>
      </c>
      <c r="BA174" s="2">
        <v>1</v>
      </c>
      <c r="BB174" s="2">
        <v>1</v>
      </c>
      <c r="BC174" s="2">
        <v>1</v>
      </c>
      <c r="BD174" s="2" t="s">
        <v>4</v>
      </c>
      <c r="BE174" s="2" t="s">
        <v>4</v>
      </c>
      <c r="BF174" s="2" t="s">
        <v>4</v>
      </c>
      <c r="BG174" s="2" t="s">
        <v>4</v>
      </c>
      <c r="BH174" s="2">
        <v>3</v>
      </c>
      <c r="BI174" s="2">
        <v>2</v>
      </c>
      <c r="BJ174" s="2" t="s">
        <v>225</v>
      </c>
      <c r="BK174" s="2"/>
      <c r="BL174" s="2"/>
      <c r="BM174" s="2">
        <v>1618</v>
      </c>
      <c r="BN174" s="2">
        <v>0</v>
      </c>
      <c r="BO174" s="2" t="s">
        <v>4</v>
      </c>
      <c r="BP174" s="2">
        <v>0</v>
      </c>
      <c r="BQ174" s="2">
        <v>201</v>
      </c>
      <c r="BR174" s="2">
        <v>0</v>
      </c>
      <c r="BS174" s="2">
        <v>1</v>
      </c>
      <c r="BT174" s="2">
        <v>1</v>
      </c>
      <c r="BU174" s="2">
        <v>1</v>
      </c>
      <c r="BV174" s="2">
        <v>1</v>
      </c>
      <c r="BW174" s="2">
        <v>1</v>
      </c>
      <c r="BX174" s="2">
        <v>1</v>
      </c>
      <c r="BY174" s="2" t="s">
        <v>4</v>
      </c>
      <c r="BZ174" s="2">
        <v>0</v>
      </c>
      <c r="CA174" s="2">
        <v>0</v>
      </c>
      <c r="CB174" s="2" t="s">
        <v>4</v>
      </c>
      <c r="CC174" s="2"/>
      <c r="CD174" s="2"/>
      <c r="CE174" s="2">
        <v>30</v>
      </c>
      <c r="CF174" s="2">
        <v>0</v>
      </c>
      <c r="CG174" s="2">
        <v>0</v>
      </c>
      <c r="CH174" s="2"/>
      <c r="CI174" s="2"/>
      <c r="CJ174" s="2"/>
      <c r="CK174" s="2"/>
      <c r="CL174" s="2"/>
      <c r="CM174" s="2">
        <v>0</v>
      </c>
      <c r="CN174" s="2" t="s">
        <v>4</v>
      </c>
      <c r="CO174" s="2">
        <v>0</v>
      </c>
      <c r="CP174" s="2">
        <f t="shared" si="177"/>
        <v>200537.61</v>
      </c>
      <c r="CQ174" s="2">
        <f t="shared" si="178"/>
        <v>109225.28</v>
      </c>
      <c r="CR174" s="2">
        <f t="shared" si="179"/>
        <v>0</v>
      </c>
      <c r="CS174" s="2">
        <f t="shared" si="180"/>
        <v>0</v>
      </c>
      <c r="CT174" s="2">
        <f t="shared" si="181"/>
        <v>0</v>
      </c>
      <c r="CU174" s="2">
        <f t="shared" si="182"/>
        <v>0</v>
      </c>
      <c r="CV174" s="2">
        <f t="shared" si="183"/>
        <v>0</v>
      </c>
      <c r="CW174" s="2">
        <f t="shared" si="184"/>
        <v>0</v>
      </c>
      <c r="CX174" s="2">
        <f t="shared" si="184"/>
        <v>0</v>
      </c>
      <c r="CY174" s="2">
        <f>((S174*BZ174)/100)</f>
        <v>0</v>
      </c>
      <c r="CZ174" s="2">
        <f>((S174*CA174)/100)</f>
        <v>0</v>
      </c>
      <c r="DA174" s="2"/>
      <c r="DB174" s="2"/>
      <c r="DC174" s="2" t="s">
        <v>4</v>
      </c>
      <c r="DD174" s="2" t="s">
        <v>4</v>
      </c>
      <c r="DE174" s="2" t="s">
        <v>4</v>
      </c>
      <c r="DF174" s="2" t="s">
        <v>4</v>
      </c>
      <c r="DG174" s="2" t="s">
        <v>4</v>
      </c>
      <c r="DH174" s="2" t="s">
        <v>4</v>
      </c>
      <c r="DI174" s="2" t="s">
        <v>4</v>
      </c>
      <c r="DJ174" s="2" t="s">
        <v>4</v>
      </c>
      <c r="DK174" s="2" t="s">
        <v>4</v>
      </c>
      <c r="DL174" s="2" t="s">
        <v>4</v>
      </c>
      <c r="DM174" s="2" t="s">
        <v>4</v>
      </c>
      <c r="DN174" s="2">
        <v>0</v>
      </c>
      <c r="DO174" s="2">
        <v>0</v>
      </c>
      <c r="DP174" s="2">
        <v>1</v>
      </c>
      <c r="DQ174" s="2">
        <v>1</v>
      </c>
      <c r="DR174" s="2"/>
      <c r="DS174" s="2"/>
      <c r="DT174" s="2"/>
      <c r="DU174" s="2">
        <v>1003</v>
      </c>
      <c r="DV174" s="2" t="s">
        <v>209</v>
      </c>
      <c r="DW174" s="2" t="s">
        <v>209</v>
      </c>
      <c r="DX174" s="2">
        <v>1000</v>
      </c>
      <c r="DY174" s="2"/>
      <c r="DZ174" s="2" t="s">
        <v>4</v>
      </c>
      <c r="EA174" s="2" t="s">
        <v>4</v>
      </c>
      <c r="EB174" s="2" t="s">
        <v>4</v>
      </c>
      <c r="EC174" s="2" t="s">
        <v>4</v>
      </c>
      <c r="ED174" s="2"/>
      <c r="EE174" s="2">
        <v>69254243</v>
      </c>
      <c r="EF174" s="2">
        <v>201</v>
      </c>
      <c r="EG174" s="2" t="s">
        <v>226</v>
      </c>
      <c r="EH174" s="2">
        <v>0</v>
      </c>
      <c r="EI174" s="2" t="s">
        <v>4</v>
      </c>
      <c r="EJ174" s="2">
        <v>2</v>
      </c>
      <c r="EK174" s="2">
        <v>1618</v>
      </c>
      <c r="EL174" s="2" t="s">
        <v>227</v>
      </c>
      <c r="EM174" s="2" t="s">
        <v>228</v>
      </c>
      <c r="EN174" s="2"/>
      <c r="EO174" s="2" t="s">
        <v>4</v>
      </c>
      <c r="EP174" s="2"/>
      <c r="EQ174" s="2">
        <v>0</v>
      </c>
      <c r="ER174" s="2">
        <v>109225.28</v>
      </c>
      <c r="ES174" s="2">
        <v>109225.28</v>
      </c>
      <c r="ET174" s="2">
        <v>0</v>
      </c>
      <c r="EU174" s="2">
        <v>0</v>
      </c>
      <c r="EV174" s="2">
        <v>0</v>
      </c>
      <c r="EW174" s="2">
        <v>0</v>
      </c>
      <c r="EX174" s="2">
        <v>0</v>
      </c>
      <c r="EY174" s="2">
        <v>0</v>
      </c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>
        <v>0</v>
      </c>
      <c r="FR174" s="2">
        <f t="shared" si="185"/>
        <v>0</v>
      </c>
      <c r="FS174" s="2">
        <v>0</v>
      </c>
      <c r="FT174" s="2"/>
      <c r="FU174" s="2"/>
      <c r="FV174" s="2"/>
      <c r="FW174" s="2"/>
      <c r="FX174" s="2">
        <v>0</v>
      </c>
      <c r="FY174" s="2">
        <v>0</v>
      </c>
      <c r="FZ174" s="2"/>
      <c r="GA174" s="2" t="s">
        <v>4</v>
      </c>
      <c r="GB174" s="2"/>
      <c r="GC174" s="2"/>
      <c r="GD174" s="2">
        <v>0</v>
      </c>
      <c r="GE174" s="2"/>
      <c r="GF174" s="2">
        <v>241870239</v>
      </c>
      <c r="GG174" s="2">
        <v>2</v>
      </c>
      <c r="GH174" s="2">
        <v>1</v>
      </c>
      <c r="GI174" s="2">
        <v>-2</v>
      </c>
      <c r="GJ174" s="2">
        <v>0</v>
      </c>
      <c r="GK174" s="2">
        <f>ROUND(R174*(R12)/100,2)</f>
        <v>0</v>
      </c>
      <c r="GL174" s="2">
        <f t="shared" si="186"/>
        <v>0</v>
      </c>
      <c r="GM174" s="2">
        <f t="shared" si="187"/>
        <v>200537.61</v>
      </c>
      <c r="GN174" s="2">
        <f t="shared" si="188"/>
        <v>0</v>
      </c>
      <c r="GO174" s="2">
        <f t="shared" si="189"/>
        <v>200537.61</v>
      </c>
      <c r="GP174" s="2">
        <f t="shared" si="190"/>
        <v>0</v>
      </c>
      <c r="GQ174" s="2"/>
      <c r="GR174" s="2">
        <v>0</v>
      </c>
      <c r="GS174" s="2">
        <v>3</v>
      </c>
      <c r="GT174" s="2">
        <v>0</v>
      </c>
      <c r="GU174" s="2" t="s">
        <v>4</v>
      </c>
      <c r="GV174" s="2">
        <f t="shared" si="191"/>
        <v>0</v>
      </c>
      <c r="GW174" s="2">
        <v>1</v>
      </c>
      <c r="GX174" s="2">
        <f t="shared" si="192"/>
        <v>0</v>
      </c>
      <c r="GY174" s="2"/>
      <c r="GZ174" s="2"/>
      <c r="HA174" s="2">
        <v>0</v>
      </c>
      <c r="HB174" s="2">
        <v>0</v>
      </c>
      <c r="HC174" s="2">
        <f t="shared" si="193"/>
        <v>0</v>
      </c>
      <c r="HD174" s="2"/>
      <c r="HE174" s="2" t="s">
        <v>4</v>
      </c>
      <c r="HF174" s="2" t="s">
        <v>4</v>
      </c>
      <c r="HG174" s="2"/>
      <c r="HH174" s="2"/>
      <c r="HI174" s="2"/>
      <c r="HJ174" s="2"/>
      <c r="HK174" s="2"/>
      <c r="HL174" s="2"/>
      <c r="HM174" s="2" t="s">
        <v>4</v>
      </c>
      <c r="HN174" s="2" t="s">
        <v>4</v>
      </c>
      <c r="HO174" s="2" t="s">
        <v>4</v>
      </c>
      <c r="HP174" s="2" t="s">
        <v>4</v>
      </c>
      <c r="HQ174" s="2" t="s">
        <v>4</v>
      </c>
      <c r="HR174" s="2"/>
      <c r="HS174" s="2"/>
      <c r="HT174" s="2"/>
      <c r="HU174" s="2"/>
      <c r="HV174" s="2"/>
      <c r="HW174" s="2"/>
      <c r="HX174" s="2"/>
      <c r="HY174" s="2"/>
      <c r="HZ174" s="2"/>
      <c r="IA174" s="2"/>
      <c r="IB174" s="2"/>
      <c r="IC174" s="2"/>
      <c r="ID174" s="2"/>
      <c r="IE174" s="2"/>
      <c r="IF174" s="2"/>
      <c r="IG174" s="2"/>
      <c r="IH174" s="2"/>
      <c r="II174" s="2"/>
      <c r="IJ174" s="2"/>
      <c r="IK174" s="2">
        <v>0</v>
      </c>
      <c r="IL174" s="2"/>
      <c r="IM174" s="2"/>
      <c r="IN174" s="2"/>
      <c r="IO174" s="2"/>
      <c r="IP174" s="2"/>
      <c r="IQ174" s="2"/>
      <c r="IR174" s="2"/>
      <c r="IS174" s="2"/>
      <c r="IT174" s="2"/>
      <c r="IU174" s="2"/>
    </row>
    <row r="175" spans="1:255">
      <c r="A175">
        <v>17</v>
      </c>
      <c r="B175">
        <v>1</v>
      </c>
      <c r="E175" t="s">
        <v>241</v>
      </c>
      <c r="F175" t="s">
        <v>223</v>
      </c>
      <c r="G175" t="s">
        <v>224</v>
      </c>
      <c r="H175" t="s">
        <v>209</v>
      </c>
      <c r="I175">
        <f>ROUND(I173*3*1.02/10,9)</f>
        <v>1.8360000000000001</v>
      </c>
      <c r="J175">
        <v>0</v>
      </c>
      <c r="K175">
        <f>ROUND(I173*3*1.02/10,9)</f>
        <v>1.8360000000000001</v>
      </c>
      <c r="O175">
        <f t="shared" si="160"/>
        <v>1740666.45</v>
      </c>
      <c r="P175">
        <f t="shared" si="161"/>
        <v>1740666.45</v>
      </c>
      <c r="Q175">
        <f t="shared" si="162"/>
        <v>0</v>
      </c>
      <c r="R175">
        <f t="shared" si="163"/>
        <v>0</v>
      </c>
      <c r="S175">
        <f t="shared" si="164"/>
        <v>0</v>
      </c>
      <c r="T175">
        <f t="shared" si="165"/>
        <v>0</v>
      </c>
      <c r="U175">
        <f t="shared" si="166"/>
        <v>0</v>
      </c>
      <c r="V175">
        <f t="shared" si="167"/>
        <v>0</v>
      </c>
      <c r="W175">
        <f t="shared" si="168"/>
        <v>0</v>
      </c>
      <c r="X175">
        <f t="shared" si="169"/>
        <v>0</v>
      </c>
      <c r="Y175">
        <f t="shared" si="169"/>
        <v>0</v>
      </c>
      <c r="AA175">
        <v>70305036</v>
      </c>
      <c r="AB175">
        <f t="shared" si="170"/>
        <v>109225.28</v>
      </c>
      <c r="AC175">
        <f t="shared" si="171"/>
        <v>109225.28</v>
      </c>
      <c r="AD175">
        <f t="shared" si="172"/>
        <v>0</v>
      </c>
      <c r="AE175">
        <f t="shared" si="173"/>
        <v>0</v>
      </c>
      <c r="AF175">
        <f t="shared" si="173"/>
        <v>0</v>
      </c>
      <c r="AG175">
        <f t="shared" si="174"/>
        <v>0</v>
      </c>
      <c r="AH175">
        <f t="shared" si="175"/>
        <v>0</v>
      </c>
      <c r="AI175">
        <f t="shared" si="175"/>
        <v>0</v>
      </c>
      <c r="AJ175">
        <f t="shared" si="176"/>
        <v>0</v>
      </c>
      <c r="AK175">
        <v>109225.28</v>
      </c>
      <c r="AL175">
        <v>109225.28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1</v>
      </c>
      <c r="AW175">
        <v>1</v>
      </c>
      <c r="AZ175">
        <v>1</v>
      </c>
      <c r="BA175">
        <v>1</v>
      </c>
      <c r="BB175">
        <v>1</v>
      </c>
      <c r="BC175">
        <v>8.68</v>
      </c>
      <c r="BD175" t="s">
        <v>4</v>
      </c>
      <c r="BE175" t="s">
        <v>4</v>
      </c>
      <c r="BF175" t="s">
        <v>4</v>
      </c>
      <c r="BG175" t="s">
        <v>4</v>
      </c>
      <c r="BH175">
        <v>3</v>
      </c>
      <c r="BI175">
        <v>2</v>
      </c>
      <c r="BJ175" t="s">
        <v>225</v>
      </c>
      <c r="BM175">
        <v>1618</v>
      </c>
      <c r="BN175">
        <v>0</v>
      </c>
      <c r="BO175" t="s">
        <v>223</v>
      </c>
      <c r="BP175">
        <v>1</v>
      </c>
      <c r="BQ175">
        <v>201</v>
      </c>
      <c r="BR175">
        <v>0</v>
      </c>
      <c r="BS175">
        <v>1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4</v>
      </c>
      <c r="BZ175">
        <v>0</v>
      </c>
      <c r="CA175">
        <v>0</v>
      </c>
      <c r="CB175" t="s">
        <v>4</v>
      </c>
      <c r="CE175">
        <v>30</v>
      </c>
      <c r="CF175">
        <v>0</v>
      </c>
      <c r="CG175">
        <v>0</v>
      </c>
      <c r="CM175">
        <v>0</v>
      </c>
      <c r="CN175" t="s">
        <v>4</v>
      </c>
      <c r="CO175">
        <v>0</v>
      </c>
      <c r="CP175">
        <f t="shared" si="177"/>
        <v>1740666.45</v>
      </c>
      <c r="CQ175">
        <f t="shared" si="178"/>
        <v>948075.43</v>
      </c>
      <c r="CR175">
        <f t="shared" si="179"/>
        <v>0</v>
      </c>
      <c r="CS175">
        <f t="shared" si="180"/>
        <v>0</v>
      </c>
      <c r="CT175">
        <f t="shared" si="181"/>
        <v>0</v>
      </c>
      <c r="CU175">
        <f t="shared" si="182"/>
        <v>0</v>
      </c>
      <c r="CV175">
        <f t="shared" si="183"/>
        <v>0</v>
      </c>
      <c r="CW175">
        <f t="shared" si="184"/>
        <v>0</v>
      </c>
      <c r="CX175">
        <f t="shared" si="184"/>
        <v>0</v>
      </c>
      <c r="CY175">
        <f>S175*(BZ175/100)</f>
        <v>0</v>
      </c>
      <c r="CZ175">
        <f>S175*(CA175/100)</f>
        <v>0</v>
      </c>
      <c r="DC175" t="s">
        <v>4</v>
      </c>
      <c r="DD175" t="s">
        <v>4</v>
      </c>
      <c r="DE175" t="s">
        <v>4</v>
      </c>
      <c r="DF175" t="s">
        <v>4</v>
      </c>
      <c r="DG175" t="s">
        <v>4</v>
      </c>
      <c r="DH175" t="s">
        <v>4</v>
      </c>
      <c r="DI175" t="s">
        <v>4</v>
      </c>
      <c r="DJ175" t="s">
        <v>4</v>
      </c>
      <c r="DK175" t="s">
        <v>4</v>
      </c>
      <c r="DL175" t="s">
        <v>4</v>
      </c>
      <c r="DM175" t="s">
        <v>4</v>
      </c>
      <c r="DN175">
        <v>0</v>
      </c>
      <c r="DO175">
        <v>0</v>
      </c>
      <c r="DP175">
        <v>1</v>
      </c>
      <c r="DQ175">
        <v>1</v>
      </c>
      <c r="DU175">
        <v>1003</v>
      </c>
      <c r="DV175" t="s">
        <v>209</v>
      </c>
      <c r="DW175" t="s">
        <v>209</v>
      </c>
      <c r="DX175">
        <v>1000</v>
      </c>
      <c r="DZ175" t="s">
        <v>4</v>
      </c>
      <c r="EA175" t="s">
        <v>4</v>
      </c>
      <c r="EB175" t="s">
        <v>4</v>
      </c>
      <c r="EC175" t="s">
        <v>4</v>
      </c>
      <c r="EE175">
        <v>69254243</v>
      </c>
      <c r="EF175">
        <v>201</v>
      </c>
      <c r="EG175" t="s">
        <v>226</v>
      </c>
      <c r="EH175">
        <v>0</v>
      </c>
      <c r="EI175" t="s">
        <v>4</v>
      </c>
      <c r="EJ175">
        <v>2</v>
      </c>
      <c r="EK175">
        <v>1618</v>
      </c>
      <c r="EL175" t="s">
        <v>227</v>
      </c>
      <c r="EM175" t="s">
        <v>228</v>
      </c>
      <c r="EO175" t="s">
        <v>4</v>
      </c>
      <c r="EQ175">
        <v>0</v>
      </c>
      <c r="ER175">
        <v>109225.28</v>
      </c>
      <c r="ES175">
        <v>109225.28</v>
      </c>
      <c r="ET175">
        <v>0</v>
      </c>
      <c r="EU175">
        <v>0</v>
      </c>
      <c r="EV175">
        <v>0</v>
      </c>
      <c r="EW175">
        <v>0</v>
      </c>
      <c r="EX175">
        <v>0</v>
      </c>
      <c r="EY175">
        <v>0</v>
      </c>
      <c r="FQ175">
        <v>0</v>
      </c>
      <c r="FR175">
        <f t="shared" si="185"/>
        <v>0</v>
      </c>
      <c r="FS175">
        <v>0</v>
      </c>
      <c r="FX175">
        <v>0</v>
      </c>
      <c r="FY175">
        <v>0</v>
      </c>
      <c r="GA175" t="s">
        <v>4</v>
      </c>
      <c r="GD175">
        <v>0</v>
      </c>
      <c r="GF175">
        <v>241870239</v>
      </c>
      <c r="GG175">
        <v>2</v>
      </c>
      <c r="GH175">
        <v>1</v>
      </c>
      <c r="GI175">
        <v>2</v>
      </c>
      <c r="GJ175">
        <v>0</v>
      </c>
      <c r="GK175">
        <f>ROUND(R175*(S12)/100,2)</f>
        <v>0</v>
      </c>
      <c r="GL175">
        <f t="shared" si="186"/>
        <v>0</v>
      </c>
      <c r="GM175">
        <f t="shared" si="187"/>
        <v>1740666.45</v>
      </c>
      <c r="GN175">
        <f t="shared" si="188"/>
        <v>0</v>
      </c>
      <c r="GO175">
        <f t="shared" si="189"/>
        <v>1740666.45</v>
      </c>
      <c r="GP175">
        <f t="shared" si="190"/>
        <v>0</v>
      </c>
      <c r="GR175">
        <v>0</v>
      </c>
      <c r="GS175">
        <v>3</v>
      </c>
      <c r="GT175">
        <v>0</v>
      </c>
      <c r="GU175" t="s">
        <v>4</v>
      </c>
      <c r="GV175">
        <f t="shared" si="191"/>
        <v>0</v>
      </c>
      <c r="GW175">
        <v>1</v>
      </c>
      <c r="GX175">
        <f t="shared" si="192"/>
        <v>0</v>
      </c>
      <c r="HA175">
        <v>0</v>
      </c>
      <c r="HB175">
        <v>0</v>
      </c>
      <c r="HC175">
        <f t="shared" si="193"/>
        <v>0</v>
      </c>
      <c r="HE175" t="s">
        <v>4</v>
      </c>
      <c r="HF175" t="s">
        <v>4</v>
      </c>
      <c r="HM175" t="s">
        <v>4</v>
      </c>
      <c r="HN175" t="s">
        <v>4</v>
      </c>
      <c r="HO175" t="s">
        <v>4</v>
      </c>
      <c r="HP175" t="s">
        <v>4</v>
      </c>
      <c r="HQ175" t="s">
        <v>4</v>
      </c>
      <c r="IK175">
        <v>0</v>
      </c>
    </row>
    <row r="176" spans="1:255">
      <c r="A176" s="2">
        <v>17</v>
      </c>
      <c r="B176" s="2">
        <v>1</v>
      </c>
      <c r="C176" s="2"/>
      <c r="D176" s="2">
        <f>ROW(EtalonRes!A217)</f>
        <v>217</v>
      </c>
      <c r="E176" s="2" t="s">
        <v>242</v>
      </c>
      <c r="F176" s="2" t="s">
        <v>230</v>
      </c>
      <c r="G176" s="2" t="s">
        <v>231</v>
      </c>
      <c r="H176" s="2" t="s">
        <v>232</v>
      </c>
      <c r="I176" s="2">
        <f>ROUND((8*2*2)/100,9)</f>
        <v>0.32</v>
      </c>
      <c r="J176" s="2">
        <v>0</v>
      </c>
      <c r="K176" s="2">
        <f>ROUND((8*2*2)/100,9)</f>
        <v>0.32</v>
      </c>
      <c r="L176" s="2"/>
      <c r="M176" s="2"/>
      <c r="N176" s="2"/>
      <c r="O176" s="2">
        <f t="shared" si="160"/>
        <v>1130.22</v>
      </c>
      <c r="P176" s="2">
        <f t="shared" si="161"/>
        <v>171.37</v>
      </c>
      <c r="Q176" s="2">
        <f t="shared" si="162"/>
        <v>239.78</v>
      </c>
      <c r="R176" s="2">
        <f t="shared" si="163"/>
        <v>20.69</v>
      </c>
      <c r="S176" s="2">
        <f t="shared" si="164"/>
        <v>719.07</v>
      </c>
      <c r="T176" s="2">
        <f t="shared" si="165"/>
        <v>0</v>
      </c>
      <c r="U176" s="2">
        <f t="shared" si="166"/>
        <v>52.226035199999998</v>
      </c>
      <c r="V176" s="2">
        <f t="shared" si="167"/>
        <v>0</v>
      </c>
      <c r="W176" s="2">
        <f t="shared" si="168"/>
        <v>0</v>
      </c>
      <c r="X176" s="2">
        <f t="shared" si="169"/>
        <v>805.36</v>
      </c>
      <c r="Y176" s="2">
        <f t="shared" si="169"/>
        <v>503.35</v>
      </c>
      <c r="Z176" s="2"/>
      <c r="AA176" s="2">
        <v>70305038</v>
      </c>
      <c r="AB176" s="2">
        <f t="shared" si="170"/>
        <v>3397.43</v>
      </c>
      <c r="AC176" s="2">
        <f t="shared" si="171"/>
        <v>535.53</v>
      </c>
      <c r="AD176" s="2">
        <f t="shared" si="172"/>
        <v>715.67</v>
      </c>
      <c r="AE176" s="2">
        <f t="shared" si="173"/>
        <v>61.76</v>
      </c>
      <c r="AF176" s="2">
        <f t="shared" si="173"/>
        <v>2146.23</v>
      </c>
      <c r="AG176" s="2">
        <f t="shared" si="174"/>
        <v>0</v>
      </c>
      <c r="AH176" s="2">
        <f t="shared" si="175"/>
        <v>155.88</v>
      </c>
      <c r="AI176" s="2">
        <f t="shared" si="175"/>
        <v>0</v>
      </c>
      <c r="AJ176" s="2">
        <f t="shared" si="176"/>
        <v>0</v>
      </c>
      <c r="AK176" s="2">
        <v>3397.43</v>
      </c>
      <c r="AL176" s="2">
        <v>535.53</v>
      </c>
      <c r="AM176" s="2">
        <v>715.67</v>
      </c>
      <c r="AN176" s="2">
        <v>61.76</v>
      </c>
      <c r="AO176" s="2">
        <v>2146.23</v>
      </c>
      <c r="AP176" s="2">
        <v>0</v>
      </c>
      <c r="AQ176" s="2">
        <v>155.88</v>
      </c>
      <c r="AR176" s="2">
        <v>0</v>
      </c>
      <c r="AS176" s="2">
        <v>0</v>
      </c>
      <c r="AT176" s="2">
        <v>112</v>
      </c>
      <c r="AU176" s="2">
        <v>70</v>
      </c>
      <c r="AV176" s="2">
        <v>1.0469999999999999</v>
      </c>
      <c r="AW176" s="2">
        <v>1</v>
      </c>
      <c r="AX176" s="2"/>
      <c r="AY176" s="2"/>
      <c r="AZ176" s="2">
        <v>1</v>
      </c>
      <c r="BA176" s="2">
        <v>1</v>
      </c>
      <c r="BB176" s="2">
        <v>1</v>
      </c>
      <c r="BC176" s="2">
        <v>1</v>
      </c>
      <c r="BD176" s="2" t="s">
        <v>4</v>
      </c>
      <c r="BE176" s="2" t="s">
        <v>4</v>
      </c>
      <c r="BF176" s="2" t="s">
        <v>4</v>
      </c>
      <c r="BG176" s="2" t="s">
        <v>4</v>
      </c>
      <c r="BH176" s="2">
        <v>0</v>
      </c>
      <c r="BI176" s="2">
        <v>2</v>
      </c>
      <c r="BJ176" s="2" t="s">
        <v>233</v>
      </c>
      <c r="BK176" s="2"/>
      <c r="BL176" s="2"/>
      <c r="BM176" s="2">
        <v>1726</v>
      </c>
      <c r="BN176" s="2">
        <v>0</v>
      </c>
      <c r="BO176" s="2" t="s">
        <v>4</v>
      </c>
      <c r="BP176" s="2">
        <v>0</v>
      </c>
      <c r="BQ176" s="2">
        <v>40</v>
      </c>
      <c r="BR176" s="2">
        <v>0</v>
      </c>
      <c r="BS176" s="2">
        <v>1</v>
      </c>
      <c r="BT176" s="2">
        <v>1</v>
      </c>
      <c r="BU176" s="2">
        <v>1</v>
      </c>
      <c r="BV176" s="2">
        <v>1</v>
      </c>
      <c r="BW176" s="2">
        <v>1</v>
      </c>
      <c r="BX176" s="2">
        <v>1</v>
      </c>
      <c r="BY176" s="2" t="s">
        <v>4</v>
      </c>
      <c r="BZ176" s="2">
        <v>112</v>
      </c>
      <c r="CA176" s="2">
        <v>70</v>
      </c>
      <c r="CB176" s="2" t="s">
        <v>4</v>
      </c>
      <c r="CC176" s="2"/>
      <c r="CD176" s="2"/>
      <c r="CE176" s="2">
        <v>30</v>
      </c>
      <c r="CF176" s="2">
        <v>0</v>
      </c>
      <c r="CG176" s="2">
        <v>0</v>
      </c>
      <c r="CH176" s="2"/>
      <c r="CI176" s="2"/>
      <c r="CJ176" s="2"/>
      <c r="CK176" s="2"/>
      <c r="CL176" s="2"/>
      <c r="CM176" s="2">
        <v>0</v>
      </c>
      <c r="CN176" s="2" t="s">
        <v>4</v>
      </c>
      <c r="CO176" s="2">
        <v>0</v>
      </c>
      <c r="CP176" s="2">
        <f t="shared" si="177"/>
        <v>1130.22</v>
      </c>
      <c r="CQ176" s="2">
        <f t="shared" si="178"/>
        <v>535.53</v>
      </c>
      <c r="CR176" s="2">
        <f t="shared" si="179"/>
        <v>749.31</v>
      </c>
      <c r="CS176" s="2">
        <f t="shared" si="180"/>
        <v>64.66</v>
      </c>
      <c r="CT176" s="2">
        <f t="shared" si="181"/>
        <v>2247.1</v>
      </c>
      <c r="CU176" s="2">
        <f t="shared" si="182"/>
        <v>0</v>
      </c>
      <c r="CV176" s="2">
        <f t="shared" si="183"/>
        <v>163.20635999999999</v>
      </c>
      <c r="CW176" s="2">
        <f t="shared" si="184"/>
        <v>0</v>
      </c>
      <c r="CX176" s="2">
        <f t="shared" si="184"/>
        <v>0</v>
      </c>
      <c r="CY176" s="2">
        <f>((S176*BZ176)/100)</f>
        <v>805.35840000000007</v>
      </c>
      <c r="CZ176" s="2">
        <f>((S176*CA176)/100)</f>
        <v>503.34899999999999</v>
      </c>
      <c r="DA176" s="2"/>
      <c r="DB176" s="2"/>
      <c r="DC176" s="2" t="s">
        <v>4</v>
      </c>
      <c r="DD176" s="2" t="s">
        <v>4</v>
      </c>
      <c r="DE176" s="2" t="s">
        <v>4</v>
      </c>
      <c r="DF176" s="2" t="s">
        <v>4</v>
      </c>
      <c r="DG176" s="2" t="s">
        <v>4</v>
      </c>
      <c r="DH176" s="2" t="s">
        <v>4</v>
      </c>
      <c r="DI176" s="2" t="s">
        <v>4</v>
      </c>
      <c r="DJ176" s="2" t="s">
        <v>4</v>
      </c>
      <c r="DK176" s="2" t="s">
        <v>4</v>
      </c>
      <c r="DL176" s="2" t="s">
        <v>4</v>
      </c>
      <c r="DM176" s="2" t="s">
        <v>4</v>
      </c>
      <c r="DN176" s="2">
        <v>0</v>
      </c>
      <c r="DO176" s="2">
        <v>0</v>
      </c>
      <c r="DP176" s="2">
        <v>1</v>
      </c>
      <c r="DQ176" s="2">
        <v>1</v>
      </c>
      <c r="DR176" s="2"/>
      <c r="DS176" s="2"/>
      <c r="DT176" s="2"/>
      <c r="DU176" s="2">
        <v>1013</v>
      </c>
      <c r="DV176" s="2" t="s">
        <v>232</v>
      </c>
      <c r="DW176" s="2" t="s">
        <v>232</v>
      </c>
      <c r="DX176" s="2">
        <v>1</v>
      </c>
      <c r="DY176" s="2"/>
      <c r="DZ176" s="2" t="s">
        <v>4</v>
      </c>
      <c r="EA176" s="2" t="s">
        <v>4</v>
      </c>
      <c r="EB176" s="2" t="s">
        <v>4</v>
      </c>
      <c r="EC176" s="2" t="s">
        <v>4</v>
      </c>
      <c r="ED176" s="2"/>
      <c r="EE176" s="2">
        <v>69254351</v>
      </c>
      <c r="EF176" s="2">
        <v>40</v>
      </c>
      <c r="EG176" s="2" t="s">
        <v>219</v>
      </c>
      <c r="EH176" s="2">
        <v>0</v>
      </c>
      <c r="EI176" s="2" t="s">
        <v>4</v>
      </c>
      <c r="EJ176" s="2">
        <v>2</v>
      </c>
      <c r="EK176" s="2">
        <v>1726</v>
      </c>
      <c r="EL176" s="2" t="s">
        <v>220</v>
      </c>
      <c r="EM176" s="2" t="s">
        <v>221</v>
      </c>
      <c r="EN176" s="2"/>
      <c r="EO176" s="2" t="s">
        <v>4</v>
      </c>
      <c r="EP176" s="2"/>
      <c r="EQ176" s="2">
        <v>131072</v>
      </c>
      <c r="ER176" s="2">
        <v>3397.43</v>
      </c>
      <c r="ES176" s="2">
        <v>535.53</v>
      </c>
      <c r="ET176" s="2">
        <v>715.67</v>
      </c>
      <c r="EU176" s="2">
        <v>61.76</v>
      </c>
      <c r="EV176" s="2">
        <v>2146.23</v>
      </c>
      <c r="EW176" s="2">
        <v>155.88</v>
      </c>
      <c r="EX176" s="2">
        <v>0</v>
      </c>
      <c r="EY176" s="2">
        <v>0</v>
      </c>
      <c r="EZ176" s="2"/>
      <c r="FA176" s="2"/>
      <c r="FB176" s="2"/>
      <c r="FC176" s="2"/>
      <c r="FD176" s="2"/>
      <c r="FE176" s="2"/>
      <c r="FF176" s="2"/>
      <c r="FG176" s="2"/>
      <c r="FH176" s="2"/>
      <c r="FI176" s="2"/>
      <c r="FJ176" s="2"/>
      <c r="FK176" s="2"/>
      <c r="FL176" s="2"/>
      <c r="FM176" s="2"/>
      <c r="FN176" s="2"/>
      <c r="FO176" s="2"/>
      <c r="FP176" s="2"/>
      <c r="FQ176" s="2">
        <v>0</v>
      </c>
      <c r="FR176" s="2">
        <f t="shared" si="185"/>
        <v>0</v>
      </c>
      <c r="FS176" s="2">
        <v>0</v>
      </c>
      <c r="FT176" s="2"/>
      <c r="FU176" s="2"/>
      <c r="FV176" s="2"/>
      <c r="FW176" s="2"/>
      <c r="FX176" s="2">
        <v>112</v>
      </c>
      <c r="FY176" s="2">
        <v>70</v>
      </c>
      <c r="FZ176" s="2"/>
      <c r="GA176" s="2" t="s">
        <v>4</v>
      </c>
      <c r="GB176" s="2"/>
      <c r="GC176" s="2"/>
      <c r="GD176" s="2">
        <v>0</v>
      </c>
      <c r="GE176" s="2"/>
      <c r="GF176" s="2">
        <v>-596521548</v>
      </c>
      <c r="GG176" s="2">
        <v>2</v>
      </c>
      <c r="GH176" s="2">
        <v>1</v>
      </c>
      <c r="GI176" s="2">
        <v>-2</v>
      </c>
      <c r="GJ176" s="2">
        <v>0</v>
      </c>
      <c r="GK176" s="2">
        <f>ROUND(R176*(R12)/100,2)</f>
        <v>36.21</v>
      </c>
      <c r="GL176" s="2">
        <f t="shared" si="186"/>
        <v>0</v>
      </c>
      <c r="GM176" s="2">
        <f t="shared" si="187"/>
        <v>2475.14</v>
      </c>
      <c r="GN176" s="2">
        <f t="shared" si="188"/>
        <v>0</v>
      </c>
      <c r="GO176" s="2">
        <f t="shared" si="189"/>
        <v>2475.14</v>
      </c>
      <c r="GP176" s="2">
        <f t="shared" si="190"/>
        <v>0</v>
      </c>
      <c r="GQ176" s="2"/>
      <c r="GR176" s="2">
        <v>0</v>
      </c>
      <c r="GS176" s="2">
        <v>0</v>
      </c>
      <c r="GT176" s="2">
        <v>0</v>
      </c>
      <c r="GU176" s="2" t="s">
        <v>4</v>
      </c>
      <c r="GV176" s="2">
        <f t="shared" si="191"/>
        <v>0</v>
      </c>
      <c r="GW176" s="2">
        <v>1</v>
      </c>
      <c r="GX176" s="2">
        <f t="shared" si="192"/>
        <v>0</v>
      </c>
      <c r="GY176" s="2"/>
      <c r="GZ176" s="2"/>
      <c r="HA176" s="2">
        <v>0</v>
      </c>
      <c r="HB176" s="2">
        <v>0</v>
      </c>
      <c r="HC176" s="2">
        <f t="shared" si="193"/>
        <v>0</v>
      </c>
      <c r="HD176" s="2"/>
      <c r="HE176" s="2" t="s">
        <v>4</v>
      </c>
      <c r="HF176" s="2" t="s">
        <v>4</v>
      </c>
      <c r="HG176" s="2"/>
      <c r="HH176" s="2"/>
      <c r="HI176" s="2"/>
      <c r="HJ176" s="2"/>
      <c r="HK176" s="2"/>
      <c r="HL176" s="2"/>
      <c r="HM176" s="2" t="s">
        <v>4</v>
      </c>
      <c r="HN176" s="2" t="s">
        <v>4</v>
      </c>
      <c r="HO176" s="2" t="s">
        <v>4</v>
      </c>
      <c r="HP176" s="2" t="s">
        <v>4</v>
      </c>
      <c r="HQ176" s="2" t="s">
        <v>4</v>
      </c>
      <c r="HR176" s="2"/>
      <c r="HS176" s="2"/>
      <c r="HT176" s="2"/>
      <c r="HU176" s="2"/>
      <c r="HV176" s="2"/>
      <c r="HW176" s="2"/>
      <c r="HX176" s="2"/>
      <c r="HY176" s="2"/>
      <c r="HZ176" s="2"/>
      <c r="IA176" s="2"/>
      <c r="IB176" s="2"/>
      <c r="IC176" s="2"/>
      <c r="ID176" s="2"/>
      <c r="IE176" s="2"/>
      <c r="IF176" s="2"/>
      <c r="IG176" s="2"/>
      <c r="IH176" s="2"/>
      <c r="II176" s="2"/>
      <c r="IJ176" s="2"/>
      <c r="IK176" s="2">
        <v>0</v>
      </c>
      <c r="IL176" s="2"/>
      <c r="IM176" s="2"/>
      <c r="IN176" s="2"/>
      <c r="IO176" s="2"/>
      <c r="IP176" s="2"/>
      <c r="IQ176" s="2"/>
      <c r="IR176" s="2"/>
      <c r="IS176" s="2"/>
      <c r="IT176" s="2"/>
      <c r="IU176" s="2"/>
    </row>
    <row r="177" spans="1:255">
      <c r="A177">
        <v>17</v>
      </c>
      <c r="B177">
        <v>1</v>
      </c>
      <c r="D177">
        <f>ROW(EtalonRes!A226)</f>
        <v>226</v>
      </c>
      <c r="E177" t="s">
        <v>242</v>
      </c>
      <c r="F177" t="s">
        <v>230</v>
      </c>
      <c r="G177" t="s">
        <v>231</v>
      </c>
      <c r="H177" t="s">
        <v>232</v>
      </c>
      <c r="I177">
        <f>ROUND((8*2*2)/100,9)</f>
        <v>0.32</v>
      </c>
      <c r="J177">
        <v>0</v>
      </c>
      <c r="K177">
        <f>ROUND((8*2*2)/100,9)</f>
        <v>0.32</v>
      </c>
      <c r="O177">
        <f t="shared" si="160"/>
        <v>36705.26</v>
      </c>
      <c r="P177">
        <f t="shared" si="161"/>
        <v>1206.44</v>
      </c>
      <c r="Q177">
        <f t="shared" si="162"/>
        <v>1939.82</v>
      </c>
      <c r="R177">
        <f t="shared" si="163"/>
        <v>965.6</v>
      </c>
      <c r="S177">
        <f t="shared" si="164"/>
        <v>33559</v>
      </c>
      <c r="T177">
        <f t="shared" si="165"/>
        <v>0</v>
      </c>
      <c r="U177">
        <f t="shared" si="166"/>
        <v>52.226035199999998</v>
      </c>
      <c r="V177">
        <f t="shared" si="167"/>
        <v>0</v>
      </c>
      <c r="W177">
        <f t="shared" si="168"/>
        <v>0</v>
      </c>
      <c r="X177">
        <f t="shared" si="169"/>
        <v>30874.28</v>
      </c>
      <c r="Y177">
        <f t="shared" si="169"/>
        <v>14430.37</v>
      </c>
      <c r="AA177">
        <v>70305036</v>
      </c>
      <c r="AB177">
        <f t="shared" si="170"/>
        <v>3397.43</v>
      </c>
      <c r="AC177">
        <f t="shared" si="171"/>
        <v>535.53</v>
      </c>
      <c r="AD177">
        <f t="shared" si="172"/>
        <v>715.67</v>
      </c>
      <c r="AE177">
        <f t="shared" si="173"/>
        <v>61.76</v>
      </c>
      <c r="AF177">
        <f t="shared" si="173"/>
        <v>2146.23</v>
      </c>
      <c r="AG177">
        <f t="shared" si="174"/>
        <v>0</v>
      </c>
      <c r="AH177">
        <f t="shared" si="175"/>
        <v>155.88</v>
      </c>
      <c r="AI177">
        <f t="shared" si="175"/>
        <v>0</v>
      </c>
      <c r="AJ177">
        <f t="shared" si="176"/>
        <v>0</v>
      </c>
      <c r="AK177">
        <v>3397.43</v>
      </c>
      <c r="AL177">
        <v>535.53</v>
      </c>
      <c r="AM177">
        <v>715.67</v>
      </c>
      <c r="AN177">
        <v>61.76</v>
      </c>
      <c r="AO177">
        <v>2146.23</v>
      </c>
      <c r="AP177">
        <v>0</v>
      </c>
      <c r="AQ177">
        <v>155.88</v>
      </c>
      <c r="AR177">
        <v>0</v>
      </c>
      <c r="AS177">
        <v>0</v>
      </c>
      <c r="AT177">
        <v>92</v>
      </c>
      <c r="AU177">
        <v>43</v>
      </c>
      <c r="AV177">
        <v>1.0469999999999999</v>
      </c>
      <c r="AW177">
        <v>1</v>
      </c>
      <c r="AZ177">
        <v>1</v>
      </c>
      <c r="BA177">
        <v>46.67</v>
      </c>
      <c r="BB177">
        <v>8.09</v>
      </c>
      <c r="BC177">
        <v>7.04</v>
      </c>
      <c r="BD177" t="s">
        <v>4</v>
      </c>
      <c r="BE177" t="s">
        <v>4</v>
      </c>
      <c r="BF177" t="s">
        <v>4</v>
      </c>
      <c r="BG177" t="s">
        <v>4</v>
      </c>
      <c r="BH177">
        <v>0</v>
      </c>
      <c r="BI177">
        <v>2</v>
      </c>
      <c r="BJ177" t="s">
        <v>233</v>
      </c>
      <c r="BM177">
        <v>1726</v>
      </c>
      <c r="BN177">
        <v>0</v>
      </c>
      <c r="BO177" t="s">
        <v>230</v>
      </c>
      <c r="BP177">
        <v>1</v>
      </c>
      <c r="BQ177">
        <v>40</v>
      </c>
      <c r="BR177">
        <v>0</v>
      </c>
      <c r="BS177">
        <v>46.67</v>
      </c>
      <c r="BT177">
        <v>1</v>
      </c>
      <c r="BU177">
        <v>1</v>
      </c>
      <c r="BV177">
        <v>1</v>
      </c>
      <c r="BW177">
        <v>1</v>
      </c>
      <c r="BX177">
        <v>1</v>
      </c>
      <c r="BY177" t="s">
        <v>4</v>
      </c>
      <c r="BZ177">
        <v>92</v>
      </c>
      <c r="CA177">
        <v>43</v>
      </c>
      <c r="CB177" t="s">
        <v>4</v>
      </c>
      <c r="CE177">
        <v>30</v>
      </c>
      <c r="CF177">
        <v>0</v>
      </c>
      <c r="CG177">
        <v>0</v>
      </c>
      <c r="CM177">
        <v>0</v>
      </c>
      <c r="CN177" t="s">
        <v>4</v>
      </c>
      <c r="CO177">
        <v>0</v>
      </c>
      <c r="CP177">
        <f t="shared" si="177"/>
        <v>36705.26</v>
      </c>
      <c r="CQ177">
        <f t="shared" si="178"/>
        <v>3770.13</v>
      </c>
      <c r="CR177">
        <f t="shared" si="179"/>
        <v>6061.92</v>
      </c>
      <c r="CS177">
        <f t="shared" si="180"/>
        <v>3017.68</v>
      </c>
      <c r="CT177">
        <f t="shared" si="181"/>
        <v>104872.16</v>
      </c>
      <c r="CU177">
        <f t="shared" si="182"/>
        <v>0</v>
      </c>
      <c r="CV177">
        <f t="shared" si="183"/>
        <v>163.20635999999999</v>
      </c>
      <c r="CW177">
        <f t="shared" si="184"/>
        <v>0</v>
      </c>
      <c r="CX177">
        <f t="shared" si="184"/>
        <v>0</v>
      </c>
      <c r="CY177">
        <f>S177*(BZ177/100)</f>
        <v>30874.280000000002</v>
      </c>
      <c r="CZ177">
        <f>S177*(CA177/100)</f>
        <v>14430.369999999999</v>
      </c>
      <c r="DC177" t="s">
        <v>4</v>
      </c>
      <c r="DD177" t="s">
        <v>4</v>
      </c>
      <c r="DE177" t="s">
        <v>4</v>
      </c>
      <c r="DF177" t="s">
        <v>4</v>
      </c>
      <c r="DG177" t="s">
        <v>4</v>
      </c>
      <c r="DH177" t="s">
        <v>4</v>
      </c>
      <c r="DI177" t="s">
        <v>4</v>
      </c>
      <c r="DJ177" t="s">
        <v>4</v>
      </c>
      <c r="DK177" t="s">
        <v>4</v>
      </c>
      <c r="DL177" t="s">
        <v>4</v>
      </c>
      <c r="DM177" t="s">
        <v>4</v>
      </c>
      <c r="DN177">
        <v>112</v>
      </c>
      <c r="DO177">
        <v>70</v>
      </c>
      <c r="DP177">
        <v>1.0469999999999999</v>
      </c>
      <c r="DQ177">
        <v>1</v>
      </c>
      <c r="DU177">
        <v>1013</v>
      </c>
      <c r="DV177" t="s">
        <v>232</v>
      </c>
      <c r="DW177" t="s">
        <v>232</v>
      </c>
      <c r="DX177">
        <v>1</v>
      </c>
      <c r="DZ177" t="s">
        <v>4</v>
      </c>
      <c r="EA177" t="s">
        <v>4</v>
      </c>
      <c r="EB177" t="s">
        <v>4</v>
      </c>
      <c r="EC177" t="s">
        <v>4</v>
      </c>
      <c r="EE177">
        <v>69254351</v>
      </c>
      <c r="EF177">
        <v>40</v>
      </c>
      <c r="EG177" t="s">
        <v>219</v>
      </c>
      <c r="EH177">
        <v>0</v>
      </c>
      <c r="EI177" t="s">
        <v>4</v>
      </c>
      <c r="EJ177">
        <v>2</v>
      </c>
      <c r="EK177">
        <v>1726</v>
      </c>
      <c r="EL177" t="s">
        <v>220</v>
      </c>
      <c r="EM177" t="s">
        <v>221</v>
      </c>
      <c r="EO177" t="s">
        <v>4</v>
      </c>
      <c r="EQ177">
        <v>131072</v>
      </c>
      <c r="ER177">
        <v>3397.43</v>
      </c>
      <c r="ES177">
        <v>535.53</v>
      </c>
      <c r="ET177">
        <v>715.67</v>
      </c>
      <c r="EU177">
        <v>61.76</v>
      </c>
      <c r="EV177">
        <v>2146.23</v>
      </c>
      <c r="EW177">
        <v>155.88</v>
      </c>
      <c r="EX177">
        <v>0</v>
      </c>
      <c r="EY177">
        <v>0</v>
      </c>
      <c r="FQ177">
        <v>0</v>
      </c>
      <c r="FR177">
        <f t="shared" si="185"/>
        <v>0</v>
      </c>
      <c r="FS177">
        <v>0</v>
      </c>
      <c r="FX177">
        <v>112</v>
      </c>
      <c r="FY177">
        <v>70</v>
      </c>
      <c r="GA177" t="s">
        <v>4</v>
      </c>
      <c r="GD177">
        <v>0</v>
      </c>
      <c r="GF177">
        <v>-596521548</v>
      </c>
      <c r="GG177">
        <v>2</v>
      </c>
      <c r="GH177">
        <v>1</v>
      </c>
      <c r="GI177">
        <v>2</v>
      </c>
      <c r="GJ177">
        <v>0</v>
      </c>
      <c r="GK177">
        <f>ROUND(R177*(S12)/100,2)</f>
        <v>1544.96</v>
      </c>
      <c r="GL177">
        <f t="shared" si="186"/>
        <v>0</v>
      </c>
      <c r="GM177">
        <f t="shared" si="187"/>
        <v>83554.87</v>
      </c>
      <c r="GN177">
        <f t="shared" si="188"/>
        <v>0</v>
      </c>
      <c r="GO177">
        <f t="shared" si="189"/>
        <v>83554.87</v>
      </c>
      <c r="GP177">
        <f t="shared" si="190"/>
        <v>0</v>
      </c>
      <c r="GR177">
        <v>0</v>
      </c>
      <c r="GS177">
        <v>3</v>
      </c>
      <c r="GT177">
        <v>0</v>
      </c>
      <c r="GU177" t="s">
        <v>4</v>
      </c>
      <c r="GV177">
        <f t="shared" si="191"/>
        <v>0</v>
      </c>
      <c r="GW177">
        <v>1</v>
      </c>
      <c r="GX177">
        <f t="shared" si="192"/>
        <v>0</v>
      </c>
      <c r="HA177">
        <v>0</v>
      </c>
      <c r="HB177">
        <v>0</v>
      </c>
      <c r="HC177">
        <f t="shared" si="193"/>
        <v>0</v>
      </c>
      <c r="HE177" t="s">
        <v>4</v>
      </c>
      <c r="HF177" t="s">
        <v>4</v>
      </c>
      <c r="HM177" t="s">
        <v>4</v>
      </c>
      <c r="HN177" t="s">
        <v>4</v>
      </c>
      <c r="HO177" t="s">
        <v>4</v>
      </c>
      <c r="HP177" t="s">
        <v>4</v>
      </c>
      <c r="HQ177" t="s">
        <v>4</v>
      </c>
      <c r="IK177">
        <v>0</v>
      </c>
    </row>
    <row r="178" spans="1:255">
      <c r="A178" s="2">
        <v>17</v>
      </c>
      <c r="B178" s="2">
        <v>1</v>
      </c>
      <c r="C178" s="2"/>
      <c r="D178" s="2"/>
      <c r="E178" s="2" t="s">
        <v>243</v>
      </c>
      <c r="F178" s="2" t="s">
        <v>235</v>
      </c>
      <c r="G178" s="2" t="s">
        <v>236</v>
      </c>
      <c r="H178" s="2" t="s">
        <v>237</v>
      </c>
      <c r="I178" s="2">
        <f>ROUND(I176*100,9)</f>
        <v>32</v>
      </c>
      <c r="J178" s="2">
        <v>0</v>
      </c>
      <c r="K178" s="2">
        <f>ROUND(I176*100,9)</f>
        <v>32</v>
      </c>
      <c r="L178" s="2"/>
      <c r="M178" s="2"/>
      <c r="N178" s="2"/>
      <c r="O178" s="2">
        <f t="shared" si="160"/>
        <v>4916.16</v>
      </c>
      <c r="P178" s="2">
        <f t="shared" si="161"/>
        <v>4916.16</v>
      </c>
      <c r="Q178" s="2">
        <f t="shared" si="162"/>
        <v>0</v>
      </c>
      <c r="R178" s="2">
        <f t="shared" si="163"/>
        <v>0</v>
      </c>
      <c r="S178" s="2">
        <f t="shared" si="164"/>
        <v>0</v>
      </c>
      <c r="T178" s="2">
        <f t="shared" si="165"/>
        <v>0</v>
      </c>
      <c r="U178" s="2">
        <f t="shared" si="166"/>
        <v>0</v>
      </c>
      <c r="V178" s="2">
        <f t="shared" si="167"/>
        <v>0</v>
      </c>
      <c r="W178" s="2">
        <f t="shared" si="168"/>
        <v>0</v>
      </c>
      <c r="X178" s="2">
        <f t="shared" si="169"/>
        <v>0</v>
      </c>
      <c r="Y178" s="2">
        <f t="shared" si="169"/>
        <v>0</v>
      </c>
      <c r="Z178" s="2"/>
      <c r="AA178" s="2">
        <v>70305038</v>
      </c>
      <c r="AB178" s="2">
        <f t="shared" si="170"/>
        <v>153.63</v>
      </c>
      <c r="AC178" s="2">
        <f t="shared" si="171"/>
        <v>153.63</v>
      </c>
      <c r="AD178" s="2">
        <f t="shared" si="172"/>
        <v>0</v>
      </c>
      <c r="AE178" s="2">
        <f t="shared" si="173"/>
        <v>0</v>
      </c>
      <c r="AF178" s="2">
        <f t="shared" si="173"/>
        <v>0</v>
      </c>
      <c r="AG178" s="2">
        <f t="shared" si="174"/>
        <v>0</v>
      </c>
      <c r="AH178" s="2">
        <f t="shared" si="175"/>
        <v>0</v>
      </c>
      <c r="AI178" s="2">
        <f t="shared" si="175"/>
        <v>0</v>
      </c>
      <c r="AJ178" s="2">
        <f t="shared" si="176"/>
        <v>0</v>
      </c>
      <c r="AK178" s="2">
        <v>153.63</v>
      </c>
      <c r="AL178" s="2">
        <v>153.63</v>
      </c>
      <c r="AM178" s="2">
        <v>0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1</v>
      </c>
      <c r="AW178" s="2">
        <v>1</v>
      </c>
      <c r="AX178" s="2"/>
      <c r="AY178" s="2"/>
      <c r="AZ178" s="2">
        <v>1</v>
      </c>
      <c r="BA178" s="2">
        <v>1</v>
      </c>
      <c r="BB178" s="2">
        <v>1</v>
      </c>
      <c r="BC178" s="2">
        <v>1</v>
      </c>
      <c r="BD178" s="2" t="s">
        <v>4</v>
      </c>
      <c r="BE178" s="2" t="s">
        <v>4</v>
      </c>
      <c r="BF178" s="2" t="s">
        <v>4</v>
      </c>
      <c r="BG178" s="2" t="s">
        <v>4</v>
      </c>
      <c r="BH178" s="2">
        <v>3</v>
      </c>
      <c r="BI178" s="2">
        <v>2</v>
      </c>
      <c r="BJ178" s="2" t="s">
        <v>238</v>
      </c>
      <c r="BK178" s="2"/>
      <c r="BL178" s="2"/>
      <c r="BM178" s="2">
        <v>1618</v>
      </c>
      <c r="BN178" s="2">
        <v>0</v>
      </c>
      <c r="BO178" s="2" t="s">
        <v>4</v>
      </c>
      <c r="BP178" s="2">
        <v>0</v>
      </c>
      <c r="BQ178" s="2">
        <v>201</v>
      </c>
      <c r="BR178" s="2">
        <v>0</v>
      </c>
      <c r="BS178" s="2">
        <v>1</v>
      </c>
      <c r="BT178" s="2">
        <v>1</v>
      </c>
      <c r="BU178" s="2">
        <v>1</v>
      </c>
      <c r="BV178" s="2">
        <v>1</v>
      </c>
      <c r="BW178" s="2">
        <v>1</v>
      </c>
      <c r="BX178" s="2">
        <v>1</v>
      </c>
      <c r="BY178" s="2" t="s">
        <v>4</v>
      </c>
      <c r="BZ178" s="2">
        <v>0</v>
      </c>
      <c r="CA178" s="2">
        <v>0</v>
      </c>
      <c r="CB178" s="2" t="s">
        <v>4</v>
      </c>
      <c r="CC178" s="2"/>
      <c r="CD178" s="2"/>
      <c r="CE178" s="2">
        <v>30</v>
      </c>
      <c r="CF178" s="2">
        <v>0</v>
      </c>
      <c r="CG178" s="2">
        <v>0</v>
      </c>
      <c r="CH178" s="2"/>
      <c r="CI178" s="2"/>
      <c r="CJ178" s="2"/>
      <c r="CK178" s="2"/>
      <c r="CL178" s="2"/>
      <c r="CM178" s="2">
        <v>0</v>
      </c>
      <c r="CN178" s="2" t="s">
        <v>4</v>
      </c>
      <c r="CO178" s="2">
        <v>0</v>
      </c>
      <c r="CP178" s="2">
        <f t="shared" si="177"/>
        <v>4916.16</v>
      </c>
      <c r="CQ178" s="2">
        <f t="shared" si="178"/>
        <v>153.63</v>
      </c>
      <c r="CR178" s="2">
        <f t="shared" si="179"/>
        <v>0</v>
      </c>
      <c r="CS178" s="2">
        <f t="shared" si="180"/>
        <v>0</v>
      </c>
      <c r="CT178" s="2">
        <f t="shared" si="181"/>
        <v>0</v>
      </c>
      <c r="CU178" s="2">
        <f t="shared" si="182"/>
        <v>0</v>
      </c>
      <c r="CV178" s="2">
        <f t="shared" si="183"/>
        <v>0</v>
      </c>
      <c r="CW178" s="2">
        <f t="shared" si="184"/>
        <v>0</v>
      </c>
      <c r="CX178" s="2">
        <f t="shared" si="184"/>
        <v>0</v>
      </c>
      <c r="CY178" s="2">
        <f>((S178*BZ178)/100)</f>
        <v>0</v>
      </c>
      <c r="CZ178" s="2">
        <f>((S178*CA178)/100)</f>
        <v>0</v>
      </c>
      <c r="DA178" s="2"/>
      <c r="DB178" s="2"/>
      <c r="DC178" s="2" t="s">
        <v>4</v>
      </c>
      <c r="DD178" s="2" t="s">
        <v>4</v>
      </c>
      <c r="DE178" s="2" t="s">
        <v>4</v>
      </c>
      <c r="DF178" s="2" t="s">
        <v>4</v>
      </c>
      <c r="DG178" s="2" t="s">
        <v>4</v>
      </c>
      <c r="DH178" s="2" t="s">
        <v>4</v>
      </c>
      <c r="DI178" s="2" t="s">
        <v>4</v>
      </c>
      <c r="DJ178" s="2" t="s">
        <v>4</v>
      </c>
      <c r="DK178" s="2" t="s">
        <v>4</v>
      </c>
      <c r="DL178" s="2" t="s">
        <v>4</v>
      </c>
      <c r="DM178" s="2" t="s">
        <v>4</v>
      </c>
      <c r="DN178" s="2">
        <v>0</v>
      </c>
      <c r="DO178" s="2">
        <v>0</v>
      </c>
      <c r="DP178" s="2">
        <v>1</v>
      </c>
      <c r="DQ178" s="2">
        <v>1</v>
      </c>
      <c r="DR178" s="2"/>
      <c r="DS178" s="2"/>
      <c r="DT178" s="2"/>
      <c r="DU178" s="2">
        <v>1013</v>
      </c>
      <c r="DV178" s="2" t="s">
        <v>237</v>
      </c>
      <c r="DW178" s="2" t="s">
        <v>237</v>
      </c>
      <c r="DX178" s="2">
        <v>1</v>
      </c>
      <c r="DY178" s="2"/>
      <c r="DZ178" s="2" t="s">
        <v>4</v>
      </c>
      <c r="EA178" s="2" t="s">
        <v>4</v>
      </c>
      <c r="EB178" s="2" t="s">
        <v>4</v>
      </c>
      <c r="EC178" s="2" t="s">
        <v>4</v>
      </c>
      <c r="ED178" s="2"/>
      <c r="EE178" s="2">
        <v>69254243</v>
      </c>
      <c r="EF178" s="2">
        <v>201</v>
      </c>
      <c r="EG178" s="2" t="s">
        <v>226</v>
      </c>
      <c r="EH178" s="2">
        <v>0</v>
      </c>
      <c r="EI178" s="2" t="s">
        <v>4</v>
      </c>
      <c r="EJ178" s="2">
        <v>2</v>
      </c>
      <c r="EK178" s="2">
        <v>1618</v>
      </c>
      <c r="EL178" s="2" t="s">
        <v>227</v>
      </c>
      <c r="EM178" s="2" t="s">
        <v>228</v>
      </c>
      <c r="EN178" s="2"/>
      <c r="EO178" s="2" t="s">
        <v>4</v>
      </c>
      <c r="EP178" s="2"/>
      <c r="EQ178" s="2">
        <v>0</v>
      </c>
      <c r="ER178" s="2">
        <v>153.63</v>
      </c>
      <c r="ES178" s="2">
        <v>153.63</v>
      </c>
      <c r="ET178" s="2">
        <v>0</v>
      </c>
      <c r="EU178" s="2">
        <v>0</v>
      </c>
      <c r="EV178" s="2">
        <v>0</v>
      </c>
      <c r="EW178" s="2">
        <v>0</v>
      </c>
      <c r="EX178" s="2">
        <v>0</v>
      </c>
      <c r="EY178" s="2">
        <v>0</v>
      </c>
      <c r="EZ178" s="2"/>
      <c r="FA178" s="2"/>
      <c r="FB178" s="2"/>
      <c r="FC178" s="2"/>
      <c r="FD178" s="2"/>
      <c r="FE178" s="2"/>
      <c r="FF178" s="2"/>
      <c r="FG178" s="2"/>
      <c r="FH178" s="2"/>
      <c r="FI178" s="2"/>
      <c r="FJ178" s="2"/>
      <c r="FK178" s="2"/>
      <c r="FL178" s="2"/>
      <c r="FM178" s="2"/>
      <c r="FN178" s="2"/>
      <c r="FO178" s="2"/>
      <c r="FP178" s="2"/>
      <c r="FQ178" s="2">
        <v>0</v>
      </c>
      <c r="FR178" s="2">
        <f t="shared" si="185"/>
        <v>0</v>
      </c>
      <c r="FS178" s="2">
        <v>0</v>
      </c>
      <c r="FT178" s="2"/>
      <c r="FU178" s="2"/>
      <c r="FV178" s="2"/>
      <c r="FW178" s="2"/>
      <c r="FX178" s="2">
        <v>0</v>
      </c>
      <c r="FY178" s="2">
        <v>0</v>
      </c>
      <c r="FZ178" s="2"/>
      <c r="GA178" s="2" t="s">
        <v>4</v>
      </c>
      <c r="GB178" s="2"/>
      <c r="GC178" s="2"/>
      <c r="GD178" s="2">
        <v>0</v>
      </c>
      <c r="GE178" s="2"/>
      <c r="GF178" s="2">
        <v>-729980367</v>
      </c>
      <c r="GG178" s="2">
        <v>2</v>
      </c>
      <c r="GH178" s="2">
        <v>1</v>
      </c>
      <c r="GI178" s="2">
        <v>-2</v>
      </c>
      <c r="GJ178" s="2">
        <v>0</v>
      </c>
      <c r="GK178" s="2">
        <f>ROUND(R178*(R12)/100,2)</f>
        <v>0</v>
      </c>
      <c r="GL178" s="2">
        <f t="shared" si="186"/>
        <v>0</v>
      </c>
      <c r="GM178" s="2">
        <f t="shared" si="187"/>
        <v>4916.16</v>
      </c>
      <c r="GN178" s="2">
        <f t="shared" si="188"/>
        <v>0</v>
      </c>
      <c r="GO178" s="2">
        <f t="shared" si="189"/>
        <v>4916.16</v>
      </c>
      <c r="GP178" s="2">
        <f t="shared" si="190"/>
        <v>0</v>
      </c>
      <c r="GQ178" s="2"/>
      <c r="GR178" s="2">
        <v>0</v>
      </c>
      <c r="GS178" s="2">
        <v>0</v>
      </c>
      <c r="GT178" s="2">
        <v>0</v>
      </c>
      <c r="GU178" s="2" t="s">
        <v>4</v>
      </c>
      <c r="GV178" s="2">
        <f t="shared" si="191"/>
        <v>0</v>
      </c>
      <c r="GW178" s="2">
        <v>1</v>
      </c>
      <c r="GX178" s="2">
        <f t="shared" si="192"/>
        <v>0</v>
      </c>
      <c r="GY178" s="2"/>
      <c r="GZ178" s="2"/>
      <c r="HA178" s="2">
        <v>0</v>
      </c>
      <c r="HB178" s="2">
        <v>0</v>
      </c>
      <c r="HC178" s="2">
        <f t="shared" si="193"/>
        <v>0</v>
      </c>
      <c r="HD178" s="2"/>
      <c r="HE178" s="2" t="s">
        <v>4</v>
      </c>
      <c r="HF178" s="2" t="s">
        <v>4</v>
      </c>
      <c r="HG178" s="2"/>
      <c r="HH178" s="2"/>
      <c r="HI178" s="2"/>
      <c r="HJ178" s="2"/>
      <c r="HK178" s="2"/>
      <c r="HL178" s="2"/>
      <c r="HM178" s="2" t="s">
        <v>4</v>
      </c>
      <c r="HN178" s="2" t="s">
        <v>4</v>
      </c>
      <c r="HO178" s="2" t="s">
        <v>4</v>
      </c>
      <c r="HP178" s="2" t="s">
        <v>4</v>
      </c>
      <c r="HQ178" s="2" t="s">
        <v>4</v>
      </c>
      <c r="HR178" s="2"/>
      <c r="HS178" s="2"/>
      <c r="HT178" s="2"/>
      <c r="HU178" s="2"/>
      <c r="HV178" s="2"/>
      <c r="HW178" s="2"/>
      <c r="HX178" s="2"/>
      <c r="HY178" s="2"/>
      <c r="HZ178" s="2"/>
      <c r="IA178" s="2"/>
      <c r="IB178" s="2"/>
      <c r="IC178" s="2"/>
      <c r="ID178" s="2"/>
      <c r="IE178" s="2"/>
      <c r="IF178" s="2"/>
      <c r="IG178" s="2"/>
      <c r="IH178" s="2"/>
      <c r="II178" s="2"/>
      <c r="IJ178" s="2"/>
      <c r="IK178" s="2">
        <v>0</v>
      </c>
      <c r="IL178" s="2"/>
      <c r="IM178" s="2"/>
      <c r="IN178" s="2"/>
      <c r="IO178" s="2"/>
      <c r="IP178" s="2"/>
      <c r="IQ178" s="2"/>
      <c r="IR178" s="2"/>
      <c r="IS178" s="2"/>
      <c r="IT178" s="2"/>
      <c r="IU178" s="2"/>
    </row>
    <row r="179" spans="1:255">
      <c r="A179">
        <v>17</v>
      </c>
      <c r="B179">
        <v>1</v>
      </c>
      <c r="E179" t="s">
        <v>243</v>
      </c>
      <c r="F179" t="s">
        <v>235</v>
      </c>
      <c r="G179" t="s">
        <v>236</v>
      </c>
      <c r="H179" t="s">
        <v>237</v>
      </c>
      <c r="I179">
        <f>ROUND(I177*100,9)</f>
        <v>32</v>
      </c>
      <c r="J179">
        <v>0</v>
      </c>
      <c r="K179">
        <f>ROUND(I177*100,9)</f>
        <v>32</v>
      </c>
      <c r="O179">
        <f t="shared" si="160"/>
        <v>10373.1</v>
      </c>
      <c r="P179">
        <f t="shared" si="161"/>
        <v>10373.1</v>
      </c>
      <c r="Q179">
        <f t="shared" si="162"/>
        <v>0</v>
      </c>
      <c r="R179">
        <f t="shared" si="163"/>
        <v>0</v>
      </c>
      <c r="S179">
        <f t="shared" si="164"/>
        <v>0</v>
      </c>
      <c r="T179">
        <f t="shared" si="165"/>
        <v>0</v>
      </c>
      <c r="U179">
        <f t="shared" si="166"/>
        <v>0</v>
      </c>
      <c r="V179">
        <f t="shared" si="167"/>
        <v>0</v>
      </c>
      <c r="W179">
        <f t="shared" si="168"/>
        <v>0</v>
      </c>
      <c r="X179">
        <f t="shared" si="169"/>
        <v>0</v>
      </c>
      <c r="Y179">
        <f t="shared" si="169"/>
        <v>0</v>
      </c>
      <c r="AA179">
        <v>70305036</v>
      </c>
      <c r="AB179">
        <f t="shared" si="170"/>
        <v>153.63</v>
      </c>
      <c r="AC179">
        <f t="shared" si="171"/>
        <v>153.63</v>
      </c>
      <c r="AD179">
        <f t="shared" si="172"/>
        <v>0</v>
      </c>
      <c r="AE179">
        <f t="shared" si="173"/>
        <v>0</v>
      </c>
      <c r="AF179">
        <f t="shared" si="173"/>
        <v>0</v>
      </c>
      <c r="AG179">
        <f t="shared" si="174"/>
        <v>0</v>
      </c>
      <c r="AH179">
        <f t="shared" si="175"/>
        <v>0</v>
      </c>
      <c r="AI179">
        <f t="shared" si="175"/>
        <v>0</v>
      </c>
      <c r="AJ179">
        <f t="shared" si="176"/>
        <v>0</v>
      </c>
      <c r="AK179">
        <v>153.63</v>
      </c>
      <c r="AL179">
        <v>153.63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1</v>
      </c>
      <c r="AW179">
        <v>1</v>
      </c>
      <c r="AZ179">
        <v>1</v>
      </c>
      <c r="BA179">
        <v>1</v>
      </c>
      <c r="BB179">
        <v>1</v>
      </c>
      <c r="BC179">
        <v>2.11</v>
      </c>
      <c r="BD179" t="s">
        <v>4</v>
      </c>
      <c r="BE179" t="s">
        <v>4</v>
      </c>
      <c r="BF179" t="s">
        <v>4</v>
      </c>
      <c r="BG179" t="s">
        <v>4</v>
      </c>
      <c r="BH179">
        <v>3</v>
      </c>
      <c r="BI179">
        <v>2</v>
      </c>
      <c r="BJ179" t="s">
        <v>238</v>
      </c>
      <c r="BM179">
        <v>1618</v>
      </c>
      <c r="BN179">
        <v>0</v>
      </c>
      <c r="BO179" t="s">
        <v>235</v>
      </c>
      <c r="BP179">
        <v>1</v>
      </c>
      <c r="BQ179">
        <v>201</v>
      </c>
      <c r="BR179">
        <v>0</v>
      </c>
      <c r="BS179">
        <v>1</v>
      </c>
      <c r="BT179">
        <v>1</v>
      </c>
      <c r="BU179">
        <v>1</v>
      </c>
      <c r="BV179">
        <v>1</v>
      </c>
      <c r="BW179">
        <v>1</v>
      </c>
      <c r="BX179">
        <v>1</v>
      </c>
      <c r="BY179" t="s">
        <v>4</v>
      </c>
      <c r="BZ179">
        <v>0</v>
      </c>
      <c r="CA179">
        <v>0</v>
      </c>
      <c r="CB179" t="s">
        <v>4</v>
      </c>
      <c r="CE179">
        <v>30</v>
      </c>
      <c r="CF179">
        <v>0</v>
      </c>
      <c r="CG179">
        <v>0</v>
      </c>
      <c r="CM179">
        <v>0</v>
      </c>
      <c r="CN179" t="s">
        <v>4</v>
      </c>
      <c r="CO179">
        <v>0</v>
      </c>
      <c r="CP179">
        <f t="shared" si="177"/>
        <v>10373.1</v>
      </c>
      <c r="CQ179">
        <f t="shared" si="178"/>
        <v>324.16000000000003</v>
      </c>
      <c r="CR179">
        <f t="shared" si="179"/>
        <v>0</v>
      </c>
      <c r="CS179">
        <f t="shared" si="180"/>
        <v>0</v>
      </c>
      <c r="CT179">
        <f t="shared" si="181"/>
        <v>0</v>
      </c>
      <c r="CU179">
        <f t="shared" si="182"/>
        <v>0</v>
      </c>
      <c r="CV179">
        <f t="shared" si="183"/>
        <v>0</v>
      </c>
      <c r="CW179">
        <f t="shared" si="184"/>
        <v>0</v>
      </c>
      <c r="CX179">
        <f t="shared" si="184"/>
        <v>0</v>
      </c>
      <c r="CY179">
        <f>S179*(BZ179/100)</f>
        <v>0</v>
      </c>
      <c r="CZ179">
        <f>S179*(CA179/100)</f>
        <v>0</v>
      </c>
      <c r="DC179" t="s">
        <v>4</v>
      </c>
      <c r="DD179" t="s">
        <v>4</v>
      </c>
      <c r="DE179" t="s">
        <v>4</v>
      </c>
      <c r="DF179" t="s">
        <v>4</v>
      </c>
      <c r="DG179" t="s">
        <v>4</v>
      </c>
      <c r="DH179" t="s">
        <v>4</v>
      </c>
      <c r="DI179" t="s">
        <v>4</v>
      </c>
      <c r="DJ179" t="s">
        <v>4</v>
      </c>
      <c r="DK179" t="s">
        <v>4</v>
      </c>
      <c r="DL179" t="s">
        <v>4</v>
      </c>
      <c r="DM179" t="s">
        <v>4</v>
      </c>
      <c r="DN179">
        <v>0</v>
      </c>
      <c r="DO179">
        <v>0</v>
      </c>
      <c r="DP179">
        <v>1</v>
      </c>
      <c r="DQ179">
        <v>1</v>
      </c>
      <c r="DU179">
        <v>1013</v>
      </c>
      <c r="DV179" t="s">
        <v>237</v>
      </c>
      <c r="DW179" t="s">
        <v>237</v>
      </c>
      <c r="DX179">
        <v>1</v>
      </c>
      <c r="DZ179" t="s">
        <v>4</v>
      </c>
      <c r="EA179" t="s">
        <v>4</v>
      </c>
      <c r="EB179" t="s">
        <v>4</v>
      </c>
      <c r="EC179" t="s">
        <v>4</v>
      </c>
      <c r="EE179">
        <v>69254243</v>
      </c>
      <c r="EF179">
        <v>201</v>
      </c>
      <c r="EG179" t="s">
        <v>226</v>
      </c>
      <c r="EH179">
        <v>0</v>
      </c>
      <c r="EI179" t="s">
        <v>4</v>
      </c>
      <c r="EJ179">
        <v>2</v>
      </c>
      <c r="EK179">
        <v>1618</v>
      </c>
      <c r="EL179" t="s">
        <v>227</v>
      </c>
      <c r="EM179" t="s">
        <v>228</v>
      </c>
      <c r="EO179" t="s">
        <v>4</v>
      </c>
      <c r="EQ179">
        <v>0</v>
      </c>
      <c r="ER179">
        <v>153.63</v>
      </c>
      <c r="ES179">
        <v>153.63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FQ179">
        <v>0</v>
      </c>
      <c r="FR179">
        <f t="shared" si="185"/>
        <v>0</v>
      </c>
      <c r="FS179">
        <v>0</v>
      </c>
      <c r="FX179">
        <v>0</v>
      </c>
      <c r="FY179">
        <v>0</v>
      </c>
      <c r="GA179" t="s">
        <v>4</v>
      </c>
      <c r="GD179">
        <v>0</v>
      </c>
      <c r="GF179">
        <v>-729980367</v>
      </c>
      <c r="GG179">
        <v>2</v>
      </c>
      <c r="GH179">
        <v>1</v>
      </c>
      <c r="GI179">
        <v>2</v>
      </c>
      <c r="GJ179">
        <v>0</v>
      </c>
      <c r="GK179">
        <f>ROUND(R179*(S12)/100,2)</f>
        <v>0</v>
      </c>
      <c r="GL179">
        <f t="shared" si="186"/>
        <v>0</v>
      </c>
      <c r="GM179">
        <f t="shared" si="187"/>
        <v>10373.1</v>
      </c>
      <c r="GN179">
        <f t="shared" si="188"/>
        <v>0</v>
      </c>
      <c r="GO179">
        <f t="shared" si="189"/>
        <v>10373.1</v>
      </c>
      <c r="GP179">
        <f t="shared" si="190"/>
        <v>0</v>
      </c>
      <c r="GR179">
        <v>0</v>
      </c>
      <c r="GS179">
        <v>3</v>
      </c>
      <c r="GT179">
        <v>0</v>
      </c>
      <c r="GU179" t="s">
        <v>4</v>
      </c>
      <c r="GV179">
        <f t="shared" si="191"/>
        <v>0</v>
      </c>
      <c r="GW179">
        <v>1</v>
      </c>
      <c r="GX179">
        <f t="shared" si="192"/>
        <v>0</v>
      </c>
      <c r="HA179">
        <v>0</v>
      </c>
      <c r="HB179">
        <v>0</v>
      </c>
      <c r="HC179">
        <f t="shared" si="193"/>
        <v>0</v>
      </c>
      <c r="HE179" t="s">
        <v>4</v>
      </c>
      <c r="HF179" t="s">
        <v>4</v>
      </c>
      <c r="HM179" t="s">
        <v>4</v>
      </c>
      <c r="HN179" t="s">
        <v>4</v>
      </c>
      <c r="HO179" t="s">
        <v>4</v>
      </c>
      <c r="HP179" t="s">
        <v>4</v>
      </c>
      <c r="HQ179" t="s">
        <v>4</v>
      </c>
      <c r="IK179">
        <v>0</v>
      </c>
    </row>
    <row r="180" spans="1:255">
      <c r="A180" s="2">
        <v>19</v>
      </c>
      <c r="B180" s="2">
        <v>1</v>
      </c>
      <c r="C180" s="2"/>
      <c r="D180" s="2"/>
      <c r="E180" s="2"/>
      <c r="F180" s="2" t="s">
        <v>4</v>
      </c>
      <c r="G180" s="2" t="s">
        <v>244</v>
      </c>
      <c r="H180" s="2" t="s">
        <v>4</v>
      </c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>
        <v>1</v>
      </c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  <c r="DT180" s="2"/>
      <c r="DU180" s="2"/>
      <c r="DV180" s="2"/>
      <c r="DW180" s="2"/>
      <c r="DX180" s="2"/>
      <c r="DY180" s="2"/>
      <c r="DZ180" s="2"/>
      <c r="EA180" s="2"/>
      <c r="EB180" s="2"/>
      <c r="EC180" s="2"/>
      <c r="ED180" s="2"/>
      <c r="EE180" s="2"/>
      <c r="EF180" s="2"/>
      <c r="EG180" s="2"/>
      <c r="EH180" s="2"/>
      <c r="EI180" s="2"/>
      <c r="EJ180" s="2"/>
      <c r="EK180" s="2"/>
      <c r="EL180" s="2"/>
      <c r="EM180" s="2"/>
      <c r="EN180" s="2"/>
      <c r="EO180" s="2"/>
      <c r="EP180" s="2"/>
      <c r="EQ180" s="2"/>
      <c r="ER180" s="2"/>
      <c r="ES180" s="2"/>
      <c r="ET180" s="2"/>
      <c r="EU180" s="2"/>
      <c r="EV180" s="2"/>
      <c r="EW180" s="2"/>
      <c r="EX180" s="2"/>
      <c r="EY180" s="2"/>
      <c r="EZ180" s="2"/>
      <c r="FA180" s="2"/>
      <c r="FB180" s="2"/>
      <c r="FC180" s="2"/>
      <c r="FD180" s="2"/>
      <c r="FE180" s="2"/>
      <c r="FF180" s="2"/>
      <c r="FG180" s="2"/>
      <c r="FH180" s="2"/>
      <c r="FI180" s="2"/>
      <c r="FJ180" s="2"/>
      <c r="FK180" s="2"/>
      <c r="FL180" s="2"/>
      <c r="FM180" s="2"/>
      <c r="FN180" s="2"/>
      <c r="FO180" s="2"/>
      <c r="FP180" s="2"/>
      <c r="FQ180" s="2"/>
      <c r="FR180" s="2"/>
      <c r="FS180" s="2"/>
      <c r="FT180" s="2"/>
      <c r="FU180" s="2"/>
      <c r="FV180" s="2"/>
      <c r="FW180" s="2"/>
      <c r="FX180" s="2"/>
      <c r="FY180" s="2"/>
      <c r="FZ180" s="2"/>
      <c r="GA180" s="2"/>
      <c r="GB180" s="2"/>
      <c r="GC180" s="2"/>
      <c r="GD180" s="2"/>
      <c r="GE180" s="2"/>
      <c r="GF180" s="2"/>
      <c r="GG180" s="2"/>
      <c r="GH180" s="2"/>
      <c r="GI180" s="2"/>
      <c r="GJ180" s="2"/>
      <c r="GK180" s="2"/>
      <c r="GL180" s="2"/>
      <c r="GM180" s="2"/>
      <c r="GN180" s="2"/>
      <c r="GO180" s="2"/>
      <c r="GP180" s="2"/>
      <c r="GQ180" s="2"/>
      <c r="GR180" s="2"/>
      <c r="GS180" s="2"/>
      <c r="GT180" s="2"/>
      <c r="GU180" s="2"/>
      <c r="GV180" s="2"/>
      <c r="GW180" s="2"/>
      <c r="GX180" s="2"/>
      <c r="GY180" s="2"/>
      <c r="GZ180" s="2"/>
      <c r="HA180" s="2"/>
      <c r="HB180" s="2"/>
      <c r="HC180" s="2"/>
      <c r="HD180" s="2"/>
      <c r="HE180" s="2"/>
      <c r="HF180" s="2"/>
      <c r="HG180" s="2"/>
      <c r="HH180" s="2"/>
      <c r="HI180" s="2"/>
      <c r="HJ180" s="2"/>
      <c r="HK180" s="2"/>
      <c r="HL180" s="2"/>
      <c r="HM180" s="2"/>
      <c r="HN180" s="2"/>
      <c r="HO180" s="2"/>
      <c r="HP180" s="2"/>
      <c r="HQ180" s="2"/>
      <c r="HR180" s="2"/>
      <c r="HS180" s="2"/>
      <c r="HT180" s="2"/>
      <c r="HU180" s="2"/>
      <c r="HV180" s="2"/>
      <c r="HW180" s="2"/>
      <c r="HX180" s="2"/>
      <c r="HY180" s="2"/>
      <c r="HZ180" s="2"/>
      <c r="IA180" s="2"/>
      <c r="IB180" s="2"/>
      <c r="IC180" s="2"/>
      <c r="ID180" s="2"/>
      <c r="IE180" s="2"/>
      <c r="IF180" s="2"/>
      <c r="IG180" s="2"/>
      <c r="IH180" s="2"/>
      <c r="II180" s="2"/>
      <c r="IJ180" s="2"/>
      <c r="IK180" s="2">
        <v>0</v>
      </c>
      <c r="IL180" s="2"/>
      <c r="IM180" s="2"/>
      <c r="IN180" s="2"/>
      <c r="IO180" s="2"/>
      <c r="IP180" s="2"/>
      <c r="IQ180" s="2"/>
      <c r="IR180" s="2"/>
      <c r="IS180" s="2"/>
      <c r="IT180" s="2"/>
      <c r="IU180" s="2"/>
    </row>
    <row r="181" spans="1:255">
      <c r="A181" s="2">
        <v>17</v>
      </c>
      <c r="B181" s="2">
        <v>1</v>
      </c>
      <c r="C181" s="2"/>
      <c r="D181" s="2">
        <f>ROW(EtalonRes!A229)</f>
        <v>229</v>
      </c>
      <c r="E181" s="2" t="s">
        <v>245</v>
      </c>
      <c r="F181" s="2" t="s">
        <v>246</v>
      </c>
      <c r="G181" s="2" t="s">
        <v>247</v>
      </c>
      <c r="H181" s="2" t="s">
        <v>248</v>
      </c>
      <c r="I181" s="2">
        <f>ROUND(ROUND((300)/100,2),9)</f>
        <v>3</v>
      </c>
      <c r="J181" s="2">
        <v>0</v>
      </c>
      <c r="K181" s="2">
        <f>ROUND(ROUND((300)/100,2),9)</f>
        <v>3</v>
      </c>
      <c r="L181" s="2"/>
      <c r="M181" s="2"/>
      <c r="N181" s="2"/>
      <c r="O181" s="2">
        <f t="shared" ref="O181:O202" si="194">ROUND(CP181,2)</f>
        <v>1455.43</v>
      </c>
      <c r="P181" s="2">
        <f t="shared" ref="P181:P202" si="195">ROUND((ROUND((AC181*AW181*I181),2)*BC181),2)</f>
        <v>0</v>
      </c>
      <c r="Q181" s="2">
        <f t="shared" ref="Q181:Q202" si="196">(ROUND((ROUND(((ET181)*AV181*I181),2)*BB181),2)+ROUND((ROUND(((AE181-(EU181))*AV181*I181),2)*BS181),2))</f>
        <v>1215.6400000000001</v>
      </c>
      <c r="R181" s="2">
        <f t="shared" ref="R181:R202" si="197">ROUND((ROUND((AE181*AV181*I181),2)*BS181),2)</f>
        <v>184.6</v>
      </c>
      <c r="S181" s="2">
        <f t="shared" ref="S181:S202" si="198">ROUND((ROUND((AF181*AV181*I181),2)*BA181),2)</f>
        <v>239.79</v>
      </c>
      <c r="T181" s="2">
        <f t="shared" ref="T181:T202" si="199">ROUND(CU181*I181,2)</f>
        <v>0</v>
      </c>
      <c r="U181" s="2">
        <f t="shared" ref="U181:U202" si="200">CV181*I181</f>
        <v>19.46208</v>
      </c>
      <c r="V181" s="2">
        <f t="shared" ref="V181:V202" si="201">CW181*I181</f>
        <v>0</v>
      </c>
      <c r="W181" s="2">
        <f t="shared" ref="W181:W202" si="202">ROUND(CX181*I181,2)</f>
        <v>0</v>
      </c>
      <c r="X181" s="2">
        <f t="shared" ref="X181:X202" si="203">ROUND(CY181,2)</f>
        <v>268.56</v>
      </c>
      <c r="Y181" s="2">
        <f t="shared" ref="Y181:Y202" si="204">ROUND(CZ181,2)</f>
        <v>167.85</v>
      </c>
      <c r="Z181" s="2"/>
      <c r="AA181" s="2">
        <v>70305038</v>
      </c>
      <c r="AB181" s="2">
        <f t="shared" ref="AB181:AB202" si="205">ROUND((AC181+AD181+AF181),6)</f>
        <v>454.68</v>
      </c>
      <c r="AC181" s="2">
        <f t="shared" ref="AC181:AC202" si="206">ROUND((ES181),6)</f>
        <v>0</v>
      </c>
      <c r="AD181" s="2">
        <f t="shared" ref="AD181:AD202" si="207">ROUND((((ET181)-(EU181))+AE181),6)</f>
        <v>379.77</v>
      </c>
      <c r="AE181" s="2">
        <f t="shared" ref="AE181:AE202" si="208">ROUND((EU181),6)</f>
        <v>57.67</v>
      </c>
      <c r="AF181" s="2">
        <f t="shared" ref="AF181:AF202" si="209">ROUND((EV181),6)</f>
        <v>74.91</v>
      </c>
      <c r="AG181" s="2">
        <f t="shared" ref="AG181:AG202" si="210">ROUND((AP181),6)</f>
        <v>0</v>
      </c>
      <c r="AH181" s="2">
        <f t="shared" ref="AH181:AH202" si="211">(EW181)</f>
        <v>6.08</v>
      </c>
      <c r="AI181" s="2">
        <f t="shared" ref="AI181:AI202" si="212">(EX181)</f>
        <v>0</v>
      </c>
      <c r="AJ181" s="2">
        <f t="shared" ref="AJ181:AJ202" si="213">(AS181)</f>
        <v>0</v>
      </c>
      <c r="AK181" s="2">
        <v>454.68</v>
      </c>
      <c r="AL181" s="2">
        <v>0</v>
      </c>
      <c r="AM181" s="2">
        <v>379.77</v>
      </c>
      <c r="AN181" s="2">
        <v>57.67</v>
      </c>
      <c r="AO181" s="2">
        <v>74.91</v>
      </c>
      <c r="AP181" s="2">
        <v>0</v>
      </c>
      <c r="AQ181" s="2">
        <v>6.08</v>
      </c>
      <c r="AR181" s="2">
        <v>0</v>
      </c>
      <c r="AS181" s="2">
        <v>0</v>
      </c>
      <c r="AT181" s="2">
        <v>112</v>
      </c>
      <c r="AU181" s="2">
        <v>70</v>
      </c>
      <c r="AV181" s="2">
        <v>1.0669999999999999</v>
      </c>
      <c r="AW181" s="2">
        <v>1.081</v>
      </c>
      <c r="AX181" s="2"/>
      <c r="AY181" s="2"/>
      <c r="AZ181" s="2">
        <v>1</v>
      </c>
      <c r="BA181" s="2">
        <v>1</v>
      </c>
      <c r="BB181" s="2">
        <v>1</v>
      </c>
      <c r="BC181" s="2">
        <v>1</v>
      </c>
      <c r="BD181" s="2" t="s">
        <v>4</v>
      </c>
      <c r="BE181" s="2" t="s">
        <v>4</v>
      </c>
      <c r="BF181" s="2" t="s">
        <v>4</v>
      </c>
      <c r="BG181" s="2" t="s">
        <v>4</v>
      </c>
      <c r="BH181" s="2">
        <v>0</v>
      </c>
      <c r="BI181" s="2">
        <v>2</v>
      </c>
      <c r="BJ181" s="2" t="s">
        <v>249</v>
      </c>
      <c r="BK181" s="2"/>
      <c r="BL181" s="2"/>
      <c r="BM181" s="2">
        <v>318</v>
      </c>
      <c r="BN181" s="2">
        <v>0</v>
      </c>
      <c r="BO181" s="2" t="s">
        <v>4</v>
      </c>
      <c r="BP181" s="2">
        <v>0</v>
      </c>
      <c r="BQ181" s="2">
        <v>40</v>
      </c>
      <c r="BR181" s="2">
        <v>0</v>
      </c>
      <c r="BS181" s="2">
        <v>1</v>
      </c>
      <c r="BT181" s="2">
        <v>1</v>
      </c>
      <c r="BU181" s="2">
        <v>1</v>
      </c>
      <c r="BV181" s="2">
        <v>1</v>
      </c>
      <c r="BW181" s="2">
        <v>1</v>
      </c>
      <c r="BX181" s="2">
        <v>1</v>
      </c>
      <c r="BY181" s="2" t="s">
        <v>4</v>
      </c>
      <c r="BZ181" s="2">
        <v>112</v>
      </c>
      <c r="CA181" s="2">
        <v>70</v>
      </c>
      <c r="CB181" s="2" t="s">
        <v>4</v>
      </c>
      <c r="CC181" s="2"/>
      <c r="CD181" s="2"/>
      <c r="CE181" s="2">
        <v>30</v>
      </c>
      <c r="CF181" s="2">
        <v>0</v>
      </c>
      <c r="CG181" s="2">
        <v>0</v>
      </c>
      <c r="CH181" s="2"/>
      <c r="CI181" s="2"/>
      <c r="CJ181" s="2"/>
      <c r="CK181" s="2"/>
      <c r="CL181" s="2"/>
      <c r="CM181" s="2">
        <v>0</v>
      </c>
      <c r="CN181" s="2" t="s">
        <v>4</v>
      </c>
      <c r="CO181" s="2">
        <v>0</v>
      </c>
      <c r="CP181" s="2">
        <f t="shared" ref="CP181:CP202" si="214">(P181+Q181+S181)</f>
        <v>1455.43</v>
      </c>
      <c r="CQ181" s="2">
        <f t="shared" ref="CQ181:CQ202" si="215">ROUND((ROUND((AC181*AW181*1),2)*BC181),2)</f>
        <v>0</v>
      </c>
      <c r="CR181" s="2">
        <f t="shared" ref="CR181:CR202" si="216">(ROUND((ROUND(((ET181)*AV181*1),2)*BB181),2)+ROUND((ROUND(((AE181-(EU181))*AV181*1),2)*BS181),2))</f>
        <v>405.21</v>
      </c>
      <c r="CS181" s="2">
        <f t="shared" ref="CS181:CS202" si="217">ROUND((ROUND((AE181*AV181*1),2)*BS181),2)</f>
        <v>61.53</v>
      </c>
      <c r="CT181" s="2">
        <f t="shared" ref="CT181:CT202" si="218">ROUND((ROUND((AF181*AV181*1),2)*BA181),2)</f>
        <v>79.930000000000007</v>
      </c>
      <c r="CU181" s="2">
        <f t="shared" ref="CU181:CU202" si="219">AG181</f>
        <v>0</v>
      </c>
      <c r="CV181" s="2">
        <f t="shared" ref="CV181:CV202" si="220">(AH181*AV181)</f>
        <v>6.4873599999999998</v>
      </c>
      <c r="CW181" s="2">
        <f t="shared" ref="CW181:CW202" si="221">AI181</f>
        <v>0</v>
      </c>
      <c r="CX181" s="2">
        <f t="shared" ref="CX181:CX202" si="222">AJ181</f>
        <v>0</v>
      </c>
      <c r="CY181" s="2">
        <f>((S181*BZ181)/100)</f>
        <v>268.56479999999999</v>
      </c>
      <c r="CZ181" s="2">
        <f>((S181*CA181)/100)</f>
        <v>167.85299999999998</v>
      </c>
      <c r="DA181" s="2"/>
      <c r="DB181" s="2"/>
      <c r="DC181" s="2" t="s">
        <v>4</v>
      </c>
      <c r="DD181" s="2" t="s">
        <v>4</v>
      </c>
      <c r="DE181" s="2" t="s">
        <v>4</v>
      </c>
      <c r="DF181" s="2" t="s">
        <v>4</v>
      </c>
      <c r="DG181" s="2" t="s">
        <v>4</v>
      </c>
      <c r="DH181" s="2" t="s">
        <v>4</v>
      </c>
      <c r="DI181" s="2" t="s">
        <v>4</v>
      </c>
      <c r="DJ181" s="2" t="s">
        <v>4</v>
      </c>
      <c r="DK181" s="2" t="s">
        <v>4</v>
      </c>
      <c r="DL181" s="2" t="s">
        <v>4</v>
      </c>
      <c r="DM181" s="2" t="s">
        <v>4</v>
      </c>
      <c r="DN181" s="2">
        <v>0</v>
      </c>
      <c r="DO181" s="2">
        <v>0</v>
      </c>
      <c r="DP181" s="2">
        <v>1</v>
      </c>
      <c r="DQ181" s="2">
        <v>1</v>
      </c>
      <c r="DR181" s="2"/>
      <c r="DS181" s="2"/>
      <c r="DT181" s="2"/>
      <c r="DU181" s="2">
        <v>1013</v>
      </c>
      <c r="DV181" s="2" t="s">
        <v>248</v>
      </c>
      <c r="DW181" s="2" t="s">
        <v>248</v>
      </c>
      <c r="DX181" s="2">
        <v>1</v>
      </c>
      <c r="DY181" s="2"/>
      <c r="DZ181" s="2" t="s">
        <v>4</v>
      </c>
      <c r="EA181" s="2" t="s">
        <v>4</v>
      </c>
      <c r="EB181" s="2" t="s">
        <v>4</v>
      </c>
      <c r="EC181" s="2" t="s">
        <v>4</v>
      </c>
      <c r="ED181" s="2"/>
      <c r="EE181" s="2">
        <v>69252943</v>
      </c>
      <c r="EF181" s="2">
        <v>40</v>
      </c>
      <c r="EG181" s="2" t="s">
        <v>219</v>
      </c>
      <c r="EH181" s="2">
        <v>0</v>
      </c>
      <c r="EI181" s="2" t="s">
        <v>4</v>
      </c>
      <c r="EJ181" s="2">
        <v>2</v>
      </c>
      <c r="EK181" s="2">
        <v>318</v>
      </c>
      <c r="EL181" s="2" t="s">
        <v>250</v>
      </c>
      <c r="EM181" s="2" t="s">
        <v>251</v>
      </c>
      <c r="EN181" s="2"/>
      <c r="EO181" s="2" t="s">
        <v>4</v>
      </c>
      <c r="EP181" s="2"/>
      <c r="EQ181" s="2">
        <v>131072</v>
      </c>
      <c r="ER181" s="2">
        <v>454.68</v>
      </c>
      <c r="ES181" s="2">
        <v>0</v>
      </c>
      <c r="ET181" s="2">
        <v>379.77</v>
      </c>
      <c r="EU181" s="2">
        <v>57.67</v>
      </c>
      <c r="EV181" s="2">
        <v>74.91</v>
      </c>
      <c r="EW181" s="2">
        <v>6.08</v>
      </c>
      <c r="EX181" s="2">
        <v>0</v>
      </c>
      <c r="EY181" s="2">
        <v>0</v>
      </c>
      <c r="EZ181" s="2"/>
      <c r="FA181" s="2"/>
      <c r="FB181" s="2"/>
      <c r="FC181" s="2"/>
      <c r="FD181" s="2"/>
      <c r="FE181" s="2"/>
      <c r="FF181" s="2"/>
      <c r="FG181" s="2"/>
      <c r="FH181" s="2"/>
      <c r="FI181" s="2"/>
      <c r="FJ181" s="2"/>
      <c r="FK181" s="2"/>
      <c r="FL181" s="2"/>
      <c r="FM181" s="2"/>
      <c r="FN181" s="2"/>
      <c r="FO181" s="2"/>
      <c r="FP181" s="2"/>
      <c r="FQ181" s="2">
        <v>0</v>
      </c>
      <c r="FR181" s="2">
        <f t="shared" ref="FR181:FR202" si="223">ROUND(IF(BI181=3,GM181,0),2)</f>
        <v>0</v>
      </c>
      <c r="FS181" s="2">
        <v>0</v>
      </c>
      <c r="FT181" s="2"/>
      <c r="FU181" s="2"/>
      <c r="FV181" s="2"/>
      <c r="FW181" s="2"/>
      <c r="FX181" s="2">
        <v>112</v>
      </c>
      <c r="FY181" s="2">
        <v>70</v>
      </c>
      <c r="FZ181" s="2"/>
      <c r="GA181" s="2" t="s">
        <v>4</v>
      </c>
      <c r="GB181" s="2"/>
      <c r="GC181" s="2"/>
      <c r="GD181" s="2">
        <v>0</v>
      </c>
      <c r="GE181" s="2"/>
      <c r="GF181" s="2">
        <v>1321402487</v>
      </c>
      <c r="GG181" s="2">
        <v>2</v>
      </c>
      <c r="GH181" s="2">
        <v>1</v>
      </c>
      <c r="GI181" s="2">
        <v>-2</v>
      </c>
      <c r="GJ181" s="2">
        <v>0</v>
      </c>
      <c r="GK181" s="2">
        <f>ROUND(R181*(R12)/100,2)</f>
        <v>323.05</v>
      </c>
      <c r="GL181" s="2">
        <f t="shared" ref="GL181:GL202" si="224">ROUND(IF(AND(BH181=3,BI181=3,FS181&lt;&gt;0),P181,0),2)</f>
        <v>0</v>
      </c>
      <c r="GM181" s="2">
        <f t="shared" ref="GM181:GM202" si="225">ROUND(O181+X181+Y181+GK181,2)+GX181</f>
        <v>2214.89</v>
      </c>
      <c r="GN181" s="2">
        <f t="shared" ref="GN181:GN202" si="226">IF(OR(BI181=0,BI181=1),GM181-GX181,0)</f>
        <v>0</v>
      </c>
      <c r="GO181" s="2">
        <f t="shared" ref="GO181:GO202" si="227">IF(BI181=2,GM181-GX181,0)</f>
        <v>2214.89</v>
      </c>
      <c r="GP181" s="2">
        <f t="shared" ref="GP181:GP202" si="228">IF(BI181=4,GM181-GX181,0)</f>
        <v>0</v>
      </c>
      <c r="GQ181" s="2"/>
      <c r="GR181" s="2">
        <v>0</v>
      </c>
      <c r="GS181" s="2">
        <v>0</v>
      </c>
      <c r="GT181" s="2">
        <v>0</v>
      </c>
      <c r="GU181" s="2" t="s">
        <v>4</v>
      </c>
      <c r="GV181" s="2">
        <f t="shared" ref="GV181:GV202" si="229">ROUND((GT181),6)</f>
        <v>0</v>
      </c>
      <c r="GW181" s="2">
        <v>1</v>
      </c>
      <c r="GX181" s="2">
        <f t="shared" ref="GX181:GX202" si="230">ROUND(HC181*I181,2)</f>
        <v>0</v>
      </c>
      <c r="GY181" s="2"/>
      <c r="GZ181" s="2"/>
      <c r="HA181" s="2">
        <v>0</v>
      </c>
      <c r="HB181" s="2">
        <v>0</v>
      </c>
      <c r="HC181" s="2">
        <f t="shared" ref="HC181:HC202" si="231">GV181*GW181</f>
        <v>0</v>
      </c>
      <c r="HD181" s="2"/>
      <c r="HE181" s="2" t="s">
        <v>4</v>
      </c>
      <c r="HF181" s="2" t="s">
        <v>4</v>
      </c>
      <c r="HG181" s="2"/>
      <c r="HH181" s="2"/>
      <c r="HI181" s="2"/>
      <c r="HJ181" s="2"/>
      <c r="HK181" s="2"/>
      <c r="HL181" s="2"/>
      <c r="HM181" s="2" t="s">
        <v>4</v>
      </c>
      <c r="HN181" s="2" t="s">
        <v>4</v>
      </c>
      <c r="HO181" s="2" t="s">
        <v>4</v>
      </c>
      <c r="HP181" s="2" t="s">
        <v>4</v>
      </c>
      <c r="HQ181" s="2" t="s">
        <v>4</v>
      </c>
      <c r="HR181" s="2"/>
      <c r="HS181" s="2"/>
      <c r="HT181" s="2"/>
      <c r="HU181" s="2"/>
      <c r="HV181" s="2"/>
      <c r="HW181" s="2"/>
      <c r="HX181" s="2"/>
      <c r="HY181" s="2"/>
      <c r="HZ181" s="2"/>
      <c r="IA181" s="2"/>
      <c r="IB181" s="2"/>
      <c r="IC181" s="2"/>
      <c r="ID181" s="2"/>
      <c r="IE181" s="2"/>
      <c r="IF181" s="2"/>
      <c r="IG181" s="2"/>
      <c r="IH181" s="2"/>
      <c r="II181" s="2"/>
      <c r="IJ181" s="2"/>
      <c r="IK181" s="2">
        <v>0</v>
      </c>
      <c r="IL181" s="2"/>
      <c r="IM181" s="2"/>
      <c r="IN181" s="2"/>
      <c r="IO181" s="2"/>
      <c r="IP181" s="2"/>
      <c r="IQ181" s="2"/>
      <c r="IR181" s="2"/>
      <c r="IS181" s="2"/>
      <c r="IT181" s="2"/>
      <c r="IU181" s="2"/>
    </row>
    <row r="182" spans="1:255">
      <c r="A182">
        <v>17</v>
      </c>
      <c r="B182">
        <v>1</v>
      </c>
      <c r="D182">
        <f>ROW(EtalonRes!A232)</f>
        <v>232</v>
      </c>
      <c r="E182" t="s">
        <v>245</v>
      </c>
      <c r="F182" t="s">
        <v>246</v>
      </c>
      <c r="G182" t="s">
        <v>247</v>
      </c>
      <c r="H182" t="s">
        <v>248</v>
      </c>
      <c r="I182">
        <f>ROUND(ROUND((300)/100,2),9)</f>
        <v>3</v>
      </c>
      <c r="J182">
        <v>0</v>
      </c>
      <c r="K182">
        <f>ROUND(ROUND((300)/100,2),9)</f>
        <v>3</v>
      </c>
      <c r="O182">
        <f t="shared" si="194"/>
        <v>29474.23</v>
      </c>
      <c r="P182">
        <f t="shared" si="195"/>
        <v>0</v>
      </c>
      <c r="Q182">
        <f t="shared" si="196"/>
        <v>18283.23</v>
      </c>
      <c r="R182">
        <f t="shared" si="197"/>
        <v>8615.2800000000007</v>
      </c>
      <c r="S182">
        <f t="shared" si="198"/>
        <v>11191</v>
      </c>
      <c r="T182">
        <f t="shared" si="199"/>
        <v>0</v>
      </c>
      <c r="U182">
        <f t="shared" si="200"/>
        <v>19.46208</v>
      </c>
      <c r="V182">
        <f t="shared" si="201"/>
        <v>0</v>
      </c>
      <c r="W182">
        <f t="shared" si="202"/>
        <v>0</v>
      </c>
      <c r="X182">
        <f t="shared" si="203"/>
        <v>10295.719999999999</v>
      </c>
      <c r="Y182">
        <f t="shared" si="204"/>
        <v>4812.13</v>
      </c>
      <c r="AA182">
        <v>70305036</v>
      </c>
      <c r="AB182">
        <f t="shared" si="205"/>
        <v>454.68</v>
      </c>
      <c r="AC182">
        <f t="shared" si="206"/>
        <v>0</v>
      </c>
      <c r="AD182">
        <f t="shared" si="207"/>
        <v>379.77</v>
      </c>
      <c r="AE182">
        <f t="shared" si="208"/>
        <v>57.67</v>
      </c>
      <c r="AF182">
        <f t="shared" si="209"/>
        <v>74.91</v>
      </c>
      <c r="AG182">
        <f t="shared" si="210"/>
        <v>0</v>
      </c>
      <c r="AH182">
        <f t="shared" si="211"/>
        <v>6.08</v>
      </c>
      <c r="AI182">
        <f t="shared" si="212"/>
        <v>0</v>
      </c>
      <c r="AJ182">
        <f t="shared" si="213"/>
        <v>0</v>
      </c>
      <c r="AK182">
        <v>454.68</v>
      </c>
      <c r="AL182">
        <v>0</v>
      </c>
      <c r="AM182">
        <v>379.77</v>
      </c>
      <c r="AN182">
        <v>57.67</v>
      </c>
      <c r="AO182">
        <v>74.91</v>
      </c>
      <c r="AP182">
        <v>0</v>
      </c>
      <c r="AQ182">
        <v>6.08</v>
      </c>
      <c r="AR182">
        <v>0</v>
      </c>
      <c r="AS182">
        <v>0</v>
      </c>
      <c r="AT182">
        <v>92</v>
      </c>
      <c r="AU182">
        <v>43</v>
      </c>
      <c r="AV182">
        <v>1.0669999999999999</v>
      </c>
      <c r="AW182">
        <v>1.081</v>
      </c>
      <c r="AZ182">
        <v>1</v>
      </c>
      <c r="BA182">
        <v>46.67</v>
      </c>
      <c r="BB182">
        <v>15.04</v>
      </c>
      <c r="BC182">
        <v>1</v>
      </c>
      <c r="BD182" t="s">
        <v>4</v>
      </c>
      <c r="BE182" t="s">
        <v>4</v>
      </c>
      <c r="BF182" t="s">
        <v>4</v>
      </c>
      <c r="BG182" t="s">
        <v>4</v>
      </c>
      <c r="BH182">
        <v>0</v>
      </c>
      <c r="BI182">
        <v>2</v>
      </c>
      <c r="BJ182" t="s">
        <v>249</v>
      </c>
      <c r="BM182">
        <v>318</v>
      </c>
      <c r="BN182">
        <v>0</v>
      </c>
      <c r="BO182" t="s">
        <v>246</v>
      </c>
      <c r="BP182">
        <v>1</v>
      </c>
      <c r="BQ182">
        <v>40</v>
      </c>
      <c r="BR182">
        <v>0</v>
      </c>
      <c r="BS182">
        <v>46.67</v>
      </c>
      <c r="BT182">
        <v>1</v>
      </c>
      <c r="BU182">
        <v>1</v>
      </c>
      <c r="BV182">
        <v>1</v>
      </c>
      <c r="BW182">
        <v>1</v>
      </c>
      <c r="BX182">
        <v>1</v>
      </c>
      <c r="BY182" t="s">
        <v>4</v>
      </c>
      <c r="BZ182">
        <v>92</v>
      </c>
      <c r="CA182">
        <v>43</v>
      </c>
      <c r="CB182" t="s">
        <v>4</v>
      </c>
      <c r="CE182">
        <v>30</v>
      </c>
      <c r="CF182">
        <v>0</v>
      </c>
      <c r="CG182">
        <v>0</v>
      </c>
      <c r="CM182">
        <v>0</v>
      </c>
      <c r="CN182" t="s">
        <v>4</v>
      </c>
      <c r="CO182">
        <v>0</v>
      </c>
      <c r="CP182">
        <f t="shared" si="214"/>
        <v>29474.23</v>
      </c>
      <c r="CQ182">
        <f t="shared" si="215"/>
        <v>0</v>
      </c>
      <c r="CR182">
        <f t="shared" si="216"/>
        <v>6094.36</v>
      </c>
      <c r="CS182">
        <f t="shared" si="217"/>
        <v>2871.61</v>
      </c>
      <c r="CT182">
        <f t="shared" si="218"/>
        <v>3730.33</v>
      </c>
      <c r="CU182">
        <f t="shared" si="219"/>
        <v>0</v>
      </c>
      <c r="CV182">
        <f t="shared" si="220"/>
        <v>6.4873599999999998</v>
      </c>
      <c r="CW182">
        <f t="shared" si="221"/>
        <v>0</v>
      </c>
      <c r="CX182">
        <f t="shared" si="222"/>
        <v>0</v>
      </c>
      <c r="CY182">
        <f>S182*(BZ182/100)</f>
        <v>10295.720000000001</v>
      </c>
      <c r="CZ182">
        <f>S182*(CA182/100)</f>
        <v>4812.13</v>
      </c>
      <c r="DC182" t="s">
        <v>4</v>
      </c>
      <c r="DD182" t="s">
        <v>4</v>
      </c>
      <c r="DE182" t="s">
        <v>4</v>
      </c>
      <c r="DF182" t="s">
        <v>4</v>
      </c>
      <c r="DG182" t="s">
        <v>4</v>
      </c>
      <c r="DH182" t="s">
        <v>4</v>
      </c>
      <c r="DI182" t="s">
        <v>4</v>
      </c>
      <c r="DJ182" t="s">
        <v>4</v>
      </c>
      <c r="DK182" t="s">
        <v>4</v>
      </c>
      <c r="DL182" t="s">
        <v>4</v>
      </c>
      <c r="DM182" t="s">
        <v>4</v>
      </c>
      <c r="DN182">
        <v>112</v>
      </c>
      <c r="DO182">
        <v>70</v>
      </c>
      <c r="DP182">
        <v>1.0669999999999999</v>
      </c>
      <c r="DQ182">
        <v>1.081</v>
      </c>
      <c r="DU182">
        <v>1013</v>
      </c>
      <c r="DV182" t="s">
        <v>248</v>
      </c>
      <c r="DW182" t="s">
        <v>248</v>
      </c>
      <c r="DX182">
        <v>1</v>
      </c>
      <c r="DZ182" t="s">
        <v>4</v>
      </c>
      <c r="EA182" t="s">
        <v>4</v>
      </c>
      <c r="EB182" t="s">
        <v>4</v>
      </c>
      <c r="EC182" t="s">
        <v>4</v>
      </c>
      <c r="EE182">
        <v>69252943</v>
      </c>
      <c r="EF182">
        <v>40</v>
      </c>
      <c r="EG182" t="s">
        <v>219</v>
      </c>
      <c r="EH182">
        <v>0</v>
      </c>
      <c r="EI182" t="s">
        <v>4</v>
      </c>
      <c r="EJ182">
        <v>2</v>
      </c>
      <c r="EK182">
        <v>318</v>
      </c>
      <c r="EL182" t="s">
        <v>250</v>
      </c>
      <c r="EM182" t="s">
        <v>251</v>
      </c>
      <c r="EO182" t="s">
        <v>4</v>
      </c>
      <c r="EQ182">
        <v>131072</v>
      </c>
      <c r="ER182">
        <v>454.68</v>
      </c>
      <c r="ES182">
        <v>0</v>
      </c>
      <c r="ET182">
        <v>379.77</v>
      </c>
      <c r="EU182">
        <v>57.67</v>
      </c>
      <c r="EV182">
        <v>74.91</v>
      </c>
      <c r="EW182">
        <v>6.08</v>
      </c>
      <c r="EX182">
        <v>0</v>
      </c>
      <c r="EY182">
        <v>0</v>
      </c>
      <c r="FQ182">
        <v>0</v>
      </c>
      <c r="FR182">
        <f t="shared" si="223"/>
        <v>0</v>
      </c>
      <c r="FS182">
        <v>0</v>
      </c>
      <c r="FX182">
        <v>112</v>
      </c>
      <c r="FY182">
        <v>70</v>
      </c>
      <c r="GA182" t="s">
        <v>4</v>
      </c>
      <c r="GD182">
        <v>0</v>
      </c>
      <c r="GF182">
        <v>1321402487</v>
      </c>
      <c r="GG182">
        <v>2</v>
      </c>
      <c r="GH182">
        <v>1</v>
      </c>
      <c r="GI182">
        <v>2</v>
      </c>
      <c r="GJ182">
        <v>0</v>
      </c>
      <c r="GK182">
        <f>ROUND(R182*(S12)/100,2)</f>
        <v>13784.45</v>
      </c>
      <c r="GL182">
        <f t="shared" si="224"/>
        <v>0</v>
      </c>
      <c r="GM182">
        <f t="shared" si="225"/>
        <v>58366.53</v>
      </c>
      <c r="GN182">
        <f t="shared" si="226"/>
        <v>0</v>
      </c>
      <c r="GO182">
        <f t="shared" si="227"/>
        <v>58366.53</v>
      </c>
      <c r="GP182">
        <f t="shared" si="228"/>
        <v>0</v>
      </c>
      <c r="GR182">
        <v>0</v>
      </c>
      <c r="GS182">
        <v>3</v>
      </c>
      <c r="GT182">
        <v>0</v>
      </c>
      <c r="GU182" t="s">
        <v>4</v>
      </c>
      <c r="GV182">
        <f t="shared" si="229"/>
        <v>0</v>
      </c>
      <c r="GW182">
        <v>1</v>
      </c>
      <c r="GX182">
        <f t="shared" si="230"/>
        <v>0</v>
      </c>
      <c r="HA182">
        <v>0</v>
      </c>
      <c r="HB182">
        <v>0</v>
      </c>
      <c r="HC182">
        <f t="shared" si="231"/>
        <v>0</v>
      </c>
      <c r="HE182" t="s">
        <v>4</v>
      </c>
      <c r="HF182" t="s">
        <v>4</v>
      </c>
      <c r="HM182" t="s">
        <v>4</v>
      </c>
      <c r="HN182" t="s">
        <v>4</v>
      </c>
      <c r="HO182" t="s">
        <v>4</v>
      </c>
      <c r="HP182" t="s">
        <v>4</v>
      </c>
      <c r="HQ182" t="s">
        <v>4</v>
      </c>
      <c r="IK182">
        <v>0</v>
      </c>
    </row>
    <row r="183" spans="1:255">
      <c r="A183" s="2">
        <v>17</v>
      </c>
      <c r="B183" s="2">
        <v>1</v>
      </c>
      <c r="C183" s="2"/>
      <c r="D183" s="2">
        <f>ROW(EtalonRes!A235)</f>
        <v>235</v>
      </c>
      <c r="E183" s="2" t="s">
        <v>252</v>
      </c>
      <c r="F183" s="2" t="s">
        <v>253</v>
      </c>
      <c r="G183" s="2" t="s">
        <v>254</v>
      </c>
      <c r="H183" s="2" t="s">
        <v>248</v>
      </c>
      <c r="I183" s="2">
        <f>ROUND(I181,9)</f>
        <v>3</v>
      </c>
      <c r="J183" s="2">
        <v>0</v>
      </c>
      <c r="K183" s="2">
        <f>ROUND(I181,9)</f>
        <v>3</v>
      </c>
      <c r="L183" s="2"/>
      <c r="M183" s="2"/>
      <c r="N183" s="2"/>
      <c r="O183" s="2">
        <f t="shared" si="194"/>
        <v>438.38</v>
      </c>
      <c r="P183" s="2">
        <f t="shared" si="195"/>
        <v>0</v>
      </c>
      <c r="Q183" s="2">
        <f t="shared" si="196"/>
        <v>348.46</v>
      </c>
      <c r="R183" s="2">
        <f t="shared" si="197"/>
        <v>52.91</v>
      </c>
      <c r="S183" s="2">
        <f t="shared" si="198"/>
        <v>89.92</v>
      </c>
      <c r="T183" s="2">
        <f t="shared" si="199"/>
        <v>0</v>
      </c>
      <c r="U183" s="2">
        <f t="shared" si="200"/>
        <v>7.2982799999999983</v>
      </c>
      <c r="V183" s="2">
        <f t="shared" si="201"/>
        <v>0</v>
      </c>
      <c r="W183" s="2">
        <f t="shared" si="202"/>
        <v>0</v>
      </c>
      <c r="X183" s="2">
        <f t="shared" si="203"/>
        <v>100.71</v>
      </c>
      <c r="Y183" s="2">
        <f t="shared" si="204"/>
        <v>62.94</v>
      </c>
      <c r="Z183" s="2"/>
      <c r="AA183" s="2">
        <v>70305038</v>
      </c>
      <c r="AB183" s="2">
        <f t="shared" si="205"/>
        <v>136.94999999999999</v>
      </c>
      <c r="AC183" s="2">
        <f t="shared" si="206"/>
        <v>0</v>
      </c>
      <c r="AD183" s="2">
        <f t="shared" si="207"/>
        <v>108.86</v>
      </c>
      <c r="AE183" s="2">
        <f t="shared" si="208"/>
        <v>16.53</v>
      </c>
      <c r="AF183" s="2">
        <f t="shared" si="209"/>
        <v>28.09</v>
      </c>
      <c r="AG183" s="2">
        <f t="shared" si="210"/>
        <v>0</v>
      </c>
      <c r="AH183" s="2">
        <f t="shared" si="211"/>
        <v>2.2799999999999998</v>
      </c>
      <c r="AI183" s="2">
        <f t="shared" si="212"/>
        <v>0</v>
      </c>
      <c r="AJ183" s="2">
        <f t="shared" si="213"/>
        <v>0</v>
      </c>
      <c r="AK183" s="2">
        <v>136.94999999999999</v>
      </c>
      <c r="AL183" s="2">
        <v>0</v>
      </c>
      <c r="AM183" s="2">
        <v>108.86</v>
      </c>
      <c r="AN183" s="2">
        <v>16.53</v>
      </c>
      <c r="AO183" s="2">
        <v>28.09</v>
      </c>
      <c r="AP183" s="2">
        <v>0</v>
      </c>
      <c r="AQ183" s="2">
        <v>2.2799999999999998</v>
      </c>
      <c r="AR183" s="2">
        <v>0</v>
      </c>
      <c r="AS183" s="2">
        <v>0</v>
      </c>
      <c r="AT183" s="2">
        <v>112</v>
      </c>
      <c r="AU183" s="2">
        <v>70</v>
      </c>
      <c r="AV183" s="2">
        <v>1.0669999999999999</v>
      </c>
      <c r="AW183" s="2">
        <v>1.081</v>
      </c>
      <c r="AX183" s="2"/>
      <c r="AY183" s="2"/>
      <c r="AZ183" s="2">
        <v>1</v>
      </c>
      <c r="BA183" s="2">
        <v>1</v>
      </c>
      <c r="BB183" s="2">
        <v>1</v>
      </c>
      <c r="BC183" s="2">
        <v>1</v>
      </c>
      <c r="BD183" s="2" t="s">
        <v>4</v>
      </c>
      <c r="BE183" s="2" t="s">
        <v>4</v>
      </c>
      <c r="BF183" s="2" t="s">
        <v>4</v>
      </c>
      <c r="BG183" s="2" t="s">
        <v>4</v>
      </c>
      <c r="BH183" s="2">
        <v>0</v>
      </c>
      <c r="BI183" s="2">
        <v>2</v>
      </c>
      <c r="BJ183" s="2" t="s">
        <v>255</v>
      </c>
      <c r="BK183" s="2"/>
      <c r="BL183" s="2"/>
      <c r="BM183" s="2">
        <v>318</v>
      </c>
      <c r="BN183" s="2">
        <v>0</v>
      </c>
      <c r="BO183" s="2" t="s">
        <v>4</v>
      </c>
      <c r="BP183" s="2">
        <v>0</v>
      </c>
      <c r="BQ183" s="2">
        <v>40</v>
      </c>
      <c r="BR183" s="2">
        <v>0</v>
      </c>
      <c r="BS183" s="2">
        <v>1</v>
      </c>
      <c r="BT183" s="2">
        <v>1</v>
      </c>
      <c r="BU183" s="2">
        <v>1</v>
      </c>
      <c r="BV183" s="2">
        <v>1</v>
      </c>
      <c r="BW183" s="2">
        <v>1</v>
      </c>
      <c r="BX183" s="2">
        <v>1</v>
      </c>
      <c r="BY183" s="2" t="s">
        <v>4</v>
      </c>
      <c r="BZ183" s="2">
        <v>112</v>
      </c>
      <c r="CA183" s="2">
        <v>70</v>
      </c>
      <c r="CB183" s="2" t="s">
        <v>4</v>
      </c>
      <c r="CC183" s="2"/>
      <c r="CD183" s="2"/>
      <c r="CE183" s="2">
        <v>30</v>
      </c>
      <c r="CF183" s="2">
        <v>0</v>
      </c>
      <c r="CG183" s="2">
        <v>0</v>
      </c>
      <c r="CH183" s="2"/>
      <c r="CI183" s="2"/>
      <c r="CJ183" s="2"/>
      <c r="CK183" s="2"/>
      <c r="CL183" s="2"/>
      <c r="CM183" s="2">
        <v>0</v>
      </c>
      <c r="CN183" s="2" t="s">
        <v>4</v>
      </c>
      <c r="CO183" s="2">
        <v>0</v>
      </c>
      <c r="CP183" s="2">
        <f t="shared" si="214"/>
        <v>438.38</v>
      </c>
      <c r="CQ183" s="2">
        <f t="shared" si="215"/>
        <v>0</v>
      </c>
      <c r="CR183" s="2">
        <f t="shared" si="216"/>
        <v>116.15</v>
      </c>
      <c r="CS183" s="2">
        <f t="shared" si="217"/>
        <v>17.64</v>
      </c>
      <c r="CT183" s="2">
        <f t="shared" si="218"/>
        <v>29.97</v>
      </c>
      <c r="CU183" s="2">
        <f t="shared" si="219"/>
        <v>0</v>
      </c>
      <c r="CV183" s="2">
        <f t="shared" si="220"/>
        <v>2.4327599999999996</v>
      </c>
      <c r="CW183" s="2">
        <f t="shared" si="221"/>
        <v>0</v>
      </c>
      <c r="CX183" s="2">
        <f t="shared" si="222"/>
        <v>0</v>
      </c>
      <c r="CY183" s="2">
        <f>((S183*BZ183)/100)</f>
        <v>100.71040000000001</v>
      </c>
      <c r="CZ183" s="2">
        <f>((S183*CA183)/100)</f>
        <v>62.944000000000003</v>
      </c>
      <c r="DA183" s="2"/>
      <c r="DB183" s="2"/>
      <c r="DC183" s="2" t="s">
        <v>4</v>
      </c>
      <c r="DD183" s="2" t="s">
        <v>4</v>
      </c>
      <c r="DE183" s="2" t="s">
        <v>4</v>
      </c>
      <c r="DF183" s="2" t="s">
        <v>4</v>
      </c>
      <c r="DG183" s="2" t="s">
        <v>4</v>
      </c>
      <c r="DH183" s="2" t="s">
        <v>4</v>
      </c>
      <c r="DI183" s="2" t="s">
        <v>4</v>
      </c>
      <c r="DJ183" s="2" t="s">
        <v>4</v>
      </c>
      <c r="DK183" s="2" t="s">
        <v>4</v>
      </c>
      <c r="DL183" s="2" t="s">
        <v>4</v>
      </c>
      <c r="DM183" s="2" t="s">
        <v>4</v>
      </c>
      <c r="DN183" s="2">
        <v>0</v>
      </c>
      <c r="DO183" s="2">
        <v>0</v>
      </c>
      <c r="DP183" s="2">
        <v>1</v>
      </c>
      <c r="DQ183" s="2">
        <v>1</v>
      </c>
      <c r="DR183" s="2"/>
      <c r="DS183" s="2"/>
      <c r="DT183" s="2"/>
      <c r="DU183" s="2">
        <v>1013</v>
      </c>
      <c r="DV183" s="2" t="s">
        <v>248</v>
      </c>
      <c r="DW183" s="2" t="s">
        <v>248</v>
      </c>
      <c r="DX183" s="2">
        <v>1</v>
      </c>
      <c r="DY183" s="2"/>
      <c r="DZ183" s="2" t="s">
        <v>4</v>
      </c>
      <c r="EA183" s="2" t="s">
        <v>4</v>
      </c>
      <c r="EB183" s="2" t="s">
        <v>4</v>
      </c>
      <c r="EC183" s="2" t="s">
        <v>4</v>
      </c>
      <c r="ED183" s="2"/>
      <c r="EE183" s="2">
        <v>69252943</v>
      </c>
      <c r="EF183" s="2">
        <v>40</v>
      </c>
      <c r="EG183" s="2" t="s">
        <v>219</v>
      </c>
      <c r="EH183" s="2">
        <v>0</v>
      </c>
      <c r="EI183" s="2" t="s">
        <v>4</v>
      </c>
      <c r="EJ183" s="2">
        <v>2</v>
      </c>
      <c r="EK183" s="2">
        <v>318</v>
      </c>
      <c r="EL183" s="2" t="s">
        <v>250</v>
      </c>
      <c r="EM183" s="2" t="s">
        <v>251</v>
      </c>
      <c r="EN183" s="2"/>
      <c r="EO183" s="2" t="s">
        <v>4</v>
      </c>
      <c r="EP183" s="2"/>
      <c r="EQ183" s="2">
        <v>131072</v>
      </c>
      <c r="ER183" s="2">
        <v>136.94999999999999</v>
      </c>
      <c r="ES183" s="2">
        <v>0</v>
      </c>
      <c r="ET183" s="2">
        <v>108.86</v>
      </c>
      <c r="EU183" s="2">
        <v>16.53</v>
      </c>
      <c r="EV183" s="2">
        <v>28.09</v>
      </c>
      <c r="EW183" s="2">
        <v>2.2799999999999998</v>
      </c>
      <c r="EX183" s="2">
        <v>0</v>
      </c>
      <c r="EY183" s="2">
        <v>0</v>
      </c>
      <c r="EZ183" s="2"/>
      <c r="FA183" s="2"/>
      <c r="FB183" s="2"/>
      <c r="FC183" s="2"/>
      <c r="FD183" s="2"/>
      <c r="FE183" s="2"/>
      <c r="FF183" s="2"/>
      <c r="FG183" s="2"/>
      <c r="FH183" s="2"/>
      <c r="FI183" s="2"/>
      <c r="FJ183" s="2"/>
      <c r="FK183" s="2"/>
      <c r="FL183" s="2"/>
      <c r="FM183" s="2"/>
      <c r="FN183" s="2"/>
      <c r="FO183" s="2"/>
      <c r="FP183" s="2"/>
      <c r="FQ183" s="2">
        <v>0</v>
      </c>
      <c r="FR183" s="2">
        <f t="shared" si="223"/>
        <v>0</v>
      </c>
      <c r="FS183" s="2">
        <v>0</v>
      </c>
      <c r="FT183" s="2"/>
      <c r="FU183" s="2"/>
      <c r="FV183" s="2"/>
      <c r="FW183" s="2"/>
      <c r="FX183" s="2">
        <v>112</v>
      </c>
      <c r="FY183" s="2">
        <v>70</v>
      </c>
      <c r="FZ183" s="2"/>
      <c r="GA183" s="2" t="s">
        <v>4</v>
      </c>
      <c r="GB183" s="2"/>
      <c r="GC183" s="2"/>
      <c r="GD183" s="2">
        <v>0</v>
      </c>
      <c r="GE183" s="2"/>
      <c r="GF183" s="2">
        <v>-1779758113</v>
      </c>
      <c r="GG183" s="2">
        <v>2</v>
      </c>
      <c r="GH183" s="2">
        <v>1</v>
      </c>
      <c r="GI183" s="2">
        <v>-2</v>
      </c>
      <c r="GJ183" s="2">
        <v>0</v>
      </c>
      <c r="GK183" s="2">
        <f>ROUND(R183*(R12)/100,2)</f>
        <v>92.59</v>
      </c>
      <c r="GL183" s="2">
        <f t="shared" si="224"/>
        <v>0</v>
      </c>
      <c r="GM183" s="2">
        <f t="shared" si="225"/>
        <v>694.62</v>
      </c>
      <c r="GN183" s="2">
        <f t="shared" si="226"/>
        <v>0</v>
      </c>
      <c r="GO183" s="2">
        <f t="shared" si="227"/>
        <v>694.62</v>
      </c>
      <c r="GP183" s="2">
        <f t="shared" si="228"/>
        <v>0</v>
      </c>
      <c r="GQ183" s="2"/>
      <c r="GR183" s="2">
        <v>0</v>
      </c>
      <c r="GS183" s="2">
        <v>0</v>
      </c>
      <c r="GT183" s="2">
        <v>0</v>
      </c>
      <c r="GU183" s="2" t="s">
        <v>4</v>
      </c>
      <c r="GV183" s="2">
        <f t="shared" si="229"/>
        <v>0</v>
      </c>
      <c r="GW183" s="2">
        <v>1</v>
      </c>
      <c r="GX183" s="2">
        <f t="shared" si="230"/>
        <v>0</v>
      </c>
      <c r="GY183" s="2"/>
      <c r="GZ183" s="2"/>
      <c r="HA183" s="2">
        <v>0</v>
      </c>
      <c r="HB183" s="2">
        <v>0</v>
      </c>
      <c r="HC183" s="2">
        <f t="shared" si="231"/>
        <v>0</v>
      </c>
      <c r="HD183" s="2"/>
      <c r="HE183" s="2" t="s">
        <v>4</v>
      </c>
      <c r="HF183" s="2" t="s">
        <v>4</v>
      </c>
      <c r="HG183" s="2"/>
      <c r="HH183" s="2"/>
      <c r="HI183" s="2"/>
      <c r="HJ183" s="2"/>
      <c r="HK183" s="2"/>
      <c r="HL183" s="2"/>
      <c r="HM183" s="2" t="s">
        <v>4</v>
      </c>
      <c r="HN183" s="2" t="s">
        <v>4</v>
      </c>
      <c r="HO183" s="2" t="s">
        <v>4</v>
      </c>
      <c r="HP183" s="2" t="s">
        <v>4</v>
      </c>
      <c r="HQ183" s="2" t="s">
        <v>4</v>
      </c>
      <c r="HR183" s="2"/>
      <c r="HS183" s="2"/>
      <c r="HT183" s="2"/>
      <c r="HU183" s="2"/>
      <c r="HV183" s="2"/>
      <c r="HW183" s="2"/>
      <c r="HX183" s="2"/>
      <c r="HY183" s="2"/>
      <c r="HZ183" s="2"/>
      <c r="IA183" s="2"/>
      <c r="IB183" s="2"/>
      <c r="IC183" s="2"/>
      <c r="ID183" s="2"/>
      <c r="IE183" s="2"/>
      <c r="IF183" s="2"/>
      <c r="IG183" s="2"/>
      <c r="IH183" s="2"/>
      <c r="II183" s="2"/>
      <c r="IJ183" s="2"/>
      <c r="IK183" s="2">
        <v>0</v>
      </c>
      <c r="IL183" s="2"/>
      <c r="IM183" s="2"/>
      <c r="IN183" s="2"/>
      <c r="IO183" s="2"/>
      <c r="IP183" s="2"/>
      <c r="IQ183" s="2"/>
      <c r="IR183" s="2"/>
      <c r="IS183" s="2"/>
      <c r="IT183" s="2"/>
      <c r="IU183" s="2"/>
    </row>
    <row r="184" spans="1:255">
      <c r="A184">
        <v>17</v>
      </c>
      <c r="B184">
        <v>1</v>
      </c>
      <c r="D184">
        <f>ROW(EtalonRes!A238)</f>
        <v>238</v>
      </c>
      <c r="E184" t="s">
        <v>252</v>
      </c>
      <c r="F184" t="s">
        <v>253</v>
      </c>
      <c r="G184" t="s">
        <v>254</v>
      </c>
      <c r="H184" t="s">
        <v>248</v>
      </c>
      <c r="I184">
        <f>ROUND(I182,9)</f>
        <v>3</v>
      </c>
      <c r="J184">
        <v>0</v>
      </c>
      <c r="K184">
        <f>ROUND(I182,9)</f>
        <v>3</v>
      </c>
      <c r="O184">
        <f t="shared" si="194"/>
        <v>9437.41</v>
      </c>
      <c r="P184">
        <f t="shared" si="195"/>
        <v>0</v>
      </c>
      <c r="Q184">
        <f t="shared" si="196"/>
        <v>5240.84</v>
      </c>
      <c r="R184">
        <f t="shared" si="197"/>
        <v>2469.31</v>
      </c>
      <c r="S184">
        <f t="shared" si="198"/>
        <v>4196.57</v>
      </c>
      <c r="T184">
        <f t="shared" si="199"/>
        <v>0</v>
      </c>
      <c r="U184">
        <f t="shared" si="200"/>
        <v>7.2982799999999983</v>
      </c>
      <c r="V184">
        <f t="shared" si="201"/>
        <v>0</v>
      </c>
      <c r="W184">
        <f t="shared" si="202"/>
        <v>0</v>
      </c>
      <c r="X184">
        <f t="shared" si="203"/>
        <v>3860.84</v>
      </c>
      <c r="Y184">
        <f t="shared" si="204"/>
        <v>1804.53</v>
      </c>
      <c r="AA184">
        <v>70305036</v>
      </c>
      <c r="AB184">
        <f t="shared" si="205"/>
        <v>136.94999999999999</v>
      </c>
      <c r="AC184">
        <f t="shared" si="206"/>
        <v>0</v>
      </c>
      <c r="AD184">
        <f t="shared" si="207"/>
        <v>108.86</v>
      </c>
      <c r="AE184">
        <f t="shared" si="208"/>
        <v>16.53</v>
      </c>
      <c r="AF184">
        <f t="shared" si="209"/>
        <v>28.09</v>
      </c>
      <c r="AG184">
        <f t="shared" si="210"/>
        <v>0</v>
      </c>
      <c r="AH184">
        <f t="shared" si="211"/>
        <v>2.2799999999999998</v>
      </c>
      <c r="AI184">
        <f t="shared" si="212"/>
        <v>0</v>
      </c>
      <c r="AJ184">
        <f t="shared" si="213"/>
        <v>0</v>
      </c>
      <c r="AK184">
        <v>136.94999999999999</v>
      </c>
      <c r="AL184">
        <v>0</v>
      </c>
      <c r="AM184">
        <v>108.86</v>
      </c>
      <c r="AN184">
        <v>16.53</v>
      </c>
      <c r="AO184">
        <v>28.09</v>
      </c>
      <c r="AP184">
        <v>0</v>
      </c>
      <c r="AQ184">
        <v>2.2799999999999998</v>
      </c>
      <c r="AR184">
        <v>0</v>
      </c>
      <c r="AS184">
        <v>0</v>
      </c>
      <c r="AT184">
        <v>92</v>
      </c>
      <c r="AU184">
        <v>43</v>
      </c>
      <c r="AV184">
        <v>1.0669999999999999</v>
      </c>
      <c r="AW184">
        <v>1.081</v>
      </c>
      <c r="AZ184">
        <v>1</v>
      </c>
      <c r="BA184">
        <v>46.67</v>
      </c>
      <c r="BB184">
        <v>15.04</v>
      </c>
      <c r="BC184">
        <v>1</v>
      </c>
      <c r="BD184" t="s">
        <v>4</v>
      </c>
      <c r="BE184" t="s">
        <v>4</v>
      </c>
      <c r="BF184" t="s">
        <v>4</v>
      </c>
      <c r="BG184" t="s">
        <v>4</v>
      </c>
      <c r="BH184">
        <v>0</v>
      </c>
      <c r="BI184">
        <v>2</v>
      </c>
      <c r="BJ184" t="s">
        <v>255</v>
      </c>
      <c r="BM184">
        <v>318</v>
      </c>
      <c r="BN184">
        <v>0</v>
      </c>
      <c r="BO184" t="s">
        <v>253</v>
      </c>
      <c r="BP184">
        <v>1</v>
      </c>
      <c r="BQ184">
        <v>40</v>
      </c>
      <c r="BR184">
        <v>0</v>
      </c>
      <c r="BS184">
        <v>46.67</v>
      </c>
      <c r="BT184">
        <v>1</v>
      </c>
      <c r="BU184">
        <v>1</v>
      </c>
      <c r="BV184">
        <v>1</v>
      </c>
      <c r="BW184">
        <v>1</v>
      </c>
      <c r="BX184">
        <v>1</v>
      </c>
      <c r="BY184" t="s">
        <v>4</v>
      </c>
      <c r="BZ184">
        <v>92</v>
      </c>
      <c r="CA184">
        <v>43</v>
      </c>
      <c r="CB184" t="s">
        <v>4</v>
      </c>
      <c r="CE184">
        <v>30</v>
      </c>
      <c r="CF184">
        <v>0</v>
      </c>
      <c r="CG184">
        <v>0</v>
      </c>
      <c r="CM184">
        <v>0</v>
      </c>
      <c r="CN184" t="s">
        <v>4</v>
      </c>
      <c r="CO184">
        <v>0</v>
      </c>
      <c r="CP184">
        <f t="shared" si="214"/>
        <v>9437.41</v>
      </c>
      <c r="CQ184">
        <f t="shared" si="215"/>
        <v>0</v>
      </c>
      <c r="CR184">
        <f t="shared" si="216"/>
        <v>1746.9</v>
      </c>
      <c r="CS184">
        <f t="shared" si="217"/>
        <v>823.26</v>
      </c>
      <c r="CT184">
        <f t="shared" si="218"/>
        <v>1398.7</v>
      </c>
      <c r="CU184">
        <f t="shared" si="219"/>
        <v>0</v>
      </c>
      <c r="CV184">
        <f t="shared" si="220"/>
        <v>2.4327599999999996</v>
      </c>
      <c r="CW184">
        <f t="shared" si="221"/>
        <v>0</v>
      </c>
      <c r="CX184">
        <f t="shared" si="222"/>
        <v>0</v>
      </c>
      <c r="CY184">
        <f>S184*(BZ184/100)</f>
        <v>3860.8444</v>
      </c>
      <c r="CZ184">
        <f>S184*(CA184/100)</f>
        <v>1804.5250999999998</v>
      </c>
      <c r="DC184" t="s">
        <v>4</v>
      </c>
      <c r="DD184" t="s">
        <v>4</v>
      </c>
      <c r="DE184" t="s">
        <v>4</v>
      </c>
      <c r="DF184" t="s">
        <v>4</v>
      </c>
      <c r="DG184" t="s">
        <v>4</v>
      </c>
      <c r="DH184" t="s">
        <v>4</v>
      </c>
      <c r="DI184" t="s">
        <v>4</v>
      </c>
      <c r="DJ184" t="s">
        <v>4</v>
      </c>
      <c r="DK184" t="s">
        <v>4</v>
      </c>
      <c r="DL184" t="s">
        <v>4</v>
      </c>
      <c r="DM184" t="s">
        <v>4</v>
      </c>
      <c r="DN184">
        <v>112</v>
      </c>
      <c r="DO184">
        <v>70</v>
      </c>
      <c r="DP184">
        <v>1.0669999999999999</v>
      </c>
      <c r="DQ184">
        <v>1.081</v>
      </c>
      <c r="DU184">
        <v>1013</v>
      </c>
      <c r="DV184" t="s">
        <v>248</v>
      </c>
      <c r="DW184" t="s">
        <v>248</v>
      </c>
      <c r="DX184">
        <v>1</v>
      </c>
      <c r="DZ184" t="s">
        <v>4</v>
      </c>
      <c r="EA184" t="s">
        <v>4</v>
      </c>
      <c r="EB184" t="s">
        <v>4</v>
      </c>
      <c r="EC184" t="s">
        <v>4</v>
      </c>
      <c r="EE184">
        <v>69252943</v>
      </c>
      <c r="EF184">
        <v>40</v>
      </c>
      <c r="EG184" t="s">
        <v>219</v>
      </c>
      <c r="EH184">
        <v>0</v>
      </c>
      <c r="EI184" t="s">
        <v>4</v>
      </c>
      <c r="EJ184">
        <v>2</v>
      </c>
      <c r="EK184">
        <v>318</v>
      </c>
      <c r="EL184" t="s">
        <v>250</v>
      </c>
      <c r="EM184" t="s">
        <v>251</v>
      </c>
      <c r="EO184" t="s">
        <v>4</v>
      </c>
      <c r="EQ184">
        <v>131072</v>
      </c>
      <c r="ER184">
        <v>136.94999999999999</v>
      </c>
      <c r="ES184">
        <v>0</v>
      </c>
      <c r="ET184">
        <v>108.86</v>
      </c>
      <c r="EU184">
        <v>16.53</v>
      </c>
      <c r="EV184">
        <v>28.09</v>
      </c>
      <c r="EW184">
        <v>2.2799999999999998</v>
      </c>
      <c r="EX184">
        <v>0</v>
      </c>
      <c r="EY184">
        <v>0</v>
      </c>
      <c r="FQ184">
        <v>0</v>
      </c>
      <c r="FR184">
        <f t="shared" si="223"/>
        <v>0</v>
      </c>
      <c r="FS184">
        <v>0</v>
      </c>
      <c r="FX184">
        <v>112</v>
      </c>
      <c r="FY184">
        <v>70</v>
      </c>
      <c r="GA184" t="s">
        <v>4</v>
      </c>
      <c r="GD184">
        <v>0</v>
      </c>
      <c r="GF184">
        <v>-1779758113</v>
      </c>
      <c r="GG184">
        <v>2</v>
      </c>
      <c r="GH184">
        <v>1</v>
      </c>
      <c r="GI184">
        <v>2</v>
      </c>
      <c r="GJ184">
        <v>0</v>
      </c>
      <c r="GK184">
        <f>ROUND(R184*(S12)/100,2)</f>
        <v>3950.9</v>
      </c>
      <c r="GL184">
        <f t="shared" si="224"/>
        <v>0</v>
      </c>
      <c r="GM184">
        <f t="shared" si="225"/>
        <v>19053.68</v>
      </c>
      <c r="GN184">
        <f t="shared" si="226"/>
        <v>0</v>
      </c>
      <c r="GO184">
        <f t="shared" si="227"/>
        <v>19053.68</v>
      </c>
      <c r="GP184">
        <f t="shared" si="228"/>
        <v>0</v>
      </c>
      <c r="GR184">
        <v>0</v>
      </c>
      <c r="GS184">
        <v>3</v>
      </c>
      <c r="GT184">
        <v>0</v>
      </c>
      <c r="GU184" t="s">
        <v>4</v>
      </c>
      <c r="GV184">
        <f t="shared" si="229"/>
        <v>0</v>
      </c>
      <c r="GW184">
        <v>1</v>
      </c>
      <c r="GX184">
        <f t="shared" si="230"/>
        <v>0</v>
      </c>
      <c r="HA184">
        <v>0</v>
      </c>
      <c r="HB184">
        <v>0</v>
      </c>
      <c r="HC184">
        <f t="shared" si="231"/>
        <v>0</v>
      </c>
      <c r="HE184" t="s">
        <v>4</v>
      </c>
      <c r="HF184" t="s">
        <v>4</v>
      </c>
      <c r="HM184" t="s">
        <v>4</v>
      </c>
      <c r="HN184" t="s">
        <v>4</v>
      </c>
      <c r="HO184" t="s">
        <v>4</v>
      </c>
      <c r="HP184" t="s">
        <v>4</v>
      </c>
      <c r="HQ184" t="s">
        <v>4</v>
      </c>
      <c r="IK184">
        <v>0</v>
      </c>
    </row>
    <row r="185" spans="1:255">
      <c r="A185" s="2">
        <v>17</v>
      </c>
      <c r="B185" s="2">
        <v>1</v>
      </c>
      <c r="C185" s="2"/>
      <c r="D185" s="2"/>
      <c r="E185" s="2" t="s">
        <v>256</v>
      </c>
      <c r="F185" s="2" t="s">
        <v>50</v>
      </c>
      <c r="G185" s="2" t="s">
        <v>51</v>
      </c>
      <c r="H185" s="2" t="s">
        <v>52</v>
      </c>
      <c r="I185" s="2">
        <f>ROUND((0.8*0.2*300)*1.1,9)</f>
        <v>52.8</v>
      </c>
      <c r="J185" s="2">
        <v>0</v>
      </c>
      <c r="K185" s="2">
        <f>ROUND((0.8*0.2*300)*1.1,9)</f>
        <v>52.8</v>
      </c>
      <c r="L185" s="2"/>
      <c r="M185" s="2"/>
      <c r="N185" s="2"/>
      <c r="O185" s="2">
        <f t="shared" si="194"/>
        <v>5543.47</v>
      </c>
      <c r="P185" s="2">
        <f t="shared" si="195"/>
        <v>5543.47</v>
      </c>
      <c r="Q185" s="2">
        <f t="shared" si="196"/>
        <v>0</v>
      </c>
      <c r="R185" s="2">
        <f t="shared" si="197"/>
        <v>0</v>
      </c>
      <c r="S185" s="2">
        <f t="shared" si="198"/>
        <v>0</v>
      </c>
      <c r="T185" s="2">
        <f t="shared" si="199"/>
        <v>0</v>
      </c>
      <c r="U185" s="2">
        <f t="shared" si="200"/>
        <v>0</v>
      </c>
      <c r="V185" s="2">
        <f t="shared" si="201"/>
        <v>0</v>
      </c>
      <c r="W185" s="2">
        <f t="shared" si="202"/>
        <v>0</v>
      </c>
      <c r="X185" s="2">
        <f t="shared" si="203"/>
        <v>0</v>
      </c>
      <c r="Y185" s="2">
        <f t="shared" si="204"/>
        <v>0</v>
      </c>
      <c r="Z185" s="2"/>
      <c r="AA185" s="2">
        <v>70305038</v>
      </c>
      <c r="AB185" s="2">
        <f t="shared" si="205"/>
        <v>104.99</v>
      </c>
      <c r="AC185" s="2">
        <f t="shared" si="206"/>
        <v>104.99</v>
      </c>
      <c r="AD185" s="2">
        <f t="shared" si="207"/>
        <v>0</v>
      </c>
      <c r="AE185" s="2">
        <f t="shared" si="208"/>
        <v>0</v>
      </c>
      <c r="AF185" s="2">
        <f t="shared" si="209"/>
        <v>0</v>
      </c>
      <c r="AG185" s="2">
        <f t="shared" si="210"/>
        <v>0</v>
      </c>
      <c r="AH185" s="2">
        <f t="shared" si="211"/>
        <v>0</v>
      </c>
      <c r="AI185" s="2">
        <f t="shared" si="212"/>
        <v>0</v>
      </c>
      <c r="AJ185" s="2">
        <f t="shared" si="213"/>
        <v>0</v>
      </c>
      <c r="AK185" s="2">
        <v>104.99</v>
      </c>
      <c r="AL185" s="2">
        <v>104.99</v>
      </c>
      <c r="AM185" s="2">
        <v>0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1</v>
      </c>
      <c r="AW185" s="2">
        <v>1</v>
      </c>
      <c r="AX185" s="2"/>
      <c r="AY185" s="2"/>
      <c r="AZ185" s="2">
        <v>1</v>
      </c>
      <c r="BA185" s="2">
        <v>1</v>
      </c>
      <c r="BB185" s="2">
        <v>1</v>
      </c>
      <c r="BC185" s="2">
        <v>1</v>
      </c>
      <c r="BD185" s="2" t="s">
        <v>4</v>
      </c>
      <c r="BE185" s="2" t="s">
        <v>4</v>
      </c>
      <c r="BF185" s="2" t="s">
        <v>4</v>
      </c>
      <c r="BG185" s="2" t="s">
        <v>4</v>
      </c>
      <c r="BH185" s="2">
        <v>3</v>
      </c>
      <c r="BI185" s="2">
        <v>1</v>
      </c>
      <c r="BJ185" s="2" t="s">
        <v>53</v>
      </c>
      <c r="BK185" s="2"/>
      <c r="BL185" s="2"/>
      <c r="BM185" s="2">
        <v>1617</v>
      </c>
      <c r="BN185" s="2">
        <v>0</v>
      </c>
      <c r="BO185" s="2" t="s">
        <v>4</v>
      </c>
      <c r="BP185" s="2">
        <v>0</v>
      </c>
      <c r="BQ185" s="2">
        <v>200</v>
      </c>
      <c r="BR185" s="2">
        <v>0</v>
      </c>
      <c r="BS185" s="2">
        <v>1</v>
      </c>
      <c r="BT185" s="2">
        <v>1</v>
      </c>
      <c r="BU185" s="2">
        <v>1</v>
      </c>
      <c r="BV185" s="2">
        <v>1</v>
      </c>
      <c r="BW185" s="2">
        <v>1</v>
      </c>
      <c r="BX185" s="2">
        <v>1</v>
      </c>
      <c r="BY185" s="2" t="s">
        <v>4</v>
      </c>
      <c r="BZ185" s="2">
        <v>0</v>
      </c>
      <c r="CA185" s="2">
        <v>0</v>
      </c>
      <c r="CB185" s="2" t="s">
        <v>4</v>
      </c>
      <c r="CC185" s="2"/>
      <c r="CD185" s="2"/>
      <c r="CE185" s="2">
        <v>30</v>
      </c>
      <c r="CF185" s="2">
        <v>0</v>
      </c>
      <c r="CG185" s="2">
        <v>0</v>
      </c>
      <c r="CH185" s="2"/>
      <c r="CI185" s="2"/>
      <c r="CJ185" s="2"/>
      <c r="CK185" s="2"/>
      <c r="CL185" s="2"/>
      <c r="CM185" s="2">
        <v>0</v>
      </c>
      <c r="CN185" s="2" t="s">
        <v>4</v>
      </c>
      <c r="CO185" s="2">
        <v>0</v>
      </c>
      <c r="CP185" s="2">
        <f t="shared" si="214"/>
        <v>5543.47</v>
      </c>
      <c r="CQ185" s="2">
        <f t="shared" si="215"/>
        <v>104.99</v>
      </c>
      <c r="CR185" s="2">
        <f t="shared" si="216"/>
        <v>0</v>
      </c>
      <c r="CS185" s="2">
        <f t="shared" si="217"/>
        <v>0</v>
      </c>
      <c r="CT185" s="2">
        <f t="shared" si="218"/>
        <v>0</v>
      </c>
      <c r="CU185" s="2">
        <f t="shared" si="219"/>
        <v>0</v>
      </c>
      <c r="CV185" s="2">
        <f t="shared" si="220"/>
        <v>0</v>
      </c>
      <c r="CW185" s="2">
        <f t="shared" si="221"/>
        <v>0</v>
      </c>
      <c r="CX185" s="2">
        <f t="shared" si="222"/>
        <v>0</v>
      </c>
      <c r="CY185" s="2">
        <f>((S185*BZ185)/100)</f>
        <v>0</v>
      </c>
      <c r="CZ185" s="2">
        <f>((S185*CA185)/100)</f>
        <v>0</v>
      </c>
      <c r="DA185" s="2"/>
      <c r="DB185" s="2"/>
      <c r="DC185" s="2" t="s">
        <v>4</v>
      </c>
      <c r="DD185" s="2" t="s">
        <v>4</v>
      </c>
      <c r="DE185" s="2" t="s">
        <v>4</v>
      </c>
      <c r="DF185" s="2" t="s">
        <v>4</v>
      </c>
      <c r="DG185" s="2" t="s">
        <v>4</v>
      </c>
      <c r="DH185" s="2" t="s">
        <v>4</v>
      </c>
      <c r="DI185" s="2" t="s">
        <v>4</v>
      </c>
      <c r="DJ185" s="2" t="s">
        <v>4</v>
      </c>
      <c r="DK185" s="2" t="s">
        <v>4</v>
      </c>
      <c r="DL185" s="2" t="s">
        <v>4</v>
      </c>
      <c r="DM185" s="2" t="s">
        <v>4</v>
      </c>
      <c r="DN185" s="2">
        <v>0</v>
      </c>
      <c r="DO185" s="2">
        <v>0</v>
      </c>
      <c r="DP185" s="2">
        <v>1</v>
      </c>
      <c r="DQ185" s="2">
        <v>1</v>
      </c>
      <c r="DR185" s="2"/>
      <c r="DS185" s="2"/>
      <c r="DT185" s="2"/>
      <c r="DU185" s="2">
        <v>1007</v>
      </c>
      <c r="DV185" s="2" t="s">
        <v>52</v>
      </c>
      <c r="DW185" s="2" t="s">
        <v>52</v>
      </c>
      <c r="DX185" s="2">
        <v>1</v>
      </c>
      <c r="DY185" s="2"/>
      <c r="DZ185" s="2" t="s">
        <v>4</v>
      </c>
      <c r="EA185" s="2" t="s">
        <v>4</v>
      </c>
      <c r="EB185" s="2" t="s">
        <v>4</v>
      </c>
      <c r="EC185" s="2" t="s">
        <v>4</v>
      </c>
      <c r="ED185" s="2"/>
      <c r="EE185" s="2">
        <v>69254242</v>
      </c>
      <c r="EF185" s="2">
        <v>200</v>
      </c>
      <c r="EG185" s="2" t="s">
        <v>54</v>
      </c>
      <c r="EH185" s="2">
        <v>0</v>
      </c>
      <c r="EI185" s="2" t="s">
        <v>4</v>
      </c>
      <c r="EJ185" s="2">
        <v>1</v>
      </c>
      <c r="EK185" s="2">
        <v>1617</v>
      </c>
      <c r="EL185" s="2" t="s">
        <v>55</v>
      </c>
      <c r="EM185" s="2" t="s">
        <v>56</v>
      </c>
      <c r="EN185" s="2"/>
      <c r="EO185" s="2" t="s">
        <v>4</v>
      </c>
      <c r="EP185" s="2"/>
      <c r="EQ185" s="2">
        <v>131072</v>
      </c>
      <c r="ER185" s="2">
        <v>104.99</v>
      </c>
      <c r="ES185" s="2">
        <v>104.99</v>
      </c>
      <c r="ET185" s="2">
        <v>0</v>
      </c>
      <c r="EU185" s="2">
        <v>0</v>
      </c>
      <c r="EV185" s="2">
        <v>0</v>
      </c>
      <c r="EW185" s="2">
        <v>0</v>
      </c>
      <c r="EX185" s="2">
        <v>0</v>
      </c>
      <c r="EY185" s="2">
        <v>0</v>
      </c>
      <c r="EZ185" s="2"/>
      <c r="FA185" s="2"/>
      <c r="FB185" s="2"/>
      <c r="FC185" s="2"/>
      <c r="FD185" s="2"/>
      <c r="FE185" s="2"/>
      <c r="FF185" s="2"/>
      <c r="FG185" s="2"/>
      <c r="FH185" s="2"/>
      <c r="FI185" s="2"/>
      <c r="FJ185" s="2"/>
      <c r="FK185" s="2"/>
      <c r="FL185" s="2"/>
      <c r="FM185" s="2"/>
      <c r="FN185" s="2"/>
      <c r="FO185" s="2"/>
      <c r="FP185" s="2"/>
      <c r="FQ185" s="2">
        <v>0</v>
      </c>
      <c r="FR185" s="2">
        <f t="shared" si="223"/>
        <v>0</v>
      </c>
      <c r="FS185" s="2">
        <v>0</v>
      </c>
      <c r="FT185" s="2"/>
      <c r="FU185" s="2"/>
      <c r="FV185" s="2"/>
      <c r="FW185" s="2"/>
      <c r="FX185" s="2">
        <v>0</v>
      </c>
      <c r="FY185" s="2">
        <v>0</v>
      </c>
      <c r="FZ185" s="2"/>
      <c r="GA185" s="2" t="s">
        <v>4</v>
      </c>
      <c r="GB185" s="2"/>
      <c r="GC185" s="2"/>
      <c r="GD185" s="2">
        <v>0</v>
      </c>
      <c r="GE185" s="2"/>
      <c r="GF185" s="2">
        <v>1061610425</v>
      </c>
      <c r="GG185" s="2">
        <v>2</v>
      </c>
      <c r="GH185" s="2">
        <v>1</v>
      </c>
      <c r="GI185" s="2">
        <v>-2</v>
      </c>
      <c r="GJ185" s="2">
        <v>0</v>
      </c>
      <c r="GK185" s="2">
        <f>ROUND(R185*(R12)/100,2)</f>
        <v>0</v>
      </c>
      <c r="GL185" s="2">
        <f t="shared" si="224"/>
        <v>0</v>
      </c>
      <c r="GM185" s="2">
        <f t="shared" si="225"/>
        <v>5543.47</v>
      </c>
      <c r="GN185" s="2">
        <f t="shared" si="226"/>
        <v>5543.47</v>
      </c>
      <c r="GO185" s="2">
        <f t="shared" si="227"/>
        <v>0</v>
      </c>
      <c r="GP185" s="2">
        <f t="shared" si="228"/>
        <v>0</v>
      </c>
      <c r="GQ185" s="2"/>
      <c r="GR185" s="2">
        <v>0</v>
      </c>
      <c r="GS185" s="2">
        <v>0</v>
      </c>
      <c r="GT185" s="2">
        <v>0</v>
      </c>
      <c r="GU185" s="2" t="s">
        <v>4</v>
      </c>
      <c r="GV185" s="2">
        <f t="shared" si="229"/>
        <v>0</v>
      </c>
      <c r="GW185" s="2">
        <v>1</v>
      </c>
      <c r="GX185" s="2">
        <f t="shared" si="230"/>
        <v>0</v>
      </c>
      <c r="GY185" s="2"/>
      <c r="GZ185" s="2"/>
      <c r="HA185" s="2">
        <v>0</v>
      </c>
      <c r="HB185" s="2">
        <v>0</v>
      </c>
      <c r="HC185" s="2">
        <f t="shared" si="231"/>
        <v>0</v>
      </c>
      <c r="HD185" s="2"/>
      <c r="HE185" s="2" t="s">
        <v>4</v>
      </c>
      <c r="HF185" s="2" t="s">
        <v>4</v>
      </c>
      <c r="HG185" s="2"/>
      <c r="HH185" s="2"/>
      <c r="HI185" s="2"/>
      <c r="HJ185" s="2"/>
      <c r="HK185" s="2"/>
      <c r="HL185" s="2"/>
      <c r="HM185" s="2" t="s">
        <v>4</v>
      </c>
      <c r="HN185" s="2" t="s">
        <v>4</v>
      </c>
      <c r="HO185" s="2" t="s">
        <v>4</v>
      </c>
      <c r="HP185" s="2" t="s">
        <v>4</v>
      </c>
      <c r="HQ185" s="2" t="s">
        <v>4</v>
      </c>
      <c r="HR185" s="2"/>
      <c r="HS185" s="2"/>
      <c r="HT185" s="2"/>
      <c r="HU185" s="2"/>
      <c r="HV185" s="2"/>
      <c r="HW185" s="2"/>
      <c r="HX185" s="2"/>
      <c r="HY185" s="2"/>
      <c r="HZ185" s="2"/>
      <c r="IA185" s="2"/>
      <c r="IB185" s="2"/>
      <c r="IC185" s="2"/>
      <c r="ID185" s="2"/>
      <c r="IE185" s="2"/>
      <c r="IF185" s="2"/>
      <c r="IG185" s="2"/>
      <c r="IH185" s="2"/>
      <c r="II185" s="2"/>
      <c r="IJ185" s="2"/>
      <c r="IK185" s="2">
        <v>0</v>
      </c>
      <c r="IL185" s="2"/>
      <c r="IM185" s="2"/>
      <c r="IN185" s="2"/>
      <c r="IO185" s="2"/>
      <c r="IP185" s="2"/>
      <c r="IQ185" s="2"/>
      <c r="IR185" s="2"/>
      <c r="IS185" s="2"/>
      <c r="IT185" s="2"/>
      <c r="IU185" s="2"/>
    </row>
    <row r="186" spans="1:255">
      <c r="A186">
        <v>17</v>
      </c>
      <c r="B186">
        <v>1</v>
      </c>
      <c r="E186" t="s">
        <v>256</v>
      </c>
      <c r="F186" t="s">
        <v>50</v>
      </c>
      <c r="G186" t="s">
        <v>51</v>
      </c>
      <c r="H186" t="s">
        <v>52</v>
      </c>
      <c r="I186">
        <f>ROUND((0.8*0.2*300)*1.1,9)</f>
        <v>52.8</v>
      </c>
      <c r="J186">
        <v>0</v>
      </c>
      <c r="K186">
        <f>ROUND((0.8*0.2*300)*1.1,9)</f>
        <v>52.8</v>
      </c>
      <c r="O186">
        <f t="shared" si="194"/>
        <v>47452.1</v>
      </c>
      <c r="P186">
        <f t="shared" si="195"/>
        <v>47452.1</v>
      </c>
      <c r="Q186">
        <f t="shared" si="196"/>
        <v>0</v>
      </c>
      <c r="R186">
        <f t="shared" si="197"/>
        <v>0</v>
      </c>
      <c r="S186">
        <f t="shared" si="198"/>
        <v>0</v>
      </c>
      <c r="T186">
        <f t="shared" si="199"/>
        <v>0</v>
      </c>
      <c r="U186">
        <f t="shared" si="200"/>
        <v>0</v>
      </c>
      <c r="V186">
        <f t="shared" si="201"/>
        <v>0</v>
      </c>
      <c r="W186">
        <f t="shared" si="202"/>
        <v>0</v>
      </c>
      <c r="X186">
        <f t="shared" si="203"/>
        <v>0</v>
      </c>
      <c r="Y186">
        <f t="shared" si="204"/>
        <v>0</v>
      </c>
      <c r="AA186">
        <v>70305036</v>
      </c>
      <c r="AB186">
        <f t="shared" si="205"/>
        <v>104.99</v>
      </c>
      <c r="AC186">
        <f t="shared" si="206"/>
        <v>104.99</v>
      </c>
      <c r="AD186">
        <f t="shared" si="207"/>
        <v>0</v>
      </c>
      <c r="AE186">
        <f t="shared" si="208"/>
        <v>0</v>
      </c>
      <c r="AF186">
        <f t="shared" si="209"/>
        <v>0</v>
      </c>
      <c r="AG186">
        <f t="shared" si="210"/>
        <v>0</v>
      </c>
      <c r="AH186">
        <f t="shared" si="211"/>
        <v>0</v>
      </c>
      <c r="AI186">
        <f t="shared" si="212"/>
        <v>0</v>
      </c>
      <c r="AJ186">
        <f t="shared" si="213"/>
        <v>0</v>
      </c>
      <c r="AK186">
        <v>104.99</v>
      </c>
      <c r="AL186">
        <v>104.99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1</v>
      </c>
      <c r="AW186">
        <v>1</v>
      </c>
      <c r="AZ186">
        <v>1</v>
      </c>
      <c r="BA186">
        <v>1</v>
      </c>
      <c r="BB186">
        <v>1</v>
      </c>
      <c r="BC186">
        <v>8.56</v>
      </c>
      <c r="BD186" t="s">
        <v>4</v>
      </c>
      <c r="BE186" t="s">
        <v>4</v>
      </c>
      <c r="BF186" t="s">
        <v>4</v>
      </c>
      <c r="BG186" t="s">
        <v>4</v>
      </c>
      <c r="BH186">
        <v>3</v>
      </c>
      <c r="BI186">
        <v>1</v>
      </c>
      <c r="BJ186" t="s">
        <v>53</v>
      </c>
      <c r="BM186">
        <v>1617</v>
      </c>
      <c r="BN186">
        <v>0</v>
      </c>
      <c r="BO186" t="s">
        <v>50</v>
      </c>
      <c r="BP186">
        <v>1</v>
      </c>
      <c r="BQ186">
        <v>200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4</v>
      </c>
      <c r="BZ186">
        <v>0</v>
      </c>
      <c r="CA186">
        <v>0</v>
      </c>
      <c r="CB186" t="s">
        <v>4</v>
      </c>
      <c r="CE186">
        <v>30</v>
      </c>
      <c r="CF186">
        <v>0</v>
      </c>
      <c r="CG186">
        <v>0</v>
      </c>
      <c r="CM186">
        <v>0</v>
      </c>
      <c r="CN186" t="s">
        <v>4</v>
      </c>
      <c r="CO186">
        <v>0</v>
      </c>
      <c r="CP186">
        <f t="shared" si="214"/>
        <v>47452.1</v>
      </c>
      <c r="CQ186">
        <f t="shared" si="215"/>
        <v>898.71</v>
      </c>
      <c r="CR186">
        <f t="shared" si="216"/>
        <v>0</v>
      </c>
      <c r="CS186">
        <f t="shared" si="217"/>
        <v>0</v>
      </c>
      <c r="CT186">
        <f t="shared" si="218"/>
        <v>0</v>
      </c>
      <c r="CU186">
        <f t="shared" si="219"/>
        <v>0</v>
      </c>
      <c r="CV186">
        <f t="shared" si="220"/>
        <v>0</v>
      </c>
      <c r="CW186">
        <f t="shared" si="221"/>
        <v>0</v>
      </c>
      <c r="CX186">
        <f t="shared" si="222"/>
        <v>0</v>
      </c>
      <c r="CY186">
        <f>S186*(BZ186/100)</f>
        <v>0</v>
      </c>
      <c r="CZ186">
        <f>S186*(CA186/100)</f>
        <v>0</v>
      </c>
      <c r="DC186" t="s">
        <v>4</v>
      </c>
      <c r="DD186" t="s">
        <v>4</v>
      </c>
      <c r="DE186" t="s">
        <v>4</v>
      </c>
      <c r="DF186" t="s">
        <v>4</v>
      </c>
      <c r="DG186" t="s">
        <v>4</v>
      </c>
      <c r="DH186" t="s">
        <v>4</v>
      </c>
      <c r="DI186" t="s">
        <v>4</v>
      </c>
      <c r="DJ186" t="s">
        <v>4</v>
      </c>
      <c r="DK186" t="s">
        <v>4</v>
      </c>
      <c r="DL186" t="s">
        <v>4</v>
      </c>
      <c r="DM186" t="s">
        <v>4</v>
      </c>
      <c r="DN186">
        <v>0</v>
      </c>
      <c r="DO186">
        <v>0</v>
      </c>
      <c r="DP186">
        <v>1</v>
      </c>
      <c r="DQ186">
        <v>1</v>
      </c>
      <c r="DU186">
        <v>1007</v>
      </c>
      <c r="DV186" t="s">
        <v>52</v>
      </c>
      <c r="DW186" t="s">
        <v>52</v>
      </c>
      <c r="DX186">
        <v>1</v>
      </c>
      <c r="DZ186" t="s">
        <v>4</v>
      </c>
      <c r="EA186" t="s">
        <v>4</v>
      </c>
      <c r="EB186" t="s">
        <v>4</v>
      </c>
      <c r="EC186" t="s">
        <v>4</v>
      </c>
      <c r="EE186">
        <v>69254242</v>
      </c>
      <c r="EF186">
        <v>200</v>
      </c>
      <c r="EG186" t="s">
        <v>54</v>
      </c>
      <c r="EH186">
        <v>0</v>
      </c>
      <c r="EI186" t="s">
        <v>4</v>
      </c>
      <c r="EJ186">
        <v>1</v>
      </c>
      <c r="EK186">
        <v>1617</v>
      </c>
      <c r="EL186" t="s">
        <v>55</v>
      </c>
      <c r="EM186" t="s">
        <v>56</v>
      </c>
      <c r="EO186" t="s">
        <v>4</v>
      </c>
      <c r="EQ186">
        <v>131072</v>
      </c>
      <c r="ER186">
        <v>104.99</v>
      </c>
      <c r="ES186">
        <v>104.99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FQ186">
        <v>0</v>
      </c>
      <c r="FR186">
        <f t="shared" si="223"/>
        <v>0</v>
      </c>
      <c r="FS186">
        <v>0</v>
      </c>
      <c r="FX186">
        <v>0</v>
      </c>
      <c r="FY186">
        <v>0</v>
      </c>
      <c r="GA186" t="s">
        <v>4</v>
      </c>
      <c r="GD186">
        <v>0</v>
      </c>
      <c r="GF186">
        <v>1061610425</v>
      </c>
      <c r="GG186">
        <v>2</v>
      </c>
      <c r="GH186">
        <v>1</v>
      </c>
      <c r="GI186">
        <v>2</v>
      </c>
      <c r="GJ186">
        <v>0</v>
      </c>
      <c r="GK186">
        <f>ROUND(R186*(S12)/100,2)</f>
        <v>0</v>
      </c>
      <c r="GL186">
        <f t="shared" si="224"/>
        <v>0</v>
      </c>
      <c r="GM186">
        <f t="shared" si="225"/>
        <v>47452.1</v>
      </c>
      <c r="GN186">
        <f t="shared" si="226"/>
        <v>47452.1</v>
      </c>
      <c r="GO186">
        <f t="shared" si="227"/>
        <v>0</v>
      </c>
      <c r="GP186">
        <f t="shared" si="228"/>
        <v>0</v>
      </c>
      <c r="GR186">
        <v>0</v>
      </c>
      <c r="GS186">
        <v>3</v>
      </c>
      <c r="GT186">
        <v>0</v>
      </c>
      <c r="GU186" t="s">
        <v>4</v>
      </c>
      <c r="GV186">
        <f t="shared" si="229"/>
        <v>0</v>
      </c>
      <c r="GW186">
        <v>1</v>
      </c>
      <c r="GX186">
        <f t="shared" si="230"/>
        <v>0</v>
      </c>
      <c r="HA186">
        <v>0</v>
      </c>
      <c r="HB186">
        <v>0</v>
      </c>
      <c r="HC186">
        <f t="shared" si="231"/>
        <v>0</v>
      </c>
      <c r="HE186" t="s">
        <v>4</v>
      </c>
      <c r="HF186" t="s">
        <v>4</v>
      </c>
      <c r="HM186" t="s">
        <v>4</v>
      </c>
      <c r="HN186" t="s">
        <v>4</v>
      </c>
      <c r="HO186" t="s">
        <v>4</v>
      </c>
      <c r="HP186" t="s">
        <v>4</v>
      </c>
      <c r="HQ186" t="s">
        <v>4</v>
      </c>
      <c r="IK186">
        <v>0</v>
      </c>
    </row>
    <row r="187" spans="1:255">
      <c r="A187" s="2">
        <v>17</v>
      </c>
      <c r="B187" s="2">
        <v>1</v>
      </c>
      <c r="C187" s="2"/>
      <c r="D187" s="2">
        <f>ROW(EtalonRes!A250)</f>
        <v>250</v>
      </c>
      <c r="E187" s="2" t="s">
        <v>257</v>
      </c>
      <c r="F187" s="2" t="s">
        <v>258</v>
      </c>
      <c r="G187" s="2" t="s">
        <v>259</v>
      </c>
      <c r="H187" s="2" t="s">
        <v>217</v>
      </c>
      <c r="I187" s="2">
        <f>ROUND(ROUND((300*2)/100,6),9)</f>
        <v>6</v>
      </c>
      <c r="J187" s="2">
        <v>0</v>
      </c>
      <c r="K187" s="2">
        <f>ROUND(ROUND((300*2)/100,6),9)</f>
        <v>6</v>
      </c>
      <c r="L187" s="2"/>
      <c r="M187" s="2"/>
      <c r="N187" s="2"/>
      <c r="O187" s="2">
        <f t="shared" si="194"/>
        <v>3998.7</v>
      </c>
      <c r="P187" s="2">
        <f t="shared" si="195"/>
        <v>309.72000000000003</v>
      </c>
      <c r="Q187" s="2">
        <f t="shared" si="196"/>
        <v>1251.8800000000001</v>
      </c>
      <c r="R187" s="2">
        <f t="shared" si="197"/>
        <v>125.01</v>
      </c>
      <c r="S187" s="2">
        <f t="shared" si="198"/>
        <v>2437.1</v>
      </c>
      <c r="T187" s="2">
        <f t="shared" si="199"/>
        <v>0</v>
      </c>
      <c r="U187" s="2">
        <f t="shared" si="200"/>
        <v>194.30225999999999</v>
      </c>
      <c r="V187" s="2">
        <f t="shared" si="201"/>
        <v>0</v>
      </c>
      <c r="W187" s="2">
        <f t="shared" si="202"/>
        <v>0</v>
      </c>
      <c r="X187" s="2">
        <f t="shared" si="203"/>
        <v>2729.55</v>
      </c>
      <c r="Y187" s="2">
        <f t="shared" si="204"/>
        <v>1705.97</v>
      </c>
      <c r="Z187" s="2"/>
      <c r="AA187" s="2">
        <v>70305038</v>
      </c>
      <c r="AB187" s="2">
        <f t="shared" si="205"/>
        <v>638.85</v>
      </c>
      <c r="AC187" s="2">
        <f t="shared" si="206"/>
        <v>51.62</v>
      </c>
      <c r="AD187" s="2">
        <f t="shared" si="207"/>
        <v>199.28</v>
      </c>
      <c r="AE187" s="2">
        <f t="shared" si="208"/>
        <v>19.899999999999999</v>
      </c>
      <c r="AF187" s="2">
        <f t="shared" si="209"/>
        <v>387.95</v>
      </c>
      <c r="AG187" s="2">
        <f t="shared" si="210"/>
        <v>0</v>
      </c>
      <c r="AH187" s="2">
        <f t="shared" si="211"/>
        <v>30.93</v>
      </c>
      <c r="AI187" s="2">
        <f t="shared" si="212"/>
        <v>0</v>
      </c>
      <c r="AJ187" s="2">
        <f t="shared" si="213"/>
        <v>0</v>
      </c>
      <c r="AK187" s="2">
        <v>638.85</v>
      </c>
      <c r="AL187" s="2">
        <v>51.62</v>
      </c>
      <c r="AM187" s="2">
        <v>199.28</v>
      </c>
      <c r="AN187" s="2">
        <v>19.899999999999999</v>
      </c>
      <c r="AO187" s="2">
        <v>387.95</v>
      </c>
      <c r="AP187" s="2">
        <v>0</v>
      </c>
      <c r="AQ187" s="2">
        <v>30.93</v>
      </c>
      <c r="AR187" s="2">
        <v>0</v>
      </c>
      <c r="AS187" s="2">
        <v>0</v>
      </c>
      <c r="AT187" s="2">
        <v>112</v>
      </c>
      <c r="AU187" s="2">
        <v>70</v>
      </c>
      <c r="AV187" s="2">
        <v>1.0469999999999999</v>
      </c>
      <c r="AW187" s="2">
        <v>1</v>
      </c>
      <c r="AX187" s="2"/>
      <c r="AY187" s="2"/>
      <c r="AZ187" s="2">
        <v>1</v>
      </c>
      <c r="BA187" s="2">
        <v>1</v>
      </c>
      <c r="BB187" s="2">
        <v>1</v>
      </c>
      <c r="BC187" s="2">
        <v>1</v>
      </c>
      <c r="BD187" s="2" t="s">
        <v>4</v>
      </c>
      <c r="BE187" s="2" t="s">
        <v>4</v>
      </c>
      <c r="BF187" s="2" t="s">
        <v>4</v>
      </c>
      <c r="BG187" s="2" t="s">
        <v>4</v>
      </c>
      <c r="BH187" s="2">
        <v>0</v>
      </c>
      <c r="BI187" s="2">
        <v>2</v>
      </c>
      <c r="BJ187" s="2" t="s">
        <v>260</v>
      </c>
      <c r="BK187" s="2"/>
      <c r="BL187" s="2"/>
      <c r="BM187" s="2">
        <v>1726</v>
      </c>
      <c r="BN187" s="2">
        <v>0</v>
      </c>
      <c r="BO187" s="2" t="s">
        <v>4</v>
      </c>
      <c r="BP187" s="2">
        <v>0</v>
      </c>
      <c r="BQ187" s="2">
        <v>40</v>
      </c>
      <c r="BR187" s="2">
        <v>0</v>
      </c>
      <c r="BS187" s="2">
        <v>1</v>
      </c>
      <c r="BT187" s="2">
        <v>1</v>
      </c>
      <c r="BU187" s="2">
        <v>1</v>
      </c>
      <c r="BV187" s="2">
        <v>1</v>
      </c>
      <c r="BW187" s="2">
        <v>1</v>
      </c>
      <c r="BX187" s="2">
        <v>1</v>
      </c>
      <c r="BY187" s="2" t="s">
        <v>4</v>
      </c>
      <c r="BZ187" s="2">
        <v>112</v>
      </c>
      <c r="CA187" s="2">
        <v>70</v>
      </c>
      <c r="CB187" s="2" t="s">
        <v>4</v>
      </c>
      <c r="CC187" s="2"/>
      <c r="CD187" s="2"/>
      <c r="CE187" s="2">
        <v>30</v>
      </c>
      <c r="CF187" s="2">
        <v>0</v>
      </c>
      <c r="CG187" s="2">
        <v>0</v>
      </c>
      <c r="CH187" s="2"/>
      <c r="CI187" s="2"/>
      <c r="CJ187" s="2"/>
      <c r="CK187" s="2"/>
      <c r="CL187" s="2"/>
      <c r="CM187" s="2">
        <v>0</v>
      </c>
      <c r="CN187" s="2" t="s">
        <v>4</v>
      </c>
      <c r="CO187" s="2">
        <v>0</v>
      </c>
      <c r="CP187" s="2">
        <f t="shared" si="214"/>
        <v>3998.7</v>
      </c>
      <c r="CQ187" s="2">
        <f t="shared" si="215"/>
        <v>51.62</v>
      </c>
      <c r="CR187" s="2">
        <f t="shared" si="216"/>
        <v>208.65</v>
      </c>
      <c r="CS187" s="2">
        <f t="shared" si="217"/>
        <v>20.84</v>
      </c>
      <c r="CT187" s="2">
        <f t="shared" si="218"/>
        <v>406.18</v>
      </c>
      <c r="CU187" s="2">
        <f t="shared" si="219"/>
        <v>0</v>
      </c>
      <c r="CV187" s="2">
        <f t="shared" si="220"/>
        <v>32.383710000000001</v>
      </c>
      <c r="CW187" s="2">
        <f t="shared" si="221"/>
        <v>0</v>
      </c>
      <c r="CX187" s="2">
        <f t="shared" si="222"/>
        <v>0</v>
      </c>
      <c r="CY187" s="2">
        <f>((S187*BZ187)/100)</f>
        <v>2729.5520000000001</v>
      </c>
      <c r="CZ187" s="2">
        <f>((S187*CA187)/100)</f>
        <v>1705.97</v>
      </c>
      <c r="DA187" s="2"/>
      <c r="DB187" s="2"/>
      <c r="DC187" s="2" t="s">
        <v>4</v>
      </c>
      <c r="DD187" s="2" t="s">
        <v>4</v>
      </c>
      <c r="DE187" s="2" t="s">
        <v>4</v>
      </c>
      <c r="DF187" s="2" t="s">
        <v>4</v>
      </c>
      <c r="DG187" s="2" t="s">
        <v>4</v>
      </c>
      <c r="DH187" s="2" t="s">
        <v>4</v>
      </c>
      <c r="DI187" s="2" t="s">
        <v>4</v>
      </c>
      <c r="DJ187" s="2" t="s">
        <v>4</v>
      </c>
      <c r="DK187" s="2" t="s">
        <v>4</v>
      </c>
      <c r="DL187" s="2" t="s">
        <v>4</v>
      </c>
      <c r="DM187" s="2" t="s">
        <v>4</v>
      </c>
      <c r="DN187" s="2">
        <v>0</v>
      </c>
      <c r="DO187" s="2">
        <v>0</v>
      </c>
      <c r="DP187" s="2">
        <v>1</v>
      </c>
      <c r="DQ187" s="2">
        <v>1</v>
      </c>
      <c r="DR187" s="2"/>
      <c r="DS187" s="2"/>
      <c r="DT187" s="2"/>
      <c r="DU187" s="2">
        <v>1003</v>
      </c>
      <c r="DV187" s="2" t="s">
        <v>217</v>
      </c>
      <c r="DW187" s="2" t="s">
        <v>217</v>
      </c>
      <c r="DX187" s="2">
        <v>100</v>
      </c>
      <c r="DY187" s="2"/>
      <c r="DZ187" s="2" t="s">
        <v>4</v>
      </c>
      <c r="EA187" s="2" t="s">
        <v>4</v>
      </c>
      <c r="EB187" s="2" t="s">
        <v>4</v>
      </c>
      <c r="EC187" s="2" t="s">
        <v>4</v>
      </c>
      <c r="ED187" s="2"/>
      <c r="EE187" s="2">
        <v>69254351</v>
      </c>
      <c r="EF187" s="2">
        <v>40</v>
      </c>
      <c r="EG187" s="2" t="s">
        <v>219</v>
      </c>
      <c r="EH187" s="2">
        <v>0</v>
      </c>
      <c r="EI187" s="2" t="s">
        <v>4</v>
      </c>
      <c r="EJ187" s="2">
        <v>2</v>
      </c>
      <c r="EK187" s="2">
        <v>1726</v>
      </c>
      <c r="EL187" s="2" t="s">
        <v>220</v>
      </c>
      <c r="EM187" s="2" t="s">
        <v>221</v>
      </c>
      <c r="EN187" s="2"/>
      <c r="EO187" s="2" t="s">
        <v>4</v>
      </c>
      <c r="EP187" s="2"/>
      <c r="EQ187" s="2">
        <v>131072</v>
      </c>
      <c r="ER187" s="2">
        <v>638.85</v>
      </c>
      <c r="ES187" s="2">
        <v>51.62</v>
      </c>
      <c r="ET187" s="2">
        <v>199.28</v>
      </c>
      <c r="EU187" s="2">
        <v>19.899999999999999</v>
      </c>
      <c r="EV187" s="2">
        <v>387.95</v>
      </c>
      <c r="EW187" s="2">
        <v>30.93</v>
      </c>
      <c r="EX187" s="2">
        <v>0</v>
      </c>
      <c r="EY187" s="2">
        <v>0</v>
      </c>
      <c r="EZ187" s="2"/>
      <c r="FA187" s="2"/>
      <c r="FB187" s="2"/>
      <c r="FC187" s="2"/>
      <c r="FD187" s="2"/>
      <c r="FE187" s="2"/>
      <c r="FF187" s="2"/>
      <c r="FG187" s="2"/>
      <c r="FH187" s="2"/>
      <c r="FI187" s="2"/>
      <c r="FJ187" s="2"/>
      <c r="FK187" s="2"/>
      <c r="FL187" s="2"/>
      <c r="FM187" s="2"/>
      <c r="FN187" s="2"/>
      <c r="FO187" s="2"/>
      <c r="FP187" s="2"/>
      <c r="FQ187" s="2">
        <v>0</v>
      </c>
      <c r="FR187" s="2">
        <f t="shared" si="223"/>
        <v>0</v>
      </c>
      <c r="FS187" s="2">
        <v>0</v>
      </c>
      <c r="FT187" s="2"/>
      <c r="FU187" s="2"/>
      <c r="FV187" s="2"/>
      <c r="FW187" s="2"/>
      <c r="FX187" s="2">
        <v>112</v>
      </c>
      <c r="FY187" s="2">
        <v>70</v>
      </c>
      <c r="FZ187" s="2"/>
      <c r="GA187" s="2" t="s">
        <v>4</v>
      </c>
      <c r="GB187" s="2"/>
      <c r="GC187" s="2"/>
      <c r="GD187" s="2">
        <v>0</v>
      </c>
      <c r="GE187" s="2"/>
      <c r="GF187" s="2">
        <v>1570936316</v>
      </c>
      <c r="GG187" s="2">
        <v>2</v>
      </c>
      <c r="GH187" s="2">
        <v>1</v>
      </c>
      <c r="GI187" s="2">
        <v>-2</v>
      </c>
      <c r="GJ187" s="2">
        <v>0</v>
      </c>
      <c r="GK187" s="2">
        <f>ROUND(R187*(R12)/100,2)</f>
        <v>218.77</v>
      </c>
      <c r="GL187" s="2">
        <f t="shared" si="224"/>
        <v>0</v>
      </c>
      <c r="GM187" s="2">
        <f t="shared" si="225"/>
        <v>8652.99</v>
      </c>
      <c r="GN187" s="2">
        <f t="shared" si="226"/>
        <v>0</v>
      </c>
      <c r="GO187" s="2">
        <f t="shared" si="227"/>
        <v>8652.99</v>
      </c>
      <c r="GP187" s="2">
        <f t="shared" si="228"/>
        <v>0</v>
      </c>
      <c r="GQ187" s="2"/>
      <c r="GR187" s="2">
        <v>0</v>
      </c>
      <c r="GS187" s="2">
        <v>0</v>
      </c>
      <c r="GT187" s="2">
        <v>0</v>
      </c>
      <c r="GU187" s="2" t="s">
        <v>4</v>
      </c>
      <c r="GV187" s="2">
        <f t="shared" si="229"/>
        <v>0</v>
      </c>
      <c r="GW187" s="2">
        <v>1</v>
      </c>
      <c r="GX187" s="2">
        <f t="shared" si="230"/>
        <v>0</v>
      </c>
      <c r="GY187" s="2"/>
      <c r="GZ187" s="2"/>
      <c r="HA187" s="2">
        <v>0</v>
      </c>
      <c r="HB187" s="2">
        <v>0</v>
      </c>
      <c r="HC187" s="2">
        <f t="shared" si="231"/>
        <v>0</v>
      </c>
      <c r="HD187" s="2"/>
      <c r="HE187" s="2" t="s">
        <v>4</v>
      </c>
      <c r="HF187" s="2" t="s">
        <v>4</v>
      </c>
      <c r="HG187" s="2"/>
      <c r="HH187" s="2"/>
      <c r="HI187" s="2"/>
      <c r="HJ187" s="2"/>
      <c r="HK187" s="2"/>
      <c r="HL187" s="2"/>
      <c r="HM187" s="2" t="s">
        <v>4</v>
      </c>
      <c r="HN187" s="2" t="s">
        <v>4</v>
      </c>
      <c r="HO187" s="2" t="s">
        <v>4</v>
      </c>
      <c r="HP187" s="2" t="s">
        <v>4</v>
      </c>
      <c r="HQ187" s="2" t="s">
        <v>4</v>
      </c>
      <c r="HR187" s="2"/>
      <c r="HS187" s="2"/>
      <c r="HT187" s="2"/>
      <c r="HU187" s="2"/>
      <c r="HV187" s="2"/>
      <c r="HW187" s="2"/>
      <c r="HX187" s="2"/>
      <c r="HY187" s="2"/>
      <c r="HZ187" s="2"/>
      <c r="IA187" s="2"/>
      <c r="IB187" s="2"/>
      <c r="IC187" s="2"/>
      <c r="ID187" s="2"/>
      <c r="IE187" s="2"/>
      <c r="IF187" s="2"/>
      <c r="IG187" s="2"/>
      <c r="IH187" s="2"/>
      <c r="II187" s="2"/>
      <c r="IJ187" s="2"/>
      <c r="IK187" s="2">
        <v>0</v>
      </c>
      <c r="IL187" s="2"/>
      <c r="IM187" s="2"/>
      <c r="IN187" s="2"/>
      <c r="IO187" s="2"/>
      <c r="IP187" s="2"/>
      <c r="IQ187" s="2"/>
      <c r="IR187" s="2"/>
      <c r="IS187" s="2"/>
      <c r="IT187" s="2"/>
      <c r="IU187" s="2"/>
    </row>
    <row r="188" spans="1:255">
      <c r="A188">
        <v>17</v>
      </c>
      <c r="B188">
        <v>1</v>
      </c>
      <c r="D188">
        <f>ROW(EtalonRes!A262)</f>
        <v>262</v>
      </c>
      <c r="E188" t="s">
        <v>257</v>
      </c>
      <c r="F188" t="s">
        <v>258</v>
      </c>
      <c r="G188" t="s">
        <v>259</v>
      </c>
      <c r="H188" t="s">
        <v>217</v>
      </c>
      <c r="I188">
        <f>ROUND(ROUND((300*2)/100,6),9)</f>
        <v>6</v>
      </c>
      <c r="J188">
        <v>0</v>
      </c>
      <c r="K188">
        <f>ROUND(ROUND((300*2)/100,6),9)</f>
        <v>6</v>
      </c>
      <c r="O188">
        <f t="shared" si="194"/>
        <v>131660.72</v>
      </c>
      <c r="P188">
        <f t="shared" si="195"/>
        <v>1434</v>
      </c>
      <c r="Q188">
        <f t="shared" si="196"/>
        <v>16487.259999999998</v>
      </c>
      <c r="R188">
        <f t="shared" si="197"/>
        <v>5834.22</v>
      </c>
      <c r="S188">
        <f t="shared" si="198"/>
        <v>113739.46</v>
      </c>
      <c r="T188">
        <f t="shared" si="199"/>
        <v>0</v>
      </c>
      <c r="U188">
        <f t="shared" si="200"/>
        <v>194.30225999999999</v>
      </c>
      <c r="V188">
        <f t="shared" si="201"/>
        <v>0</v>
      </c>
      <c r="W188">
        <f t="shared" si="202"/>
        <v>0</v>
      </c>
      <c r="X188">
        <f t="shared" si="203"/>
        <v>104640.3</v>
      </c>
      <c r="Y188">
        <f t="shared" si="204"/>
        <v>48907.97</v>
      </c>
      <c r="AA188">
        <v>70305036</v>
      </c>
      <c r="AB188">
        <f t="shared" si="205"/>
        <v>638.85</v>
      </c>
      <c r="AC188">
        <f t="shared" si="206"/>
        <v>51.62</v>
      </c>
      <c r="AD188">
        <f t="shared" si="207"/>
        <v>199.28</v>
      </c>
      <c r="AE188">
        <f t="shared" si="208"/>
        <v>19.899999999999999</v>
      </c>
      <c r="AF188">
        <f t="shared" si="209"/>
        <v>387.95</v>
      </c>
      <c r="AG188">
        <f t="shared" si="210"/>
        <v>0</v>
      </c>
      <c r="AH188">
        <f t="shared" si="211"/>
        <v>30.93</v>
      </c>
      <c r="AI188">
        <f t="shared" si="212"/>
        <v>0</v>
      </c>
      <c r="AJ188">
        <f t="shared" si="213"/>
        <v>0</v>
      </c>
      <c r="AK188">
        <v>638.85</v>
      </c>
      <c r="AL188">
        <v>51.62</v>
      </c>
      <c r="AM188">
        <v>199.28</v>
      </c>
      <c r="AN188">
        <v>19.899999999999999</v>
      </c>
      <c r="AO188">
        <v>387.95</v>
      </c>
      <c r="AP188">
        <v>0</v>
      </c>
      <c r="AQ188">
        <v>30.93</v>
      </c>
      <c r="AR188">
        <v>0</v>
      </c>
      <c r="AS188">
        <v>0</v>
      </c>
      <c r="AT188">
        <v>92</v>
      </c>
      <c r="AU188">
        <v>43</v>
      </c>
      <c r="AV188">
        <v>1.0469999999999999</v>
      </c>
      <c r="AW188">
        <v>1</v>
      </c>
      <c r="AZ188">
        <v>1</v>
      </c>
      <c r="BA188">
        <v>46.67</v>
      </c>
      <c r="BB188">
        <v>13.17</v>
      </c>
      <c r="BC188">
        <v>4.63</v>
      </c>
      <c r="BD188" t="s">
        <v>4</v>
      </c>
      <c r="BE188" t="s">
        <v>4</v>
      </c>
      <c r="BF188" t="s">
        <v>4</v>
      </c>
      <c r="BG188" t="s">
        <v>4</v>
      </c>
      <c r="BH188">
        <v>0</v>
      </c>
      <c r="BI188">
        <v>2</v>
      </c>
      <c r="BJ188" t="s">
        <v>260</v>
      </c>
      <c r="BM188">
        <v>1726</v>
      </c>
      <c r="BN188">
        <v>0</v>
      </c>
      <c r="BO188" t="s">
        <v>258</v>
      </c>
      <c r="BP188">
        <v>1</v>
      </c>
      <c r="BQ188">
        <v>40</v>
      </c>
      <c r="BR188">
        <v>0</v>
      </c>
      <c r="BS188">
        <v>46.67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4</v>
      </c>
      <c r="BZ188">
        <v>92</v>
      </c>
      <c r="CA188">
        <v>43</v>
      </c>
      <c r="CB188" t="s">
        <v>4</v>
      </c>
      <c r="CE188">
        <v>30</v>
      </c>
      <c r="CF188">
        <v>0</v>
      </c>
      <c r="CG188">
        <v>0</v>
      </c>
      <c r="CM188">
        <v>0</v>
      </c>
      <c r="CN188" t="s">
        <v>4</v>
      </c>
      <c r="CO188">
        <v>0</v>
      </c>
      <c r="CP188">
        <f t="shared" si="214"/>
        <v>131660.72</v>
      </c>
      <c r="CQ188">
        <f t="shared" si="215"/>
        <v>239</v>
      </c>
      <c r="CR188">
        <f t="shared" si="216"/>
        <v>2747.92</v>
      </c>
      <c r="CS188">
        <f t="shared" si="217"/>
        <v>972.6</v>
      </c>
      <c r="CT188">
        <f t="shared" si="218"/>
        <v>18956.419999999998</v>
      </c>
      <c r="CU188">
        <f t="shared" si="219"/>
        <v>0</v>
      </c>
      <c r="CV188">
        <f t="shared" si="220"/>
        <v>32.383710000000001</v>
      </c>
      <c r="CW188">
        <f t="shared" si="221"/>
        <v>0</v>
      </c>
      <c r="CX188">
        <f t="shared" si="222"/>
        <v>0</v>
      </c>
      <c r="CY188">
        <f>S188*(BZ188/100)</f>
        <v>104640.30320000001</v>
      </c>
      <c r="CZ188">
        <f>S188*(CA188/100)</f>
        <v>48907.967799999999</v>
      </c>
      <c r="DC188" t="s">
        <v>4</v>
      </c>
      <c r="DD188" t="s">
        <v>4</v>
      </c>
      <c r="DE188" t="s">
        <v>4</v>
      </c>
      <c r="DF188" t="s">
        <v>4</v>
      </c>
      <c r="DG188" t="s">
        <v>4</v>
      </c>
      <c r="DH188" t="s">
        <v>4</v>
      </c>
      <c r="DI188" t="s">
        <v>4</v>
      </c>
      <c r="DJ188" t="s">
        <v>4</v>
      </c>
      <c r="DK188" t="s">
        <v>4</v>
      </c>
      <c r="DL188" t="s">
        <v>4</v>
      </c>
      <c r="DM188" t="s">
        <v>4</v>
      </c>
      <c r="DN188">
        <v>112</v>
      </c>
      <c r="DO188">
        <v>70</v>
      </c>
      <c r="DP188">
        <v>1.0469999999999999</v>
      </c>
      <c r="DQ188">
        <v>1</v>
      </c>
      <c r="DU188">
        <v>1003</v>
      </c>
      <c r="DV188" t="s">
        <v>217</v>
      </c>
      <c r="DW188" t="s">
        <v>217</v>
      </c>
      <c r="DX188">
        <v>100</v>
      </c>
      <c r="DZ188" t="s">
        <v>4</v>
      </c>
      <c r="EA188" t="s">
        <v>4</v>
      </c>
      <c r="EB188" t="s">
        <v>4</v>
      </c>
      <c r="EC188" t="s">
        <v>4</v>
      </c>
      <c r="EE188">
        <v>69254351</v>
      </c>
      <c r="EF188">
        <v>40</v>
      </c>
      <c r="EG188" t="s">
        <v>219</v>
      </c>
      <c r="EH188">
        <v>0</v>
      </c>
      <c r="EI188" t="s">
        <v>4</v>
      </c>
      <c r="EJ188">
        <v>2</v>
      </c>
      <c r="EK188">
        <v>1726</v>
      </c>
      <c r="EL188" t="s">
        <v>220</v>
      </c>
      <c r="EM188" t="s">
        <v>221</v>
      </c>
      <c r="EO188" t="s">
        <v>4</v>
      </c>
      <c r="EQ188">
        <v>131072</v>
      </c>
      <c r="ER188">
        <v>638.85</v>
      </c>
      <c r="ES188">
        <v>51.62</v>
      </c>
      <c r="ET188">
        <v>199.28</v>
      </c>
      <c r="EU188">
        <v>19.899999999999999</v>
      </c>
      <c r="EV188">
        <v>387.95</v>
      </c>
      <c r="EW188">
        <v>30.93</v>
      </c>
      <c r="EX188">
        <v>0</v>
      </c>
      <c r="EY188">
        <v>0</v>
      </c>
      <c r="FQ188">
        <v>0</v>
      </c>
      <c r="FR188">
        <f t="shared" si="223"/>
        <v>0</v>
      </c>
      <c r="FS188">
        <v>0</v>
      </c>
      <c r="FX188">
        <v>112</v>
      </c>
      <c r="FY188">
        <v>70</v>
      </c>
      <c r="GA188" t="s">
        <v>4</v>
      </c>
      <c r="GD188">
        <v>0</v>
      </c>
      <c r="GF188">
        <v>1570936316</v>
      </c>
      <c r="GG188">
        <v>2</v>
      </c>
      <c r="GH188">
        <v>1</v>
      </c>
      <c r="GI188">
        <v>2</v>
      </c>
      <c r="GJ188">
        <v>0</v>
      </c>
      <c r="GK188">
        <f>ROUND(R188*(S12)/100,2)</f>
        <v>9334.75</v>
      </c>
      <c r="GL188">
        <f t="shared" si="224"/>
        <v>0</v>
      </c>
      <c r="GM188">
        <f t="shared" si="225"/>
        <v>294543.74</v>
      </c>
      <c r="GN188">
        <f t="shared" si="226"/>
        <v>0</v>
      </c>
      <c r="GO188">
        <f t="shared" si="227"/>
        <v>294543.74</v>
      </c>
      <c r="GP188">
        <f t="shared" si="228"/>
        <v>0</v>
      </c>
      <c r="GR188">
        <v>0</v>
      </c>
      <c r="GS188">
        <v>3</v>
      </c>
      <c r="GT188">
        <v>0</v>
      </c>
      <c r="GU188" t="s">
        <v>4</v>
      </c>
      <c r="GV188">
        <f t="shared" si="229"/>
        <v>0</v>
      </c>
      <c r="GW188">
        <v>1</v>
      </c>
      <c r="GX188">
        <f t="shared" si="230"/>
        <v>0</v>
      </c>
      <c r="HA188">
        <v>0</v>
      </c>
      <c r="HB188">
        <v>0</v>
      </c>
      <c r="HC188">
        <f t="shared" si="231"/>
        <v>0</v>
      </c>
      <c r="HE188" t="s">
        <v>4</v>
      </c>
      <c r="HF188" t="s">
        <v>4</v>
      </c>
      <c r="HM188" t="s">
        <v>4</v>
      </c>
      <c r="HN188" t="s">
        <v>4</v>
      </c>
      <c r="HO188" t="s">
        <v>4</v>
      </c>
      <c r="HP188" t="s">
        <v>4</v>
      </c>
      <c r="HQ188" t="s">
        <v>4</v>
      </c>
      <c r="IK188">
        <v>0</v>
      </c>
    </row>
    <row r="189" spans="1:255">
      <c r="A189" s="2">
        <v>17</v>
      </c>
      <c r="B189" s="2">
        <v>1</v>
      </c>
      <c r="C189" s="2"/>
      <c r="D189" s="2"/>
      <c r="E189" s="2" t="s">
        <v>261</v>
      </c>
      <c r="F189" s="2" t="s">
        <v>223</v>
      </c>
      <c r="G189" s="2" t="s">
        <v>224</v>
      </c>
      <c r="H189" s="2" t="s">
        <v>209</v>
      </c>
      <c r="I189" s="2">
        <f>ROUND(I187*3*1.02/10,9)</f>
        <v>1.8360000000000001</v>
      </c>
      <c r="J189" s="2">
        <v>0</v>
      </c>
      <c r="K189" s="2">
        <f>ROUND(I187*3*1.02/10,9)</f>
        <v>1.8360000000000001</v>
      </c>
      <c r="L189" s="2"/>
      <c r="M189" s="2"/>
      <c r="N189" s="2"/>
      <c r="O189" s="2">
        <f t="shared" si="194"/>
        <v>200537.61</v>
      </c>
      <c r="P189" s="2">
        <f t="shared" si="195"/>
        <v>200537.61</v>
      </c>
      <c r="Q189" s="2">
        <f t="shared" si="196"/>
        <v>0</v>
      </c>
      <c r="R189" s="2">
        <f t="shared" si="197"/>
        <v>0</v>
      </c>
      <c r="S189" s="2">
        <f t="shared" si="198"/>
        <v>0</v>
      </c>
      <c r="T189" s="2">
        <f t="shared" si="199"/>
        <v>0</v>
      </c>
      <c r="U189" s="2">
        <f t="shared" si="200"/>
        <v>0</v>
      </c>
      <c r="V189" s="2">
        <f t="shared" si="201"/>
        <v>0</v>
      </c>
      <c r="W189" s="2">
        <f t="shared" si="202"/>
        <v>0</v>
      </c>
      <c r="X189" s="2">
        <f t="shared" si="203"/>
        <v>0</v>
      </c>
      <c r="Y189" s="2">
        <f t="shared" si="204"/>
        <v>0</v>
      </c>
      <c r="Z189" s="2"/>
      <c r="AA189" s="2">
        <v>70305038</v>
      </c>
      <c r="AB189" s="2">
        <f t="shared" si="205"/>
        <v>109225.28</v>
      </c>
      <c r="AC189" s="2">
        <f t="shared" si="206"/>
        <v>109225.28</v>
      </c>
      <c r="AD189" s="2">
        <f t="shared" si="207"/>
        <v>0</v>
      </c>
      <c r="AE189" s="2">
        <f t="shared" si="208"/>
        <v>0</v>
      </c>
      <c r="AF189" s="2">
        <f t="shared" si="209"/>
        <v>0</v>
      </c>
      <c r="AG189" s="2">
        <f t="shared" si="210"/>
        <v>0</v>
      </c>
      <c r="AH189" s="2">
        <f t="shared" si="211"/>
        <v>0</v>
      </c>
      <c r="AI189" s="2">
        <f t="shared" si="212"/>
        <v>0</v>
      </c>
      <c r="AJ189" s="2">
        <f t="shared" si="213"/>
        <v>0</v>
      </c>
      <c r="AK189" s="2">
        <v>109225.28</v>
      </c>
      <c r="AL189" s="2">
        <v>109225.28</v>
      </c>
      <c r="AM189" s="2">
        <v>0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1</v>
      </c>
      <c r="AW189" s="2">
        <v>1</v>
      </c>
      <c r="AX189" s="2"/>
      <c r="AY189" s="2"/>
      <c r="AZ189" s="2">
        <v>1</v>
      </c>
      <c r="BA189" s="2">
        <v>1</v>
      </c>
      <c r="BB189" s="2">
        <v>1</v>
      </c>
      <c r="BC189" s="2">
        <v>1</v>
      </c>
      <c r="BD189" s="2" t="s">
        <v>4</v>
      </c>
      <c r="BE189" s="2" t="s">
        <v>4</v>
      </c>
      <c r="BF189" s="2" t="s">
        <v>4</v>
      </c>
      <c r="BG189" s="2" t="s">
        <v>4</v>
      </c>
      <c r="BH189" s="2">
        <v>3</v>
      </c>
      <c r="BI189" s="2">
        <v>2</v>
      </c>
      <c r="BJ189" s="2" t="s">
        <v>225</v>
      </c>
      <c r="BK189" s="2"/>
      <c r="BL189" s="2"/>
      <c r="BM189" s="2">
        <v>1618</v>
      </c>
      <c r="BN189" s="2">
        <v>0</v>
      </c>
      <c r="BO189" s="2" t="s">
        <v>4</v>
      </c>
      <c r="BP189" s="2">
        <v>0</v>
      </c>
      <c r="BQ189" s="2">
        <v>201</v>
      </c>
      <c r="BR189" s="2">
        <v>0</v>
      </c>
      <c r="BS189" s="2">
        <v>1</v>
      </c>
      <c r="BT189" s="2">
        <v>1</v>
      </c>
      <c r="BU189" s="2">
        <v>1</v>
      </c>
      <c r="BV189" s="2">
        <v>1</v>
      </c>
      <c r="BW189" s="2">
        <v>1</v>
      </c>
      <c r="BX189" s="2">
        <v>1</v>
      </c>
      <c r="BY189" s="2" t="s">
        <v>4</v>
      </c>
      <c r="BZ189" s="2">
        <v>0</v>
      </c>
      <c r="CA189" s="2">
        <v>0</v>
      </c>
      <c r="CB189" s="2" t="s">
        <v>4</v>
      </c>
      <c r="CC189" s="2"/>
      <c r="CD189" s="2"/>
      <c r="CE189" s="2">
        <v>30</v>
      </c>
      <c r="CF189" s="2">
        <v>0</v>
      </c>
      <c r="CG189" s="2">
        <v>0</v>
      </c>
      <c r="CH189" s="2"/>
      <c r="CI189" s="2"/>
      <c r="CJ189" s="2"/>
      <c r="CK189" s="2"/>
      <c r="CL189" s="2"/>
      <c r="CM189" s="2">
        <v>0</v>
      </c>
      <c r="CN189" s="2" t="s">
        <v>4</v>
      </c>
      <c r="CO189" s="2">
        <v>0</v>
      </c>
      <c r="CP189" s="2">
        <f t="shared" si="214"/>
        <v>200537.61</v>
      </c>
      <c r="CQ189" s="2">
        <f t="shared" si="215"/>
        <v>109225.28</v>
      </c>
      <c r="CR189" s="2">
        <f t="shared" si="216"/>
        <v>0</v>
      </c>
      <c r="CS189" s="2">
        <f t="shared" si="217"/>
        <v>0</v>
      </c>
      <c r="CT189" s="2">
        <f t="shared" si="218"/>
        <v>0</v>
      </c>
      <c r="CU189" s="2">
        <f t="shared" si="219"/>
        <v>0</v>
      </c>
      <c r="CV189" s="2">
        <f t="shared" si="220"/>
        <v>0</v>
      </c>
      <c r="CW189" s="2">
        <f t="shared" si="221"/>
        <v>0</v>
      </c>
      <c r="CX189" s="2">
        <f t="shared" si="222"/>
        <v>0</v>
      </c>
      <c r="CY189" s="2">
        <f>((S189*BZ189)/100)</f>
        <v>0</v>
      </c>
      <c r="CZ189" s="2">
        <f>((S189*CA189)/100)</f>
        <v>0</v>
      </c>
      <c r="DA189" s="2"/>
      <c r="DB189" s="2"/>
      <c r="DC189" s="2" t="s">
        <v>4</v>
      </c>
      <c r="DD189" s="2" t="s">
        <v>4</v>
      </c>
      <c r="DE189" s="2" t="s">
        <v>4</v>
      </c>
      <c r="DF189" s="2" t="s">
        <v>4</v>
      </c>
      <c r="DG189" s="2" t="s">
        <v>4</v>
      </c>
      <c r="DH189" s="2" t="s">
        <v>4</v>
      </c>
      <c r="DI189" s="2" t="s">
        <v>4</v>
      </c>
      <c r="DJ189" s="2" t="s">
        <v>4</v>
      </c>
      <c r="DK189" s="2" t="s">
        <v>4</v>
      </c>
      <c r="DL189" s="2" t="s">
        <v>4</v>
      </c>
      <c r="DM189" s="2" t="s">
        <v>4</v>
      </c>
      <c r="DN189" s="2">
        <v>0</v>
      </c>
      <c r="DO189" s="2">
        <v>0</v>
      </c>
      <c r="DP189" s="2">
        <v>1</v>
      </c>
      <c r="DQ189" s="2">
        <v>1</v>
      </c>
      <c r="DR189" s="2"/>
      <c r="DS189" s="2"/>
      <c r="DT189" s="2"/>
      <c r="DU189" s="2">
        <v>1003</v>
      </c>
      <c r="DV189" s="2" t="s">
        <v>209</v>
      </c>
      <c r="DW189" s="2" t="s">
        <v>209</v>
      </c>
      <c r="DX189" s="2">
        <v>1000</v>
      </c>
      <c r="DY189" s="2"/>
      <c r="DZ189" s="2" t="s">
        <v>4</v>
      </c>
      <c r="EA189" s="2" t="s">
        <v>4</v>
      </c>
      <c r="EB189" s="2" t="s">
        <v>4</v>
      </c>
      <c r="EC189" s="2" t="s">
        <v>4</v>
      </c>
      <c r="ED189" s="2"/>
      <c r="EE189" s="2">
        <v>69254243</v>
      </c>
      <c r="EF189" s="2">
        <v>201</v>
      </c>
      <c r="EG189" s="2" t="s">
        <v>226</v>
      </c>
      <c r="EH189" s="2">
        <v>0</v>
      </c>
      <c r="EI189" s="2" t="s">
        <v>4</v>
      </c>
      <c r="EJ189" s="2">
        <v>2</v>
      </c>
      <c r="EK189" s="2">
        <v>1618</v>
      </c>
      <c r="EL189" s="2" t="s">
        <v>227</v>
      </c>
      <c r="EM189" s="2" t="s">
        <v>228</v>
      </c>
      <c r="EN189" s="2"/>
      <c r="EO189" s="2" t="s">
        <v>4</v>
      </c>
      <c r="EP189" s="2"/>
      <c r="EQ189" s="2">
        <v>0</v>
      </c>
      <c r="ER189" s="2">
        <v>109225.28</v>
      </c>
      <c r="ES189" s="2">
        <v>109225.28</v>
      </c>
      <c r="ET189" s="2">
        <v>0</v>
      </c>
      <c r="EU189" s="2">
        <v>0</v>
      </c>
      <c r="EV189" s="2">
        <v>0</v>
      </c>
      <c r="EW189" s="2">
        <v>0</v>
      </c>
      <c r="EX189" s="2">
        <v>0</v>
      </c>
      <c r="EY189" s="2">
        <v>0</v>
      </c>
      <c r="EZ189" s="2"/>
      <c r="FA189" s="2"/>
      <c r="FB189" s="2"/>
      <c r="FC189" s="2"/>
      <c r="FD189" s="2"/>
      <c r="FE189" s="2"/>
      <c r="FF189" s="2"/>
      <c r="FG189" s="2"/>
      <c r="FH189" s="2"/>
      <c r="FI189" s="2"/>
      <c r="FJ189" s="2"/>
      <c r="FK189" s="2"/>
      <c r="FL189" s="2"/>
      <c r="FM189" s="2"/>
      <c r="FN189" s="2"/>
      <c r="FO189" s="2"/>
      <c r="FP189" s="2"/>
      <c r="FQ189" s="2">
        <v>0</v>
      </c>
      <c r="FR189" s="2">
        <f t="shared" si="223"/>
        <v>0</v>
      </c>
      <c r="FS189" s="2">
        <v>0</v>
      </c>
      <c r="FT189" s="2"/>
      <c r="FU189" s="2"/>
      <c r="FV189" s="2"/>
      <c r="FW189" s="2"/>
      <c r="FX189" s="2">
        <v>0</v>
      </c>
      <c r="FY189" s="2">
        <v>0</v>
      </c>
      <c r="FZ189" s="2"/>
      <c r="GA189" s="2" t="s">
        <v>4</v>
      </c>
      <c r="GB189" s="2"/>
      <c r="GC189" s="2"/>
      <c r="GD189" s="2">
        <v>0</v>
      </c>
      <c r="GE189" s="2"/>
      <c r="GF189" s="2">
        <v>241870239</v>
      </c>
      <c r="GG189" s="2">
        <v>2</v>
      </c>
      <c r="GH189" s="2">
        <v>1</v>
      </c>
      <c r="GI189" s="2">
        <v>-2</v>
      </c>
      <c r="GJ189" s="2">
        <v>0</v>
      </c>
      <c r="GK189" s="2">
        <f>ROUND(R189*(R12)/100,2)</f>
        <v>0</v>
      </c>
      <c r="GL189" s="2">
        <f t="shared" si="224"/>
        <v>0</v>
      </c>
      <c r="GM189" s="2">
        <f t="shared" si="225"/>
        <v>200537.61</v>
      </c>
      <c r="GN189" s="2">
        <f t="shared" si="226"/>
        <v>0</v>
      </c>
      <c r="GO189" s="2">
        <f t="shared" si="227"/>
        <v>200537.61</v>
      </c>
      <c r="GP189" s="2">
        <f t="shared" si="228"/>
        <v>0</v>
      </c>
      <c r="GQ189" s="2"/>
      <c r="GR189" s="2">
        <v>0</v>
      </c>
      <c r="GS189" s="2">
        <v>3</v>
      </c>
      <c r="GT189" s="2">
        <v>0</v>
      </c>
      <c r="GU189" s="2" t="s">
        <v>4</v>
      </c>
      <c r="GV189" s="2">
        <f t="shared" si="229"/>
        <v>0</v>
      </c>
      <c r="GW189" s="2">
        <v>1</v>
      </c>
      <c r="GX189" s="2">
        <f t="shared" si="230"/>
        <v>0</v>
      </c>
      <c r="GY189" s="2"/>
      <c r="GZ189" s="2"/>
      <c r="HA189" s="2">
        <v>0</v>
      </c>
      <c r="HB189" s="2">
        <v>0</v>
      </c>
      <c r="HC189" s="2">
        <f t="shared" si="231"/>
        <v>0</v>
      </c>
      <c r="HD189" s="2"/>
      <c r="HE189" s="2" t="s">
        <v>4</v>
      </c>
      <c r="HF189" s="2" t="s">
        <v>4</v>
      </c>
      <c r="HG189" s="2"/>
      <c r="HH189" s="2"/>
      <c r="HI189" s="2"/>
      <c r="HJ189" s="2"/>
      <c r="HK189" s="2"/>
      <c r="HL189" s="2"/>
      <c r="HM189" s="2" t="s">
        <v>4</v>
      </c>
      <c r="HN189" s="2" t="s">
        <v>4</v>
      </c>
      <c r="HO189" s="2" t="s">
        <v>4</v>
      </c>
      <c r="HP189" s="2" t="s">
        <v>4</v>
      </c>
      <c r="HQ189" s="2" t="s">
        <v>4</v>
      </c>
      <c r="HR189" s="2"/>
      <c r="HS189" s="2"/>
      <c r="HT189" s="2"/>
      <c r="HU189" s="2"/>
      <c r="HV189" s="2"/>
      <c r="HW189" s="2"/>
      <c r="HX189" s="2"/>
      <c r="HY189" s="2"/>
      <c r="HZ189" s="2"/>
      <c r="IA189" s="2"/>
      <c r="IB189" s="2"/>
      <c r="IC189" s="2"/>
      <c r="ID189" s="2"/>
      <c r="IE189" s="2"/>
      <c r="IF189" s="2"/>
      <c r="IG189" s="2"/>
      <c r="IH189" s="2"/>
      <c r="II189" s="2"/>
      <c r="IJ189" s="2"/>
      <c r="IK189" s="2">
        <v>0</v>
      </c>
      <c r="IL189" s="2"/>
      <c r="IM189" s="2"/>
      <c r="IN189" s="2"/>
      <c r="IO189" s="2"/>
      <c r="IP189" s="2"/>
      <c r="IQ189" s="2"/>
      <c r="IR189" s="2"/>
      <c r="IS189" s="2"/>
      <c r="IT189" s="2"/>
      <c r="IU189" s="2"/>
    </row>
    <row r="190" spans="1:255">
      <c r="A190">
        <v>17</v>
      </c>
      <c r="B190">
        <v>1</v>
      </c>
      <c r="E190" t="s">
        <v>261</v>
      </c>
      <c r="F190" t="s">
        <v>223</v>
      </c>
      <c r="G190" t="s">
        <v>224</v>
      </c>
      <c r="H190" t="s">
        <v>209</v>
      </c>
      <c r="I190">
        <f>ROUND(I188*3*1.02/10,9)</f>
        <v>1.8360000000000001</v>
      </c>
      <c r="J190">
        <v>0</v>
      </c>
      <c r="K190">
        <f>ROUND(I188*3*1.02/10,9)</f>
        <v>1.8360000000000001</v>
      </c>
      <c r="O190">
        <f t="shared" si="194"/>
        <v>1740666.45</v>
      </c>
      <c r="P190">
        <f t="shared" si="195"/>
        <v>1740666.45</v>
      </c>
      <c r="Q190">
        <f t="shared" si="196"/>
        <v>0</v>
      </c>
      <c r="R190">
        <f t="shared" si="197"/>
        <v>0</v>
      </c>
      <c r="S190">
        <f t="shared" si="198"/>
        <v>0</v>
      </c>
      <c r="T190">
        <f t="shared" si="199"/>
        <v>0</v>
      </c>
      <c r="U190">
        <f t="shared" si="200"/>
        <v>0</v>
      </c>
      <c r="V190">
        <f t="shared" si="201"/>
        <v>0</v>
      </c>
      <c r="W190">
        <f t="shared" si="202"/>
        <v>0</v>
      </c>
      <c r="X190">
        <f t="shared" si="203"/>
        <v>0</v>
      </c>
      <c r="Y190">
        <f t="shared" si="204"/>
        <v>0</v>
      </c>
      <c r="AA190">
        <v>70305036</v>
      </c>
      <c r="AB190">
        <f t="shared" si="205"/>
        <v>109225.28</v>
      </c>
      <c r="AC190">
        <f t="shared" si="206"/>
        <v>109225.28</v>
      </c>
      <c r="AD190">
        <f t="shared" si="207"/>
        <v>0</v>
      </c>
      <c r="AE190">
        <f t="shared" si="208"/>
        <v>0</v>
      </c>
      <c r="AF190">
        <f t="shared" si="209"/>
        <v>0</v>
      </c>
      <c r="AG190">
        <f t="shared" si="210"/>
        <v>0</v>
      </c>
      <c r="AH190">
        <f t="shared" si="211"/>
        <v>0</v>
      </c>
      <c r="AI190">
        <f t="shared" si="212"/>
        <v>0</v>
      </c>
      <c r="AJ190">
        <f t="shared" si="213"/>
        <v>0</v>
      </c>
      <c r="AK190">
        <v>109225.28</v>
      </c>
      <c r="AL190">
        <v>109225.28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1</v>
      </c>
      <c r="AW190">
        <v>1</v>
      </c>
      <c r="AZ190">
        <v>1</v>
      </c>
      <c r="BA190">
        <v>1</v>
      </c>
      <c r="BB190">
        <v>1</v>
      </c>
      <c r="BC190">
        <v>8.68</v>
      </c>
      <c r="BD190" t="s">
        <v>4</v>
      </c>
      <c r="BE190" t="s">
        <v>4</v>
      </c>
      <c r="BF190" t="s">
        <v>4</v>
      </c>
      <c r="BG190" t="s">
        <v>4</v>
      </c>
      <c r="BH190">
        <v>3</v>
      </c>
      <c r="BI190">
        <v>2</v>
      </c>
      <c r="BJ190" t="s">
        <v>225</v>
      </c>
      <c r="BM190">
        <v>1618</v>
      </c>
      <c r="BN190">
        <v>0</v>
      </c>
      <c r="BO190" t="s">
        <v>223</v>
      </c>
      <c r="BP190">
        <v>1</v>
      </c>
      <c r="BQ190">
        <v>201</v>
      </c>
      <c r="BR190">
        <v>0</v>
      </c>
      <c r="BS190">
        <v>1</v>
      </c>
      <c r="BT190">
        <v>1</v>
      </c>
      <c r="BU190">
        <v>1</v>
      </c>
      <c r="BV190">
        <v>1</v>
      </c>
      <c r="BW190">
        <v>1</v>
      </c>
      <c r="BX190">
        <v>1</v>
      </c>
      <c r="BY190" t="s">
        <v>4</v>
      </c>
      <c r="BZ190">
        <v>0</v>
      </c>
      <c r="CA190">
        <v>0</v>
      </c>
      <c r="CB190" t="s">
        <v>4</v>
      </c>
      <c r="CE190">
        <v>30</v>
      </c>
      <c r="CF190">
        <v>0</v>
      </c>
      <c r="CG190">
        <v>0</v>
      </c>
      <c r="CM190">
        <v>0</v>
      </c>
      <c r="CN190" t="s">
        <v>4</v>
      </c>
      <c r="CO190">
        <v>0</v>
      </c>
      <c r="CP190">
        <f t="shared" si="214"/>
        <v>1740666.45</v>
      </c>
      <c r="CQ190">
        <f t="shared" si="215"/>
        <v>948075.43</v>
      </c>
      <c r="CR190">
        <f t="shared" si="216"/>
        <v>0</v>
      </c>
      <c r="CS190">
        <f t="shared" si="217"/>
        <v>0</v>
      </c>
      <c r="CT190">
        <f t="shared" si="218"/>
        <v>0</v>
      </c>
      <c r="CU190">
        <f t="shared" si="219"/>
        <v>0</v>
      </c>
      <c r="CV190">
        <f t="shared" si="220"/>
        <v>0</v>
      </c>
      <c r="CW190">
        <f t="shared" si="221"/>
        <v>0</v>
      </c>
      <c r="CX190">
        <f t="shared" si="222"/>
        <v>0</v>
      </c>
      <c r="CY190">
        <f>S190*(BZ190/100)</f>
        <v>0</v>
      </c>
      <c r="CZ190">
        <f>S190*(CA190/100)</f>
        <v>0</v>
      </c>
      <c r="DC190" t="s">
        <v>4</v>
      </c>
      <c r="DD190" t="s">
        <v>4</v>
      </c>
      <c r="DE190" t="s">
        <v>4</v>
      </c>
      <c r="DF190" t="s">
        <v>4</v>
      </c>
      <c r="DG190" t="s">
        <v>4</v>
      </c>
      <c r="DH190" t="s">
        <v>4</v>
      </c>
      <c r="DI190" t="s">
        <v>4</v>
      </c>
      <c r="DJ190" t="s">
        <v>4</v>
      </c>
      <c r="DK190" t="s">
        <v>4</v>
      </c>
      <c r="DL190" t="s">
        <v>4</v>
      </c>
      <c r="DM190" t="s">
        <v>4</v>
      </c>
      <c r="DN190">
        <v>0</v>
      </c>
      <c r="DO190">
        <v>0</v>
      </c>
      <c r="DP190">
        <v>1</v>
      </c>
      <c r="DQ190">
        <v>1</v>
      </c>
      <c r="DU190">
        <v>1003</v>
      </c>
      <c r="DV190" t="s">
        <v>209</v>
      </c>
      <c r="DW190" t="s">
        <v>209</v>
      </c>
      <c r="DX190">
        <v>1000</v>
      </c>
      <c r="DZ190" t="s">
        <v>4</v>
      </c>
      <c r="EA190" t="s">
        <v>4</v>
      </c>
      <c r="EB190" t="s">
        <v>4</v>
      </c>
      <c r="EC190" t="s">
        <v>4</v>
      </c>
      <c r="EE190">
        <v>69254243</v>
      </c>
      <c r="EF190">
        <v>201</v>
      </c>
      <c r="EG190" t="s">
        <v>226</v>
      </c>
      <c r="EH190">
        <v>0</v>
      </c>
      <c r="EI190" t="s">
        <v>4</v>
      </c>
      <c r="EJ190">
        <v>2</v>
      </c>
      <c r="EK190">
        <v>1618</v>
      </c>
      <c r="EL190" t="s">
        <v>227</v>
      </c>
      <c r="EM190" t="s">
        <v>228</v>
      </c>
      <c r="EO190" t="s">
        <v>4</v>
      </c>
      <c r="EQ190">
        <v>0</v>
      </c>
      <c r="ER190">
        <v>109225.28</v>
      </c>
      <c r="ES190">
        <v>109225.28</v>
      </c>
      <c r="ET190">
        <v>0</v>
      </c>
      <c r="EU190">
        <v>0</v>
      </c>
      <c r="EV190">
        <v>0</v>
      </c>
      <c r="EW190">
        <v>0</v>
      </c>
      <c r="EX190">
        <v>0</v>
      </c>
      <c r="EY190">
        <v>0</v>
      </c>
      <c r="FQ190">
        <v>0</v>
      </c>
      <c r="FR190">
        <f t="shared" si="223"/>
        <v>0</v>
      </c>
      <c r="FS190">
        <v>0</v>
      </c>
      <c r="FX190">
        <v>0</v>
      </c>
      <c r="FY190">
        <v>0</v>
      </c>
      <c r="GA190" t="s">
        <v>4</v>
      </c>
      <c r="GD190">
        <v>0</v>
      </c>
      <c r="GF190">
        <v>241870239</v>
      </c>
      <c r="GG190">
        <v>2</v>
      </c>
      <c r="GH190">
        <v>1</v>
      </c>
      <c r="GI190">
        <v>2</v>
      </c>
      <c r="GJ190">
        <v>0</v>
      </c>
      <c r="GK190">
        <f>ROUND(R190*(S12)/100,2)</f>
        <v>0</v>
      </c>
      <c r="GL190">
        <f t="shared" si="224"/>
        <v>0</v>
      </c>
      <c r="GM190">
        <f t="shared" si="225"/>
        <v>1740666.45</v>
      </c>
      <c r="GN190">
        <f t="shared" si="226"/>
        <v>0</v>
      </c>
      <c r="GO190">
        <f t="shared" si="227"/>
        <v>1740666.45</v>
      </c>
      <c r="GP190">
        <f t="shared" si="228"/>
        <v>0</v>
      </c>
      <c r="GR190">
        <v>0</v>
      </c>
      <c r="GS190">
        <v>3</v>
      </c>
      <c r="GT190">
        <v>0</v>
      </c>
      <c r="GU190" t="s">
        <v>4</v>
      </c>
      <c r="GV190">
        <f t="shared" si="229"/>
        <v>0</v>
      </c>
      <c r="GW190">
        <v>1</v>
      </c>
      <c r="GX190">
        <f t="shared" si="230"/>
        <v>0</v>
      </c>
      <c r="HA190">
        <v>0</v>
      </c>
      <c r="HB190">
        <v>0</v>
      </c>
      <c r="HC190">
        <f t="shared" si="231"/>
        <v>0</v>
      </c>
      <c r="HE190" t="s">
        <v>4</v>
      </c>
      <c r="HF190" t="s">
        <v>4</v>
      </c>
      <c r="HM190" t="s">
        <v>4</v>
      </c>
      <c r="HN190" t="s">
        <v>4</v>
      </c>
      <c r="HO190" t="s">
        <v>4</v>
      </c>
      <c r="HP190" t="s">
        <v>4</v>
      </c>
      <c r="HQ190" t="s">
        <v>4</v>
      </c>
      <c r="IK190">
        <v>0</v>
      </c>
    </row>
    <row r="191" spans="1:255">
      <c r="A191" s="2">
        <v>17</v>
      </c>
      <c r="B191" s="2">
        <v>1</v>
      </c>
      <c r="C191" s="2"/>
      <c r="D191" s="2">
        <f>ROW(EtalonRes!A273)</f>
        <v>273</v>
      </c>
      <c r="E191" s="2" t="s">
        <v>262</v>
      </c>
      <c r="F191" s="2" t="s">
        <v>263</v>
      </c>
      <c r="G191" s="2" t="s">
        <v>264</v>
      </c>
      <c r="H191" s="2" t="s">
        <v>265</v>
      </c>
      <c r="I191" s="2">
        <f>ROUND(2*7,9)</f>
        <v>14</v>
      </c>
      <c r="J191" s="2">
        <v>0</v>
      </c>
      <c r="K191" s="2">
        <f>ROUND(1*2,9)</f>
        <v>2</v>
      </c>
      <c r="L191" s="2"/>
      <c r="M191" s="2"/>
      <c r="N191" s="2"/>
      <c r="O191" s="2">
        <f t="shared" si="194"/>
        <v>4753.7</v>
      </c>
      <c r="P191" s="2">
        <f t="shared" si="195"/>
        <v>858.48</v>
      </c>
      <c r="Q191" s="2">
        <f t="shared" si="196"/>
        <v>784.79</v>
      </c>
      <c r="R191" s="2">
        <f t="shared" si="197"/>
        <v>68.45</v>
      </c>
      <c r="S191" s="2">
        <f t="shared" si="198"/>
        <v>3110.43</v>
      </c>
      <c r="T191" s="2">
        <f t="shared" si="199"/>
        <v>0</v>
      </c>
      <c r="U191" s="2">
        <f t="shared" si="200"/>
        <v>236.58011999999999</v>
      </c>
      <c r="V191" s="2">
        <f t="shared" si="201"/>
        <v>0</v>
      </c>
      <c r="W191" s="2">
        <f t="shared" si="202"/>
        <v>0</v>
      </c>
      <c r="X191" s="2">
        <f t="shared" si="203"/>
        <v>3483.68</v>
      </c>
      <c r="Y191" s="2">
        <f t="shared" si="204"/>
        <v>2177.3000000000002</v>
      </c>
      <c r="Z191" s="2"/>
      <c r="AA191" s="2">
        <v>70305038</v>
      </c>
      <c r="AB191" s="2">
        <f t="shared" si="205"/>
        <v>327.06</v>
      </c>
      <c r="AC191" s="2">
        <f t="shared" si="206"/>
        <v>61.32</v>
      </c>
      <c r="AD191" s="2">
        <f t="shared" si="207"/>
        <v>53.54</v>
      </c>
      <c r="AE191" s="2">
        <f t="shared" si="208"/>
        <v>4.67</v>
      </c>
      <c r="AF191" s="2">
        <f t="shared" si="209"/>
        <v>212.2</v>
      </c>
      <c r="AG191" s="2">
        <f t="shared" si="210"/>
        <v>0</v>
      </c>
      <c r="AH191" s="2">
        <f t="shared" si="211"/>
        <v>16.14</v>
      </c>
      <c r="AI191" s="2">
        <f t="shared" si="212"/>
        <v>0</v>
      </c>
      <c r="AJ191" s="2">
        <f t="shared" si="213"/>
        <v>0</v>
      </c>
      <c r="AK191" s="2">
        <v>327.06</v>
      </c>
      <c r="AL191" s="2">
        <v>61.32</v>
      </c>
      <c r="AM191" s="2">
        <v>53.54</v>
      </c>
      <c r="AN191" s="2">
        <v>4.67</v>
      </c>
      <c r="AO191" s="2">
        <v>212.2</v>
      </c>
      <c r="AP191" s="2">
        <v>0</v>
      </c>
      <c r="AQ191" s="2">
        <v>16.14</v>
      </c>
      <c r="AR191" s="2">
        <v>0</v>
      </c>
      <c r="AS191" s="2">
        <v>0</v>
      </c>
      <c r="AT191" s="2">
        <v>112</v>
      </c>
      <c r="AU191" s="2">
        <v>70</v>
      </c>
      <c r="AV191" s="2">
        <v>1.0469999999999999</v>
      </c>
      <c r="AW191" s="2">
        <v>1</v>
      </c>
      <c r="AX191" s="2"/>
      <c r="AY191" s="2"/>
      <c r="AZ191" s="2">
        <v>1</v>
      </c>
      <c r="BA191" s="2">
        <v>1</v>
      </c>
      <c r="BB191" s="2">
        <v>1</v>
      </c>
      <c r="BC191" s="2">
        <v>1</v>
      </c>
      <c r="BD191" s="2" t="s">
        <v>4</v>
      </c>
      <c r="BE191" s="2" t="s">
        <v>4</v>
      </c>
      <c r="BF191" s="2" t="s">
        <v>4</v>
      </c>
      <c r="BG191" s="2" t="s">
        <v>4</v>
      </c>
      <c r="BH191" s="2">
        <v>0</v>
      </c>
      <c r="BI191" s="2">
        <v>2</v>
      </c>
      <c r="BJ191" s="2" t="s">
        <v>266</v>
      </c>
      <c r="BK191" s="2"/>
      <c r="BL191" s="2"/>
      <c r="BM191" s="2">
        <v>1726</v>
      </c>
      <c r="BN191" s="2">
        <v>0</v>
      </c>
      <c r="BO191" s="2" t="s">
        <v>4</v>
      </c>
      <c r="BP191" s="2">
        <v>0</v>
      </c>
      <c r="BQ191" s="2">
        <v>40</v>
      </c>
      <c r="BR191" s="2">
        <v>0</v>
      </c>
      <c r="BS191" s="2">
        <v>1</v>
      </c>
      <c r="BT191" s="2">
        <v>1</v>
      </c>
      <c r="BU191" s="2">
        <v>1</v>
      </c>
      <c r="BV191" s="2">
        <v>1</v>
      </c>
      <c r="BW191" s="2">
        <v>1</v>
      </c>
      <c r="BX191" s="2">
        <v>1</v>
      </c>
      <c r="BY191" s="2" t="s">
        <v>4</v>
      </c>
      <c r="BZ191" s="2">
        <v>112</v>
      </c>
      <c r="CA191" s="2">
        <v>70</v>
      </c>
      <c r="CB191" s="2" t="s">
        <v>4</v>
      </c>
      <c r="CC191" s="2"/>
      <c r="CD191" s="2"/>
      <c r="CE191" s="2">
        <v>30</v>
      </c>
      <c r="CF191" s="2">
        <v>0</v>
      </c>
      <c r="CG191" s="2">
        <v>0</v>
      </c>
      <c r="CH191" s="2"/>
      <c r="CI191" s="2"/>
      <c r="CJ191" s="2"/>
      <c r="CK191" s="2"/>
      <c r="CL191" s="2"/>
      <c r="CM191" s="2">
        <v>0</v>
      </c>
      <c r="CN191" s="2" t="s">
        <v>4</v>
      </c>
      <c r="CO191" s="2">
        <v>0</v>
      </c>
      <c r="CP191" s="2">
        <f t="shared" si="214"/>
        <v>4753.7</v>
      </c>
      <c r="CQ191" s="2">
        <f t="shared" si="215"/>
        <v>61.32</v>
      </c>
      <c r="CR191" s="2">
        <f t="shared" si="216"/>
        <v>56.06</v>
      </c>
      <c r="CS191" s="2">
        <f t="shared" si="217"/>
        <v>4.8899999999999997</v>
      </c>
      <c r="CT191" s="2">
        <f t="shared" si="218"/>
        <v>222.17</v>
      </c>
      <c r="CU191" s="2">
        <f t="shared" si="219"/>
        <v>0</v>
      </c>
      <c r="CV191" s="2">
        <f t="shared" si="220"/>
        <v>16.898579999999999</v>
      </c>
      <c r="CW191" s="2">
        <f t="shared" si="221"/>
        <v>0</v>
      </c>
      <c r="CX191" s="2">
        <f t="shared" si="222"/>
        <v>0</v>
      </c>
      <c r="CY191" s="2">
        <f>((S191*BZ191)/100)</f>
        <v>3483.6815999999999</v>
      </c>
      <c r="CZ191" s="2">
        <f>((S191*CA191)/100)</f>
        <v>2177.3009999999999</v>
      </c>
      <c r="DA191" s="2"/>
      <c r="DB191" s="2"/>
      <c r="DC191" s="2" t="s">
        <v>4</v>
      </c>
      <c r="DD191" s="2" t="s">
        <v>4</v>
      </c>
      <c r="DE191" s="2" t="s">
        <v>4</v>
      </c>
      <c r="DF191" s="2" t="s">
        <v>4</v>
      </c>
      <c r="DG191" s="2" t="s">
        <v>4</v>
      </c>
      <c r="DH191" s="2" t="s">
        <v>4</v>
      </c>
      <c r="DI191" s="2" t="s">
        <v>4</v>
      </c>
      <c r="DJ191" s="2" t="s">
        <v>4</v>
      </c>
      <c r="DK191" s="2" t="s">
        <v>4</v>
      </c>
      <c r="DL191" s="2" t="s">
        <v>4</v>
      </c>
      <c r="DM191" s="2" t="s">
        <v>4</v>
      </c>
      <c r="DN191" s="2">
        <v>0</v>
      </c>
      <c r="DO191" s="2">
        <v>0</v>
      </c>
      <c r="DP191" s="2">
        <v>1</v>
      </c>
      <c r="DQ191" s="2">
        <v>1</v>
      </c>
      <c r="DR191" s="2"/>
      <c r="DS191" s="2"/>
      <c r="DT191" s="2"/>
      <c r="DU191" s="2">
        <v>1013</v>
      </c>
      <c r="DV191" s="2" t="s">
        <v>265</v>
      </c>
      <c r="DW191" s="2" t="s">
        <v>265</v>
      </c>
      <c r="DX191" s="2">
        <v>1</v>
      </c>
      <c r="DY191" s="2"/>
      <c r="DZ191" s="2" t="s">
        <v>4</v>
      </c>
      <c r="EA191" s="2" t="s">
        <v>4</v>
      </c>
      <c r="EB191" s="2" t="s">
        <v>4</v>
      </c>
      <c r="EC191" s="2" t="s">
        <v>4</v>
      </c>
      <c r="ED191" s="2"/>
      <c r="EE191" s="2">
        <v>69254351</v>
      </c>
      <c r="EF191" s="2">
        <v>40</v>
      </c>
      <c r="EG191" s="2" t="s">
        <v>219</v>
      </c>
      <c r="EH191" s="2">
        <v>0</v>
      </c>
      <c r="EI191" s="2" t="s">
        <v>4</v>
      </c>
      <c r="EJ191" s="2">
        <v>2</v>
      </c>
      <c r="EK191" s="2">
        <v>1726</v>
      </c>
      <c r="EL191" s="2" t="s">
        <v>220</v>
      </c>
      <c r="EM191" s="2" t="s">
        <v>221</v>
      </c>
      <c r="EN191" s="2"/>
      <c r="EO191" s="2" t="s">
        <v>4</v>
      </c>
      <c r="EP191" s="2"/>
      <c r="EQ191" s="2">
        <v>131072</v>
      </c>
      <c r="ER191" s="2">
        <v>327.06</v>
      </c>
      <c r="ES191" s="2">
        <v>61.32</v>
      </c>
      <c r="ET191" s="2">
        <v>53.54</v>
      </c>
      <c r="EU191" s="2">
        <v>4.67</v>
      </c>
      <c r="EV191" s="2">
        <v>212.2</v>
      </c>
      <c r="EW191" s="2">
        <v>16.14</v>
      </c>
      <c r="EX191" s="2">
        <v>0</v>
      </c>
      <c r="EY191" s="2">
        <v>0</v>
      </c>
      <c r="EZ191" s="2"/>
      <c r="FA191" s="2"/>
      <c r="FB191" s="2"/>
      <c r="FC191" s="2"/>
      <c r="FD191" s="2"/>
      <c r="FE191" s="2"/>
      <c r="FF191" s="2"/>
      <c r="FG191" s="2"/>
      <c r="FH191" s="2"/>
      <c r="FI191" s="2"/>
      <c r="FJ191" s="2"/>
      <c r="FK191" s="2"/>
      <c r="FL191" s="2"/>
      <c r="FM191" s="2"/>
      <c r="FN191" s="2"/>
      <c r="FO191" s="2"/>
      <c r="FP191" s="2"/>
      <c r="FQ191" s="2">
        <v>0</v>
      </c>
      <c r="FR191" s="2">
        <f t="shared" si="223"/>
        <v>0</v>
      </c>
      <c r="FS191" s="2">
        <v>0</v>
      </c>
      <c r="FT191" s="2"/>
      <c r="FU191" s="2"/>
      <c r="FV191" s="2"/>
      <c r="FW191" s="2"/>
      <c r="FX191" s="2">
        <v>112</v>
      </c>
      <c r="FY191" s="2">
        <v>70</v>
      </c>
      <c r="FZ191" s="2"/>
      <c r="GA191" s="2" t="s">
        <v>4</v>
      </c>
      <c r="GB191" s="2"/>
      <c r="GC191" s="2"/>
      <c r="GD191" s="2">
        <v>0</v>
      </c>
      <c r="GE191" s="2"/>
      <c r="GF191" s="2">
        <v>1741177899</v>
      </c>
      <c r="GG191" s="2">
        <v>2</v>
      </c>
      <c r="GH191" s="2">
        <v>1</v>
      </c>
      <c r="GI191" s="2">
        <v>-2</v>
      </c>
      <c r="GJ191" s="2">
        <v>0</v>
      </c>
      <c r="GK191" s="2">
        <f>ROUND(R191*(R12)/100,2)</f>
        <v>119.79</v>
      </c>
      <c r="GL191" s="2">
        <f t="shared" si="224"/>
        <v>0</v>
      </c>
      <c r="GM191" s="2">
        <f t="shared" si="225"/>
        <v>10534.47</v>
      </c>
      <c r="GN191" s="2">
        <f t="shared" si="226"/>
        <v>0</v>
      </c>
      <c r="GO191" s="2">
        <f t="shared" si="227"/>
        <v>10534.47</v>
      </c>
      <c r="GP191" s="2">
        <f t="shared" si="228"/>
        <v>0</v>
      </c>
      <c r="GQ191" s="2"/>
      <c r="GR191" s="2">
        <v>0</v>
      </c>
      <c r="GS191" s="2">
        <v>0</v>
      </c>
      <c r="GT191" s="2">
        <v>0</v>
      </c>
      <c r="GU191" s="2" t="s">
        <v>4</v>
      </c>
      <c r="GV191" s="2">
        <f t="shared" si="229"/>
        <v>0</v>
      </c>
      <c r="GW191" s="2">
        <v>1</v>
      </c>
      <c r="GX191" s="2">
        <f t="shared" si="230"/>
        <v>0</v>
      </c>
      <c r="GY191" s="2"/>
      <c r="GZ191" s="2"/>
      <c r="HA191" s="2">
        <v>0</v>
      </c>
      <c r="HB191" s="2">
        <v>0</v>
      </c>
      <c r="HC191" s="2">
        <f t="shared" si="231"/>
        <v>0</v>
      </c>
      <c r="HD191" s="2"/>
      <c r="HE191" s="2" t="s">
        <v>4</v>
      </c>
      <c r="HF191" s="2" t="s">
        <v>4</v>
      </c>
      <c r="HG191" s="2"/>
      <c r="HH191" s="2"/>
      <c r="HI191" s="2"/>
      <c r="HJ191" s="2"/>
      <c r="HK191" s="2"/>
      <c r="HL191" s="2"/>
      <c r="HM191" s="2" t="s">
        <v>4</v>
      </c>
      <c r="HN191" s="2" t="s">
        <v>4</v>
      </c>
      <c r="HO191" s="2" t="s">
        <v>4</v>
      </c>
      <c r="HP191" s="2" t="s">
        <v>4</v>
      </c>
      <c r="HQ191" s="2" t="s">
        <v>4</v>
      </c>
      <c r="HR191" s="2"/>
      <c r="HS191" s="2"/>
      <c r="HT191" s="2"/>
      <c r="HU191" s="2"/>
      <c r="HV191" s="2"/>
      <c r="HW191" s="2"/>
      <c r="HX191" s="2"/>
      <c r="HY191" s="2"/>
      <c r="HZ191" s="2"/>
      <c r="IA191" s="2"/>
      <c r="IB191" s="2"/>
      <c r="IC191" s="2"/>
      <c r="ID191" s="2"/>
      <c r="IE191" s="2"/>
      <c r="IF191" s="2"/>
      <c r="IG191" s="2"/>
      <c r="IH191" s="2"/>
      <c r="II191" s="2"/>
      <c r="IJ191" s="2"/>
      <c r="IK191" s="2">
        <v>0</v>
      </c>
      <c r="IL191" s="2"/>
      <c r="IM191" s="2"/>
      <c r="IN191" s="2"/>
      <c r="IO191" s="2"/>
      <c r="IP191" s="2"/>
      <c r="IQ191" s="2"/>
      <c r="IR191" s="2"/>
      <c r="IS191" s="2"/>
      <c r="IT191" s="2"/>
      <c r="IU191" s="2"/>
    </row>
    <row r="192" spans="1:255">
      <c r="A192">
        <v>17</v>
      </c>
      <c r="B192">
        <v>1</v>
      </c>
      <c r="D192">
        <f>ROW(EtalonRes!A284)</f>
        <v>284</v>
      </c>
      <c r="E192" t="s">
        <v>262</v>
      </c>
      <c r="F192" t="s">
        <v>263</v>
      </c>
      <c r="G192" t="s">
        <v>264</v>
      </c>
      <c r="H192" t="s">
        <v>265</v>
      </c>
      <c r="I192">
        <f>ROUND(2*7,9)</f>
        <v>14</v>
      </c>
      <c r="J192">
        <v>0</v>
      </c>
      <c r="K192">
        <f>ROUND(1*2,9)</f>
        <v>2</v>
      </c>
      <c r="O192">
        <f t="shared" si="194"/>
        <v>157559.10999999999</v>
      </c>
      <c r="P192">
        <f t="shared" si="195"/>
        <v>5983.61</v>
      </c>
      <c r="Q192">
        <f t="shared" si="196"/>
        <v>6411.73</v>
      </c>
      <c r="R192">
        <f t="shared" si="197"/>
        <v>3194.56</v>
      </c>
      <c r="S192">
        <f t="shared" si="198"/>
        <v>145163.76999999999</v>
      </c>
      <c r="T192">
        <f t="shared" si="199"/>
        <v>0</v>
      </c>
      <c r="U192">
        <f t="shared" si="200"/>
        <v>236.58011999999999</v>
      </c>
      <c r="V192">
        <f t="shared" si="201"/>
        <v>0</v>
      </c>
      <c r="W192">
        <f t="shared" si="202"/>
        <v>0</v>
      </c>
      <c r="X192">
        <f t="shared" si="203"/>
        <v>133550.67000000001</v>
      </c>
      <c r="Y192">
        <f t="shared" si="204"/>
        <v>62420.42</v>
      </c>
      <c r="AA192">
        <v>70305036</v>
      </c>
      <c r="AB192">
        <f t="shared" si="205"/>
        <v>327.06</v>
      </c>
      <c r="AC192">
        <f t="shared" si="206"/>
        <v>61.32</v>
      </c>
      <c r="AD192">
        <f t="shared" si="207"/>
        <v>53.54</v>
      </c>
      <c r="AE192">
        <f t="shared" si="208"/>
        <v>4.67</v>
      </c>
      <c r="AF192">
        <f t="shared" si="209"/>
        <v>212.2</v>
      </c>
      <c r="AG192">
        <f t="shared" si="210"/>
        <v>0</v>
      </c>
      <c r="AH192">
        <f t="shared" si="211"/>
        <v>16.14</v>
      </c>
      <c r="AI192">
        <f t="shared" si="212"/>
        <v>0</v>
      </c>
      <c r="AJ192">
        <f t="shared" si="213"/>
        <v>0</v>
      </c>
      <c r="AK192">
        <v>327.06</v>
      </c>
      <c r="AL192">
        <v>61.32</v>
      </c>
      <c r="AM192">
        <v>53.54</v>
      </c>
      <c r="AN192">
        <v>4.67</v>
      </c>
      <c r="AO192">
        <v>212.2</v>
      </c>
      <c r="AP192">
        <v>0</v>
      </c>
      <c r="AQ192">
        <v>16.14</v>
      </c>
      <c r="AR192">
        <v>0</v>
      </c>
      <c r="AS192">
        <v>0</v>
      </c>
      <c r="AT192">
        <v>92</v>
      </c>
      <c r="AU192">
        <v>43</v>
      </c>
      <c r="AV192">
        <v>1.0469999999999999</v>
      </c>
      <c r="AW192">
        <v>1</v>
      </c>
      <c r="AZ192">
        <v>1</v>
      </c>
      <c r="BA192">
        <v>46.67</v>
      </c>
      <c r="BB192">
        <v>8.17</v>
      </c>
      <c r="BC192">
        <v>6.97</v>
      </c>
      <c r="BD192" t="s">
        <v>4</v>
      </c>
      <c r="BE192" t="s">
        <v>4</v>
      </c>
      <c r="BF192" t="s">
        <v>4</v>
      </c>
      <c r="BG192" t="s">
        <v>4</v>
      </c>
      <c r="BH192">
        <v>0</v>
      </c>
      <c r="BI192">
        <v>2</v>
      </c>
      <c r="BJ192" t="s">
        <v>266</v>
      </c>
      <c r="BM192">
        <v>1726</v>
      </c>
      <c r="BN192">
        <v>0</v>
      </c>
      <c r="BO192" t="s">
        <v>263</v>
      </c>
      <c r="BP192">
        <v>1</v>
      </c>
      <c r="BQ192">
        <v>40</v>
      </c>
      <c r="BR192">
        <v>0</v>
      </c>
      <c r="BS192">
        <v>46.67</v>
      </c>
      <c r="BT192">
        <v>1</v>
      </c>
      <c r="BU192">
        <v>1</v>
      </c>
      <c r="BV192">
        <v>1</v>
      </c>
      <c r="BW192">
        <v>1</v>
      </c>
      <c r="BX192">
        <v>1</v>
      </c>
      <c r="BY192" t="s">
        <v>4</v>
      </c>
      <c r="BZ192">
        <v>92</v>
      </c>
      <c r="CA192">
        <v>43</v>
      </c>
      <c r="CB192" t="s">
        <v>4</v>
      </c>
      <c r="CE192">
        <v>30</v>
      </c>
      <c r="CF192">
        <v>0</v>
      </c>
      <c r="CG192">
        <v>0</v>
      </c>
      <c r="CM192">
        <v>0</v>
      </c>
      <c r="CN192" t="s">
        <v>4</v>
      </c>
      <c r="CO192">
        <v>0</v>
      </c>
      <c r="CP192">
        <f t="shared" si="214"/>
        <v>157559.10999999999</v>
      </c>
      <c r="CQ192">
        <f t="shared" si="215"/>
        <v>427.4</v>
      </c>
      <c r="CR192">
        <f t="shared" si="216"/>
        <v>458.01</v>
      </c>
      <c r="CS192">
        <f t="shared" si="217"/>
        <v>228.22</v>
      </c>
      <c r="CT192">
        <f t="shared" si="218"/>
        <v>10368.67</v>
      </c>
      <c r="CU192">
        <f t="shared" si="219"/>
        <v>0</v>
      </c>
      <c r="CV192">
        <f t="shared" si="220"/>
        <v>16.898579999999999</v>
      </c>
      <c r="CW192">
        <f t="shared" si="221"/>
        <v>0</v>
      </c>
      <c r="CX192">
        <f t="shared" si="222"/>
        <v>0</v>
      </c>
      <c r="CY192">
        <f>S192*(BZ192/100)</f>
        <v>133550.6684</v>
      </c>
      <c r="CZ192">
        <f>S192*(CA192/100)</f>
        <v>62420.421099999992</v>
      </c>
      <c r="DC192" t="s">
        <v>4</v>
      </c>
      <c r="DD192" t="s">
        <v>4</v>
      </c>
      <c r="DE192" t="s">
        <v>4</v>
      </c>
      <c r="DF192" t="s">
        <v>4</v>
      </c>
      <c r="DG192" t="s">
        <v>4</v>
      </c>
      <c r="DH192" t="s">
        <v>4</v>
      </c>
      <c r="DI192" t="s">
        <v>4</v>
      </c>
      <c r="DJ192" t="s">
        <v>4</v>
      </c>
      <c r="DK192" t="s">
        <v>4</v>
      </c>
      <c r="DL192" t="s">
        <v>4</v>
      </c>
      <c r="DM192" t="s">
        <v>4</v>
      </c>
      <c r="DN192">
        <v>112</v>
      </c>
      <c r="DO192">
        <v>70</v>
      </c>
      <c r="DP192">
        <v>1.0469999999999999</v>
      </c>
      <c r="DQ192">
        <v>1</v>
      </c>
      <c r="DU192">
        <v>1013</v>
      </c>
      <c r="DV192" t="s">
        <v>265</v>
      </c>
      <c r="DW192" t="s">
        <v>265</v>
      </c>
      <c r="DX192">
        <v>1</v>
      </c>
      <c r="DZ192" t="s">
        <v>4</v>
      </c>
      <c r="EA192" t="s">
        <v>4</v>
      </c>
      <c r="EB192" t="s">
        <v>4</v>
      </c>
      <c r="EC192" t="s">
        <v>4</v>
      </c>
      <c r="EE192">
        <v>69254351</v>
      </c>
      <c r="EF192">
        <v>40</v>
      </c>
      <c r="EG192" t="s">
        <v>219</v>
      </c>
      <c r="EH192">
        <v>0</v>
      </c>
      <c r="EI192" t="s">
        <v>4</v>
      </c>
      <c r="EJ192">
        <v>2</v>
      </c>
      <c r="EK192">
        <v>1726</v>
      </c>
      <c r="EL192" t="s">
        <v>220</v>
      </c>
      <c r="EM192" t="s">
        <v>221</v>
      </c>
      <c r="EO192" t="s">
        <v>4</v>
      </c>
      <c r="EQ192">
        <v>131072</v>
      </c>
      <c r="ER192">
        <v>327.06</v>
      </c>
      <c r="ES192">
        <v>61.32</v>
      </c>
      <c r="ET192">
        <v>53.54</v>
      </c>
      <c r="EU192">
        <v>4.67</v>
      </c>
      <c r="EV192">
        <v>212.2</v>
      </c>
      <c r="EW192">
        <v>16.14</v>
      </c>
      <c r="EX192">
        <v>0</v>
      </c>
      <c r="EY192">
        <v>0</v>
      </c>
      <c r="FQ192">
        <v>0</v>
      </c>
      <c r="FR192">
        <f t="shared" si="223"/>
        <v>0</v>
      </c>
      <c r="FS192">
        <v>0</v>
      </c>
      <c r="FX192">
        <v>112</v>
      </c>
      <c r="FY192">
        <v>70</v>
      </c>
      <c r="GA192" t="s">
        <v>4</v>
      </c>
      <c r="GD192">
        <v>0</v>
      </c>
      <c r="GF192">
        <v>1741177899</v>
      </c>
      <c r="GG192">
        <v>2</v>
      </c>
      <c r="GH192">
        <v>1</v>
      </c>
      <c r="GI192">
        <v>2</v>
      </c>
      <c r="GJ192">
        <v>0</v>
      </c>
      <c r="GK192">
        <f>ROUND(R192*(S12)/100,2)</f>
        <v>5111.3</v>
      </c>
      <c r="GL192">
        <f t="shared" si="224"/>
        <v>0</v>
      </c>
      <c r="GM192">
        <f t="shared" si="225"/>
        <v>358641.5</v>
      </c>
      <c r="GN192">
        <f t="shared" si="226"/>
        <v>0</v>
      </c>
      <c r="GO192">
        <f t="shared" si="227"/>
        <v>358641.5</v>
      </c>
      <c r="GP192">
        <f t="shared" si="228"/>
        <v>0</v>
      </c>
      <c r="GR192">
        <v>0</v>
      </c>
      <c r="GS192">
        <v>3</v>
      </c>
      <c r="GT192">
        <v>0</v>
      </c>
      <c r="GU192" t="s">
        <v>4</v>
      </c>
      <c r="GV192">
        <f t="shared" si="229"/>
        <v>0</v>
      </c>
      <c r="GW192">
        <v>1</v>
      </c>
      <c r="GX192">
        <f t="shared" si="230"/>
        <v>0</v>
      </c>
      <c r="HA192">
        <v>0</v>
      </c>
      <c r="HB192">
        <v>0</v>
      </c>
      <c r="HC192">
        <f t="shared" si="231"/>
        <v>0</v>
      </c>
      <c r="HE192" t="s">
        <v>4</v>
      </c>
      <c r="HF192" t="s">
        <v>4</v>
      </c>
      <c r="HM192" t="s">
        <v>4</v>
      </c>
      <c r="HN192" t="s">
        <v>4</v>
      </c>
      <c r="HO192" t="s">
        <v>4</v>
      </c>
      <c r="HP192" t="s">
        <v>4</v>
      </c>
      <c r="HQ192" t="s">
        <v>4</v>
      </c>
      <c r="IK192">
        <v>0</v>
      </c>
    </row>
    <row r="193" spans="1:255">
      <c r="A193" s="2">
        <v>17</v>
      </c>
      <c r="B193" s="2">
        <v>1</v>
      </c>
      <c r="C193" s="2"/>
      <c r="D193" s="2"/>
      <c r="E193" s="2" t="s">
        <v>267</v>
      </c>
      <c r="F193" s="2" t="s">
        <v>268</v>
      </c>
      <c r="G193" s="2" t="s">
        <v>269</v>
      </c>
      <c r="H193" s="2" t="s">
        <v>237</v>
      </c>
      <c r="I193" s="2">
        <f>I191*3</f>
        <v>42</v>
      </c>
      <c r="J193" s="2">
        <v>0</v>
      </c>
      <c r="K193" s="2">
        <v>6</v>
      </c>
      <c r="L193" s="2"/>
      <c r="M193" s="2"/>
      <c r="N193" s="2"/>
      <c r="O193" s="2">
        <f t="shared" si="194"/>
        <v>134271.9</v>
      </c>
      <c r="P193" s="2">
        <f t="shared" si="195"/>
        <v>134271.9</v>
      </c>
      <c r="Q193" s="2">
        <f t="shared" si="196"/>
        <v>0</v>
      </c>
      <c r="R193" s="2">
        <f t="shared" si="197"/>
        <v>0</v>
      </c>
      <c r="S193" s="2">
        <f t="shared" si="198"/>
        <v>0</v>
      </c>
      <c r="T193" s="2">
        <f t="shared" si="199"/>
        <v>0</v>
      </c>
      <c r="U193" s="2">
        <f t="shared" si="200"/>
        <v>0</v>
      </c>
      <c r="V193" s="2">
        <f t="shared" si="201"/>
        <v>0</v>
      </c>
      <c r="W193" s="2">
        <f t="shared" si="202"/>
        <v>0</v>
      </c>
      <c r="X193" s="2">
        <f t="shared" si="203"/>
        <v>0</v>
      </c>
      <c r="Y193" s="2">
        <f t="shared" si="204"/>
        <v>0</v>
      </c>
      <c r="Z193" s="2"/>
      <c r="AA193" s="2">
        <v>70305038</v>
      </c>
      <c r="AB193" s="2">
        <f t="shared" si="205"/>
        <v>3196.95</v>
      </c>
      <c r="AC193" s="2">
        <f t="shared" si="206"/>
        <v>3196.95</v>
      </c>
      <c r="AD193" s="2">
        <f t="shared" si="207"/>
        <v>0</v>
      </c>
      <c r="AE193" s="2">
        <f t="shared" si="208"/>
        <v>0</v>
      </c>
      <c r="AF193" s="2">
        <f t="shared" si="209"/>
        <v>0</v>
      </c>
      <c r="AG193" s="2">
        <f t="shared" si="210"/>
        <v>0</v>
      </c>
      <c r="AH193" s="2">
        <f t="shared" si="211"/>
        <v>0</v>
      </c>
      <c r="AI193" s="2">
        <f t="shared" si="212"/>
        <v>0</v>
      </c>
      <c r="AJ193" s="2">
        <f t="shared" si="213"/>
        <v>0</v>
      </c>
      <c r="AK193" s="2">
        <v>3196.95</v>
      </c>
      <c r="AL193" s="2">
        <v>3196.95</v>
      </c>
      <c r="AM193" s="2">
        <v>0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1</v>
      </c>
      <c r="AW193" s="2">
        <v>1</v>
      </c>
      <c r="AX193" s="2"/>
      <c r="AY193" s="2"/>
      <c r="AZ193" s="2">
        <v>1</v>
      </c>
      <c r="BA193" s="2">
        <v>1</v>
      </c>
      <c r="BB193" s="2">
        <v>1</v>
      </c>
      <c r="BC193" s="2">
        <v>1</v>
      </c>
      <c r="BD193" s="2" t="s">
        <v>4</v>
      </c>
      <c r="BE193" s="2" t="s">
        <v>4</v>
      </c>
      <c r="BF193" s="2" t="s">
        <v>4</v>
      </c>
      <c r="BG193" s="2" t="s">
        <v>4</v>
      </c>
      <c r="BH193" s="2">
        <v>3</v>
      </c>
      <c r="BI193" s="2">
        <v>2</v>
      </c>
      <c r="BJ193" s="2" t="s">
        <v>270</v>
      </c>
      <c r="BK193" s="2"/>
      <c r="BL193" s="2"/>
      <c r="BM193" s="2">
        <v>1618</v>
      </c>
      <c r="BN193" s="2">
        <v>0</v>
      </c>
      <c r="BO193" s="2" t="s">
        <v>4</v>
      </c>
      <c r="BP193" s="2">
        <v>0</v>
      </c>
      <c r="BQ193" s="2">
        <v>201</v>
      </c>
      <c r="BR193" s="2">
        <v>0</v>
      </c>
      <c r="BS193" s="2">
        <v>1</v>
      </c>
      <c r="BT193" s="2">
        <v>1</v>
      </c>
      <c r="BU193" s="2">
        <v>1</v>
      </c>
      <c r="BV193" s="2">
        <v>1</v>
      </c>
      <c r="BW193" s="2">
        <v>1</v>
      </c>
      <c r="BX193" s="2">
        <v>1</v>
      </c>
      <c r="BY193" s="2" t="s">
        <v>4</v>
      </c>
      <c r="BZ193" s="2">
        <v>0</v>
      </c>
      <c r="CA193" s="2">
        <v>0</v>
      </c>
      <c r="CB193" s="2" t="s">
        <v>4</v>
      </c>
      <c r="CC193" s="2"/>
      <c r="CD193" s="2"/>
      <c r="CE193" s="2">
        <v>30</v>
      </c>
      <c r="CF193" s="2">
        <v>0</v>
      </c>
      <c r="CG193" s="2">
        <v>0</v>
      </c>
      <c r="CH193" s="2"/>
      <c r="CI193" s="2"/>
      <c r="CJ193" s="2"/>
      <c r="CK193" s="2"/>
      <c r="CL193" s="2"/>
      <c r="CM193" s="2">
        <v>0</v>
      </c>
      <c r="CN193" s="2" t="s">
        <v>4</v>
      </c>
      <c r="CO193" s="2">
        <v>0</v>
      </c>
      <c r="CP193" s="2">
        <f t="shared" si="214"/>
        <v>134271.9</v>
      </c>
      <c r="CQ193" s="2">
        <f t="shared" si="215"/>
        <v>3196.95</v>
      </c>
      <c r="CR193" s="2">
        <f t="shared" si="216"/>
        <v>0</v>
      </c>
      <c r="CS193" s="2">
        <f t="shared" si="217"/>
        <v>0</v>
      </c>
      <c r="CT193" s="2">
        <f t="shared" si="218"/>
        <v>0</v>
      </c>
      <c r="CU193" s="2">
        <f t="shared" si="219"/>
        <v>0</v>
      </c>
      <c r="CV193" s="2">
        <f t="shared" si="220"/>
        <v>0</v>
      </c>
      <c r="CW193" s="2">
        <f t="shared" si="221"/>
        <v>0</v>
      </c>
      <c r="CX193" s="2">
        <f t="shared" si="222"/>
        <v>0</v>
      </c>
      <c r="CY193" s="2">
        <f>((S193*BZ193)/100)</f>
        <v>0</v>
      </c>
      <c r="CZ193" s="2">
        <f>((S193*CA193)/100)</f>
        <v>0</v>
      </c>
      <c r="DA193" s="2"/>
      <c r="DB193" s="2"/>
      <c r="DC193" s="2" t="s">
        <v>4</v>
      </c>
      <c r="DD193" s="2" t="s">
        <v>4</v>
      </c>
      <c r="DE193" s="2" t="s">
        <v>4</v>
      </c>
      <c r="DF193" s="2" t="s">
        <v>4</v>
      </c>
      <c r="DG193" s="2" t="s">
        <v>4</v>
      </c>
      <c r="DH193" s="2" t="s">
        <v>4</v>
      </c>
      <c r="DI193" s="2" t="s">
        <v>4</v>
      </c>
      <c r="DJ193" s="2" t="s">
        <v>4</v>
      </c>
      <c r="DK193" s="2" t="s">
        <v>4</v>
      </c>
      <c r="DL193" s="2" t="s">
        <v>4</v>
      </c>
      <c r="DM193" s="2" t="s">
        <v>4</v>
      </c>
      <c r="DN193" s="2">
        <v>0</v>
      </c>
      <c r="DO193" s="2">
        <v>0</v>
      </c>
      <c r="DP193" s="2">
        <v>1</v>
      </c>
      <c r="DQ193" s="2">
        <v>1</v>
      </c>
      <c r="DR193" s="2"/>
      <c r="DS193" s="2"/>
      <c r="DT193" s="2"/>
      <c r="DU193" s="2">
        <v>1013</v>
      </c>
      <c r="DV193" s="2" t="s">
        <v>237</v>
      </c>
      <c r="DW193" s="2" t="s">
        <v>237</v>
      </c>
      <c r="DX193" s="2">
        <v>1</v>
      </c>
      <c r="DY193" s="2"/>
      <c r="DZ193" s="2" t="s">
        <v>4</v>
      </c>
      <c r="EA193" s="2" t="s">
        <v>4</v>
      </c>
      <c r="EB193" s="2" t="s">
        <v>4</v>
      </c>
      <c r="EC193" s="2" t="s">
        <v>4</v>
      </c>
      <c r="ED193" s="2"/>
      <c r="EE193" s="2">
        <v>69254243</v>
      </c>
      <c r="EF193" s="2">
        <v>201</v>
      </c>
      <c r="EG193" s="2" t="s">
        <v>226</v>
      </c>
      <c r="EH193" s="2">
        <v>0</v>
      </c>
      <c r="EI193" s="2" t="s">
        <v>4</v>
      </c>
      <c r="EJ193" s="2">
        <v>2</v>
      </c>
      <c r="EK193" s="2">
        <v>1618</v>
      </c>
      <c r="EL193" s="2" t="s">
        <v>227</v>
      </c>
      <c r="EM193" s="2" t="s">
        <v>228</v>
      </c>
      <c r="EN193" s="2"/>
      <c r="EO193" s="2" t="s">
        <v>4</v>
      </c>
      <c r="EP193" s="2"/>
      <c r="EQ193" s="2">
        <v>0</v>
      </c>
      <c r="ER193" s="2">
        <v>3196.95</v>
      </c>
      <c r="ES193" s="2">
        <v>3196.95</v>
      </c>
      <c r="ET193" s="2">
        <v>0</v>
      </c>
      <c r="EU193" s="2">
        <v>0</v>
      </c>
      <c r="EV193" s="2">
        <v>0</v>
      </c>
      <c r="EW193" s="2">
        <v>0</v>
      </c>
      <c r="EX193" s="2">
        <v>0</v>
      </c>
      <c r="EY193" s="2">
        <v>0</v>
      </c>
      <c r="EZ193" s="2"/>
      <c r="FA193" s="2"/>
      <c r="FB193" s="2"/>
      <c r="FC193" s="2"/>
      <c r="FD193" s="2"/>
      <c r="FE193" s="2"/>
      <c r="FF193" s="2"/>
      <c r="FG193" s="2"/>
      <c r="FH193" s="2"/>
      <c r="FI193" s="2"/>
      <c r="FJ193" s="2"/>
      <c r="FK193" s="2"/>
      <c r="FL193" s="2"/>
      <c r="FM193" s="2"/>
      <c r="FN193" s="2"/>
      <c r="FO193" s="2"/>
      <c r="FP193" s="2"/>
      <c r="FQ193" s="2">
        <v>0</v>
      </c>
      <c r="FR193" s="2">
        <f t="shared" si="223"/>
        <v>0</v>
      </c>
      <c r="FS193" s="2">
        <v>0</v>
      </c>
      <c r="FT193" s="2"/>
      <c r="FU193" s="2"/>
      <c r="FV193" s="2"/>
      <c r="FW193" s="2"/>
      <c r="FX193" s="2">
        <v>0</v>
      </c>
      <c r="FY193" s="2">
        <v>0</v>
      </c>
      <c r="FZ193" s="2"/>
      <c r="GA193" s="2" t="s">
        <v>4</v>
      </c>
      <c r="GB193" s="2"/>
      <c r="GC193" s="2"/>
      <c r="GD193" s="2">
        <v>0</v>
      </c>
      <c r="GE193" s="2"/>
      <c r="GF193" s="2">
        <v>704956314</v>
      </c>
      <c r="GG193" s="2">
        <v>2</v>
      </c>
      <c r="GH193" s="2">
        <v>1</v>
      </c>
      <c r="GI193" s="2">
        <v>-2</v>
      </c>
      <c r="GJ193" s="2">
        <v>0</v>
      </c>
      <c r="GK193" s="2">
        <f>ROUND(R193*(R12)/100,2)</f>
        <v>0</v>
      </c>
      <c r="GL193" s="2">
        <f t="shared" si="224"/>
        <v>0</v>
      </c>
      <c r="GM193" s="2">
        <f t="shared" si="225"/>
        <v>134271.9</v>
      </c>
      <c r="GN193" s="2">
        <f t="shared" si="226"/>
        <v>0</v>
      </c>
      <c r="GO193" s="2">
        <f t="shared" si="227"/>
        <v>134271.9</v>
      </c>
      <c r="GP193" s="2">
        <f t="shared" si="228"/>
        <v>0</v>
      </c>
      <c r="GQ193" s="2"/>
      <c r="GR193" s="2">
        <v>0</v>
      </c>
      <c r="GS193" s="2">
        <v>0</v>
      </c>
      <c r="GT193" s="2">
        <v>0</v>
      </c>
      <c r="GU193" s="2" t="s">
        <v>4</v>
      </c>
      <c r="GV193" s="2">
        <f t="shared" si="229"/>
        <v>0</v>
      </c>
      <c r="GW193" s="2">
        <v>1</v>
      </c>
      <c r="GX193" s="2">
        <f t="shared" si="230"/>
        <v>0</v>
      </c>
      <c r="GY193" s="2"/>
      <c r="GZ193" s="2"/>
      <c r="HA193" s="2">
        <v>0</v>
      </c>
      <c r="HB193" s="2">
        <v>0</v>
      </c>
      <c r="HC193" s="2">
        <f t="shared" si="231"/>
        <v>0</v>
      </c>
      <c r="HD193" s="2"/>
      <c r="HE193" s="2" t="s">
        <v>4</v>
      </c>
      <c r="HF193" s="2" t="s">
        <v>4</v>
      </c>
      <c r="HG193" s="2"/>
      <c r="HH193" s="2"/>
      <c r="HI193" s="2"/>
      <c r="HJ193" s="2"/>
      <c r="HK193" s="2"/>
      <c r="HL193" s="2"/>
      <c r="HM193" s="2" t="s">
        <v>4</v>
      </c>
      <c r="HN193" s="2" t="s">
        <v>4</v>
      </c>
      <c r="HO193" s="2" t="s">
        <v>4</v>
      </c>
      <c r="HP193" s="2" t="s">
        <v>4</v>
      </c>
      <c r="HQ193" s="2" t="s">
        <v>4</v>
      </c>
      <c r="HR193" s="2"/>
      <c r="HS193" s="2"/>
      <c r="HT193" s="2"/>
      <c r="HU193" s="2"/>
      <c r="HV193" s="2"/>
      <c r="HW193" s="2"/>
      <c r="HX193" s="2"/>
      <c r="HY193" s="2"/>
      <c r="HZ193" s="2"/>
      <c r="IA193" s="2"/>
      <c r="IB193" s="2"/>
      <c r="IC193" s="2"/>
      <c r="ID193" s="2"/>
      <c r="IE193" s="2"/>
      <c r="IF193" s="2"/>
      <c r="IG193" s="2"/>
      <c r="IH193" s="2"/>
      <c r="II193" s="2"/>
      <c r="IJ193" s="2"/>
      <c r="IK193" s="2">
        <v>0</v>
      </c>
      <c r="IL193" s="2"/>
      <c r="IM193" s="2"/>
      <c r="IN193" s="2"/>
      <c r="IO193" s="2"/>
      <c r="IP193" s="2"/>
      <c r="IQ193" s="2"/>
      <c r="IR193" s="2"/>
      <c r="IS193" s="2"/>
      <c r="IT193" s="2"/>
      <c r="IU193" s="2"/>
    </row>
    <row r="194" spans="1:255">
      <c r="A194">
        <v>17</v>
      </c>
      <c r="B194">
        <v>1</v>
      </c>
      <c r="E194" t="s">
        <v>267</v>
      </c>
      <c r="F194" t="s">
        <v>268</v>
      </c>
      <c r="G194" t="s">
        <v>269</v>
      </c>
      <c r="H194" t="s">
        <v>237</v>
      </c>
      <c r="I194">
        <f>I192*3</f>
        <v>42</v>
      </c>
      <c r="J194">
        <v>0</v>
      </c>
      <c r="K194">
        <v>6</v>
      </c>
      <c r="O194">
        <f t="shared" si="194"/>
        <v>841884.81</v>
      </c>
      <c r="P194">
        <f t="shared" si="195"/>
        <v>841884.81</v>
      </c>
      <c r="Q194">
        <f t="shared" si="196"/>
        <v>0</v>
      </c>
      <c r="R194">
        <f t="shared" si="197"/>
        <v>0</v>
      </c>
      <c r="S194">
        <f t="shared" si="198"/>
        <v>0</v>
      </c>
      <c r="T194">
        <f t="shared" si="199"/>
        <v>0</v>
      </c>
      <c r="U194">
        <f t="shared" si="200"/>
        <v>0</v>
      </c>
      <c r="V194">
        <f t="shared" si="201"/>
        <v>0</v>
      </c>
      <c r="W194">
        <f t="shared" si="202"/>
        <v>0</v>
      </c>
      <c r="X194">
        <f t="shared" si="203"/>
        <v>0</v>
      </c>
      <c r="Y194">
        <f t="shared" si="204"/>
        <v>0</v>
      </c>
      <c r="AA194">
        <v>70305036</v>
      </c>
      <c r="AB194">
        <f t="shared" si="205"/>
        <v>3196.95</v>
      </c>
      <c r="AC194">
        <f t="shared" si="206"/>
        <v>3196.95</v>
      </c>
      <c r="AD194">
        <f t="shared" si="207"/>
        <v>0</v>
      </c>
      <c r="AE194">
        <f t="shared" si="208"/>
        <v>0</v>
      </c>
      <c r="AF194">
        <f t="shared" si="209"/>
        <v>0</v>
      </c>
      <c r="AG194">
        <f t="shared" si="210"/>
        <v>0</v>
      </c>
      <c r="AH194">
        <f t="shared" si="211"/>
        <v>0</v>
      </c>
      <c r="AI194">
        <f t="shared" si="212"/>
        <v>0</v>
      </c>
      <c r="AJ194">
        <f t="shared" si="213"/>
        <v>0</v>
      </c>
      <c r="AK194">
        <v>3196.95</v>
      </c>
      <c r="AL194">
        <v>3196.95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1</v>
      </c>
      <c r="AW194">
        <v>1</v>
      </c>
      <c r="AZ194">
        <v>1</v>
      </c>
      <c r="BA194">
        <v>1</v>
      </c>
      <c r="BB194">
        <v>1</v>
      </c>
      <c r="BC194">
        <v>6.27</v>
      </c>
      <c r="BD194" t="s">
        <v>4</v>
      </c>
      <c r="BE194" t="s">
        <v>4</v>
      </c>
      <c r="BF194" t="s">
        <v>4</v>
      </c>
      <c r="BG194" t="s">
        <v>4</v>
      </c>
      <c r="BH194">
        <v>3</v>
      </c>
      <c r="BI194">
        <v>2</v>
      </c>
      <c r="BJ194" t="s">
        <v>270</v>
      </c>
      <c r="BM194">
        <v>1618</v>
      </c>
      <c r="BN194">
        <v>0</v>
      </c>
      <c r="BO194" t="s">
        <v>268</v>
      </c>
      <c r="BP194">
        <v>1</v>
      </c>
      <c r="BQ194">
        <v>201</v>
      </c>
      <c r="BR194">
        <v>0</v>
      </c>
      <c r="BS194">
        <v>1</v>
      </c>
      <c r="BT194">
        <v>1</v>
      </c>
      <c r="BU194">
        <v>1</v>
      </c>
      <c r="BV194">
        <v>1</v>
      </c>
      <c r="BW194">
        <v>1</v>
      </c>
      <c r="BX194">
        <v>1</v>
      </c>
      <c r="BY194" t="s">
        <v>4</v>
      </c>
      <c r="BZ194">
        <v>0</v>
      </c>
      <c r="CA194">
        <v>0</v>
      </c>
      <c r="CB194" t="s">
        <v>4</v>
      </c>
      <c r="CE194">
        <v>30</v>
      </c>
      <c r="CF194">
        <v>0</v>
      </c>
      <c r="CG194">
        <v>0</v>
      </c>
      <c r="CM194">
        <v>0</v>
      </c>
      <c r="CN194" t="s">
        <v>4</v>
      </c>
      <c r="CO194">
        <v>0</v>
      </c>
      <c r="CP194">
        <f t="shared" si="214"/>
        <v>841884.81</v>
      </c>
      <c r="CQ194">
        <f t="shared" si="215"/>
        <v>20044.88</v>
      </c>
      <c r="CR194">
        <f t="shared" si="216"/>
        <v>0</v>
      </c>
      <c r="CS194">
        <f t="shared" si="217"/>
        <v>0</v>
      </c>
      <c r="CT194">
        <f t="shared" si="218"/>
        <v>0</v>
      </c>
      <c r="CU194">
        <f t="shared" si="219"/>
        <v>0</v>
      </c>
      <c r="CV194">
        <f t="shared" si="220"/>
        <v>0</v>
      </c>
      <c r="CW194">
        <f t="shared" si="221"/>
        <v>0</v>
      </c>
      <c r="CX194">
        <f t="shared" si="222"/>
        <v>0</v>
      </c>
      <c r="CY194">
        <f>S194*(BZ194/100)</f>
        <v>0</v>
      </c>
      <c r="CZ194">
        <f>S194*(CA194/100)</f>
        <v>0</v>
      </c>
      <c r="DC194" t="s">
        <v>4</v>
      </c>
      <c r="DD194" t="s">
        <v>4</v>
      </c>
      <c r="DE194" t="s">
        <v>4</v>
      </c>
      <c r="DF194" t="s">
        <v>4</v>
      </c>
      <c r="DG194" t="s">
        <v>4</v>
      </c>
      <c r="DH194" t="s">
        <v>4</v>
      </c>
      <c r="DI194" t="s">
        <v>4</v>
      </c>
      <c r="DJ194" t="s">
        <v>4</v>
      </c>
      <c r="DK194" t="s">
        <v>4</v>
      </c>
      <c r="DL194" t="s">
        <v>4</v>
      </c>
      <c r="DM194" t="s">
        <v>4</v>
      </c>
      <c r="DN194">
        <v>0</v>
      </c>
      <c r="DO194">
        <v>0</v>
      </c>
      <c r="DP194">
        <v>1</v>
      </c>
      <c r="DQ194">
        <v>1</v>
      </c>
      <c r="DU194">
        <v>1013</v>
      </c>
      <c r="DV194" t="s">
        <v>237</v>
      </c>
      <c r="DW194" t="s">
        <v>237</v>
      </c>
      <c r="DX194">
        <v>1</v>
      </c>
      <c r="DZ194" t="s">
        <v>4</v>
      </c>
      <c r="EA194" t="s">
        <v>4</v>
      </c>
      <c r="EB194" t="s">
        <v>4</v>
      </c>
      <c r="EC194" t="s">
        <v>4</v>
      </c>
      <c r="EE194">
        <v>69254243</v>
      </c>
      <c r="EF194">
        <v>201</v>
      </c>
      <c r="EG194" t="s">
        <v>226</v>
      </c>
      <c r="EH194">
        <v>0</v>
      </c>
      <c r="EI194" t="s">
        <v>4</v>
      </c>
      <c r="EJ194">
        <v>2</v>
      </c>
      <c r="EK194">
        <v>1618</v>
      </c>
      <c r="EL194" t="s">
        <v>227</v>
      </c>
      <c r="EM194" t="s">
        <v>228</v>
      </c>
      <c r="EO194" t="s">
        <v>4</v>
      </c>
      <c r="EQ194">
        <v>0</v>
      </c>
      <c r="ER194">
        <v>3196.95</v>
      </c>
      <c r="ES194">
        <v>3196.95</v>
      </c>
      <c r="ET194">
        <v>0</v>
      </c>
      <c r="EU194">
        <v>0</v>
      </c>
      <c r="EV194">
        <v>0</v>
      </c>
      <c r="EW194">
        <v>0</v>
      </c>
      <c r="EX194">
        <v>0</v>
      </c>
      <c r="EY194">
        <v>0</v>
      </c>
      <c r="FQ194">
        <v>0</v>
      </c>
      <c r="FR194">
        <f t="shared" si="223"/>
        <v>0</v>
      </c>
      <c r="FS194">
        <v>0</v>
      </c>
      <c r="FX194">
        <v>0</v>
      </c>
      <c r="FY194">
        <v>0</v>
      </c>
      <c r="GA194" t="s">
        <v>4</v>
      </c>
      <c r="GD194">
        <v>0</v>
      </c>
      <c r="GF194">
        <v>704956314</v>
      </c>
      <c r="GG194">
        <v>2</v>
      </c>
      <c r="GH194">
        <v>1</v>
      </c>
      <c r="GI194">
        <v>2</v>
      </c>
      <c r="GJ194">
        <v>0</v>
      </c>
      <c r="GK194">
        <f>ROUND(R194*(S12)/100,2)</f>
        <v>0</v>
      </c>
      <c r="GL194">
        <f t="shared" si="224"/>
        <v>0</v>
      </c>
      <c r="GM194">
        <f t="shared" si="225"/>
        <v>841884.81</v>
      </c>
      <c r="GN194">
        <f t="shared" si="226"/>
        <v>0</v>
      </c>
      <c r="GO194">
        <f t="shared" si="227"/>
        <v>841884.81</v>
      </c>
      <c r="GP194">
        <f t="shared" si="228"/>
        <v>0</v>
      </c>
      <c r="GR194">
        <v>0</v>
      </c>
      <c r="GS194">
        <v>3</v>
      </c>
      <c r="GT194">
        <v>0</v>
      </c>
      <c r="GU194" t="s">
        <v>4</v>
      </c>
      <c r="GV194">
        <f t="shared" si="229"/>
        <v>0</v>
      </c>
      <c r="GW194">
        <v>1</v>
      </c>
      <c r="GX194">
        <f t="shared" si="230"/>
        <v>0</v>
      </c>
      <c r="HA194">
        <v>0</v>
      </c>
      <c r="HB194">
        <v>0</v>
      </c>
      <c r="HC194">
        <f t="shared" si="231"/>
        <v>0</v>
      </c>
      <c r="HE194" t="s">
        <v>4</v>
      </c>
      <c r="HF194" t="s">
        <v>4</v>
      </c>
      <c r="HM194" t="s">
        <v>4</v>
      </c>
      <c r="HN194" t="s">
        <v>4</v>
      </c>
      <c r="HO194" t="s">
        <v>4</v>
      </c>
      <c r="HP194" t="s">
        <v>4</v>
      </c>
      <c r="HQ194" t="s">
        <v>4</v>
      </c>
      <c r="IK194">
        <v>0</v>
      </c>
    </row>
    <row r="195" spans="1:255">
      <c r="A195" s="2">
        <v>17</v>
      </c>
      <c r="B195" s="2">
        <v>1</v>
      </c>
      <c r="C195" s="2">
        <f>ROW(SmtRes!A91)</f>
        <v>91</v>
      </c>
      <c r="D195" s="2">
        <f>ROW(EtalonRes!A287)</f>
        <v>287</v>
      </c>
      <c r="E195" s="2" t="s">
        <v>271</v>
      </c>
      <c r="F195" s="2" t="s">
        <v>272</v>
      </c>
      <c r="G195" s="2" t="s">
        <v>273</v>
      </c>
      <c r="H195" s="2" t="s">
        <v>248</v>
      </c>
      <c r="I195" s="2">
        <f>ROUND(ROUND((300)/100,4),9)</f>
        <v>3</v>
      </c>
      <c r="J195" s="2">
        <v>0</v>
      </c>
      <c r="K195" s="2">
        <f>ROUND(ROUND((300)/100,4),9)</f>
        <v>3</v>
      </c>
      <c r="L195" s="2"/>
      <c r="M195" s="2"/>
      <c r="N195" s="2"/>
      <c r="O195" s="2">
        <f t="shared" si="194"/>
        <v>4178.68</v>
      </c>
      <c r="P195" s="2">
        <f t="shared" si="195"/>
        <v>3966.32</v>
      </c>
      <c r="Q195" s="2">
        <f t="shared" si="196"/>
        <v>90.43</v>
      </c>
      <c r="R195" s="2">
        <f t="shared" si="197"/>
        <v>13.73</v>
      </c>
      <c r="S195" s="2">
        <f t="shared" si="198"/>
        <v>121.93</v>
      </c>
      <c r="T195" s="2">
        <f t="shared" si="199"/>
        <v>0</v>
      </c>
      <c r="U195" s="2">
        <f t="shared" si="200"/>
        <v>11.555609999999998</v>
      </c>
      <c r="V195" s="2">
        <f t="shared" si="201"/>
        <v>0</v>
      </c>
      <c r="W195" s="2">
        <f t="shared" si="202"/>
        <v>0</v>
      </c>
      <c r="X195" s="2">
        <f t="shared" si="203"/>
        <v>136.56</v>
      </c>
      <c r="Y195" s="2">
        <f t="shared" si="204"/>
        <v>85.35</v>
      </c>
      <c r="Z195" s="2"/>
      <c r="AA195" s="2">
        <v>70305038</v>
      </c>
      <c r="AB195" s="2">
        <f t="shared" si="205"/>
        <v>1289.3800000000001</v>
      </c>
      <c r="AC195" s="2">
        <f t="shared" si="206"/>
        <v>1223.04</v>
      </c>
      <c r="AD195" s="2">
        <f t="shared" si="207"/>
        <v>28.25</v>
      </c>
      <c r="AE195" s="2">
        <f t="shared" si="208"/>
        <v>4.29</v>
      </c>
      <c r="AF195" s="2">
        <f t="shared" si="209"/>
        <v>38.090000000000003</v>
      </c>
      <c r="AG195" s="2">
        <f t="shared" si="210"/>
        <v>0</v>
      </c>
      <c r="AH195" s="2">
        <f t="shared" si="211"/>
        <v>3.61</v>
      </c>
      <c r="AI195" s="2">
        <f t="shared" si="212"/>
        <v>0</v>
      </c>
      <c r="AJ195" s="2">
        <f t="shared" si="213"/>
        <v>0</v>
      </c>
      <c r="AK195" s="2">
        <v>1289.3800000000001</v>
      </c>
      <c r="AL195" s="2">
        <v>1223.04</v>
      </c>
      <c r="AM195" s="2">
        <v>28.25</v>
      </c>
      <c r="AN195" s="2">
        <v>4.29</v>
      </c>
      <c r="AO195" s="2">
        <v>38.090000000000003</v>
      </c>
      <c r="AP195" s="2">
        <v>0</v>
      </c>
      <c r="AQ195" s="2">
        <v>3.61</v>
      </c>
      <c r="AR195" s="2">
        <v>0</v>
      </c>
      <c r="AS195" s="2">
        <v>0</v>
      </c>
      <c r="AT195" s="2">
        <v>112</v>
      </c>
      <c r="AU195" s="2">
        <v>70</v>
      </c>
      <c r="AV195" s="2">
        <v>1.0669999999999999</v>
      </c>
      <c r="AW195" s="2">
        <v>1.081</v>
      </c>
      <c r="AX195" s="2"/>
      <c r="AY195" s="2"/>
      <c r="AZ195" s="2">
        <v>1</v>
      </c>
      <c r="BA195" s="2">
        <v>1</v>
      </c>
      <c r="BB195" s="2">
        <v>1</v>
      </c>
      <c r="BC195" s="2">
        <v>1</v>
      </c>
      <c r="BD195" s="2" t="s">
        <v>4</v>
      </c>
      <c r="BE195" s="2" t="s">
        <v>4</v>
      </c>
      <c r="BF195" s="2" t="s">
        <v>4</v>
      </c>
      <c r="BG195" s="2" t="s">
        <v>4</v>
      </c>
      <c r="BH195" s="2">
        <v>0</v>
      </c>
      <c r="BI195" s="2">
        <v>2</v>
      </c>
      <c r="BJ195" s="2" t="s">
        <v>274</v>
      </c>
      <c r="BK195" s="2"/>
      <c r="BL195" s="2"/>
      <c r="BM195" s="2">
        <v>1517</v>
      </c>
      <c r="BN195" s="2">
        <v>0</v>
      </c>
      <c r="BO195" s="2" t="s">
        <v>4</v>
      </c>
      <c r="BP195" s="2">
        <v>0</v>
      </c>
      <c r="BQ195" s="2">
        <v>40</v>
      </c>
      <c r="BR195" s="2">
        <v>0</v>
      </c>
      <c r="BS195" s="2">
        <v>1</v>
      </c>
      <c r="BT195" s="2">
        <v>1</v>
      </c>
      <c r="BU195" s="2">
        <v>1</v>
      </c>
      <c r="BV195" s="2">
        <v>1</v>
      </c>
      <c r="BW195" s="2">
        <v>1</v>
      </c>
      <c r="BX195" s="2">
        <v>1</v>
      </c>
      <c r="BY195" s="2" t="s">
        <v>4</v>
      </c>
      <c r="BZ195" s="2">
        <v>112</v>
      </c>
      <c r="CA195" s="2">
        <v>70</v>
      </c>
      <c r="CB195" s="2" t="s">
        <v>4</v>
      </c>
      <c r="CC195" s="2"/>
      <c r="CD195" s="2"/>
      <c r="CE195" s="2">
        <v>30</v>
      </c>
      <c r="CF195" s="2">
        <v>0</v>
      </c>
      <c r="CG195" s="2">
        <v>0</v>
      </c>
      <c r="CH195" s="2"/>
      <c r="CI195" s="2"/>
      <c r="CJ195" s="2"/>
      <c r="CK195" s="2"/>
      <c r="CL195" s="2"/>
      <c r="CM195" s="2">
        <v>0</v>
      </c>
      <c r="CN195" s="2" t="s">
        <v>4</v>
      </c>
      <c r="CO195" s="2">
        <v>0</v>
      </c>
      <c r="CP195" s="2">
        <f t="shared" si="214"/>
        <v>4178.68</v>
      </c>
      <c r="CQ195" s="2">
        <f t="shared" si="215"/>
        <v>1322.11</v>
      </c>
      <c r="CR195" s="2">
        <f t="shared" si="216"/>
        <v>30.14</v>
      </c>
      <c r="CS195" s="2">
        <f t="shared" si="217"/>
        <v>4.58</v>
      </c>
      <c r="CT195" s="2">
        <f t="shared" si="218"/>
        <v>40.64</v>
      </c>
      <c r="CU195" s="2">
        <f t="shared" si="219"/>
        <v>0</v>
      </c>
      <c r="CV195" s="2">
        <f t="shared" si="220"/>
        <v>3.8518699999999995</v>
      </c>
      <c r="CW195" s="2">
        <f t="shared" si="221"/>
        <v>0</v>
      </c>
      <c r="CX195" s="2">
        <f t="shared" si="222"/>
        <v>0</v>
      </c>
      <c r="CY195" s="2">
        <f>((S195*BZ195)/100)</f>
        <v>136.5616</v>
      </c>
      <c r="CZ195" s="2">
        <f>((S195*CA195)/100)</f>
        <v>85.350999999999999</v>
      </c>
      <c r="DA195" s="2"/>
      <c r="DB195" s="2"/>
      <c r="DC195" s="2" t="s">
        <v>4</v>
      </c>
      <c r="DD195" s="2" t="s">
        <v>4</v>
      </c>
      <c r="DE195" s="2" t="s">
        <v>4</v>
      </c>
      <c r="DF195" s="2" t="s">
        <v>4</v>
      </c>
      <c r="DG195" s="2" t="s">
        <v>4</v>
      </c>
      <c r="DH195" s="2" t="s">
        <v>4</v>
      </c>
      <c r="DI195" s="2" t="s">
        <v>4</v>
      </c>
      <c r="DJ195" s="2" t="s">
        <v>4</v>
      </c>
      <c r="DK195" s="2" t="s">
        <v>4</v>
      </c>
      <c r="DL195" s="2" t="s">
        <v>4</v>
      </c>
      <c r="DM195" s="2" t="s">
        <v>4</v>
      </c>
      <c r="DN195" s="2">
        <v>0</v>
      </c>
      <c r="DO195" s="2">
        <v>0</v>
      </c>
      <c r="DP195" s="2">
        <v>1</v>
      </c>
      <c r="DQ195" s="2">
        <v>1</v>
      </c>
      <c r="DR195" s="2"/>
      <c r="DS195" s="2"/>
      <c r="DT195" s="2"/>
      <c r="DU195" s="2">
        <v>1013</v>
      </c>
      <c r="DV195" s="2" t="s">
        <v>248</v>
      </c>
      <c r="DW195" s="2" t="s">
        <v>248</v>
      </c>
      <c r="DX195" s="2">
        <v>1</v>
      </c>
      <c r="DY195" s="2"/>
      <c r="DZ195" s="2" t="s">
        <v>4</v>
      </c>
      <c r="EA195" s="2" t="s">
        <v>4</v>
      </c>
      <c r="EB195" s="2" t="s">
        <v>4</v>
      </c>
      <c r="EC195" s="2" t="s">
        <v>4</v>
      </c>
      <c r="ED195" s="2"/>
      <c r="EE195" s="2">
        <v>69254142</v>
      </c>
      <c r="EF195" s="2">
        <v>40</v>
      </c>
      <c r="EG195" s="2" t="s">
        <v>219</v>
      </c>
      <c r="EH195" s="2">
        <v>0</v>
      </c>
      <c r="EI195" s="2" t="s">
        <v>4</v>
      </c>
      <c r="EJ195" s="2">
        <v>2</v>
      </c>
      <c r="EK195" s="2">
        <v>1517</v>
      </c>
      <c r="EL195" s="2" t="s">
        <v>275</v>
      </c>
      <c r="EM195" s="2" t="s">
        <v>276</v>
      </c>
      <c r="EN195" s="2"/>
      <c r="EO195" s="2" t="s">
        <v>4</v>
      </c>
      <c r="EP195" s="2"/>
      <c r="EQ195" s="2">
        <v>131072</v>
      </c>
      <c r="ER195" s="2">
        <v>1289.3800000000001</v>
      </c>
      <c r="ES195" s="2">
        <v>1223.04</v>
      </c>
      <c r="ET195" s="2">
        <v>28.25</v>
      </c>
      <c r="EU195" s="2">
        <v>4.29</v>
      </c>
      <c r="EV195" s="2">
        <v>38.090000000000003</v>
      </c>
      <c r="EW195" s="2">
        <v>3.61</v>
      </c>
      <c r="EX195" s="2">
        <v>0</v>
      </c>
      <c r="EY195" s="2">
        <v>0</v>
      </c>
      <c r="EZ195" s="2"/>
      <c r="FA195" s="2"/>
      <c r="FB195" s="2"/>
      <c r="FC195" s="2"/>
      <c r="FD195" s="2"/>
      <c r="FE195" s="2"/>
      <c r="FF195" s="2"/>
      <c r="FG195" s="2"/>
      <c r="FH195" s="2"/>
      <c r="FI195" s="2"/>
      <c r="FJ195" s="2"/>
      <c r="FK195" s="2"/>
      <c r="FL195" s="2"/>
      <c r="FM195" s="2"/>
      <c r="FN195" s="2"/>
      <c r="FO195" s="2"/>
      <c r="FP195" s="2"/>
      <c r="FQ195" s="2">
        <v>0</v>
      </c>
      <c r="FR195" s="2">
        <f t="shared" si="223"/>
        <v>0</v>
      </c>
      <c r="FS195" s="2">
        <v>2</v>
      </c>
      <c r="FT195" s="2"/>
      <c r="FU195" s="2"/>
      <c r="FV195" s="2"/>
      <c r="FW195" s="2"/>
      <c r="FX195" s="2">
        <v>112</v>
      </c>
      <c r="FY195" s="2">
        <v>70</v>
      </c>
      <c r="FZ195" s="2"/>
      <c r="GA195" s="2" t="s">
        <v>4</v>
      </c>
      <c r="GB195" s="2"/>
      <c r="GC195" s="2"/>
      <c r="GD195" s="2">
        <v>0</v>
      </c>
      <c r="GE195" s="2"/>
      <c r="GF195" s="2">
        <v>2089970585</v>
      </c>
      <c r="GG195" s="2">
        <v>2</v>
      </c>
      <c r="GH195" s="2">
        <v>1</v>
      </c>
      <c r="GI195" s="2">
        <v>-2</v>
      </c>
      <c r="GJ195" s="2">
        <v>0</v>
      </c>
      <c r="GK195" s="2">
        <f>ROUND(R195*(R12)/100,2)</f>
        <v>24.03</v>
      </c>
      <c r="GL195" s="2">
        <f t="shared" si="224"/>
        <v>0</v>
      </c>
      <c r="GM195" s="2">
        <f t="shared" si="225"/>
        <v>4424.62</v>
      </c>
      <c r="GN195" s="2">
        <f t="shared" si="226"/>
        <v>0</v>
      </c>
      <c r="GO195" s="2">
        <f t="shared" si="227"/>
        <v>4424.62</v>
      </c>
      <c r="GP195" s="2">
        <f t="shared" si="228"/>
        <v>0</v>
      </c>
      <c r="GQ195" s="2"/>
      <c r="GR195" s="2">
        <v>0</v>
      </c>
      <c r="GS195" s="2">
        <v>0</v>
      </c>
      <c r="GT195" s="2">
        <v>0</v>
      </c>
      <c r="GU195" s="2" t="s">
        <v>4</v>
      </c>
      <c r="GV195" s="2">
        <f t="shared" si="229"/>
        <v>0</v>
      </c>
      <c r="GW195" s="2">
        <v>1</v>
      </c>
      <c r="GX195" s="2">
        <f t="shared" si="230"/>
        <v>0</v>
      </c>
      <c r="GY195" s="2"/>
      <c r="GZ195" s="2"/>
      <c r="HA195" s="2">
        <v>0</v>
      </c>
      <c r="HB195" s="2">
        <v>0</v>
      </c>
      <c r="HC195" s="2">
        <f t="shared" si="231"/>
        <v>0</v>
      </c>
      <c r="HD195" s="2"/>
      <c r="HE195" s="2" t="s">
        <v>4</v>
      </c>
      <c r="HF195" s="2" t="s">
        <v>4</v>
      </c>
      <c r="HG195" s="2"/>
      <c r="HH195" s="2"/>
      <c r="HI195" s="2"/>
      <c r="HJ195" s="2"/>
      <c r="HK195" s="2"/>
      <c r="HL195" s="2"/>
      <c r="HM195" s="2" t="s">
        <v>4</v>
      </c>
      <c r="HN195" s="2" t="s">
        <v>4</v>
      </c>
      <c r="HO195" s="2" t="s">
        <v>4</v>
      </c>
      <c r="HP195" s="2" t="s">
        <v>4</v>
      </c>
      <c r="HQ195" s="2" t="s">
        <v>4</v>
      </c>
      <c r="HR195" s="2"/>
      <c r="HS195" s="2"/>
      <c r="HT195" s="2"/>
      <c r="HU195" s="2"/>
      <c r="HV195" s="2"/>
      <c r="HW195" s="2"/>
      <c r="HX195" s="2"/>
      <c r="HY195" s="2"/>
      <c r="HZ195" s="2"/>
      <c r="IA195" s="2"/>
      <c r="IB195" s="2"/>
      <c r="IC195" s="2"/>
      <c r="ID195" s="2"/>
      <c r="IE195" s="2"/>
      <c r="IF195" s="2"/>
      <c r="IG195" s="2"/>
      <c r="IH195" s="2"/>
      <c r="II195" s="2"/>
      <c r="IJ195" s="2"/>
      <c r="IK195" s="2">
        <v>0</v>
      </c>
      <c r="IL195" s="2"/>
      <c r="IM195" s="2"/>
      <c r="IN195" s="2"/>
      <c r="IO195" s="2"/>
      <c r="IP195" s="2"/>
      <c r="IQ195" s="2"/>
      <c r="IR195" s="2"/>
      <c r="IS195" s="2"/>
      <c r="IT195" s="2"/>
      <c r="IU195" s="2"/>
    </row>
    <row r="196" spans="1:255">
      <c r="A196">
        <v>17</v>
      </c>
      <c r="B196">
        <v>1</v>
      </c>
      <c r="C196">
        <f>ROW(SmtRes!A94)</f>
        <v>94</v>
      </c>
      <c r="D196">
        <f>ROW(EtalonRes!A290)</f>
        <v>290</v>
      </c>
      <c r="E196" t="s">
        <v>271</v>
      </c>
      <c r="F196" t="s">
        <v>272</v>
      </c>
      <c r="G196" t="s">
        <v>273</v>
      </c>
      <c r="H196" t="s">
        <v>248</v>
      </c>
      <c r="I196">
        <f>ROUND(ROUND((300)/100,4),9)</f>
        <v>3</v>
      </c>
      <c r="J196">
        <v>0</v>
      </c>
      <c r="K196">
        <f>ROUND(ROUND((300)/100,4),9)</f>
        <v>3</v>
      </c>
      <c r="O196">
        <f t="shared" si="194"/>
        <v>44532.26</v>
      </c>
      <c r="P196">
        <f t="shared" si="195"/>
        <v>37481.72</v>
      </c>
      <c r="Q196">
        <f t="shared" si="196"/>
        <v>1360.07</v>
      </c>
      <c r="R196">
        <f t="shared" si="197"/>
        <v>640.78</v>
      </c>
      <c r="S196">
        <f t="shared" si="198"/>
        <v>5690.47</v>
      </c>
      <c r="T196">
        <f t="shared" si="199"/>
        <v>0</v>
      </c>
      <c r="U196">
        <f t="shared" si="200"/>
        <v>11.555609999999998</v>
      </c>
      <c r="V196">
        <f t="shared" si="201"/>
        <v>0</v>
      </c>
      <c r="W196">
        <f t="shared" si="202"/>
        <v>0</v>
      </c>
      <c r="X196">
        <f t="shared" si="203"/>
        <v>5235.2299999999996</v>
      </c>
      <c r="Y196">
        <f t="shared" si="204"/>
        <v>2446.9</v>
      </c>
      <c r="AA196">
        <v>70305036</v>
      </c>
      <c r="AB196">
        <f t="shared" si="205"/>
        <v>1289.3800000000001</v>
      </c>
      <c r="AC196">
        <f t="shared" si="206"/>
        <v>1223.04</v>
      </c>
      <c r="AD196">
        <f t="shared" si="207"/>
        <v>28.25</v>
      </c>
      <c r="AE196">
        <f t="shared" si="208"/>
        <v>4.29</v>
      </c>
      <c r="AF196">
        <f t="shared" si="209"/>
        <v>38.090000000000003</v>
      </c>
      <c r="AG196">
        <f t="shared" si="210"/>
        <v>0</v>
      </c>
      <c r="AH196">
        <f t="shared" si="211"/>
        <v>3.61</v>
      </c>
      <c r="AI196">
        <f t="shared" si="212"/>
        <v>0</v>
      </c>
      <c r="AJ196">
        <f t="shared" si="213"/>
        <v>0</v>
      </c>
      <c r="AK196">
        <v>1289.3800000000001</v>
      </c>
      <c r="AL196">
        <v>1223.04</v>
      </c>
      <c r="AM196">
        <v>28.25</v>
      </c>
      <c r="AN196">
        <v>4.29</v>
      </c>
      <c r="AO196">
        <v>38.090000000000003</v>
      </c>
      <c r="AP196">
        <v>0</v>
      </c>
      <c r="AQ196">
        <v>3.61</v>
      </c>
      <c r="AR196">
        <v>0</v>
      </c>
      <c r="AS196">
        <v>0</v>
      </c>
      <c r="AT196">
        <v>92</v>
      </c>
      <c r="AU196">
        <v>43</v>
      </c>
      <c r="AV196">
        <v>1.0669999999999999</v>
      </c>
      <c r="AW196">
        <v>1.081</v>
      </c>
      <c r="AZ196">
        <v>1</v>
      </c>
      <c r="BA196">
        <v>46.67</v>
      </c>
      <c r="BB196">
        <v>15.04</v>
      </c>
      <c r="BC196">
        <v>9.4499999999999993</v>
      </c>
      <c r="BD196" t="s">
        <v>4</v>
      </c>
      <c r="BE196" t="s">
        <v>4</v>
      </c>
      <c r="BF196" t="s">
        <v>4</v>
      </c>
      <c r="BG196" t="s">
        <v>4</v>
      </c>
      <c r="BH196">
        <v>0</v>
      </c>
      <c r="BI196">
        <v>2</v>
      </c>
      <c r="BJ196" t="s">
        <v>274</v>
      </c>
      <c r="BM196">
        <v>1517</v>
      </c>
      <c r="BN196">
        <v>0</v>
      </c>
      <c r="BO196" t="s">
        <v>272</v>
      </c>
      <c r="BP196">
        <v>1</v>
      </c>
      <c r="BQ196">
        <v>40</v>
      </c>
      <c r="BR196">
        <v>0</v>
      </c>
      <c r="BS196">
        <v>46.67</v>
      </c>
      <c r="BT196">
        <v>1</v>
      </c>
      <c r="BU196">
        <v>1</v>
      </c>
      <c r="BV196">
        <v>1</v>
      </c>
      <c r="BW196">
        <v>1</v>
      </c>
      <c r="BX196">
        <v>1</v>
      </c>
      <c r="BY196" t="s">
        <v>4</v>
      </c>
      <c r="BZ196">
        <v>92</v>
      </c>
      <c r="CA196">
        <v>43</v>
      </c>
      <c r="CB196" t="s">
        <v>4</v>
      </c>
      <c r="CE196">
        <v>30</v>
      </c>
      <c r="CF196">
        <v>0</v>
      </c>
      <c r="CG196">
        <v>0</v>
      </c>
      <c r="CM196">
        <v>0</v>
      </c>
      <c r="CN196" t="s">
        <v>4</v>
      </c>
      <c r="CO196">
        <v>0</v>
      </c>
      <c r="CP196">
        <f t="shared" si="214"/>
        <v>44532.26</v>
      </c>
      <c r="CQ196">
        <f t="shared" si="215"/>
        <v>12493.94</v>
      </c>
      <c r="CR196">
        <f t="shared" si="216"/>
        <v>453.31</v>
      </c>
      <c r="CS196">
        <f t="shared" si="217"/>
        <v>213.75</v>
      </c>
      <c r="CT196">
        <f t="shared" si="218"/>
        <v>1896.67</v>
      </c>
      <c r="CU196">
        <f t="shared" si="219"/>
        <v>0</v>
      </c>
      <c r="CV196">
        <f t="shared" si="220"/>
        <v>3.8518699999999995</v>
      </c>
      <c r="CW196">
        <f t="shared" si="221"/>
        <v>0</v>
      </c>
      <c r="CX196">
        <f t="shared" si="222"/>
        <v>0</v>
      </c>
      <c r="CY196">
        <f>S196*(BZ196/100)</f>
        <v>5235.2324000000008</v>
      </c>
      <c r="CZ196">
        <f>S196*(CA196/100)</f>
        <v>2446.9021000000002</v>
      </c>
      <c r="DC196" t="s">
        <v>4</v>
      </c>
      <c r="DD196" t="s">
        <v>4</v>
      </c>
      <c r="DE196" t="s">
        <v>4</v>
      </c>
      <c r="DF196" t="s">
        <v>4</v>
      </c>
      <c r="DG196" t="s">
        <v>4</v>
      </c>
      <c r="DH196" t="s">
        <v>4</v>
      </c>
      <c r="DI196" t="s">
        <v>4</v>
      </c>
      <c r="DJ196" t="s">
        <v>4</v>
      </c>
      <c r="DK196" t="s">
        <v>4</v>
      </c>
      <c r="DL196" t="s">
        <v>4</v>
      </c>
      <c r="DM196" t="s">
        <v>4</v>
      </c>
      <c r="DN196">
        <v>112</v>
      </c>
      <c r="DO196">
        <v>70</v>
      </c>
      <c r="DP196">
        <v>1.0669999999999999</v>
      </c>
      <c r="DQ196">
        <v>1.081</v>
      </c>
      <c r="DU196">
        <v>1013</v>
      </c>
      <c r="DV196" t="s">
        <v>248</v>
      </c>
      <c r="DW196" t="s">
        <v>248</v>
      </c>
      <c r="DX196">
        <v>1</v>
      </c>
      <c r="DZ196" t="s">
        <v>4</v>
      </c>
      <c r="EA196" t="s">
        <v>4</v>
      </c>
      <c r="EB196" t="s">
        <v>4</v>
      </c>
      <c r="EC196" t="s">
        <v>4</v>
      </c>
      <c r="EE196">
        <v>69254142</v>
      </c>
      <c r="EF196">
        <v>40</v>
      </c>
      <c r="EG196" t="s">
        <v>219</v>
      </c>
      <c r="EH196">
        <v>0</v>
      </c>
      <c r="EI196" t="s">
        <v>4</v>
      </c>
      <c r="EJ196">
        <v>2</v>
      </c>
      <c r="EK196">
        <v>1517</v>
      </c>
      <c r="EL196" t="s">
        <v>275</v>
      </c>
      <c r="EM196" t="s">
        <v>276</v>
      </c>
      <c r="EO196" t="s">
        <v>4</v>
      </c>
      <c r="EQ196">
        <v>131072</v>
      </c>
      <c r="ER196">
        <v>1289.3800000000001</v>
      </c>
      <c r="ES196">
        <v>1223.04</v>
      </c>
      <c r="ET196">
        <v>28.25</v>
      </c>
      <c r="EU196">
        <v>4.29</v>
      </c>
      <c r="EV196">
        <v>38.090000000000003</v>
      </c>
      <c r="EW196">
        <v>3.61</v>
      </c>
      <c r="EX196">
        <v>0</v>
      </c>
      <c r="EY196">
        <v>0</v>
      </c>
      <c r="FQ196">
        <v>0</v>
      </c>
      <c r="FR196">
        <f t="shared" si="223"/>
        <v>0</v>
      </c>
      <c r="FS196">
        <v>2</v>
      </c>
      <c r="FX196">
        <v>112</v>
      </c>
      <c r="FY196">
        <v>70</v>
      </c>
      <c r="GA196" t="s">
        <v>4</v>
      </c>
      <c r="GD196">
        <v>0</v>
      </c>
      <c r="GF196">
        <v>2089970585</v>
      </c>
      <c r="GG196">
        <v>2</v>
      </c>
      <c r="GH196">
        <v>1</v>
      </c>
      <c r="GI196">
        <v>2</v>
      </c>
      <c r="GJ196">
        <v>0</v>
      </c>
      <c r="GK196">
        <f>ROUND(R196*(S12)/100,2)</f>
        <v>1025.25</v>
      </c>
      <c r="GL196">
        <f t="shared" si="224"/>
        <v>0</v>
      </c>
      <c r="GM196">
        <f t="shared" si="225"/>
        <v>53239.64</v>
      </c>
      <c r="GN196">
        <f t="shared" si="226"/>
        <v>0</v>
      </c>
      <c r="GO196">
        <f t="shared" si="227"/>
        <v>53239.64</v>
      </c>
      <c r="GP196">
        <f t="shared" si="228"/>
        <v>0</v>
      </c>
      <c r="GR196">
        <v>0</v>
      </c>
      <c r="GS196">
        <v>3</v>
      </c>
      <c r="GT196">
        <v>0</v>
      </c>
      <c r="GU196" t="s">
        <v>4</v>
      </c>
      <c r="GV196">
        <f t="shared" si="229"/>
        <v>0</v>
      </c>
      <c r="GW196">
        <v>1</v>
      </c>
      <c r="GX196">
        <f t="shared" si="230"/>
        <v>0</v>
      </c>
      <c r="HA196">
        <v>0</v>
      </c>
      <c r="HB196">
        <v>0</v>
      </c>
      <c r="HC196">
        <f t="shared" si="231"/>
        <v>0</v>
      </c>
      <c r="HE196" t="s">
        <v>4</v>
      </c>
      <c r="HF196" t="s">
        <v>4</v>
      </c>
      <c r="HM196" t="s">
        <v>4</v>
      </c>
      <c r="HN196" t="s">
        <v>4</v>
      </c>
      <c r="HO196" t="s">
        <v>4</v>
      </c>
      <c r="HP196" t="s">
        <v>4</v>
      </c>
      <c r="HQ196" t="s">
        <v>4</v>
      </c>
      <c r="IK196">
        <v>0</v>
      </c>
    </row>
    <row r="197" spans="1:255">
      <c r="A197" s="2">
        <v>17</v>
      </c>
      <c r="B197" s="2">
        <v>1</v>
      </c>
      <c r="C197" s="2"/>
      <c r="D197" s="2">
        <f>ROW(EtalonRes!A293)</f>
        <v>293</v>
      </c>
      <c r="E197" s="2" t="s">
        <v>277</v>
      </c>
      <c r="F197" s="2" t="s">
        <v>278</v>
      </c>
      <c r="G197" s="2" t="s">
        <v>279</v>
      </c>
      <c r="H197" s="2" t="s">
        <v>248</v>
      </c>
      <c r="I197" s="2">
        <f>ROUND(I195,9)</f>
        <v>3</v>
      </c>
      <c r="J197" s="2">
        <v>0</v>
      </c>
      <c r="K197" s="2">
        <f>ROUND(I195,9)</f>
        <v>3</v>
      </c>
      <c r="L197" s="2"/>
      <c r="M197" s="2"/>
      <c r="N197" s="2"/>
      <c r="O197" s="2">
        <f t="shared" si="194"/>
        <v>4156.08</v>
      </c>
      <c r="P197" s="2">
        <f t="shared" si="195"/>
        <v>3966.32</v>
      </c>
      <c r="Q197" s="2">
        <f t="shared" si="196"/>
        <v>90.43</v>
      </c>
      <c r="R197" s="2">
        <f t="shared" si="197"/>
        <v>13.73</v>
      </c>
      <c r="S197" s="2">
        <f t="shared" si="198"/>
        <v>99.33</v>
      </c>
      <c r="T197" s="2">
        <f t="shared" si="199"/>
        <v>0</v>
      </c>
      <c r="U197" s="2">
        <f t="shared" si="200"/>
        <v>9.4429499999999997</v>
      </c>
      <c r="V197" s="2">
        <f t="shared" si="201"/>
        <v>0</v>
      </c>
      <c r="W197" s="2">
        <f t="shared" si="202"/>
        <v>0</v>
      </c>
      <c r="X197" s="2">
        <f t="shared" si="203"/>
        <v>111.25</v>
      </c>
      <c r="Y197" s="2">
        <f t="shared" si="204"/>
        <v>69.53</v>
      </c>
      <c r="Z197" s="2"/>
      <c r="AA197" s="2">
        <v>70305038</v>
      </c>
      <c r="AB197" s="2">
        <f t="shared" si="205"/>
        <v>1282.32</v>
      </c>
      <c r="AC197" s="2">
        <f t="shared" si="206"/>
        <v>1223.04</v>
      </c>
      <c r="AD197" s="2">
        <f t="shared" si="207"/>
        <v>28.25</v>
      </c>
      <c r="AE197" s="2">
        <f t="shared" si="208"/>
        <v>4.29</v>
      </c>
      <c r="AF197" s="2">
        <f t="shared" si="209"/>
        <v>31.03</v>
      </c>
      <c r="AG197" s="2">
        <f t="shared" si="210"/>
        <v>0</v>
      </c>
      <c r="AH197" s="2">
        <f t="shared" si="211"/>
        <v>2.95</v>
      </c>
      <c r="AI197" s="2">
        <f t="shared" si="212"/>
        <v>0</v>
      </c>
      <c r="AJ197" s="2">
        <f t="shared" si="213"/>
        <v>0</v>
      </c>
      <c r="AK197" s="2">
        <v>1282.32</v>
      </c>
      <c r="AL197" s="2">
        <v>1223.04</v>
      </c>
      <c r="AM197" s="2">
        <v>28.25</v>
      </c>
      <c r="AN197" s="2">
        <v>4.29</v>
      </c>
      <c r="AO197" s="2">
        <v>31.03</v>
      </c>
      <c r="AP197" s="2">
        <v>0</v>
      </c>
      <c r="AQ197" s="2">
        <v>2.95</v>
      </c>
      <c r="AR197" s="2">
        <v>0</v>
      </c>
      <c r="AS197" s="2">
        <v>0</v>
      </c>
      <c r="AT197" s="2">
        <v>112</v>
      </c>
      <c r="AU197" s="2">
        <v>70</v>
      </c>
      <c r="AV197" s="2">
        <v>1.0669999999999999</v>
      </c>
      <c r="AW197" s="2">
        <v>1.081</v>
      </c>
      <c r="AX197" s="2"/>
      <c r="AY197" s="2"/>
      <c r="AZ197" s="2">
        <v>1</v>
      </c>
      <c r="BA197" s="2">
        <v>1</v>
      </c>
      <c r="BB197" s="2">
        <v>1</v>
      </c>
      <c r="BC197" s="2">
        <v>1</v>
      </c>
      <c r="BD197" s="2" t="s">
        <v>4</v>
      </c>
      <c r="BE197" s="2" t="s">
        <v>4</v>
      </c>
      <c r="BF197" s="2" t="s">
        <v>4</v>
      </c>
      <c r="BG197" s="2" t="s">
        <v>4</v>
      </c>
      <c r="BH197" s="2">
        <v>0</v>
      </c>
      <c r="BI197" s="2">
        <v>2</v>
      </c>
      <c r="BJ197" s="2" t="s">
        <v>280</v>
      </c>
      <c r="BK197" s="2"/>
      <c r="BL197" s="2"/>
      <c r="BM197" s="2">
        <v>1517</v>
      </c>
      <c r="BN197" s="2">
        <v>0</v>
      </c>
      <c r="BO197" s="2" t="s">
        <v>4</v>
      </c>
      <c r="BP197" s="2">
        <v>0</v>
      </c>
      <c r="BQ197" s="2">
        <v>40</v>
      </c>
      <c r="BR197" s="2">
        <v>0</v>
      </c>
      <c r="BS197" s="2">
        <v>1</v>
      </c>
      <c r="BT197" s="2">
        <v>1</v>
      </c>
      <c r="BU197" s="2">
        <v>1</v>
      </c>
      <c r="BV197" s="2">
        <v>1</v>
      </c>
      <c r="BW197" s="2">
        <v>1</v>
      </c>
      <c r="BX197" s="2">
        <v>1</v>
      </c>
      <c r="BY197" s="2" t="s">
        <v>4</v>
      </c>
      <c r="BZ197" s="2">
        <v>112</v>
      </c>
      <c r="CA197" s="2">
        <v>70</v>
      </c>
      <c r="CB197" s="2" t="s">
        <v>4</v>
      </c>
      <c r="CC197" s="2"/>
      <c r="CD197" s="2"/>
      <c r="CE197" s="2">
        <v>30</v>
      </c>
      <c r="CF197" s="2">
        <v>0</v>
      </c>
      <c r="CG197" s="2">
        <v>0</v>
      </c>
      <c r="CH197" s="2"/>
      <c r="CI197" s="2"/>
      <c r="CJ197" s="2"/>
      <c r="CK197" s="2"/>
      <c r="CL197" s="2"/>
      <c r="CM197" s="2">
        <v>0</v>
      </c>
      <c r="CN197" s="2" t="s">
        <v>4</v>
      </c>
      <c r="CO197" s="2">
        <v>0</v>
      </c>
      <c r="CP197" s="2">
        <f t="shared" si="214"/>
        <v>4156.08</v>
      </c>
      <c r="CQ197" s="2">
        <f t="shared" si="215"/>
        <v>1322.11</v>
      </c>
      <c r="CR197" s="2">
        <f t="shared" si="216"/>
        <v>30.14</v>
      </c>
      <c r="CS197" s="2">
        <f t="shared" si="217"/>
        <v>4.58</v>
      </c>
      <c r="CT197" s="2">
        <f t="shared" si="218"/>
        <v>33.11</v>
      </c>
      <c r="CU197" s="2">
        <f t="shared" si="219"/>
        <v>0</v>
      </c>
      <c r="CV197" s="2">
        <f t="shared" si="220"/>
        <v>3.1476500000000001</v>
      </c>
      <c r="CW197" s="2">
        <f t="shared" si="221"/>
        <v>0</v>
      </c>
      <c r="CX197" s="2">
        <f t="shared" si="222"/>
        <v>0</v>
      </c>
      <c r="CY197" s="2">
        <f>((S197*BZ197)/100)</f>
        <v>111.24959999999999</v>
      </c>
      <c r="CZ197" s="2">
        <f>((S197*CA197)/100)</f>
        <v>69.530999999999992</v>
      </c>
      <c r="DA197" s="2"/>
      <c r="DB197" s="2"/>
      <c r="DC197" s="2" t="s">
        <v>4</v>
      </c>
      <c r="DD197" s="2" t="s">
        <v>4</v>
      </c>
      <c r="DE197" s="2" t="s">
        <v>4</v>
      </c>
      <c r="DF197" s="2" t="s">
        <v>4</v>
      </c>
      <c r="DG197" s="2" t="s">
        <v>4</v>
      </c>
      <c r="DH197" s="2" t="s">
        <v>4</v>
      </c>
      <c r="DI197" s="2" t="s">
        <v>4</v>
      </c>
      <c r="DJ197" s="2" t="s">
        <v>4</v>
      </c>
      <c r="DK197" s="2" t="s">
        <v>4</v>
      </c>
      <c r="DL197" s="2" t="s">
        <v>4</v>
      </c>
      <c r="DM197" s="2" t="s">
        <v>4</v>
      </c>
      <c r="DN197" s="2">
        <v>0</v>
      </c>
      <c r="DO197" s="2">
        <v>0</v>
      </c>
      <c r="DP197" s="2">
        <v>1</v>
      </c>
      <c r="DQ197" s="2">
        <v>1</v>
      </c>
      <c r="DR197" s="2"/>
      <c r="DS197" s="2"/>
      <c r="DT197" s="2"/>
      <c r="DU197" s="2">
        <v>1013</v>
      </c>
      <c r="DV197" s="2" t="s">
        <v>248</v>
      </c>
      <c r="DW197" s="2" t="s">
        <v>248</v>
      </c>
      <c r="DX197" s="2">
        <v>1</v>
      </c>
      <c r="DY197" s="2"/>
      <c r="DZ197" s="2" t="s">
        <v>4</v>
      </c>
      <c r="EA197" s="2" t="s">
        <v>4</v>
      </c>
      <c r="EB197" s="2" t="s">
        <v>4</v>
      </c>
      <c r="EC197" s="2" t="s">
        <v>4</v>
      </c>
      <c r="ED197" s="2"/>
      <c r="EE197" s="2">
        <v>69254142</v>
      </c>
      <c r="EF197" s="2">
        <v>40</v>
      </c>
      <c r="EG197" s="2" t="s">
        <v>219</v>
      </c>
      <c r="EH197" s="2">
        <v>0</v>
      </c>
      <c r="EI197" s="2" t="s">
        <v>4</v>
      </c>
      <c r="EJ197" s="2">
        <v>2</v>
      </c>
      <c r="EK197" s="2">
        <v>1517</v>
      </c>
      <c r="EL197" s="2" t="s">
        <v>275</v>
      </c>
      <c r="EM197" s="2" t="s">
        <v>276</v>
      </c>
      <c r="EN197" s="2"/>
      <c r="EO197" s="2" t="s">
        <v>4</v>
      </c>
      <c r="EP197" s="2"/>
      <c r="EQ197" s="2">
        <v>131072</v>
      </c>
      <c r="ER197" s="2">
        <v>1282.32</v>
      </c>
      <c r="ES197" s="2">
        <v>1223.04</v>
      </c>
      <c r="ET197" s="2">
        <v>28.25</v>
      </c>
      <c r="EU197" s="2">
        <v>4.29</v>
      </c>
      <c r="EV197" s="2">
        <v>31.03</v>
      </c>
      <c r="EW197" s="2">
        <v>2.95</v>
      </c>
      <c r="EX197" s="2">
        <v>0</v>
      </c>
      <c r="EY197" s="2">
        <v>0</v>
      </c>
      <c r="EZ197" s="2"/>
      <c r="FA197" s="2"/>
      <c r="FB197" s="2"/>
      <c r="FC197" s="2"/>
      <c r="FD197" s="2"/>
      <c r="FE197" s="2"/>
      <c r="FF197" s="2"/>
      <c r="FG197" s="2"/>
      <c r="FH197" s="2"/>
      <c r="FI197" s="2"/>
      <c r="FJ197" s="2"/>
      <c r="FK197" s="2"/>
      <c r="FL197" s="2"/>
      <c r="FM197" s="2"/>
      <c r="FN197" s="2"/>
      <c r="FO197" s="2"/>
      <c r="FP197" s="2"/>
      <c r="FQ197" s="2">
        <v>0</v>
      </c>
      <c r="FR197" s="2">
        <f t="shared" si="223"/>
        <v>0</v>
      </c>
      <c r="FS197" s="2">
        <v>0</v>
      </c>
      <c r="FT197" s="2"/>
      <c r="FU197" s="2"/>
      <c r="FV197" s="2"/>
      <c r="FW197" s="2"/>
      <c r="FX197" s="2">
        <v>112</v>
      </c>
      <c r="FY197" s="2">
        <v>70</v>
      </c>
      <c r="FZ197" s="2"/>
      <c r="GA197" s="2" t="s">
        <v>4</v>
      </c>
      <c r="GB197" s="2"/>
      <c r="GC197" s="2"/>
      <c r="GD197" s="2">
        <v>0</v>
      </c>
      <c r="GE197" s="2"/>
      <c r="GF197" s="2">
        <v>945704450</v>
      </c>
      <c r="GG197" s="2">
        <v>2</v>
      </c>
      <c r="GH197" s="2">
        <v>1</v>
      </c>
      <c r="GI197" s="2">
        <v>-2</v>
      </c>
      <c r="GJ197" s="2">
        <v>0</v>
      </c>
      <c r="GK197" s="2">
        <f>ROUND(R197*(R12)/100,2)</f>
        <v>24.03</v>
      </c>
      <c r="GL197" s="2">
        <f t="shared" si="224"/>
        <v>0</v>
      </c>
      <c r="GM197" s="2">
        <f t="shared" si="225"/>
        <v>4360.8900000000003</v>
      </c>
      <c r="GN197" s="2">
        <f t="shared" si="226"/>
        <v>0</v>
      </c>
      <c r="GO197" s="2">
        <f t="shared" si="227"/>
        <v>4360.8900000000003</v>
      </c>
      <c r="GP197" s="2">
        <f t="shared" si="228"/>
        <v>0</v>
      </c>
      <c r="GQ197" s="2"/>
      <c r="GR197" s="2">
        <v>0</v>
      </c>
      <c r="GS197" s="2">
        <v>0</v>
      </c>
      <c r="GT197" s="2">
        <v>0</v>
      </c>
      <c r="GU197" s="2" t="s">
        <v>4</v>
      </c>
      <c r="GV197" s="2">
        <f t="shared" si="229"/>
        <v>0</v>
      </c>
      <c r="GW197" s="2">
        <v>1</v>
      </c>
      <c r="GX197" s="2">
        <f t="shared" si="230"/>
        <v>0</v>
      </c>
      <c r="GY197" s="2"/>
      <c r="GZ197" s="2"/>
      <c r="HA197" s="2">
        <v>0</v>
      </c>
      <c r="HB197" s="2">
        <v>0</v>
      </c>
      <c r="HC197" s="2">
        <f t="shared" si="231"/>
        <v>0</v>
      </c>
      <c r="HD197" s="2"/>
      <c r="HE197" s="2" t="s">
        <v>4</v>
      </c>
      <c r="HF197" s="2" t="s">
        <v>4</v>
      </c>
      <c r="HG197" s="2"/>
      <c r="HH197" s="2"/>
      <c r="HI197" s="2"/>
      <c r="HJ197" s="2"/>
      <c r="HK197" s="2"/>
      <c r="HL197" s="2"/>
      <c r="HM197" s="2" t="s">
        <v>4</v>
      </c>
      <c r="HN197" s="2" t="s">
        <v>4</v>
      </c>
      <c r="HO197" s="2" t="s">
        <v>4</v>
      </c>
      <c r="HP197" s="2" t="s">
        <v>4</v>
      </c>
      <c r="HQ197" s="2" t="s">
        <v>4</v>
      </c>
      <c r="HR197" s="2"/>
      <c r="HS197" s="2"/>
      <c r="HT197" s="2"/>
      <c r="HU197" s="2"/>
      <c r="HV197" s="2"/>
      <c r="HW197" s="2"/>
      <c r="HX197" s="2"/>
      <c r="HY197" s="2"/>
      <c r="HZ197" s="2"/>
      <c r="IA197" s="2"/>
      <c r="IB197" s="2"/>
      <c r="IC197" s="2"/>
      <c r="ID197" s="2"/>
      <c r="IE197" s="2"/>
      <c r="IF197" s="2"/>
      <c r="IG197" s="2"/>
      <c r="IH197" s="2"/>
      <c r="II197" s="2"/>
      <c r="IJ197" s="2"/>
      <c r="IK197" s="2">
        <v>0</v>
      </c>
      <c r="IL197" s="2"/>
      <c r="IM197" s="2"/>
      <c r="IN197" s="2"/>
      <c r="IO197" s="2"/>
      <c r="IP197" s="2"/>
      <c r="IQ197" s="2"/>
      <c r="IR197" s="2"/>
      <c r="IS197" s="2"/>
      <c r="IT197" s="2"/>
      <c r="IU197" s="2"/>
    </row>
    <row r="198" spans="1:255">
      <c r="A198">
        <v>17</v>
      </c>
      <c r="B198">
        <v>1</v>
      </c>
      <c r="D198">
        <f>ROW(EtalonRes!A296)</f>
        <v>296</v>
      </c>
      <c r="E198" t="s">
        <v>277</v>
      </c>
      <c r="F198" t="s">
        <v>278</v>
      </c>
      <c r="G198" t="s">
        <v>279</v>
      </c>
      <c r="H198" t="s">
        <v>248</v>
      </c>
      <c r="I198">
        <f>ROUND(I196,9)</f>
        <v>3</v>
      </c>
      <c r="J198">
        <v>0</v>
      </c>
      <c r="K198">
        <f>ROUND(I196,9)</f>
        <v>3</v>
      </c>
      <c r="O198">
        <f t="shared" si="194"/>
        <v>43477.52</v>
      </c>
      <c r="P198">
        <f t="shared" si="195"/>
        <v>37481.72</v>
      </c>
      <c r="Q198">
        <f t="shared" si="196"/>
        <v>1360.07</v>
      </c>
      <c r="R198">
        <f t="shared" si="197"/>
        <v>640.78</v>
      </c>
      <c r="S198">
        <f t="shared" si="198"/>
        <v>4635.7299999999996</v>
      </c>
      <c r="T198">
        <f t="shared" si="199"/>
        <v>0</v>
      </c>
      <c r="U198">
        <f t="shared" si="200"/>
        <v>9.4429499999999997</v>
      </c>
      <c r="V198">
        <f t="shared" si="201"/>
        <v>0</v>
      </c>
      <c r="W198">
        <f t="shared" si="202"/>
        <v>0</v>
      </c>
      <c r="X198">
        <f t="shared" si="203"/>
        <v>4264.87</v>
      </c>
      <c r="Y198">
        <f t="shared" si="204"/>
        <v>1993.36</v>
      </c>
      <c r="AA198">
        <v>70305036</v>
      </c>
      <c r="AB198">
        <f t="shared" si="205"/>
        <v>1282.32</v>
      </c>
      <c r="AC198">
        <f t="shared" si="206"/>
        <v>1223.04</v>
      </c>
      <c r="AD198">
        <f t="shared" si="207"/>
        <v>28.25</v>
      </c>
      <c r="AE198">
        <f t="shared" si="208"/>
        <v>4.29</v>
      </c>
      <c r="AF198">
        <f t="shared" si="209"/>
        <v>31.03</v>
      </c>
      <c r="AG198">
        <f t="shared" si="210"/>
        <v>0</v>
      </c>
      <c r="AH198">
        <f t="shared" si="211"/>
        <v>2.95</v>
      </c>
      <c r="AI198">
        <f t="shared" si="212"/>
        <v>0</v>
      </c>
      <c r="AJ198">
        <f t="shared" si="213"/>
        <v>0</v>
      </c>
      <c r="AK198">
        <v>1282.32</v>
      </c>
      <c r="AL198">
        <v>1223.04</v>
      </c>
      <c r="AM198">
        <v>28.25</v>
      </c>
      <c r="AN198">
        <v>4.29</v>
      </c>
      <c r="AO198">
        <v>31.03</v>
      </c>
      <c r="AP198">
        <v>0</v>
      </c>
      <c r="AQ198">
        <v>2.95</v>
      </c>
      <c r="AR198">
        <v>0</v>
      </c>
      <c r="AS198">
        <v>0</v>
      </c>
      <c r="AT198">
        <v>92</v>
      </c>
      <c r="AU198">
        <v>43</v>
      </c>
      <c r="AV198">
        <v>1.0669999999999999</v>
      </c>
      <c r="AW198">
        <v>1.081</v>
      </c>
      <c r="AZ198">
        <v>1</v>
      </c>
      <c r="BA198">
        <v>46.67</v>
      </c>
      <c r="BB198">
        <v>15.04</v>
      </c>
      <c r="BC198">
        <v>9.4499999999999993</v>
      </c>
      <c r="BD198" t="s">
        <v>4</v>
      </c>
      <c r="BE198" t="s">
        <v>4</v>
      </c>
      <c r="BF198" t="s">
        <v>4</v>
      </c>
      <c r="BG198" t="s">
        <v>4</v>
      </c>
      <c r="BH198">
        <v>0</v>
      </c>
      <c r="BI198">
        <v>2</v>
      </c>
      <c r="BJ198" t="s">
        <v>280</v>
      </c>
      <c r="BM198">
        <v>1517</v>
      </c>
      <c r="BN198">
        <v>0</v>
      </c>
      <c r="BO198" t="s">
        <v>278</v>
      </c>
      <c r="BP198">
        <v>1</v>
      </c>
      <c r="BQ198">
        <v>40</v>
      </c>
      <c r="BR198">
        <v>0</v>
      </c>
      <c r="BS198">
        <v>46.67</v>
      </c>
      <c r="BT198">
        <v>1</v>
      </c>
      <c r="BU198">
        <v>1</v>
      </c>
      <c r="BV198">
        <v>1</v>
      </c>
      <c r="BW198">
        <v>1</v>
      </c>
      <c r="BX198">
        <v>1</v>
      </c>
      <c r="BY198" t="s">
        <v>4</v>
      </c>
      <c r="BZ198">
        <v>92</v>
      </c>
      <c r="CA198">
        <v>43</v>
      </c>
      <c r="CB198" t="s">
        <v>4</v>
      </c>
      <c r="CE198">
        <v>30</v>
      </c>
      <c r="CF198">
        <v>0</v>
      </c>
      <c r="CG198">
        <v>0</v>
      </c>
      <c r="CM198">
        <v>0</v>
      </c>
      <c r="CN198" t="s">
        <v>4</v>
      </c>
      <c r="CO198">
        <v>0</v>
      </c>
      <c r="CP198">
        <f t="shared" si="214"/>
        <v>43477.520000000004</v>
      </c>
      <c r="CQ198">
        <f t="shared" si="215"/>
        <v>12493.94</v>
      </c>
      <c r="CR198">
        <f t="shared" si="216"/>
        <v>453.31</v>
      </c>
      <c r="CS198">
        <f t="shared" si="217"/>
        <v>213.75</v>
      </c>
      <c r="CT198">
        <f t="shared" si="218"/>
        <v>1545.24</v>
      </c>
      <c r="CU198">
        <f t="shared" si="219"/>
        <v>0</v>
      </c>
      <c r="CV198">
        <f t="shared" si="220"/>
        <v>3.1476500000000001</v>
      </c>
      <c r="CW198">
        <f t="shared" si="221"/>
        <v>0</v>
      </c>
      <c r="CX198">
        <f t="shared" si="222"/>
        <v>0</v>
      </c>
      <c r="CY198">
        <f>S198*(BZ198/100)</f>
        <v>4264.8715999999995</v>
      </c>
      <c r="CZ198">
        <f>S198*(CA198/100)</f>
        <v>1993.3638999999998</v>
      </c>
      <c r="DC198" t="s">
        <v>4</v>
      </c>
      <c r="DD198" t="s">
        <v>4</v>
      </c>
      <c r="DE198" t="s">
        <v>4</v>
      </c>
      <c r="DF198" t="s">
        <v>4</v>
      </c>
      <c r="DG198" t="s">
        <v>4</v>
      </c>
      <c r="DH198" t="s">
        <v>4</v>
      </c>
      <c r="DI198" t="s">
        <v>4</v>
      </c>
      <c r="DJ198" t="s">
        <v>4</v>
      </c>
      <c r="DK198" t="s">
        <v>4</v>
      </c>
      <c r="DL198" t="s">
        <v>4</v>
      </c>
      <c r="DM198" t="s">
        <v>4</v>
      </c>
      <c r="DN198">
        <v>112</v>
      </c>
      <c r="DO198">
        <v>70</v>
      </c>
      <c r="DP198">
        <v>1.0669999999999999</v>
      </c>
      <c r="DQ198">
        <v>1.081</v>
      </c>
      <c r="DU198">
        <v>1013</v>
      </c>
      <c r="DV198" t="s">
        <v>248</v>
      </c>
      <c r="DW198" t="s">
        <v>248</v>
      </c>
      <c r="DX198">
        <v>1</v>
      </c>
      <c r="DZ198" t="s">
        <v>4</v>
      </c>
      <c r="EA198" t="s">
        <v>4</v>
      </c>
      <c r="EB198" t="s">
        <v>4</v>
      </c>
      <c r="EC198" t="s">
        <v>4</v>
      </c>
      <c r="EE198">
        <v>69254142</v>
      </c>
      <c r="EF198">
        <v>40</v>
      </c>
      <c r="EG198" t="s">
        <v>219</v>
      </c>
      <c r="EH198">
        <v>0</v>
      </c>
      <c r="EI198" t="s">
        <v>4</v>
      </c>
      <c r="EJ198">
        <v>2</v>
      </c>
      <c r="EK198">
        <v>1517</v>
      </c>
      <c r="EL198" t="s">
        <v>275</v>
      </c>
      <c r="EM198" t="s">
        <v>276</v>
      </c>
      <c r="EO198" t="s">
        <v>4</v>
      </c>
      <c r="EQ198">
        <v>131072</v>
      </c>
      <c r="ER198">
        <v>1282.32</v>
      </c>
      <c r="ES198">
        <v>1223.04</v>
      </c>
      <c r="ET198">
        <v>28.25</v>
      </c>
      <c r="EU198">
        <v>4.29</v>
      </c>
      <c r="EV198">
        <v>31.03</v>
      </c>
      <c r="EW198">
        <v>2.95</v>
      </c>
      <c r="EX198">
        <v>0</v>
      </c>
      <c r="EY198">
        <v>0</v>
      </c>
      <c r="FQ198">
        <v>0</v>
      </c>
      <c r="FR198">
        <f t="shared" si="223"/>
        <v>0</v>
      </c>
      <c r="FS198">
        <v>0</v>
      </c>
      <c r="FX198">
        <v>112</v>
      </c>
      <c r="FY198">
        <v>70</v>
      </c>
      <c r="GA198" t="s">
        <v>4</v>
      </c>
      <c r="GD198">
        <v>0</v>
      </c>
      <c r="GF198">
        <v>945704450</v>
      </c>
      <c r="GG198">
        <v>2</v>
      </c>
      <c r="GH198">
        <v>1</v>
      </c>
      <c r="GI198">
        <v>2</v>
      </c>
      <c r="GJ198">
        <v>0</v>
      </c>
      <c r="GK198">
        <f>ROUND(R198*(S12)/100,2)</f>
        <v>1025.25</v>
      </c>
      <c r="GL198">
        <f t="shared" si="224"/>
        <v>0</v>
      </c>
      <c r="GM198">
        <f t="shared" si="225"/>
        <v>50761</v>
      </c>
      <c r="GN198">
        <f t="shared" si="226"/>
        <v>0</v>
      </c>
      <c r="GO198">
        <f t="shared" si="227"/>
        <v>50761</v>
      </c>
      <c r="GP198">
        <f t="shared" si="228"/>
        <v>0</v>
      </c>
      <c r="GR198">
        <v>0</v>
      </c>
      <c r="GS198">
        <v>3</v>
      </c>
      <c r="GT198">
        <v>0</v>
      </c>
      <c r="GU198" t="s">
        <v>4</v>
      </c>
      <c r="GV198">
        <f t="shared" si="229"/>
        <v>0</v>
      </c>
      <c r="GW198">
        <v>1</v>
      </c>
      <c r="GX198">
        <f t="shared" si="230"/>
        <v>0</v>
      </c>
      <c r="HA198">
        <v>0</v>
      </c>
      <c r="HB198">
        <v>0</v>
      </c>
      <c r="HC198">
        <f t="shared" si="231"/>
        <v>0</v>
      </c>
      <c r="HE198" t="s">
        <v>4</v>
      </c>
      <c r="HF198" t="s">
        <v>4</v>
      </c>
      <c r="HM198" t="s">
        <v>4</v>
      </c>
      <c r="HN198" t="s">
        <v>4</v>
      </c>
      <c r="HO198" t="s">
        <v>4</v>
      </c>
      <c r="HP198" t="s">
        <v>4</v>
      </c>
      <c r="HQ198" t="s">
        <v>4</v>
      </c>
      <c r="IK198">
        <v>0</v>
      </c>
    </row>
    <row r="199" spans="1:255">
      <c r="A199" s="2">
        <v>17</v>
      </c>
      <c r="B199" s="2">
        <v>1</v>
      </c>
      <c r="C199" s="2">
        <f>ROW(SmtRes!A97)</f>
        <v>97</v>
      </c>
      <c r="D199" s="2">
        <f>ROW(EtalonRes!A299)</f>
        <v>299</v>
      </c>
      <c r="E199" s="2" t="s">
        <v>4</v>
      </c>
      <c r="F199" s="2" t="s">
        <v>281</v>
      </c>
      <c r="G199" s="2" t="s">
        <v>282</v>
      </c>
      <c r="H199" s="2" t="s">
        <v>248</v>
      </c>
      <c r="I199" s="2">
        <f>ROUND(ROUND((300)/100,4),9)</f>
        <v>3</v>
      </c>
      <c r="J199" s="2">
        <v>0</v>
      </c>
      <c r="K199" s="2">
        <f>ROUND(ROUND((300)/100,4),9)</f>
        <v>3</v>
      </c>
      <c r="L199" s="2"/>
      <c r="M199" s="2"/>
      <c r="N199" s="2"/>
      <c r="O199" s="2">
        <f t="shared" si="194"/>
        <v>1270.19</v>
      </c>
      <c r="P199" s="2">
        <f t="shared" si="195"/>
        <v>0</v>
      </c>
      <c r="Q199" s="2">
        <f t="shared" si="196"/>
        <v>1034.76</v>
      </c>
      <c r="R199" s="2">
        <f t="shared" si="197"/>
        <v>157.13999999999999</v>
      </c>
      <c r="S199" s="2">
        <f t="shared" si="198"/>
        <v>235.43</v>
      </c>
      <c r="T199" s="2">
        <f t="shared" si="199"/>
        <v>0</v>
      </c>
      <c r="U199" s="2">
        <f t="shared" si="200"/>
        <v>19.109969999999997</v>
      </c>
      <c r="V199" s="2">
        <f t="shared" si="201"/>
        <v>0</v>
      </c>
      <c r="W199" s="2">
        <f t="shared" si="202"/>
        <v>0</v>
      </c>
      <c r="X199" s="2">
        <f t="shared" si="203"/>
        <v>263.68</v>
      </c>
      <c r="Y199" s="2">
        <f t="shared" si="204"/>
        <v>164.8</v>
      </c>
      <c r="Z199" s="2"/>
      <c r="AA199" s="2">
        <v>-1</v>
      </c>
      <c r="AB199" s="2">
        <f t="shared" si="205"/>
        <v>396.81</v>
      </c>
      <c r="AC199" s="2">
        <f t="shared" si="206"/>
        <v>0</v>
      </c>
      <c r="AD199" s="2">
        <f t="shared" si="207"/>
        <v>323.26</v>
      </c>
      <c r="AE199" s="2">
        <f t="shared" si="208"/>
        <v>49.09</v>
      </c>
      <c r="AF199" s="2">
        <f t="shared" si="209"/>
        <v>73.55</v>
      </c>
      <c r="AG199" s="2">
        <f t="shared" si="210"/>
        <v>0</v>
      </c>
      <c r="AH199" s="2">
        <f t="shared" si="211"/>
        <v>5.97</v>
      </c>
      <c r="AI199" s="2">
        <f t="shared" si="212"/>
        <v>0</v>
      </c>
      <c r="AJ199" s="2">
        <f t="shared" si="213"/>
        <v>0</v>
      </c>
      <c r="AK199" s="2">
        <v>396.81</v>
      </c>
      <c r="AL199" s="2">
        <v>0</v>
      </c>
      <c r="AM199" s="2">
        <v>323.26</v>
      </c>
      <c r="AN199" s="2">
        <v>49.09</v>
      </c>
      <c r="AO199" s="2">
        <v>73.55</v>
      </c>
      <c r="AP199" s="2">
        <v>0</v>
      </c>
      <c r="AQ199" s="2">
        <v>5.97</v>
      </c>
      <c r="AR199" s="2">
        <v>0</v>
      </c>
      <c r="AS199" s="2">
        <v>0</v>
      </c>
      <c r="AT199" s="2">
        <v>112</v>
      </c>
      <c r="AU199" s="2">
        <v>70</v>
      </c>
      <c r="AV199" s="2">
        <v>1.0669999999999999</v>
      </c>
      <c r="AW199" s="2">
        <v>1.081</v>
      </c>
      <c r="AX199" s="2"/>
      <c r="AY199" s="2"/>
      <c r="AZ199" s="2">
        <v>1</v>
      </c>
      <c r="BA199" s="2">
        <v>1</v>
      </c>
      <c r="BB199" s="2">
        <v>1</v>
      </c>
      <c r="BC199" s="2">
        <v>1</v>
      </c>
      <c r="BD199" s="2" t="s">
        <v>4</v>
      </c>
      <c r="BE199" s="2" t="s">
        <v>4</v>
      </c>
      <c r="BF199" s="2" t="s">
        <v>4</v>
      </c>
      <c r="BG199" s="2" t="s">
        <v>4</v>
      </c>
      <c r="BH199" s="2">
        <v>0</v>
      </c>
      <c r="BI199" s="2">
        <v>2</v>
      </c>
      <c r="BJ199" s="2" t="s">
        <v>283</v>
      </c>
      <c r="BK199" s="2"/>
      <c r="BL199" s="2"/>
      <c r="BM199" s="2">
        <v>318</v>
      </c>
      <c r="BN199" s="2">
        <v>0</v>
      </c>
      <c r="BO199" s="2" t="s">
        <v>4</v>
      </c>
      <c r="BP199" s="2">
        <v>0</v>
      </c>
      <c r="BQ199" s="2">
        <v>40</v>
      </c>
      <c r="BR199" s="2">
        <v>0</v>
      </c>
      <c r="BS199" s="2">
        <v>1</v>
      </c>
      <c r="BT199" s="2">
        <v>1</v>
      </c>
      <c r="BU199" s="2">
        <v>1</v>
      </c>
      <c r="BV199" s="2">
        <v>1</v>
      </c>
      <c r="BW199" s="2">
        <v>1</v>
      </c>
      <c r="BX199" s="2">
        <v>1</v>
      </c>
      <c r="BY199" s="2" t="s">
        <v>4</v>
      </c>
      <c r="BZ199" s="2">
        <v>112</v>
      </c>
      <c r="CA199" s="2">
        <v>70</v>
      </c>
      <c r="CB199" s="2" t="s">
        <v>4</v>
      </c>
      <c r="CC199" s="2"/>
      <c r="CD199" s="2"/>
      <c r="CE199" s="2">
        <v>30</v>
      </c>
      <c r="CF199" s="2">
        <v>0</v>
      </c>
      <c r="CG199" s="2">
        <v>0</v>
      </c>
      <c r="CH199" s="2"/>
      <c r="CI199" s="2"/>
      <c r="CJ199" s="2"/>
      <c r="CK199" s="2"/>
      <c r="CL199" s="2"/>
      <c r="CM199" s="2">
        <v>0</v>
      </c>
      <c r="CN199" s="2" t="s">
        <v>4</v>
      </c>
      <c r="CO199" s="2">
        <v>0</v>
      </c>
      <c r="CP199" s="2">
        <f t="shared" si="214"/>
        <v>1270.19</v>
      </c>
      <c r="CQ199" s="2">
        <f t="shared" si="215"/>
        <v>0</v>
      </c>
      <c r="CR199" s="2">
        <f t="shared" si="216"/>
        <v>344.92</v>
      </c>
      <c r="CS199" s="2">
        <f t="shared" si="217"/>
        <v>52.38</v>
      </c>
      <c r="CT199" s="2">
        <f t="shared" si="218"/>
        <v>78.48</v>
      </c>
      <c r="CU199" s="2">
        <f t="shared" si="219"/>
        <v>0</v>
      </c>
      <c r="CV199" s="2">
        <f t="shared" si="220"/>
        <v>6.3699899999999996</v>
      </c>
      <c r="CW199" s="2">
        <f t="shared" si="221"/>
        <v>0</v>
      </c>
      <c r="CX199" s="2">
        <f t="shared" si="222"/>
        <v>0</v>
      </c>
      <c r="CY199" s="2">
        <f>((S199*BZ199)/100)</f>
        <v>263.6816</v>
      </c>
      <c r="CZ199" s="2">
        <f>((S199*CA199)/100)</f>
        <v>164.80100000000002</v>
      </c>
      <c r="DA199" s="2"/>
      <c r="DB199" s="2"/>
      <c r="DC199" s="2" t="s">
        <v>4</v>
      </c>
      <c r="DD199" s="2" t="s">
        <v>4</v>
      </c>
      <c r="DE199" s="2" t="s">
        <v>4</v>
      </c>
      <c r="DF199" s="2" t="s">
        <v>4</v>
      </c>
      <c r="DG199" s="2" t="s">
        <v>4</v>
      </c>
      <c r="DH199" s="2" t="s">
        <v>4</v>
      </c>
      <c r="DI199" s="2" t="s">
        <v>4</v>
      </c>
      <c r="DJ199" s="2" t="s">
        <v>4</v>
      </c>
      <c r="DK199" s="2" t="s">
        <v>4</v>
      </c>
      <c r="DL199" s="2" t="s">
        <v>4</v>
      </c>
      <c r="DM199" s="2" t="s">
        <v>4</v>
      </c>
      <c r="DN199" s="2">
        <v>0</v>
      </c>
      <c r="DO199" s="2">
        <v>0</v>
      </c>
      <c r="DP199" s="2">
        <v>1</v>
      </c>
      <c r="DQ199" s="2">
        <v>1</v>
      </c>
      <c r="DR199" s="2"/>
      <c r="DS199" s="2"/>
      <c r="DT199" s="2"/>
      <c r="DU199" s="2">
        <v>1013</v>
      </c>
      <c r="DV199" s="2" t="s">
        <v>248</v>
      </c>
      <c r="DW199" s="2" t="s">
        <v>248</v>
      </c>
      <c r="DX199" s="2">
        <v>1</v>
      </c>
      <c r="DY199" s="2"/>
      <c r="DZ199" s="2" t="s">
        <v>4</v>
      </c>
      <c r="EA199" s="2" t="s">
        <v>4</v>
      </c>
      <c r="EB199" s="2" t="s">
        <v>4</v>
      </c>
      <c r="EC199" s="2" t="s">
        <v>4</v>
      </c>
      <c r="ED199" s="2"/>
      <c r="EE199" s="2">
        <v>69252943</v>
      </c>
      <c r="EF199" s="2">
        <v>40</v>
      </c>
      <c r="EG199" s="2" t="s">
        <v>219</v>
      </c>
      <c r="EH199" s="2">
        <v>0</v>
      </c>
      <c r="EI199" s="2" t="s">
        <v>4</v>
      </c>
      <c r="EJ199" s="2">
        <v>2</v>
      </c>
      <c r="EK199" s="2">
        <v>318</v>
      </c>
      <c r="EL199" s="2" t="s">
        <v>250</v>
      </c>
      <c r="EM199" s="2" t="s">
        <v>251</v>
      </c>
      <c r="EN199" s="2"/>
      <c r="EO199" s="2" t="s">
        <v>4</v>
      </c>
      <c r="EP199" s="2"/>
      <c r="EQ199" s="2">
        <v>132096</v>
      </c>
      <c r="ER199" s="2">
        <v>396.81</v>
      </c>
      <c r="ES199" s="2">
        <v>0</v>
      </c>
      <c r="ET199" s="2">
        <v>323.26</v>
      </c>
      <c r="EU199" s="2">
        <v>49.09</v>
      </c>
      <c r="EV199" s="2">
        <v>73.55</v>
      </c>
      <c r="EW199" s="2">
        <v>5.97</v>
      </c>
      <c r="EX199" s="2">
        <v>0</v>
      </c>
      <c r="EY199" s="2">
        <v>0</v>
      </c>
      <c r="EZ199" s="2"/>
      <c r="FA199" s="2"/>
      <c r="FB199" s="2"/>
      <c r="FC199" s="2"/>
      <c r="FD199" s="2"/>
      <c r="FE199" s="2"/>
      <c r="FF199" s="2"/>
      <c r="FG199" s="2"/>
      <c r="FH199" s="2"/>
      <c r="FI199" s="2"/>
      <c r="FJ199" s="2"/>
      <c r="FK199" s="2"/>
      <c r="FL199" s="2"/>
      <c r="FM199" s="2"/>
      <c r="FN199" s="2"/>
      <c r="FO199" s="2"/>
      <c r="FP199" s="2"/>
      <c r="FQ199" s="2">
        <v>0</v>
      </c>
      <c r="FR199" s="2">
        <f t="shared" si="223"/>
        <v>0</v>
      </c>
      <c r="FS199" s="2">
        <v>2</v>
      </c>
      <c r="FT199" s="2"/>
      <c r="FU199" s="2"/>
      <c r="FV199" s="2"/>
      <c r="FW199" s="2"/>
      <c r="FX199" s="2">
        <v>112</v>
      </c>
      <c r="FY199" s="2">
        <v>70</v>
      </c>
      <c r="FZ199" s="2"/>
      <c r="GA199" s="2" t="s">
        <v>4</v>
      </c>
      <c r="GB199" s="2"/>
      <c r="GC199" s="2"/>
      <c r="GD199" s="2">
        <v>0</v>
      </c>
      <c r="GE199" s="2"/>
      <c r="GF199" s="2">
        <v>45671029</v>
      </c>
      <c r="GG199" s="2">
        <v>2</v>
      </c>
      <c r="GH199" s="2">
        <v>1</v>
      </c>
      <c r="GI199" s="2">
        <v>-2</v>
      </c>
      <c r="GJ199" s="2">
        <v>0</v>
      </c>
      <c r="GK199" s="2">
        <f>ROUND(R199*(R12)/100,2)</f>
        <v>275</v>
      </c>
      <c r="GL199" s="2">
        <f t="shared" si="224"/>
        <v>0</v>
      </c>
      <c r="GM199" s="2">
        <f t="shared" si="225"/>
        <v>1973.67</v>
      </c>
      <c r="GN199" s="2">
        <f t="shared" si="226"/>
        <v>0</v>
      </c>
      <c r="GO199" s="2">
        <f t="shared" si="227"/>
        <v>1973.67</v>
      </c>
      <c r="GP199" s="2">
        <f t="shared" si="228"/>
        <v>0</v>
      </c>
      <c r="GQ199" s="2"/>
      <c r="GR199" s="2">
        <v>0</v>
      </c>
      <c r="GS199" s="2">
        <v>3</v>
      </c>
      <c r="GT199" s="2">
        <v>0</v>
      </c>
      <c r="GU199" s="2" t="s">
        <v>4</v>
      </c>
      <c r="GV199" s="2">
        <f t="shared" si="229"/>
        <v>0</v>
      </c>
      <c r="GW199" s="2">
        <v>1</v>
      </c>
      <c r="GX199" s="2">
        <f t="shared" si="230"/>
        <v>0</v>
      </c>
      <c r="GY199" s="2"/>
      <c r="GZ199" s="2"/>
      <c r="HA199" s="2">
        <v>0</v>
      </c>
      <c r="HB199" s="2">
        <v>0</v>
      </c>
      <c r="HC199" s="2">
        <f t="shared" si="231"/>
        <v>0</v>
      </c>
      <c r="HD199" s="2"/>
      <c r="HE199" s="2" t="s">
        <v>4</v>
      </c>
      <c r="HF199" s="2" t="s">
        <v>4</v>
      </c>
      <c r="HG199" s="2"/>
      <c r="HH199" s="2"/>
      <c r="HI199" s="2"/>
      <c r="HJ199" s="2"/>
      <c r="HK199" s="2"/>
      <c r="HL199" s="2"/>
      <c r="HM199" s="2" t="s">
        <v>4</v>
      </c>
      <c r="HN199" s="2" t="s">
        <v>4</v>
      </c>
      <c r="HO199" s="2" t="s">
        <v>4</v>
      </c>
      <c r="HP199" s="2" t="s">
        <v>4</v>
      </c>
      <c r="HQ199" s="2" t="s">
        <v>4</v>
      </c>
      <c r="HR199" s="2"/>
      <c r="HS199" s="2"/>
      <c r="HT199" s="2"/>
      <c r="HU199" s="2"/>
      <c r="HV199" s="2"/>
      <c r="HW199" s="2"/>
      <c r="HX199" s="2"/>
      <c r="HY199" s="2"/>
      <c r="HZ199" s="2"/>
      <c r="IA199" s="2"/>
      <c r="IB199" s="2"/>
      <c r="IC199" s="2"/>
      <c r="ID199" s="2"/>
      <c r="IE199" s="2"/>
      <c r="IF199" s="2"/>
      <c r="IG199" s="2"/>
      <c r="IH199" s="2"/>
      <c r="II199" s="2"/>
      <c r="IJ199" s="2"/>
      <c r="IK199" s="2">
        <v>0</v>
      </c>
      <c r="IL199" s="2"/>
      <c r="IM199" s="2"/>
      <c r="IN199" s="2"/>
      <c r="IO199" s="2"/>
      <c r="IP199" s="2"/>
      <c r="IQ199" s="2"/>
      <c r="IR199" s="2"/>
      <c r="IS199" s="2"/>
      <c r="IT199" s="2"/>
      <c r="IU199" s="2"/>
    </row>
    <row r="200" spans="1:255">
      <c r="A200">
        <v>17</v>
      </c>
      <c r="B200">
        <v>1</v>
      </c>
      <c r="C200">
        <f>ROW(SmtRes!A100)</f>
        <v>100</v>
      </c>
      <c r="D200">
        <f>ROW(EtalonRes!A302)</f>
        <v>302</v>
      </c>
      <c r="E200" t="s">
        <v>4</v>
      </c>
      <c r="F200" t="s">
        <v>281</v>
      </c>
      <c r="G200" t="s">
        <v>282</v>
      </c>
      <c r="H200" t="s">
        <v>248</v>
      </c>
      <c r="I200">
        <f>ROUND(ROUND((300)/100,4),9)</f>
        <v>3</v>
      </c>
      <c r="J200">
        <v>0</v>
      </c>
      <c r="K200">
        <f>ROUND(ROUND((300)/100,4),9)</f>
        <v>3</v>
      </c>
      <c r="O200">
        <f t="shared" si="194"/>
        <v>26550.31</v>
      </c>
      <c r="P200">
        <f t="shared" si="195"/>
        <v>0</v>
      </c>
      <c r="Q200">
        <f t="shared" si="196"/>
        <v>15562.79</v>
      </c>
      <c r="R200">
        <f t="shared" si="197"/>
        <v>7333.72</v>
      </c>
      <c r="S200">
        <f t="shared" si="198"/>
        <v>10987.52</v>
      </c>
      <c r="T200">
        <f t="shared" si="199"/>
        <v>0</v>
      </c>
      <c r="U200">
        <f t="shared" si="200"/>
        <v>19.109969999999997</v>
      </c>
      <c r="V200">
        <f t="shared" si="201"/>
        <v>0</v>
      </c>
      <c r="W200">
        <f t="shared" si="202"/>
        <v>0</v>
      </c>
      <c r="X200">
        <f t="shared" si="203"/>
        <v>10108.52</v>
      </c>
      <c r="Y200">
        <f t="shared" si="204"/>
        <v>4724.63</v>
      </c>
      <c r="AA200">
        <v>-1</v>
      </c>
      <c r="AB200">
        <f t="shared" si="205"/>
        <v>396.81</v>
      </c>
      <c r="AC200">
        <f t="shared" si="206"/>
        <v>0</v>
      </c>
      <c r="AD200">
        <f t="shared" si="207"/>
        <v>323.26</v>
      </c>
      <c r="AE200">
        <f t="shared" si="208"/>
        <v>49.09</v>
      </c>
      <c r="AF200">
        <f t="shared" si="209"/>
        <v>73.55</v>
      </c>
      <c r="AG200">
        <f t="shared" si="210"/>
        <v>0</v>
      </c>
      <c r="AH200">
        <f t="shared" si="211"/>
        <v>5.97</v>
      </c>
      <c r="AI200">
        <f t="shared" si="212"/>
        <v>0</v>
      </c>
      <c r="AJ200">
        <f t="shared" si="213"/>
        <v>0</v>
      </c>
      <c r="AK200">
        <v>396.81</v>
      </c>
      <c r="AL200">
        <v>0</v>
      </c>
      <c r="AM200">
        <v>323.26</v>
      </c>
      <c r="AN200">
        <v>49.09</v>
      </c>
      <c r="AO200">
        <v>73.55</v>
      </c>
      <c r="AP200">
        <v>0</v>
      </c>
      <c r="AQ200">
        <v>5.97</v>
      </c>
      <c r="AR200">
        <v>0</v>
      </c>
      <c r="AS200">
        <v>0</v>
      </c>
      <c r="AT200">
        <v>92</v>
      </c>
      <c r="AU200">
        <v>43</v>
      </c>
      <c r="AV200">
        <v>1.0669999999999999</v>
      </c>
      <c r="AW200">
        <v>1.081</v>
      </c>
      <c r="AZ200">
        <v>1</v>
      </c>
      <c r="BA200">
        <v>46.67</v>
      </c>
      <c r="BB200">
        <v>15.04</v>
      </c>
      <c r="BC200">
        <v>1</v>
      </c>
      <c r="BD200" t="s">
        <v>4</v>
      </c>
      <c r="BE200" t="s">
        <v>4</v>
      </c>
      <c r="BF200" t="s">
        <v>4</v>
      </c>
      <c r="BG200" t="s">
        <v>4</v>
      </c>
      <c r="BH200">
        <v>0</v>
      </c>
      <c r="BI200">
        <v>2</v>
      </c>
      <c r="BJ200" t="s">
        <v>283</v>
      </c>
      <c r="BM200">
        <v>318</v>
      </c>
      <c r="BN200">
        <v>0</v>
      </c>
      <c r="BO200" t="s">
        <v>281</v>
      </c>
      <c r="BP200">
        <v>1</v>
      </c>
      <c r="BQ200">
        <v>40</v>
      </c>
      <c r="BR200">
        <v>0</v>
      </c>
      <c r="BS200">
        <v>46.67</v>
      </c>
      <c r="BT200">
        <v>1</v>
      </c>
      <c r="BU200">
        <v>1</v>
      </c>
      <c r="BV200">
        <v>1</v>
      </c>
      <c r="BW200">
        <v>1</v>
      </c>
      <c r="BX200">
        <v>1</v>
      </c>
      <c r="BY200" t="s">
        <v>4</v>
      </c>
      <c r="BZ200">
        <v>92</v>
      </c>
      <c r="CA200">
        <v>43</v>
      </c>
      <c r="CB200" t="s">
        <v>4</v>
      </c>
      <c r="CE200">
        <v>30</v>
      </c>
      <c r="CF200">
        <v>0</v>
      </c>
      <c r="CG200">
        <v>0</v>
      </c>
      <c r="CM200">
        <v>0</v>
      </c>
      <c r="CN200" t="s">
        <v>4</v>
      </c>
      <c r="CO200">
        <v>0</v>
      </c>
      <c r="CP200">
        <f t="shared" si="214"/>
        <v>26550.31</v>
      </c>
      <c r="CQ200">
        <f t="shared" si="215"/>
        <v>0</v>
      </c>
      <c r="CR200">
        <f t="shared" si="216"/>
        <v>5187.6000000000004</v>
      </c>
      <c r="CS200">
        <f t="shared" si="217"/>
        <v>2444.5700000000002</v>
      </c>
      <c r="CT200">
        <f t="shared" si="218"/>
        <v>3662.66</v>
      </c>
      <c r="CU200">
        <f t="shared" si="219"/>
        <v>0</v>
      </c>
      <c r="CV200">
        <f t="shared" si="220"/>
        <v>6.3699899999999996</v>
      </c>
      <c r="CW200">
        <f t="shared" si="221"/>
        <v>0</v>
      </c>
      <c r="CX200">
        <f t="shared" si="222"/>
        <v>0</v>
      </c>
      <c r="CY200">
        <f>S200*(BZ200/100)</f>
        <v>10108.518400000001</v>
      </c>
      <c r="CZ200">
        <f>S200*(CA200/100)</f>
        <v>4724.6336000000001</v>
      </c>
      <c r="DC200" t="s">
        <v>4</v>
      </c>
      <c r="DD200" t="s">
        <v>4</v>
      </c>
      <c r="DE200" t="s">
        <v>4</v>
      </c>
      <c r="DF200" t="s">
        <v>4</v>
      </c>
      <c r="DG200" t="s">
        <v>4</v>
      </c>
      <c r="DH200" t="s">
        <v>4</v>
      </c>
      <c r="DI200" t="s">
        <v>4</v>
      </c>
      <c r="DJ200" t="s">
        <v>4</v>
      </c>
      <c r="DK200" t="s">
        <v>4</v>
      </c>
      <c r="DL200" t="s">
        <v>4</v>
      </c>
      <c r="DM200" t="s">
        <v>4</v>
      </c>
      <c r="DN200">
        <v>112</v>
      </c>
      <c r="DO200">
        <v>70</v>
      </c>
      <c r="DP200">
        <v>1.0669999999999999</v>
      </c>
      <c r="DQ200">
        <v>1.081</v>
      </c>
      <c r="DU200">
        <v>1013</v>
      </c>
      <c r="DV200" t="s">
        <v>248</v>
      </c>
      <c r="DW200" t="s">
        <v>248</v>
      </c>
      <c r="DX200">
        <v>1</v>
      </c>
      <c r="DZ200" t="s">
        <v>4</v>
      </c>
      <c r="EA200" t="s">
        <v>4</v>
      </c>
      <c r="EB200" t="s">
        <v>4</v>
      </c>
      <c r="EC200" t="s">
        <v>4</v>
      </c>
      <c r="EE200">
        <v>69252943</v>
      </c>
      <c r="EF200">
        <v>40</v>
      </c>
      <c r="EG200" t="s">
        <v>219</v>
      </c>
      <c r="EH200">
        <v>0</v>
      </c>
      <c r="EI200" t="s">
        <v>4</v>
      </c>
      <c r="EJ200">
        <v>2</v>
      </c>
      <c r="EK200">
        <v>318</v>
      </c>
      <c r="EL200" t="s">
        <v>250</v>
      </c>
      <c r="EM200" t="s">
        <v>251</v>
      </c>
      <c r="EO200" t="s">
        <v>4</v>
      </c>
      <c r="EQ200">
        <v>132096</v>
      </c>
      <c r="ER200">
        <v>396.81</v>
      </c>
      <c r="ES200">
        <v>0</v>
      </c>
      <c r="ET200">
        <v>323.26</v>
      </c>
      <c r="EU200">
        <v>49.09</v>
      </c>
      <c r="EV200">
        <v>73.55</v>
      </c>
      <c r="EW200">
        <v>5.97</v>
      </c>
      <c r="EX200">
        <v>0</v>
      </c>
      <c r="EY200">
        <v>0</v>
      </c>
      <c r="FQ200">
        <v>0</v>
      </c>
      <c r="FR200">
        <f t="shared" si="223"/>
        <v>0</v>
      </c>
      <c r="FS200">
        <v>2</v>
      </c>
      <c r="FX200">
        <v>112</v>
      </c>
      <c r="FY200">
        <v>70</v>
      </c>
      <c r="GA200" t="s">
        <v>4</v>
      </c>
      <c r="GD200">
        <v>0</v>
      </c>
      <c r="GF200">
        <v>45671029</v>
      </c>
      <c r="GG200">
        <v>2</v>
      </c>
      <c r="GH200">
        <v>1</v>
      </c>
      <c r="GI200">
        <v>2</v>
      </c>
      <c r="GJ200">
        <v>0</v>
      </c>
      <c r="GK200">
        <f>ROUND(R200*(S12)/100,2)</f>
        <v>11733.95</v>
      </c>
      <c r="GL200">
        <f t="shared" si="224"/>
        <v>0</v>
      </c>
      <c r="GM200">
        <f t="shared" si="225"/>
        <v>53117.41</v>
      </c>
      <c r="GN200">
        <f t="shared" si="226"/>
        <v>0</v>
      </c>
      <c r="GO200">
        <f t="shared" si="227"/>
        <v>53117.41</v>
      </c>
      <c r="GP200">
        <f t="shared" si="228"/>
        <v>0</v>
      </c>
      <c r="GR200">
        <v>0</v>
      </c>
      <c r="GS200">
        <v>3</v>
      </c>
      <c r="GT200">
        <v>0</v>
      </c>
      <c r="GU200" t="s">
        <v>4</v>
      </c>
      <c r="GV200">
        <f t="shared" si="229"/>
        <v>0</v>
      </c>
      <c r="GW200">
        <v>1</v>
      </c>
      <c r="GX200">
        <f t="shared" si="230"/>
        <v>0</v>
      </c>
      <c r="HA200">
        <v>0</v>
      </c>
      <c r="HB200">
        <v>0</v>
      </c>
      <c r="HC200">
        <f t="shared" si="231"/>
        <v>0</v>
      </c>
      <c r="HE200" t="s">
        <v>4</v>
      </c>
      <c r="HF200" t="s">
        <v>4</v>
      </c>
      <c r="HM200" t="s">
        <v>4</v>
      </c>
      <c r="HN200" t="s">
        <v>4</v>
      </c>
      <c r="HO200" t="s">
        <v>4</v>
      </c>
      <c r="HP200" t="s">
        <v>4</v>
      </c>
      <c r="HQ200" t="s">
        <v>4</v>
      </c>
      <c r="IK200">
        <v>0</v>
      </c>
    </row>
    <row r="201" spans="1:255">
      <c r="A201" s="2">
        <v>18</v>
      </c>
      <c r="B201" s="2">
        <v>1</v>
      </c>
      <c r="C201" s="2">
        <v>97</v>
      </c>
      <c r="D201" s="2"/>
      <c r="E201" s="2" t="s">
        <v>4</v>
      </c>
      <c r="F201" s="2" t="s">
        <v>284</v>
      </c>
      <c r="G201" s="2" t="s">
        <v>285</v>
      </c>
      <c r="H201" s="2" t="s">
        <v>286</v>
      </c>
      <c r="I201" s="2">
        <f>I199*J201</f>
        <v>1.2</v>
      </c>
      <c r="J201" s="2">
        <v>0.39999999999999997</v>
      </c>
      <c r="K201" s="2">
        <v>0.4</v>
      </c>
      <c r="L201" s="2"/>
      <c r="M201" s="2"/>
      <c r="N201" s="2"/>
      <c r="O201" s="2">
        <f t="shared" si="194"/>
        <v>1280.57</v>
      </c>
      <c r="P201" s="2">
        <f t="shared" si="195"/>
        <v>1280.57</v>
      </c>
      <c r="Q201" s="2">
        <f t="shared" si="196"/>
        <v>0</v>
      </c>
      <c r="R201" s="2">
        <f t="shared" si="197"/>
        <v>0</v>
      </c>
      <c r="S201" s="2">
        <f t="shared" si="198"/>
        <v>0</v>
      </c>
      <c r="T201" s="2">
        <f t="shared" si="199"/>
        <v>0</v>
      </c>
      <c r="U201" s="2">
        <f t="shared" si="200"/>
        <v>0</v>
      </c>
      <c r="V201" s="2">
        <f t="shared" si="201"/>
        <v>0</v>
      </c>
      <c r="W201" s="2">
        <f t="shared" si="202"/>
        <v>0</v>
      </c>
      <c r="X201" s="2">
        <f t="shared" si="203"/>
        <v>0</v>
      </c>
      <c r="Y201" s="2">
        <f t="shared" si="204"/>
        <v>0</v>
      </c>
      <c r="Z201" s="2"/>
      <c r="AA201" s="2">
        <v>-1</v>
      </c>
      <c r="AB201" s="2">
        <f t="shared" si="205"/>
        <v>1067.1400000000001</v>
      </c>
      <c r="AC201" s="2">
        <f t="shared" si="206"/>
        <v>1067.1400000000001</v>
      </c>
      <c r="AD201" s="2">
        <f t="shared" si="207"/>
        <v>0</v>
      </c>
      <c r="AE201" s="2">
        <f t="shared" si="208"/>
        <v>0</v>
      </c>
      <c r="AF201" s="2">
        <f t="shared" si="209"/>
        <v>0</v>
      </c>
      <c r="AG201" s="2">
        <f t="shared" si="210"/>
        <v>0</v>
      </c>
      <c r="AH201" s="2">
        <f t="shared" si="211"/>
        <v>0</v>
      </c>
      <c r="AI201" s="2">
        <f t="shared" si="212"/>
        <v>0</v>
      </c>
      <c r="AJ201" s="2">
        <f t="shared" si="213"/>
        <v>0</v>
      </c>
      <c r="AK201" s="2">
        <v>1067.1400000000001</v>
      </c>
      <c r="AL201" s="2">
        <v>1067.1400000000001</v>
      </c>
      <c r="AM201" s="2">
        <v>0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112</v>
      </c>
      <c r="AU201" s="2">
        <v>70</v>
      </c>
      <c r="AV201" s="2">
        <v>1.0669999999999999</v>
      </c>
      <c r="AW201" s="2">
        <v>1</v>
      </c>
      <c r="AX201" s="2"/>
      <c r="AY201" s="2"/>
      <c r="AZ201" s="2">
        <v>1</v>
      </c>
      <c r="BA201" s="2">
        <v>1</v>
      </c>
      <c r="BB201" s="2">
        <v>1</v>
      </c>
      <c r="BC201" s="2">
        <v>1</v>
      </c>
      <c r="BD201" s="2" t="s">
        <v>4</v>
      </c>
      <c r="BE201" s="2" t="s">
        <v>4</v>
      </c>
      <c r="BF201" s="2" t="s">
        <v>4</v>
      </c>
      <c r="BG201" s="2" t="s">
        <v>4</v>
      </c>
      <c r="BH201" s="2">
        <v>3</v>
      </c>
      <c r="BI201" s="2">
        <v>2</v>
      </c>
      <c r="BJ201" s="2" t="s">
        <v>287</v>
      </c>
      <c r="BK201" s="2"/>
      <c r="BL201" s="2"/>
      <c r="BM201" s="2">
        <v>318</v>
      </c>
      <c r="BN201" s="2">
        <v>0</v>
      </c>
      <c r="BO201" s="2" t="s">
        <v>4</v>
      </c>
      <c r="BP201" s="2">
        <v>0</v>
      </c>
      <c r="BQ201" s="2">
        <v>40</v>
      </c>
      <c r="BR201" s="2">
        <v>0</v>
      </c>
      <c r="BS201" s="2">
        <v>1</v>
      </c>
      <c r="BT201" s="2">
        <v>1</v>
      </c>
      <c r="BU201" s="2">
        <v>1</v>
      </c>
      <c r="BV201" s="2">
        <v>1</v>
      </c>
      <c r="BW201" s="2">
        <v>1</v>
      </c>
      <c r="BX201" s="2">
        <v>1</v>
      </c>
      <c r="BY201" s="2" t="s">
        <v>4</v>
      </c>
      <c r="BZ201" s="2">
        <v>112</v>
      </c>
      <c r="CA201" s="2">
        <v>70</v>
      </c>
      <c r="CB201" s="2" t="s">
        <v>4</v>
      </c>
      <c r="CC201" s="2"/>
      <c r="CD201" s="2"/>
      <c r="CE201" s="2">
        <v>30</v>
      </c>
      <c r="CF201" s="2">
        <v>0</v>
      </c>
      <c r="CG201" s="2">
        <v>0</v>
      </c>
      <c r="CH201" s="2"/>
      <c r="CI201" s="2"/>
      <c r="CJ201" s="2"/>
      <c r="CK201" s="2"/>
      <c r="CL201" s="2"/>
      <c r="CM201" s="2">
        <v>0</v>
      </c>
      <c r="CN201" s="2" t="s">
        <v>4</v>
      </c>
      <c r="CO201" s="2">
        <v>0</v>
      </c>
      <c r="CP201" s="2">
        <f t="shared" si="214"/>
        <v>1280.57</v>
      </c>
      <c r="CQ201" s="2">
        <f t="shared" si="215"/>
        <v>1067.1400000000001</v>
      </c>
      <c r="CR201" s="2">
        <f t="shared" si="216"/>
        <v>0</v>
      </c>
      <c r="CS201" s="2">
        <f t="shared" si="217"/>
        <v>0</v>
      </c>
      <c r="CT201" s="2">
        <f t="shared" si="218"/>
        <v>0</v>
      </c>
      <c r="CU201" s="2">
        <f t="shared" si="219"/>
        <v>0</v>
      </c>
      <c r="CV201" s="2">
        <f t="shared" si="220"/>
        <v>0</v>
      </c>
      <c r="CW201" s="2">
        <f t="shared" si="221"/>
        <v>0</v>
      </c>
      <c r="CX201" s="2">
        <f t="shared" si="222"/>
        <v>0</v>
      </c>
      <c r="CY201" s="2">
        <f>((S201*BZ201)/100)</f>
        <v>0</v>
      </c>
      <c r="CZ201" s="2">
        <f>((S201*CA201)/100)</f>
        <v>0</v>
      </c>
      <c r="DA201" s="2"/>
      <c r="DB201" s="2"/>
      <c r="DC201" s="2" t="s">
        <v>4</v>
      </c>
      <c r="DD201" s="2" t="s">
        <v>4</v>
      </c>
      <c r="DE201" s="2" t="s">
        <v>4</v>
      </c>
      <c r="DF201" s="2" t="s">
        <v>4</v>
      </c>
      <c r="DG201" s="2" t="s">
        <v>4</v>
      </c>
      <c r="DH201" s="2" t="s">
        <v>4</v>
      </c>
      <c r="DI201" s="2" t="s">
        <v>4</v>
      </c>
      <c r="DJ201" s="2" t="s">
        <v>4</v>
      </c>
      <c r="DK201" s="2" t="s">
        <v>4</v>
      </c>
      <c r="DL201" s="2" t="s">
        <v>4</v>
      </c>
      <c r="DM201" s="2" t="s">
        <v>4</v>
      </c>
      <c r="DN201" s="2">
        <v>0</v>
      </c>
      <c r="DO201" s="2">
        <v>0</v>
      </c>
      <c r="DP201" s="2">
        <v>1</v>
      </c>
      <c r="DQ201" s="2">
        <v>1</v>
      </c>
      <c r="DR201" s="2"/>
      <c r="DS201" s="2"/>
      <c r="DT201" s="2"/>
      <c r="DU201" s="2">
        <v>1010</v>
      </c>
      <c r="DV201" s="2" t="s">
        <v>286</v>
      </c>
      <c r="DW201" s="2" t="s">
        <v>286</v>
      </c>
      <c r="DX201" s="2">
        <v>1000</v>
      </c>
      <c r="DY201" s="2"/>
      <c r="DZ201" s="2" t="s">
        <v>4</v>
      </c>
      <c r="EA201" s="2" t="s">
        <v>4</v>
      </c>
      <c r="EB201" s="2" t="s">
        <v>4</v>
      </c>
      <c r="EC201" s="2" t="s">
        <v>4</v>
      </c>
      <c r="ED201" s="2"/>
      <c r="EE201" s="2">
        <v>69252943</v>
      </c>
      <c r="EF201" s="2">
        <v>40</v>
      </c>
      <c r="EG201" s="2" t="s">
        <v>219</v>
      </c>
      <c r="EH201" s="2">
        <v>0</v>
      </c>
      <c r="EI201" s="2" t="s">
        <v>4</v>
      </c>
      <c r="EJ201" s="2">
        <v>2</v>
      </c>
      <c r="EK201" s="2">
        <v>318</v>
      </c>
      <c r="EL201" s="2" t="s">
        <v>250</v>
      </c>
      <c r="EM201" s="2" t="s">
        <v>251</v>
      </c>
      <c r="EN201" s="2"/>
      <c r="EO201" s="2" t="s">
        <v>4</v>
      </c>
      <c r="EP201" s="2"/>
      <c r="EQ201" s="2">
        <v>1024</v>
      </c>
      <c r="ER201" s="2">
        <v>1067.1400000000001</v>
      </c>
      <c r="ES201" s="2">
        <v>1067.1400000000001</v>
      </c>
      <c r="ET201" s="2">
        <v>0</v>
      </c>
      <c r="EU201" s="2">
        <v>0</v>
      </c>
      <c r="EV201" s="2">
        <v>0</v>
      </c>
      <c r="EW201" s="2">
        <v>0</v>
      </c>
      <c r="EX201" s="2">
        <v>0</v>
      </c>
      <c r="EY201" s="2"/>
      <c r="EZ201" s="2"/>
      <c r="FA201" s="2"/>
      <c r="FB201" s="2"/>
      <c r="FC201" s="2"/>
      <c r="FD201" s="2"/>
      <c r="FE201" s="2"/>
      <c r="FF201" s="2"/>
      <c r="FG201" s="2"/>
      <c r="FH201" s="2"/>
      <c r="FI201" s="2"/>
      <c r="FJ201" s="2"/>
      <c r="FK201" s="2"/>
      <c r="FL201" s="2"/>
      <c r="FM201" s="2"/>
      <c r="FN201" s="2"/>
      <c r="FO201" s="2"/>
      <c r="FP201" s="2"/>
      <c r="FQ201" s="2">
        <v>0</v>
      </c>
      <c r="FR201" s="2">
        <f t="shared" si="223"/>
        <v>0</v>
      </c>
      <c r="FS201" s="2">
        <v>0</v>
      </c>
      <c r="FT201" s="2"/>
      <c r="FU201" s="2"/>
      <c r="FV201" s="2"/>
      <c r="FW201" s="2"/>
      <c r="FX201" s="2">
        <v>112</v>
      </c>
      <c r="FY201" s="2">
        <v>70</v>
      </c>
      <c r="FZ201" s="2"/>
      <c r="GA201" s="2" t="s">
        <v>4</v>
      </c>
      <c r="GB201" s="2"/>
      <c r="GC201" s="2"/>
      <c r="GD201" s="2">
        <v>0</v>
      </c>
      <c r="GE201" s="2"/>
      <c r="GF201" s="2">
        <v>-591866499</v>
      </c>
      <c r="GG201" s="2">
        <v>2</v>
      </c>
      <c r="GH201" s="2">
        <v>1</v>
      </c>
      <c r="GI201" s="2">
        <v>-2</v>
      </c>
      <c r="GJ201" s="2">
        <v>0</v>
      </c>
      <c r="GK201" s="2">
        <f>ROUND(R201*(R12)/100,2)</f>
        <v>0</v>
      </c>
      <c r="GL201" s="2">
        <f t="shared" si="224"/>
        <v>0</v>
      </c>
      <c r="GM201" s="2">
        <f t="shared" si="225"/>
        <v>1280.57</v>
      </c>
      <c r="GN201" s="2">
        <f t="shared" si="226"/>
        <v>0</v>
      </c>
      <c r="GO201" s="2">
        <f t="shared" si="227"/>
        <v>1280.57</v>
      </c>
      <c r="GP201" s="2">
        <f t="shared" si="228"/>
        <v>0</v>
      </c>
      <c r="GQ201" s="2"/>
      <c r="GR201" s="2">
        <v>0</v>
      </c>
      <c r="GS201" s="2">
        <v>3</v>
      </c>
      <c r="GT201" s="2">
        <v>0</v>
      </c>
      <c r="GU201" s="2" t="s">
        <v>4</v>
      </c>
      <c r="GV201" s="2">
        <f t="shared" si="229"/>
        <v>0</v>
      </c>
      <c r="GW201" s="2">
        <v>1</v>
      </c>
      <c r="GX201" s="2">
        <f t="shared" si="230"/>
        <v>0</v>
      </c>
      <c r="GY201" s="2"/>
      <c r="GZ201" s="2"/>
      <c r="HA201" s="2">
        <v>0</v>
      </c>
      <c r="HB201" s="2">
        <v>0</v>
      </c>
      <c r="HC201" s="2">
        <f t="shared" si="231"/>
        <v>0</v>
      </c>
      <c r="HD201" s="2"/>
      <c r="HE201" s="2" t="s">
        <v>4</v>
      </c>
      <c r="HF201" s="2" t="s">
        <v>4</v>
      </c>
      <c r="HG201" s="2"/>
      <c r="HH201" s="2"/>
      <c r="HI201" s="2"/>
      <c r="HJ201" s="2"/>
      <c r="HK201" s="2"/>
      <c r="HL201" s="2"/>
      <c r="HM201" s="2" t="s">
        <v>4</v>
      </c>
      <c r="HN201" s="2" t="s">
        <v>4</v>
      </c>
      <c r="HO201" s="2" t="s">
        <v>4</v>
      </c>
      <c r="HP201" s="2" t="s">
        <v>4</v>
      </c>
      <c r="HQ201" s="2" t="s">
        <v>4</v>
      </c>
      <c r="HR201" s="2"/>
      <c r="HS201" s="2"/>
      <c r="HT201" s="2"/>
      <c r="HU201" s="2"/>
      <c r="HV201" s="2"/>
      <c r="HW201" s="2"/>
      <c r="HX201" s="2"/>
      <c r="HY201" s="2"/>
      <c r="HZ201" s="2"/>
      <c r="IA201" s="2"/>
      <c r="IB201" s="2"/>
      <c r="IC201" s="2"/>
      <c r="ID201" s="2"/>
      <c r="IE201" s="2"/>
      <c r="IF201" s="2"/>
      <c r="IG201" s="2"/>
      <c r="IH201" s="2"/>
      <c r="II201" s="2"/>
      <c r="IJ201" s="2"/>
      <c r="IK201" s="2">
        <v>0</v>
      </c>
      <c r="IL201" s="2"/>
      <c r="IM201" s="2"/>
      <c r="IN201" s="2"/>
      <c r="IO201" s="2"/>
      <c r="IP201" s="2"/>
      <c r="IQ201" s="2"/>
      <c r="IR201" s="2"/>
      <c r="IS201" s="2"/>
      <c r="IT201" s="2"/>
      <c r="IU201" s="2"/>
    </row>
    <row r="202" spans="1:255">
      <c r="A202">
        <v>18</v>
      </c>
      <c r="B202">
        <v>1</v>
      </c>
      <c r="C202">
        <v>100</v>
      </c>
      <c r="E202" t="s">
        <v>4</v>
      </c>
      <c r="F202" t="s">
        <v>284</v>
      </c>
      <c r="G202" t="s">
        <v>285</v>
      </c>
      <c r="H202" t="s">
        <v>286</v>
      </c>
      <c r="I202">
        <f>I200*J202</f>
        <v>1.2</v>
      </c>
      <c r="J202">
        <v>0.39999999999999997</v>
      </c>
      <c r="K202">
        <v>0.4</v>
      </c>
      <c r="O202">
        <f t="shared" si="194"/>
        <v>21756.880000000001</v>
      </c>
      <c r="P202">
        <f t="shared" si="195"/>
        <v>21756.880000000001</v>
      </c>
      <c r="Q202">
        <f t="shared" si="196"/>
        <v>0</v>
      </c>
      <c r="R202">
        <f t="shared" si="197"/>
        <v>0</v>
      </c>
      <c r="S202">
        <f t="shared" si="198"/>
        <v>0</v>
      </c>
      <c r="T202">
        <f t="shared" si="199"/>
        <v>0</v>
      </c>
      <c r="U202">
        <f t="shared" si="200"/>
        <v>0</v>
      </c>
      <c r="V202">
        <f t="shared" si="201"/>
        <v>0</v>
      </c>
      <c r="W202">
        <f t="shared" si="202"/>
        <v>0</v>
      </c>
      <c r="X202">
        <f t="shared" si="203"/>
        <v>0</v>
      </c>
      <c r="Y202">
        <f t="shared" si="204"/>
        <v>0</v>
      </c>
      <c r="AA202">
        <v>-1</v>
      </c>
      <c r="AB202">
        <f t="shared" si="205"/>
        <v>1067.1400000000001</v>
      </c>
      <c r="AC202">
        <f t="shared" si="206"/>
        <v>1067.1400000000001</v>
      </c>
      <c r="AD202">
        <f t="shared" si="207"/>
        <v>0</v>
      </c>
      <c r="AE202">
        <f t="shared" si="208"/>
        <v>0</v>
      </c>
      <c r="AF202">
        <f t="shared" si="209"/>
        <v>0</v>
      </c>
      <c r="AG202">
        <f t="shared" si="210"/>
        <v>0</v>
      </c>
      <c r="AH202">
        <f t="shared" si="211"/>
        <v>0</v>
      </c>
      <c r="AI202">
        <f t="shared" si="212"/>
        <v>0</v>
      </c>
      <c r="AJ202">
        <f t="shared" si="213"/>
        <v>0</v>
      </c>
      <c r="AK202">
        <v>1067.1400000000001</v>
      </c>
      <c r="AL202">
        <v>1067.1400000000001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1</v>
      </c>
      <c r="AW202">
        <v>1</v>
      </c>
      <c r="AZ202">
        <v>1</v>
      </c>
      <c r="BA202">
        <v>1</v>
      </c>
      <c r="BB202">
        <v>1</v>
      </c>
      <c r="BC202">
        <v>16.989999999999998</v>
      </c>
      <c r="BD202" t="s">
        <v>4</v>
      </c>
      <c r="BE202" t="s">
        <v>4</v>
      </c>
      <c r="BF202" t="s">
        <v>4</v>
      </c>
      <c r="BG202" t="s">
        <v>4</v>
      </c>
      <c r="BH202">
        <v>3</v>
      </c>
      <c r="BI202">
        <v>2</v>
      </c>
      <c r="BJ202" t="s">
        <v>287</v>
      </c>
      <c r="BM202">
        <v>318</v>
      </c>
      <c r="BN202">
        <v>0</v>
      </c>
      <c r="BO202" t="s">
        <v>284</v>
      </c>
      <c r="BP202">
        <v>1</v>
      </c>
      <c r="BQ202">
        <v>40</v>
      </c>
      <c r="BR202">
        <v>0</v>
      </c>
      <c r="BS202">
        <v>1</v>
      </c>
      <c r="BT202">
        <v>1</v>
      </c>
      <c r="BU202">
        <v>1</v>
      </c>
      <c r="BV202">
        <v>1</v>
      </c>
      <c r="BW202">
        <v>1</v>
      </c>
      <c r="BX202">
        <v>1</v>
      </c>
      <c r="BY202" t="s">
        <v>4</v>
      </c>
      <c r="BZ202">
        <v>0</v>
      </c>
      <c r="CA202">
        <v>0</v>
      </c>
      <c r="CB202" t="s">
        <v>4</v>
      </c>
      <c r="CE202">
        <v>30</v>
      </c>
      <c r="CF202">
        <v>0</v>
      </c>
      <c r="CG202">
        <v>0</v>
      </c>
      <c r="CM202">
        <v>0</v>
      </c>
      <c r="CN202" t="s">
        <v>4</v>
      </c>
      <c r="CO202">
        <v>0</v>
      </c>
      <c r="CP202">
        <f t="shared" si="214"/>
        <v>21756.880000000001</v>
      </c>
      <c r="CQ202">
        <f t="shared" si="215"/>
        <v>18130.71</v>
      </c>
      <c r="CR202">
        <f t="shared" si="216"/>
        <v>0</v>
      </c>
      <c r="CS202">
        <f t="shared" si="217"/>
        <v>0</v>
      </c>
      <c r="CT202">
        <f t="shared" si="218"/>
        <v>0</v>
      </c>
      <c r="CU202">
        <f t="shared" si="219"/>
        <v>0</v>
      </c>
      <c r="CV202">
        <f t="shared" si="220"/>
        <v>0</v>
      </c>
      <c r="CW202">
        <f t="shared" si="221"/>
        <v>0</v>
      </c>
      <c r="CX202">
        <f t="shared" si="222"/>
        <v>0</v>
      </c>
      <c r="CY202">
        <f>S202*(BZ202/100)</f>
        <v>0</v>
      </c>
      <c r="CZ202">
        <f>S202*(CA202/100)</f>
        <v>0</v>
      </c>
      <c r="DC202" t="s">
        <v>4</v>
      </c>
      <c r="DD202" t="s">
        <v>4</v>
      </c>
      <c r="DE202" t="s">
        <v>4</v>
      </c>
      <c r="DF202" t="s">
        <v>4</v>
      </c>
      <c r="DG202" t="s">
        <v>4</v>
      </c>
      <c r="DH202" t="s">
        <v>4</v>
      </c>
      <c r="DI202" t="s">
        <v>4</v>
      </c>
      <c r="DJ202" t="s">
        <v>4</v>
      </c>
      <c r="DK202" t="s">
        <v>4</v>
      </c>
      <c r="DL202" t="s">
        <v>4</v>
      </c>
      <c r="DM202" t="s">
        <v>4</v>
      </c>
      <c r="DN202">
        <v>112</v>
      </c>
      <c r="DO202">
        <v>70</v>
      </c>
      <c r="DP202">
        <v>1.0669999999999999</v>
      </c>
      <c r="DQ202">
        <v>1</v>
      </c>
      <c r="DU202">
        <v>1010</v>
      </c>
      <c r="DV202" t="s">
        <v>286</v>
      </c>
      <c r="DW202" t="s">
        <v>286</v>
      </c>
      <c r="DX202">
        <v>1000</v>
      </c>
      <c r="DZ202" t="s">
        <v>4</v>
      </c>
      <c r="EA202" t="s">
        <v>4</v>
      </c>
      <c r="EB202" t="s">
        <v>4</v>
      </c>
      <c r="EC202" t="s">
        <v>4</v>
      </c>
      <c r="EE202">
        <v>69252943</v>
      </c>
      <c r="EF202">
        <v>40</v>
      </c>
      <c r="EG202" t="s">
        <v>219</v>
      </c>
      <c r="EH202">
        <v>0</v>
      </c>
      <c r="EI202" t="s">
        <v>4</v>
      </c>
      <c r="EJ202">
        <v>2</v>
      </c>
      <c r="EK202">
        <v>318</v>
      </c>
      <c r="EL202" t="s">
        <v>250</v>
      </c>
      <c r="EM202" t="s">
        <v>251</v>
      </c>
      <c r="EO202" t="s">
        <v>4</v>
      </c>
      <c r="EQ202">
        <v>1024</v>
      </c>
      <c r="ER202">
        <v>1067.1400000000001</v>
      </c>
      <c r="ES202">
        <v>1067.1400000000001</v>
      </c>
      <c r="ET202">
        <v>0</v>
      </c>
      <c r="EU202">
        <v>0</v>
      </c>
      <c r="EV202">
        <v>0</v>
      </c>
      <c r="EW202">
        <v>0</v>
      </c>
      <c r="EX202">
        <v>0</v>
      </c>
      <c r="FQ202">
        <v>0</v>
      </c>
      <c r="FR202">
        <f t="shared" si="223"/>
        <v>0</v>
      </c>
      <c r="FS202">
        <v>0</v>
      </c>
      <c r="FX202">
        <v>112</v>
      </c>
      <c r="FY202">
        <v>70</v>
      </c>
      <c r="GA202" t="s">
        <v>4</v>
      </c>
      <c r="GD202">
        <v>0</v>
      </c>
      <c r="GF202">
        <v>-591866499</v>
      </c>
      <c r="GG202">
        <v>2</v>
      </c>
      <c r="GH202">
        <v>1</v>
      </c>
      <c r="GI202">
        <v>2</v>
      </c>
      <c r="GJ202">
        <v>0</v>
      </c>
      <c r="GK202">
        <f>ROUND(R202*(S12)/100,2)</f>
        <v>0</v>
      </c>
      <c r="GL202">
        <f t="shared" si="224"/>
        <v>0</v>
      </c>
      <c r="GM202">
        <f t="shared" si="225"/>
        <v>21756.880000000001</v>
      </c>
      <c r="GN202">
        <f t="shared" si="226"/>
        <v>0</v>
      </c>
      <c r="GO202">
        <f t="shared" si="227"/>
        <v>21756.880000000001</v>
      </c>
      <c r="GP202">
        <f t="shared" si="228"/>
        <v>0</v>
      </c>
      <c r="GR202">
        <v>0</v>
      </c>
      <c r="GS202">
        <v>3</v>
      </c>
      <c r="GT202">
        <v>0</v>
      </c>
      <c r="GU202" t="s">
        <v>4</v>
      </c>
      <c r="GV202">
        <f t="shared" si="229"/>
        <v>0</v>
      </c>
      <c r="GW202">
        <v>1</v>
      </c>
      <c r="GX202">
        <f t="shared" si="230"/>
        <v>0</v>
      </c>
      <c r="HA202">
        <v>0</v>
      </c>
      <c r="HB202">
        <v>0</v>
      </c>
      <c r="HC202">
        <f t="shared" si="231"/>
        <v>0</v>
      </c>
      <c r="HE202" t="s">
        <v>4</v>
      </c>
      <c r="HF202" t="s">
        <v>4</v>
      </c>
      <c r="HM202" t="s">
        <v>4</v>
      </c>
      <c r="HN202" t="s">
        <v>4</v>
      </c>
      <c r="HO202" t="s">
        <v>4</v>
      </c>
      <c r="HP202" t="s">
        <v>4</v>
      </c>
      <c r="HQ202" t="s">
        <v>4</v>
      </c>
      <c r="IK202">
        <v>0</v>
      </c>
    </row>
    <row r="203" spans="1:255">
      <c r="A203" s="2">
        <v>19</v>
      </c>
      <c r="B203" s="2">
        <v>1</v>
      </c>
      <c r="C203" s="2"/>
      <c r="D203" s="2"/>
      <c r="E203" s="2"/>
      <c r="F203" s="2" t="s">
        <v>4</v>
      </c>
      <c r="G203" s="2" t="s">
        <v>288</v>
      </c>
      <c r="H203" s="2" t="s">
        <v>4</v>
      </c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>
        <v>1</v>
      </c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  <c r="ET203" s="2"/>
      <c r="EU203" s="2"/>
      <c r="EV203" s="2"/>
      <c r="EW203" s="2"/>
      <c r="EX203" s="2"/>
      <c r="EY203" s="2"/>
      <c r="EZ203" s="2"/>
      <c r="FA203" s="2"/>
      <c r="FB203" s="2"/>
      <c r="FC203" s="2"/>
      <c r="FD203" s="2"/>
      <c r="FE203" s="2"/>
      <c r="FF203" s="2"/>
      <c r="FG203" s="2"/>
      <c r="FH203" s="2"/>
      <c r="FI203" s="2"/>
      <c r="FJ203" s="2"/>
      <c r="FK203" s="2"/>
      <c r="FL203" s="2"/>
      <c r="FM203" s="2"/>
      <c r="FN203" s="2"/>
      <c r="FO203" s="2"/>
      <c r="FP203" s="2"/>
      <c r="FQ203" s="2"/>
      <c r="FR203" s="2"/>
      <c r="FS203" s="2"/>
      <c r="FT203" s="2"/>
      <c r="FU203" s="2"/>
      <c r="FV203" s="2"/>
      <c r="FW203" s="2"/>
      <c r="FX203" s="2"/>
      <c r="FY203" s="2"/>
      <c r="FZ203" s="2"/>
      <c r="GA203" s="2"/>
      <c r="GB203" s="2"/>
      <c r="GC203" s="2"/>
      <c r="GD203" s="2"/>
      <c r="GE203" s="2"/>
      <c r="GF203" s="2"/>
      <c r="GG203" s="2"/>
      <c r="GH203" s="2"/>
      <c r="GI203" s="2"/>
      <c r="GJ203" s="2"/>
      <c r="GK203" s="2"/>
      <c r="GL203" s="2"/>
      <c r="GM203" s="2"/>
      <c r="GN203" s="2"/>
      <c r="GO203" s="2"/>
      <c r="GP203" s="2"/>
      <c r="GQ203" s="2"/>
      <c r="GR203" s="2"/>
      <c r="GS203" s="2"/>
      <c r="GT203" s="2"/>
      <c r="GU203" s="2"/>
      <c r="GV203" s="2"/>
      <c r="GW203" s="2"/>
      <c r="GX203" s="2"/>
      <c r="GY203" s="2"/>
      <c r="GZ203" s="2"/>
      <c r="HA203" s="2"/>
      <c r="HB203" s="2"/>
      <c r="HC203" s="2"/>
      <c r="HD203" s="2"/>
      <c r="HE203" s="2"/>
      <c r="HF203" s="2"/>
      <c r="HG203" s="2"/>
      <c r="HH203" s="2"/>
      <c r="HI203" s="2"/>
      <c r="HJ203" s="2"/>
      <c r="HK203" s="2"/>
      <c r="HL203" s="2"/>
      <c r="HM203" s="2"/>
      <c r="HN203" s="2"/>
      <c r="HO203" s="2"/>
      <c r="HP203" s="2"/>
      <c r="HQ203" s="2"/>
      <c r="HR203" s="2"/>
      <c r="HS203" s="2"/>
      <c r="HT203" s="2"/>
      <c r="HU203" s="2"/>
      <c r="HV203" s="2"/>
      <c r="HW203" s="2"/>
      <c r="HX203" s="2"/>
      <c r="HY203" s="2"/>
      <c r="HZ203" s="2"/>
      <c r="IA203" s="2"/>
      <c r="IB203" s="2"/>
      <c r="IC203" s="2"/>
      <c r="ID203" s="2"/>
      <c r="IE203" s="2"/>
      <c r="IF203" s="2"/>
      <c r="IG203" s="2"/>
      <c r="IH203" s="2"/>
      <c r="II203" s="2"/>
      <c r="IJ203" s="2"/>
      <c r="IK203" s="2">
        <v>0</v>
      </c>
      <c r="IL203" s="2"/>
      <c r="IM203" s="2"/>
      <c r="IN203" s="2"/>
      <c r="IO203" s="2"/>
      <c r="IP203" s="2"/>
      <c r="IQ203" s="2"/>
      <c r="IR203" s="2"/>
      <c r="IS203" s="2"/>
      <c r="IT203" s="2"/>
      <c r="IU203" s="2"/>
    </row>
    <row r="204" spans="1:255">
      <c r="A204" s="2">
        <v>17</v>
      </c>
      <c r="B204" s="2">
        <v>1</v>
      </c>
      <c r="C204" s="2"/>
      <c r="D204" s="2">
        <f>ROW(EtalonRes!A317)</f>
        <v>317</v>
      </c>
      <c r="E204" s="2" t="s">
        <v>289</v>
      </c>
      <c r="F204" s="2" t="s">
        <v>215</v>
      </c>
      <c r="G204" s="2" t="s">
        <v>290</v>
      </c>
      <c r="H204" s="2" t="s">
        <v>217</v>
      </c>
      <c r="I204" s="2">
        <f>ROUND((10*2)*2/100,9)</f>
        <v>0.4</v>
      </c>
      <c r="J204" s="2">
        <v>0</v>
      </c>
      <c r="K204" s="2">
        <f>ROUND((10*2)*2/100,9)</f>
        <v>0.4</v>
      </c>
      <c r="L204" s="2"/>
      <c r="M204" s="2"/>
      <c r="N204" s="2"/>
      <c r="O204" s="2">
        <f t="shared" ref="O204:O221" si="232">ROUND(CP204,2)</f>
        <v>444.96</v>
      </c>
      <c r="P204" s="2">
        <f t="shared" ref="P204:P221" si="233">ROUND((ROUND((AC204*AW204*I204),2)*BC204),2)</f>
        <v>75.400000000000006</v>
      </c>
      <c r="Q204" s="2">
        <f t="shared" ref="Q204:Q221" si="234">(ROUND((ROUND(((ET204)*AV204*I204),2)*BB204),2)+ROUND((ROUND(((AE204-(EU204))*AV204*I204),2)*BS204),2))</f>
        <v>94.45</v>
      </c>
      <c r="R204" s="2">
        <f t="shared" ref="R204:R221" si="235">ROUND((ROUND((AE204*AV204*I204),2)*BS204),2)</f>
        <v>9.41</v>
      </c>
      <c r="S204" s="2">
        <f t="shared" ref="S204:S221" si="236">ROUND((ROUND((AF204*AV204*I204),2)*BA204),2)</f>
        <v>275.11</v>
      </c>
      <c r="T204" s="2">
        <f t="shared" ref="T204:T221" si="237">ROUND(CU204*I204,2)</f>
        <v>0</v>
      </c>
      <c r="U204" s="2">
        <f t="shared" ref="U204:U221" si="238">CV204*I204</f>
        <v>22.665455999999999</v>
      </c>
      <c r="V204" s="2">
        <f t="shared" ref="V204:V221" si="239">CW204*I204</f>
        <v>0</v>
      </c>
      <c r="W204" s="2">
        <f t="shared" ref="W204:W221" si="240">ROUND(CX204*I204,2)</f>
        <v>0</v>
      </c>
      <c r="X204" s="2">
        <f t="shared" ref="X204:X221" si="241">ROUND(CY204,2)</f>
        <v>308.12</v>
      </c>
      <c r="Y204" s="2">
        <f t="shared" ref="Y204:Y221" si="242">ROUND(CZ204,2)</f>
        <v>192.58</v>
      </c>
      <c r="Z204" s="2"/>
      <c r="AA204" s="2">
        <v>70305038</v>
      </c>
      <c r="AB204" s="2">
        <f t="shared" ref="AB204:AB221" si="243">ROUND((AC204+AD204+AF204),6)</f>
        <v>1070.92</v>
      </c>
      <c r="AC204" s="2">
        <f t="shared" ref="AC204:AC221" si="244">ROUND((ES204),6)</f>
        <v>188.5</v>
      </c>
      <c r="AD204" s="2">
        <f t="shared" ref="AD204:AD221" si="245">ROUND((((ET204)-(EU204))+AE204),6)</f>
        <v>225.52</v>
      </c>
      <c r="AE204" s="2">
        <f t="shared" ref="AE204:AE221" si="246">ROUND((EU204),6)</f>
        <v>22.47</v>
      </c>
      <c r="AF204" s="2">
        <f t="shared" ref="AF204:AF221" si="247">ROUND((EV204),6)</f>
        <v>656.9</v>
      </c>
      <c r="AG204" s="2">
        <f t="shared" ref="AG204:AG221" si="248">ROUND((AP204),6)</f>
        <v>0</v>
      </c>
      <c r="AH204" s="2">
        <f t="shared" ref="AH204:AH221" si="249">(EW204)</f>
        <v>54.12</v>
      </c>
      <c r="AI204" s="2">
        <f t="shared" ref="AI204:AI221" si="250">(EX204)</f>
        <v>0</v>
      </c>
      <c r="AJ204" s="2">
        <f t="shared" ref="AJ204:AJ221" si="251">(AS204)</f>
        <v>0</v>
      </c>
      <c r="AK204" s="2">
        <v>1070.92</v>
      </c>
      <c r="AL204" s="2">
        <v>188.5</v>
      </c>
      <c r="AM204" s="2">
        <v>225.52</v>
      </c>
      <c r="AN204" s="2">
        <v>22.47</v>
      </c>
      <c r="AO204" s="2">
        <v>656.9</v>
      </c>
      <c r="AP204" s="2">
        <v>0</v>
      </c>
      <c r="AQ204" s="2">
        <v>54.12</v>
      </c>
      <c r="AR204" s="2">
        <v>0</v>
      </c>
      <c r="AS204" s="2">
        <v>0</v>
      </c>
      <c r="AT204" s="2">
        <v>112</v>
      </c>
      <c r="AU204" s="2">
        <v>70</v>
      </c>
      <c r="AV204" s="2">
        <v>1.0469999999999999</v>
      </c>
      <c r="AW204" s="2">
        <v>1</v>
      </c>
      <c r="AX204" s="2"/>
      <c r="AY204" s="2"/>
      <c r="AZ204" s="2">
        <v>1</v>
      </c>
      <c r="BA204" s="2">
        <v>1</v>
      </c>
      <c r="BB204" s="2">
        <v>1</v>
      </c>
      <c r="BC204" s="2">
        <v>1</v>
      </c>
      <c r="BD204" s="2" t="s">
        <v>4</v>
      </c>
      <c r="BE204" s="2" t="s">
        <v>4</v>
      </c>
      <c r="BF204" s="2" t="s">
        <v>4</v>
      </c>
      <c r="BG204" s="2" t="s">
        <v>4</v>
      </c>
      <c r="BH204" s="2">
        <v>0</v>
      </c>
      <c r="BI204" s="2">
        <v>2</v>
      </c>
      <c r="BJ204" s="2" t="s">
        <v>218</v>
      </c>
      <c r="BK204" s="2"/>
      <c r="BL204" s="2"/>
      <c r="BM204" s="2">
        <v>1726</v>
      </c>
      <c r="BN204" s="2">
        <v>0</v>
      </c>
      <c r="BO204" s="2" t="s">
        <v>4</v>
      </c>
      <c r="BP204" s="2">
        <v>0</v>
      </c>
      <c r="BQ204" s="2">
        <v>40</v>
      </c>
      <c r="BR204" s="2">
        <v>0</v>
      </c>
      <c r="BS204" s="2">
        <v>1</v>
      </c>
      <c r="BT204" s="2">
        <v>1</v>
      </c>
      <c r="BU204" s="2">
        <v>1</v>
      </c>
      <c r="BV204" s="2">
        <v>1</v>
      </c>
      <c r="BW204" s="2">
        <v>1</v>
      </c>
      <c r="BX204" s="2">
        <v>1</v>
      </c>
      <c r="BY204" s="2" t="s">
        <v>4</v>
      </c>
      <c r="BZ204" s="2">
        <v>112</v>
      </c>
      <c r="CA204" s="2">
        <v>70</v>
      </c>
      <c r="CB204" s="2" t="s">
        <v>4</v>
      </c>
      <c r="CC204" s="2"/>
      <c r="CD204" s="2"/>
      <c r="CE204" s="2">
        <v>30</v>
      </c>
      <c r="CF204" s="2">
        <v>0</v>
      </c>
      <c r="CG204" s="2">
        <v>0</v>
      </c>
      <c r="CH204" s="2"/>
      <c r="CI204" s="2"/>
      <c r="CJ204" s="2"/>
      <c r="CK204" s="2"/>
      <c r="CL204" s="2"/>
      <c r="CM204" s="2">
        <v>0</v>
      </c>
      <c r="CN204" s="2" t="s">
        <v>4</v>
      </c>
      <c r="CO204" s="2">
        <v>0</v>
      </c>
      <c r="CP204" s="2">
        <f t="shared" ref="CP204:CP221" si="252">(P204+Q204+S204)</f>
        <v>444.96000000000004</v>
      </c>
      <c r="CQ204" s="2">
        <f t="shared" ref="CQ204:CQ221" si="253">ROUND((ROUND((AC204*AW204*1),2)*BC204),2)</f>
        <v>188.5</v>
      </c>
      <c r="CR204" s="2">
        <f t="shared" ref="CR204:CR221" si="254">(ROUND((ROUND(((ET204)*AV204*1),2)*BB204),2)+ROUND((ROUND(((AE204-(EU204))*AV204*1),2)*BS204),2))</f>
        <v>236.12</v>
      </c>
      <c r="CS204" s="2">
        <f t="shared" ref="CS204:CS221" si="255">ROUND((ROUND((AE204*AV204*1),2)*BS204),2)</f>
        <v>23.53</v>
      </c>
      <c r="CT204" s="2">
        <f t="shared" ref="CT204:CT221" si="256">ROUND((ROUND((AF204*AV204*1),2)*BA204),2)</f>
        <v>687.77</v>
      </c>
      <c r="CU204" s="2">
        <f t="shared" ref="CU204:CU221" si="257">AG204</f>
        <v>0</v>
      </c>
      <c r="CV204" s="2">
        <f t="shared" ref="CV204:CV221" si="258">(AH204*AV204)</f>
        <v>56.663639999999994</v>
      </c>
      <c r="CW204" s="2">
        <f t="shared" ref="CW204:CW221" si="259">AI204</f>
        <v>0</v>
      </c>
      <c r="CX204" s="2">
        <f t="shared" ref="CX204:CX221" si="260">AJ204</f>
        <v>0</v>
      </c>
      <c r="CY204" s="2">
        <f>((S204*BZ204)/100)</f>
        <v>308.1232</v>
      </c>
      <c r="CZ204" s="2">
        <f>((S204*CA204)/100)</f>
        <v>192.577</v>
      </c>
      <c r="DA204" s="2"/>
      <c r="DB204" s="2"/>
      <c r="DC204" s="2" t="s">
        <v>4</v>
      </c>
      <c r="DD204" s="2" t="s">
        <v>4</v>
      </c>
      <c r="DE204" s="2" t="s">
        <v>4</v>
      </c>
      <c r="DF204" s="2" t="s">
        <v>4</v>
      </c>
      <c r="DG204" s="2" t="s">
        <v>4</v>
      </c>
      <c r="DH204" s="2" t="s">
        <v>4</v>
      </c>
      <c r="DI204" s="2" t="s">
        <v>4</v>
      </c>
      <c r="DJ204" s="2" t="s">
        <v>4</v>
      </c>
      <c r="DK204" s="2" t="s">
        <v>4</v>
      </c>
      <c r="DL204" s="2" t="s">
        <v>4</v>
      </c>
      <c r="DM204" s="2" t="s">
        <v>4</v>
      </c>
      <c r="DN204" s="2">
        <v>0</v>
      </c>
      <c r="DO204" s="2">
        <v>0</v>
      </c>
      <c r="DP204" s="2">
        <v>1</v>
      </c>
      <c r="DQ204" s="2">
        <v>1</v>
      </c>
      <c r="DR204" s="2"/>
      <c r="DS204" s="2"/>
      <c r="DT204" s="2"/>
      <c r="DU204" s="2">
        <v>1003</v>
      </c>
      <c r="DV204" s="2" t="s">
        <v>217</v>
      </c>
      <c r="DW204" s="2" t="s">
        <v>217</v>
      </c>
      <c r="DX204" s="2">
        <v>100</v>
      </c>
      <c r="DY204" s="2"/>
      <c r="DZ204" s="2" t="s">
        <v>4</v>
      </c>
      <c r="EA204" s="2" t="s">
        <v>4</v>
      </c>
      <c r="EB204" s="2" t="s">
        <v>4</v>
      </c>
      <c r="EC204" s="2" t="s">
        <v>4</v>
      </c>
      <c r="ED204" s="2"/>
      <c r="EE204" s="2">
        <v>69254351</v>
      </c>
      <c r="EF204" s="2">
        <v>40</v>
      </c>
      <c r="EG204" s="2" t="s">
        <v>219</v>
      </c>
      <c r="EH204" s="2">
        <v>0</v>
      </c>
      <c r="EI204" s="2" t="s">
        <v>4</v>
      </c>
      <c r="EJ204" s="2">
        <v>2</v>
      </c>
      <c r="EK204" s="2">
        <v>1726</v>
      </c>
      <c r="EL204" s="2" t="s">
        <v>220</v>
      </c>
      <c r="EM204" s="2" t="s">
        <v>221</v>
      </c>
      <c r="EN204" s="2"/>
      <c r="EO204" s="2" t="s">
        <v>4</v>
      </c>
      <c r="EP204" s="2"/>
      <c r="EQ204" s="2">
        <v>131072</v>
      </c>
      <c r="ER204" s="2">
        <v>1070.92</v>
      </c>
      <c r="ES204" s="2">
        <v>188.5</v>
      </c>
      <c r="ET204" s="2">
        <v>225.52</v>
      </c>
      <c r="EU204" s="2">
        <v>22.47</v>
      </c>
      <c r="EV204" s="2">
        <v>656.9</v>
      </c>
      <c r="EW204" s="2">
        <v>54.12</v>
      </c>
      <c r="EX204" s="2">
        <v>0</v>
      </c>
      <c r="EY204" s="2">
        <v>0</v>
      </c>
      <c r="EZ204" s="2"/>
      <c r="FA204" s="2"/>
      <c r="FB204" s="2"/>
      <c r="FC204" s="2"/>
      <c r="FD204" s="2"/>
      <c r="FE204" s="2"/>
      <c r="FF204" s="2"/>
      <c r="FG204" s="2"/>
      <c r="FH204" s="2"/>
      <c r="FI204" s="2"/>
      <c r="FJ204" s="2"/>
      <c r="FK204" s="2"/>
      <c r="FL204" s="2"/>
      <c r="FM204" s="2"/>
      <c r="FN204" s="2"/>
      <c r="FO204" s="2"/>
      <c r="FP204" s="2"/>
      <c r="FQ204" s="2">
        <v>0</v>
      </c>
      <c r="FR204" s="2">
        <f t="shared" ref="FR204:FR221" si="261">ROUND(IF(BI204=3,GM204,0),2)</f>
        <v>0</v>
      </c>
      <c r="FS204" s="2">
        <v>0</v>
      </c>
      <c r="FT204" s="2"/>
      <c r="FU204" s="2"/>
      <c r="FV204" s="2"/>
      <c r="FW204" s="2"/>
      <c r="FX204" s="2">
        <v>112</v>
      </c>
      <c r="FY204" s="2">
        <v>70</v>
      </c>
      <c r="FZ204" s="2"/>
      <c r="GA204" s="2" t="s">
        <v>4</v>
      </c>
      <c r="GB204" s="2"/>
      <c r="GC204" s="2"/>
      <c r="GD204" s="2">
        <v>0</v>
      </c>
      <c r="GE204" s="2"/>
      <c r="GF204" s="2">
        <v>-151617507</v>
      </c>
      <c r="GG204" s="2">
        <v>2</v>
      </c>
      <c r="GH204" s="2">
        <v>1</v>
      </c>
      <c r="GI204" s="2">
        <v>-2</v>
      </c>
      <c r="GJ204" s="2">
        <v>0</v>
      </c>
      <c r="GK204" s="2">
        <f>ROUND(R204*(R12)/100,2)</f>
        <v>16.47</v>
      </c>
      <c r="GL204" s="2">
        <f t="shared" ref="GL204:GL221" si="262">ROUND(IF(AND(BH204=3,BI204=3,FS204&lt;&gt;0),P204,0),2)</f>
        <v>0</v>
      </c>
      <c r="GM204" s="2">
        <f t="shared" ref="GM204:GM221" si="263">ROUND(O204+X204+Y204+GK204,2)+GX204</f>
        <v>962.13</v>
      </c>
      <c r="GN204" s="2">
        <f t="shared" ref="GN204:GN221" si="264">IF(OR(BI204=0,BI204=1),GM204-GX204,0)</f>
        <v>0</v>
      </c>
      <c r="GO204" s="2">
        <f t="shared" ref="GO204:GO221" si="265">IF(BI204=2,GM204-GX204,0)</f>
        <v>962.13</v>
      </c>
      <c r="GP204" s="2">
        <f t="shared" ref="GP204:GP221" si="266">IF(BI204=4,GM204-GX204,0)</f>
        <v>0</v>
      </c>
      <c r="GQ204" s="2"/>
      <c r="GR204" s="2">
        <v>0</v>
      </c>
      <c r="GS204" s="2">
        <v>0</v>
      </c>
      <c r="GT204" s="2">
        <v>0</v>
      </c>
      <c r="GU204" s="2" t="s">
        <v>4</v>
      </c>
      <c r="GV204" s="2">
        <f t="shared" ref="GV204:GV221" si="267">ROUND((GT204),6)</f>
        <v>0</v>
      </c>
      <c r="GW204" s="2">
        <v>1</v>
      </c>
      <c r="GX204" s="2">
        <f t="shared" ref="GX204:GX221" si="268">ROUND(HC204*I204,2)</f>
        <v>0</v>
      </c>
      <c r="GY204" s="2"/>
      <c r="GZ204" s="2"/>
      <c r="HA204" s="2">
        <v>0</v>
      </c>
      <c r="HB204" s="2">
        <v>0</v>
      </c>
      <c r="HC204" s="2">
        <f t="shared" ref="HC204:HC221" si="269">GV204*GW204</f>
        <v>0</v>
      </c>
      <c r="HD204" s="2"/>
      <c r="HE204" s="2" t="s">
        <v>4</v>
      </c>
      <c r="HF204" s="2" t="s">
        <v>4</v>
      </c>
      <c r="HG204" s="2"/>
      <c r="HH204" s="2"/>
      <c r="HI204" s="2"/>
      <c r="HJ204" s="2"/>
      <c r="HK204" s="2"/>
      <c r="HL204" s="2"/>
      <c r="HM204" s="2" t="s">
        <v>4</v>
      </c>
      <c r="HN204" s="2" t="s">
        <v>4</v>
      </c>
      <c r="HO204" s="2" t="s">
        <v>4</v>
      </c>
      <c r="HP204" s="2" t="s">
        <v>4</v>
      </c>
      <c r="HQ204" s="2" t="s">
        <v>4</v>
      </c>
      <c r="HR204" s="2"/>
      <c r="HS204" s="2"/>
      <c r="HT204" s="2"/>
      <c r="HU204" s="2"/>
      <c r="HV204" s="2"/>
      <c r="HW204" s="2"/>
      <c r="HX204" s="2"/>
      <c r="HY204" s="2"/>
      <c r="HZ204" s="2"/>
      <c r="IA204" s="2"/>
      <c r="IB204" s="2"/>
      <c r="IC204" s="2"/>
      <c r="ID204" s="2"/>
      <c r="IE204" s="2"/>
      <c r="IF204" s="2"/>
      <c r="IG204" s="2"/>
      <c r="IH204" s="2"/>
      <c r="II204" s="2"/>
      <c r="IJ204" s="2"/>
      <c r="IK204" s="2">
        <v>0</v>
      </c>
      <c r="IL204" s="2"/>
      <c r="IM204" s="2"/>
      <c r="IN204" s="2"/>
      <c r="IO204" s="2"/>
      <c r="IP204" s="2"/>
      <c r="IQ204" s="2"/>
      <c r="IR204" s="2"/>
      <c r="IS204" s="2"/>
      <c r="IT204" s="2"/>
      <c r="IU204" s="2"/>
    </row>
    <row r="205" spans="1:255">
      <c r="A205">
        <v>17</v>
      </c>
      <c r="B205">
        <v>1</v>
      </c>
      <c r="D205">
        <f>ROW(EtalonRes!A332)</f>
        <v>332</v>
      </c>
      <c r="E205" t="s">
        <v>289</v>
      </c>
      <c r="F205" t="s">
        <v>215</v>
      </c>
      <c r="G205" t="s">
        <v>290</v>
      </c>
      <c r="H205" t="s">
        <v>217</v>
      </c>
      <c r="I205">
        <f>ROUND((10*2)*2/100,9)</f>
        <v>0.4</v>
      </c>
      <c r="J205">
        <v>0</v>
      </c>
      <c r="K205">
        <f>ROUND((10*2)*2/100,9)</f>
        <v>0.4</v>
      </c>
      <c r="O205">
        <f t="shared" si="232"/>
        <v>14543.42</v>
      </c>
      <c r="P205">
        <f t="shared" si="233"/>
        <v>459.19</v>
      </c>
      <c r="Q205">
        <f t="shared" si="234"/>
        <v>1244.8499999999999</v>
      </c>
      <c r="R205">
        <f t="shared" si="235"/>
        <v>439.16</v>
      </c>
      <c r="S205">
        <f t="shared" si="236"/>
        <v>12839.38</v>
      </c>
      <c r="T205">
        <f t="shared" si="237"/>
        <v>0</v>
      </c>
      <c r="U205">
        <f t="shared" si="238"/>
        <v>22.665455999999999</v>
      </c>
      <c r="V205">
        <f t="shared" si="239"/>
        <v>0</v>
      </c>
      <c r="W205">
        <f t="shared" si="240"/>
        <v>0</v>
      </c>
      <c r="X205">
        <f t="shared" si="241"/>
        <v>11812.23</v>
      </c>
      <c r="Y205">
        <f t="shared" si="242"/>
        <v>5520.93</v>
      </c>
      <c r="AA205">
        <v>70305036</v>
      </c>
      <c r="AB205">
        <f t="shared" si="243"/>
        <v>1070.92</v>
      </c>
      <c r="AC205">
        <f t="shared" si="244"/>
        <v>188.5</v>
      </c>
      <c r="AD205">
        <f t="shared" si="245"/>
        <v>225.52</v>
      </c>
      <c r="AE205">
        <f t="shared" si="246"/>
        <v>22.47</v>
      </c>
      <c r="AF205">
        <f t="shared" si="247"/>
        <v>656.9</v>
      </c>
      <c r="AG205">
        <f t="shared" si="248"/>
        <v>0</v>
      </c>
      <c r="AH205">
        <f t="shared" si="249"/>
        <v>54.12</v>
      </c>
      <c r="AI205">
        <f t="shared" si="250"/>
        <v>0</v>
      </c>
      <c r="AJ205">
        <f t="shared" si="251"/>
        <v>0</v>
      </c>
      <c r="AK205">
        <v>1070.92</v>
      </c>
      <c r="AL205">
        <v>188.5</v>
      </c>
      <c r="AM205">
        <v>225.52</v>
      </c>
      <c r="AN205">
        <v>22.47</v>
      </c>
      <c r="AO205">
        <v>656.9</v>
      </c>
      <c r="AP205">
        <v>0</v>
      </c>
      <c r="AQ205">
        <v>54.12</v>
      </c>
      <c r="AR205">
        <v>0</v>
      </c>
      <c r="AS205">
        <v>0</v>
      </c>
      <c r="AT205">
        <v>92</v>
      </c>
      <c r="AU205">
        <v>43</v>
      </c>
      <c r="AV205">
        <v>1.0469999999999999</v>
      </c>
      <c r="AW205">
        <v>1</v>
      </c>
      <c r="AZ205">
        <v>1</v>
      </c>
      <c r="BA205">
        <v>46.67</v>
      </c>
      <c r="BB205">
        <v>13.18</v>
      </c>
      <c r="BC205">
        <v>6.09</v>
      </c>
      <c r="BD205" t="s">
        <v>4</v>
      </c>
      <c r="BE205" t="s">
        <v>4</v>
      </c>
      <c r="BF205" t="s">
        <v>4</v>
      </c>
      <c r="BG205" t="s">
        <v>4</v>
      </c>
      <c r="BH205">
        <v>0</v>
      </c>
      <c r="BI205">
        <v>2</v>
      </c>
      <c r="BJ205" t="s">
        <v>218</v>
      </c>
      <c r="BM205">
        <v>1726</v>
      </c>
      <c r="BN205">
        <v>0</v>
      </c>
      <c r="BO205" t="s">
        <v>215</v>
      </c>
      <c r="BP205">
        <v>1</v>
      </c>
      <c r="BQ205">
        <v>40</v>
      </c>
      <c r="BR205">
        <v>0</v>
      </c>
      <c r="BS205">
        <v>46.67</v>
      </c>
      <c r="BT205">
        <v>1</v>
      </c>
      <c r="BU205">
        <v>1</v>
      </c>
      <c r="BV205">
        <v>1</v>
      </c>
      <c r="BW205">
        <v>1</v>
      </c>
      <c r="BX205">
        <v>1</v>
      </c>
      <c r="BY205" t="s">
        <v>4</v>
      </c>
      <c r="BZ205">
        <v>92</v>
      </c>
      <c r="CA205">
        <v>43</v>
      </c>
      <c r="CB205" t="s">
        <v>4</v>
      </c>
      <c r="CE205">
        <v>30</v>
      </c>
      <c r="CF205">
        <v>0</v>
      </c>
      <c r="CG205">
        <v>0</v>
      </c>
      <c r="CM205">
        <v>0</v>
      </c>
      <c r="CN205" t="s">
        <v>4</v>
      </c>
      <c r="CO205">
        <v>0</v>
      </c>
      <c r="CP205">
        <f t="shared" si="252"/>
        <v>14543.419999999998</v>
      </c>
      <c r="CQ205">
        <f t="shared" si="253"/>
        <v>1147.97</v>
      </c>
      <c r="CR205">
        <f t="shared" si="254"/>
        <v>3112.06</v>
      </c>
      <c r="CS205">
        <f t="shared" si="255"/>
        <v>1098.1500000000001</v>
      </c>
      <c r="CT205">
        <f t="shared" si="256"/>
        <v>32098.23</v>
      </c>
      <c r="CU205">
        <f t="shared" si="257"/>
        <v>0</v>
      </c>
      <c r="CV205">
        <f t="shared" si="258"/>
        <v>56.663639999999994</v>
      </c>
      <c r="CW205">
        <f t="shared" si="259"/>
        <v>0</v>
      </c>
      <c r="CX205">
        <f t="shared" si="260"/>
        <v>0</v>
      </c>
      <c r="CY205">
        <f>S205*(BZ205/100)</f>
        <v>11812.229600000001</v>
      </c>
      <c r="CZ205">
        <f>S205*(CA205/100)</f>
        <v>5520.9333999999999</v>
      </c>
      <c r="DC205" t="s">
        <v>4</v>
      </c>
      <c r="DD205" t="s">
        <v>4</v>
      </c>
      <c r="DE205" t="s">
        <v>4</v>
      </c>
      <c r="DF205" t="s">
        <v>4</v>
      </c>
      <c r="DG205" t="s">
        <v>4</v>
      </c>
      <c r="DH205" t="s">
        <v>4</v>
      </c>
      <c r="DI205" t="s">
        <v>4</v>
      </c>
      <c r="DJ205" t="s">
        <v>4</v>
      </c>
      <c r="DK205" t="s">
        <v>4</v>
      </c>
      <c r="DL205" t="s">
        <v>4</v>
      </c>
      <c r="DM205" t="s">
        <v>4</v>
      </c>
      <c r="DN205">
        <v>112</v>
      </c>
      <c r="DO205">
        <v>70</v>
      </c>
      <c r="DP205">
        <v>1.0469999999999999</v>
      </c>
      <c r="DQ205">
        <v>1</v>
      </c>
      <c r="DU205">
        <v>1003</v>
      </c>
      <c r="DV205" t="s">
        <v>217</v>
      </c>
      <c r="DW205" t="s">
        <v>217</v>
      </c>
      <c r="DX205">
        <v>100</v>
      </c>
      <c r="DZ205" t="s">
        <v>4</v>
      </c>
      <c r="EA205" t="s">
        <v>4</v>
      </c>
      <c r="EB205" t="s">
        <v>4</v>
      </c>
      <c r="EC205" t="s">
        <v>4</v>
      </c>
      <c r="EE205">
        <v>69254351</v>
      </c>
      <c r="EF205">
        <v>40</v>
      </c>
      <c r="EG205" t="s">
        <v>219</v>
      </c>
      <c r="EH205">
        <v>0</v>
      </c>
      <c r="EI205" t="s">
        <v>4</v>
      </c>
      <c r="EJ205">
        <v>2</v>
      </c>
      <c r="EK205">
        <v>1726</v>
      </c>
      <c r="EL205" t="s">
        <v>220</v>
      </c>
      <c r="EM205" t="s">
        <v>221</v>
      </c>
      <c r="EO205" t="s">
        <v>4</v>
      </c>
      <c r="EQ205">
        <v>131072</v>
      </c>
      <c r="ER205">
        <v>1070.92</v>
      </c>
      <c r="ES205">
        <v>188.5</v>
      </c>
      <c r="ET205">
        <v>225.52</v>
      </c>
      <c r="EU205">
        <v>22.47</v>
      </c>
      <c r="EV205">
        <v>656.9</v>
      </c>
      <c r="EW205">
        <v>54.12</v>
      </c>
      <c r="EX205">
        <v>0</v>
      </c>
      <c r="EY205">
        <v>0</v>
      </c>
      <c r="FQ205">
        <v>0</v>
      </c>
      <c r="FR205">
        <f t="shared" si="261"/>
        <v>0</v>
      </c>
      <c r="FS205">
        <v>0</v>
      </c>
      <c r="FX205">
        <v>112</v>
      </c>
      <c r="FY205">
        <v>70</v>
      </c>
      <c r="GA205" t="s">
        <v>4</v>
      </c>
      <c r="GD205">
        <v>0</v>
      </c>
      <c r="GF205">
        <v>-151617507</v>
      </c>
      <c r="GG205">
        <v>2</v>
      </c>
      <c r="GH205">
        <v>1</v>
      </c>
      <c r="GI205">
        <v>2</v>
      </c>
      <c r="GJ205">
        <v>0</v>
      </c>
      <c r="GK205">
        <f>ROUND(R205*(S12)/100,2)</f>
        <v>702.66</v>
      </c>
      <c r="GL205">
        <f t="shared" si="262"/>
        <v>0</v>
      </c>
      <c r="GM205">
        <f t="shared" si="263"/>
        <v>32579.24</v>
      </c>
      <c r="GN205">
        <f t="shared" si="264"/>
        <v>0</v>
      </c>
      <c r="GO205">
        <f t="shared" si="265"/>
        <v>32579.24</v>
      </c>
      <c r="GP205">
        <f t="shared" si="266"/>
        <v>0</v>
      </c>
      <c r="GR205">
        <v>0</v>
      </c>
      <c r="GS205">
        <v>3</v>
      </c>
      <c r="GT205">
        <v>0</v>
      </c>
      <c r="GU205" t="s">
        <v>4</v>
      </c>
      <c r="GV205">
        <f t="shared" si="267"/>
        <v>0</v>
      </c>
      <c r="GW205">
        <v>1</v>
      </c>
      <c r="GX205">
        <f t="shared" si="268"/>
        <v>0</v>
      </c>
      <c r="HA205">
        <v>0</v>
      </c>
      <c r="HB205">
        <v>0</v>
      </c>
      <c r="HC205">
        <f t="shared" si="269"/>
        <v>0</v>
      </c>
      <c r="HE205" t="s">
        <v>4</v>
      </c>
      <c r="HF205" t="s">
        <v>4</v>
      </c>
      <c r="HM205" t="s">
        <v>4</v>
      </c>
      <c r="HN205" t="s">
        <v>4</v>
      </c>
      <c r="HO205" t="s">
        <v>4</v>
      </c>
      <c r="HP205" t="s">
        <v>4</v>
      </c>
      <c r="HQ205" t="s">
        <v>4</v>
      </c>
      <c r="IK205">
        <v>0</v>
      </c>
    </row>
    <row r="206" spans="1:255">
      <c r="A206" s="2">
        <v>17</v>
      </c>
      <c r="B206" s="2">
        <v>1</v>
      </c>
      <c r="C206" s="2"/>
      <c r="D206" s="2"/>
      <c r="E206" s="2" t="s">
        <v>291</v>
      </c>
      <c r="F206" s="2" t="s">
        <v>223</v>
      </c>
      <c r="G206" s="2" t="s">
        <v>224</v>
      </c>
      <c r="H206" s="2" t="s">
        <v>209</v>
      </c>
      <c r="I206" s="2">
        <f>ROUND(I204*3*1.02/10,9)</f>
        <v>0.12239999999999999</v>
      </c>
      <c r="J206" s="2">
        <v>0</v>
      </c>
      <c r="K206" s="2">
        <f>ROUND(I204*3*1.02/10,9)</f>
        <v>0.12239999999999999</v>
      </c>
      <c r="L206" s="2"/>
      <c r="M206" s="2"/>
      <c r="N206" s="2"/>
      <c r="O206" s="2">
        <f t="shared" si="232"/>
        <v>13369.17</v>
      </c>
      <c r="P206" s="2">
        <f t="shared" si="233"/>
        <v>13369.17</v>
      </c>
      <c r="Q206" s="2">
        <f t="shared" si="234"/>
        <v>0</v>
      </c>
      <c r="R206" s="2">
        <f t="shared" si="235"/>
        <v>0</v>
      </c>
      <c r="S206" s="2">
        <f t="shared" si="236"/>
        <v>0</v>
      </c>
      <c r="T206" s="2">
        <f t="shared" si="237"/>
        <v>0</v>
      </c>
      <c r="U206" s="2">
        <f t="shared" si="238"/>
        <v>0</v>
      </c>
      <c r="V206" s="2">
        <f t="shared" si="239"/>
        <v>0</v>
      </c>
      <c r="W206" s="2">
        <f t="shared" si="240"/>
        <v>0</v>
      </c>
      <c r="X206" s="2">
        <f t="shared" si="241"/>
        <v>0</v>
      </c>
      <c r="Y206" s="2">
        <f t="shared" si="242"/>
        <v>0</v>
      </c>
      <c r="Z206" s="2"/>
      <c r="AA206" s="2">
        <v>70305038</v>
      </c>
      <c r="AB206" s="2">
        <f t="shared" si="243"/>
        <v>109225.28</v>
      </c>
      <c r="AC206" s="2">
        <f t="shared" si="244"/>
        <v>109225.28</v>
      </c>
      <c r="AD206" s="2">
        <f t="shared" si="245"/>
        <v>0</v>
      </c>
      <c r="AE206" s="2">
        <f t="shared" si="246"/>
        <v>0</v>
      </c>
      <c r="AF206" s="2">
        <f t="shared" si="247"/>
        <v>0</v>
      </c>
      <c r="AG206" s="2">
        <f t="shared" si="248"/>
        <v>0</v>
      </c>
      <c r="AH206" s="2">
        <f t="shared" si="249"/>
        <v>0</v>
      </c>
      <c r="AI206" s="2">
        <f t="shared" si="250"/>
        <v>0</v>
      </c>
      <c r="AJ206" s="2">
        <f t="shared" si="251"/>
        <v>0</v>
      </c>
      <c r="AK206" s="2">
        <v>109225.28</v>
      </c>
      <c r="AL206" s="2">
        <v>109225.28</v>
      </c>
      <c r="AM206" s="2">
        <v>0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1</v>
      </c>
      <c r="AW206" s="2">
        <v>1</v>
      </c>
      <c r="AX206" s="2"/>
      <c r="AY206" s="2"/>
      <c r="AZ206" s="2">
        <v>1</v>
      </c>
      <c r="BA206" s="2">
        <v>1</v>
      </c>
      <c r="BB206" s="2">
        <v>1</v>
      </c>
      <c r="BC206" s="2">
        <v>1</v>
      </c>
      <c r="BD206" s="2" t="s">
        <v>4</v>
      </c>
      <c r="BE206" s="2" t="s">
        <v>4</v>
      </c>
      <c r="BF206" s="2" t="s">
        <v>4</v>
      </c>
      <c r="BG206" s="2" t="s">
        <v>4</v>
      </c>
      <c r="BH206" s="2">
        <v>3</v>
      </c>
      <c r="BI206" s="2">
        <v>2</v>
      </c>
      <c r="BJ206" s="2" t="s">
        <v>225</v>
      </c>
      <c r="BK206" s="2"/>
      <c r="BL206" s="2"/>
      <c r="BM206" s="2">
        <v>1618</v>
      </c>
      <c r="BN206" s="2">
        <v>0</v>
      </c>
      <c r="BO206" s="2" t="s">
        <v>4</v>
      </c>
      <c r="BP206" s="2">
        <v>0</v>
      </c>
      <c r="BQ206" s="2">
        <v>201</v>
      </c>
      <c r="BR206" s="2">
        <v>0</v>
      </c>
      <c r="BS206" s="2">
        <v>1</v>
      </c>
      <c r="BT206" s="2">
        <v>1</v>
      </c>
      <c r="BU206" s="2">
        <v>1</v>
      </c>
      <c r="BV206" s="2">
        <v>1</v>
      </c>
      <c r="BW206" s="2">
        <v>1</v>
      </c>
      <c r="BX206" s="2">
        <v>1</v>
      </c>
      <c r="BY206" s="2" t="s">
        <v>4</v>
      </c>
      <c r="BZ206" s="2">
        <v>0</v>
      </c>
      <c r="CA206" s="2">
        <v>0</v>
      </c>
      <c r="CB206" s="2" t="s">
        <v>4</v>
      </c>
      <c r="CC206" s="2"/>
      <c r="CD206" s="2"/>
      <c r="CE206" s="2">
        <v>30</v>
      </c>
      <c r="CF206" s="2">
        <v>0</v>
      </c>
      <c r="CG206" s="2">
        <v>0</v>
      </c>
      <c r="CH206" s="2"/>
      <c r="CI206" s="2"/>
      <c r="CJ206" s="2"/>
      <c r="CK206" s="2"/>
      <c r="CL206" s="2"/>
      <c r="CM206" s="2">
        <v>0</v>
      </c>
      <c r="CN206" s="2" t="s">
        <v>4</v>
      </c>
      <c r="CO206" s="2">
        <v>0</v>
      </c>
      <c r="CP206" s="2">
        <f t="shared" si="252"/>
        <v>13369.17</v>
      </c>
      <c r="CQ206" s="2">
        <f t="shared" si="253"/>
        <v>109225.28</v>
      </c>
      <c r="CR206" s="2">
        <f t="shared" si="254"/>
        <v>0</v>
      </c>
      <c r="CS206" s="2">
        <f t="shared" si="255"/>
        <v>0</v>
      </c>
      <c r="CT206" s="2">
        <f t="shared" si="256"/>
        <v>0</v>
      </c>
      <c r="CU206" s="2">
        <f t="shared" si="257"/>
        <v>0</v>
      </c>
      <c r="CV206" s="2">
        <f t="shared" si="258"/>
        <v>0</v>
      </c>
      <c r="CW206" s="2">
        <f t="shared" si="259"/>
        <v>0</v>
      </c>
      <c r="CX206" s="2">
        <f t="shared" si="260"/>
        <v>0</v>
      </c>
      <c r="CY206" s="2">
        <f>((S206*BZ206)/100)</f>
        <v>0</v>
      </c>
      <c r="CZ206" s="2">
        <f>((S206*CA206)/100)</f>
        <v>0</v>
      </c>
      <c r="DA206" s="2"/>
      <c r="DB206" s="2"/>
      <c r="DC206" s="2" t="s">
        <v>4</v>
      </c>
      <c r="DD206" s="2" t="s">
        <v>4</v>
      </c>
      <c r="DE206" s="2" t="s">
        <v>4</v>
      </c>
      <c r="DF206" s="2" t="s">
        <v>4</v>
      </c>
      <c r="DG206" s="2" t="s">
        <v>4</v>
      </c>
      <c r="DH206" s="2" t="s">
        <v>4</v>
      </c>
      <c r="DI206" s="2" t="s">
        <v>4</v>
      </c>
      <c r="DJ206" s="2" t="s">
        <v>4</v>
      </c>
      <c r="DK206" s="2" t="s">
        <v>4</v>
      </c>
      <c r="DL206" s="2" t="s">
        <v>4</v>
      </c>
      <c r="DM206" s="2" t="s">
        <v>4</v>
      </c>
      <c r="DN206" s="2">
        <v>0</v>
      </c>
      <c r="DO206" s="2">
        <v>0</v>
      </c>
      <c r="DP206" s="2">
        <v>1</v>
      </c>
      <c r="DQ206" s="2">
        <v>1</v>
      </c>
      <c r="DR206" s="2"/>
      <c r="DS206" s="2"/>
      <c r="DT206" s="2"/>
      <c r="DU206" s="2">
        <v>1003</v>
      </c>
      <c r="DV206" s="2" t="s">
        <v>209</v>
      </c>
      <c r="DW206" s="2" t="s">
        <v>209</v>
      </c>
      <c r="DX206" s="2">
        <v>1000</v>
      </c>
      <c r="DY206" s="2"/>
      <c r="DZ206" s="2" t="s">
        <v>4</v>
      </c>
      <c r="EA206" s="2" t="s">
        <v>4</v>
      </c>
      <c r="EB206" s="2" t="s">
        <v>4</v>
      </c>
      <c r="EC206" s="2" t="s">
        <v>4</v>
      </c>
      <c r="ED206" s="2"/>
      <c r="EE206" s="2">
        <v>69254243</v>
      </c>
      <c r="EF206" s="2">
        <v>201</v>
      </c>
      <c r="EG206" s="2" t="s">
        <v>226</v>
      </c>
      <c r="EH206" s="2">
        <v>0</v>
      </c>
      <c r="EI206" s="2" t="s">
        <v>4</v>
      </c>
      <c r="EJ206" s="2">
        <v>2</v>
      </c>
      <c r="EK206" s="2">
        <v>1618</v>
      </c>
      <c r="EL206" s="2" t="s">
        <v>227</v>
      </c>
      <c r="EM206" s="2" t="s">
        <v>228</v>
      </c>
      <c r="EN206" s="2"/>
      <c r="EO206" s="2" t="s">
        <v>4</v>
      </c>
      <c r="EP206" s="2"/>
      <c r="EQ206" s="2">
        <v>0</v>
      </c>
      <c r="ER206" s="2">
        <v>109225.28</v>
      </c>
      <c r="ES206" s="2">
        <v>109225.28</v>
      </c>
      <c r="ET206" s="2">
        <v>0</v>
      </c>
      <c r="EU206" s="2">
        <v>0</v>
      </c>
      <c r="EV206" s="2">
        <v>0</v>
      </c>
      <c r="EW206" s="2">
        <v>0</v>
      </c>
      <c r="EX206" s="2">
        <v>0</v>
      </c>
      <c r="EY206" s="2">
        <v>0</v>
      </c>
      <c r="EZ206" s="2"/>
      <c r="FA206" s="2"/>
      <c r="FB206" s="2"/>
      <c r="FC206" s="2"/>
      <c r="FD206" s="2"/>
      <c r="FE206" s="2"/>
      <c r="FF206" s="2"/>
      <c r="FG206" s="2"/>
      <c r="FH206" s="2"/>
      <c r="FI206" s="2"/>
      <c r="FJ206" s="2"/>
      <c r="FK206" s="2"/>
      <c r="FL206" s="2"/>
      <c r="FM206" s="2"/>
      <c r="FN206" s="2"/>
      <c r="FO206" s="2"/>
      <c r="FP206" s="2"/>
      <c r="FQ206" s="2">
        <v>0</v>
      </c>
      <c r="FR206" s="2">
        <f t="shared" si="261"/>
        <v>0</v>
      </c>
      <c r="FS206" s="2">
        <v>0</v>
      </c>
      <c r="FT206" s="2"/>
      <c r="FU206" s="2"/>
      <c r="FV206" s="2"/>
      <c r="FW206" s="2"/>
      <c r="FX206" s="2">
        <v>0</v>
      </c>
      <c r="FY206" s="2">
        <v>0</v>
      </c>
      <c r="FZ206" s="2"/>
      <c r="GA206" s="2" t="s">
        <v>4</v>
      </c>
      <c r="GB206" s="2"/>
      <c r="GC206" s="2"/>
      <c r="GD206" s="2">
        <v>0</v>
      </c>
      <c r="GE206" s="2"/>
      <c r="GF206" s="2">
        <v>241870239</v>
      </c>
      <c r="GG206" s="2">
        <v>2</v>
      </c>
      <c r="GH206" s="2">
        <v>1</v>
      </c>
      <c r="GI206" s="2">
        <v>-2</v>
      </c>
      <c r="GJ206" s="2">
        <v>0</v>
      </c>
      <c r="GK206" s="2">
        <f>ROUND(R206*(R12)/100,2)</f>
        <v>0</v>
      </c>
      <c r="GL206" s="2">
        <f t="shared" si="262"/>
        <v>0</v>
      </c>
      <c r="GM206" s="2">
        <f t="shared" si="263"/>
        <v>13369.17</v>
      </c>
      <c r="GN206" s="2">
        <f t="shared" si="264"/>
        <v>0</v>
      </c>
      <c r="GO206" s="2">
        <f t="shared" si="265"/>
        <v>13369.17</v>
      </c>
      <c r="GP206" s="2">
        <f t="shared" si="266"/>
        <v>0</v>
      </c>
      <c r="GQ206" s="2"/>
      <c r="GR206" s="2">
        <v>0</v>
      </c>
      <c r="GS206" s="2">
        <v>3</v>
      </c>
      <c r="GT206" s="2">
        <v>0</v>
      </c>
      <c r="GU206" s="2" t="s">
        <v>4</v>
      </c>
      <c r="GV206" s="2">
        <f t="shared" si="267"/>
        <v>0</v>
      </c>
      <c r="GW206" s="2">
        <v>1</v>
      </c>
      <c r="GX206" s="2">
        <f t="shared" si="268"/>
        <v>0</v>
      </c>
      <c r="GY206" s="2"/>
      <c r="GZ206" s="2"/>
      <c r="HA206" s="2">
        <v>0</v>
      </c>
      <c r="HB206" s="2">
        <v>0</v>
      </c>
      <c r="HC206" s="2">
        <f t="shared" si="269"/>
        <v>0</v>
      </c>
      <c r="HD206" s="2"/>
      <c r="HE206" s="2" t="s">
        <v>4</v>
      </c>
      <c r="HF206" s="2" t="s">
        <v>4</v>
      </c>
      <c r="HG206" s="2"/>
      <c r="HH206" s="2"/>
      <c r="HI206" s="2"/>
      <c r="HJ206" s="2"/>
      <c r="HK206" s="2"/>
      <c r="HL206" s="2"/>
      <c r="HM206" s="2" t="s">
        <v>4</v>
      </c>
      <c r="HN206" s="2" t="s">
        <v>4</v>
      </c>
      <c r="HO206" s="2" t="s">
        <v>4</v>
      </c>
      <c r="HP206" s="2" t="s">
        <v>4</v>
      </c>
      <c r="HQ206" s="2" t="s">
        <v>4</v>
      </c>
      <c r="HR206" s="2"/>
      <c r="HS206" s="2"/>
      <c r="HT206" s="2"/>
      <c r="HU206" s="2"/>
      <c r="HV206" s="2"/>
      <c r="HW206" s="2"/>
      <c r="HX206" s="2"/>
      <c r="HY206" s="2"/>
      <c r="HZ206" s="2"/>
      <c r="IA206" s="2"/>
      <c r="IB206" s="2"/>
      <c r="IC206" s="2"/>
      <c r="ID206" s="2"/>
      <c r="IE206" s="2"/>
      <c r="IF206" s="2"/>
      <c r="IG206" s="2"/>
      <c r="IH206" s="2"/>
      <c r="II206" s="2"/>
      <c r="IJ206" s="2"/>
      <c r="IK206" s="2">
        <v>0</v>
      </c>
      <c r="IL206" s="2"/>
      <c r="IM206" s="2"/>
      <c r="IN206" s="2"/>
      <c r="IO206" s="2"/>
      <c r="IP206" s="2"/>
      <c r="IQ206" s="2"/>
      <c r="IR206" s="2"/>
      <c r="IS206" s="2"/>
      <c r="IT206" s="2"/>
      <c r="IU206" s="2"/>
    </row>
    <row r="207" spans="1:255">
      <c r="A207">
        <v>17</v>
      </c>
      <c r="B207">
        <v>1</v>
      </c>
      <c r="E207" t="s">
        <v>291</v>
      </c>
      <c r="F207" t="s">
        <v>223</v>
      </c>
      <c r="G207" t="s">
        <v>224</v>
      </c>
      <c r="H207" t="s">
        <v>209</v>
      </c>
      <c r="I207">
        <f>ROUND(I205*3*1.02/10,9)</f>
        <v>0.12239999999999999</v>
      </c>
      <c r="J207">
        <v>0</v>
      </c>
      <c r="K207">
        <f>ROUND(I205*3*1.02/10,9)</f>
        <v>0.12239999999999999</v>
      </c>
      <c r="O207">
        <f t="shared" si="232"/>
        <v>116044.4</v>
      </c>
      <c r="P207">
        <f t="shared" si="233"/>
        <v>116044.4</v>
      </c>
      <c r="Q207">
        <f t="shared" si="234"/>
        <v>0</v>
      </c>
      <c r="R207">
        <f t="shared" si="235"/>
        <v>0</v>
      </c>
      <c r="S207">
        <f t="shared" si="236"/>
        <v>0</v>
      </c>
      <c r="T207">
        <f t="shared" si="237"/>
        <v>0</v>
      </c>
      <c r="U207">
        <f t="shared" si="238"/>
        <v>0</v>
      </c>
      <c r="V207">
        <f t="shared" si="239"/>
        <v>0</v>
      </c>
      <c r="W207">
        <f t="shared" si="240"/>
        <v>0</v>
      </c>
      <c r="X207">
        <f t="shared" si="241"/>
        <v>0</v>
      </c>
      <c r="Y207">
        <f t="shared" si="242"/>
        <v>0</v>
      </c>
      <c r="AA207">
        <v>70305036</v>
      </c>
      <c r="AB207">
        <f t="shared" si="243"/>
        <v>109225.28</v>
      </c>
      <c r="AC207">
        <f t="shared" si="244"/>
        <v>109225.28</v>
      </c>
      <c r="AD207">
        <f t="shared" si="245"/>
        <v>0</v>
      </c>
      <c r="AE207">
        <f t="shared" si="246"/>
        <v>0</v>
      </c>
      <c r="AF207">
        <f t="shared" si="247"/>
        <v>0</v>
      </c>
      <c r="AG207">
        <f t="shared" si="248"/>
        <v>0</v>
      </c>
      <c r="AH207">
        <f t="shared" si="249"/>
        <v>0</v>
      </c>
      <c r="AI207">
        <f t="shared" si="250"/>
        <v>0</v>
      </c>
      <c r="AJ207">
        <f t="shared" si="251"/>
        <v>0</v>
      </c>
      <c r="AK207">
        <v>109225.28</v>
      </c>
      <c r="AL207">
        <v>109225.28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1</v>
      </c>
      <c r="AW207">
        <v>1</v>
      </c>
      <c r="AZ207">
        <v>1</v>
      </c>
      <c r="BA207">
        <v>1</v>
      </c>
      <c r="BB207">
        <v>1</v>
      </c>
      <c r="BC207">
        <v>8.68</v>
      </c>
      <c r="BD207" t="s">
        <v>4</v>
      </c>
      <c r="BE207" t="s">
        <v>4</v>
      </c>
      <c r="BF207" t="s">
        <v>4</v>
      </c>
      <c r="BG207" t="s">
        <v>4</v>
      </c>
      <c r="BH207">
        <v>3</v>
      </c>
      <c r="BI207">
        <v>2</v>
      </c>
      <c r="BJ207" t="s">
        <v>225</v>
      </c>
      <c r="BM207">
        <v>1618</v>
      </c>
      <c r="BN207">
        <v>0</v>
      </c>
      <c r="BO207" t="s">
        <v>223</v>
      </c>
      <c r="BP207">
        <v>1</v>
      </c>
      <c r="BQ207">
        <v>201</v>
      </c>
      <c r="BR207">
        <v>0</v>
      </c>
      <c r="BS207">
        <v>1</v>
      </c>
      <c r="BT207">
        <v>1</v>
      </c>
      <c r="BU207">
        <v>1</v>
      </c>
      <c r="BV207">
        <v>1</v>
      </c>
      <c r="BW207">
        <v>1</v>
      </c>
      <c r="BX207">
        <v>1</v>
      </c>
      <c r="BY207" t="s">
        <v>4</v>
      </c>
      <c r="BZ207">
        <v>0</v>
      </c>
      <c r="CA207">
        <v>0</v>
      </c>
      <c r="CB207" t="s">
        <v>4</v>
      </c>
      <c r="CE207">
        <v>30</v>
      </c>
      <c r="CF207">
        <v>0</v>
      </c>
      <c r="CG207">
        <v>0</v>
      </c>
      <c r="CM207">
        <v>0</v>
      </c>
      <c r="CN207" t="s">
        <v>4</v>
      </c>
      <c r="CO207">
        <v>0</v>
      </c>
      <c r="CP207">
        <f t="shared" si="252"/>
        <v>116044.4</v>
      </c>
      <c r="CQ207">
        <f t="shared" si="253"/>
        <v>948075.43</v>
      </c>
      <c r="CR207">
        <f t="shared" si="254"/>
        <v>0</v>
      </c>
      <c r="CS207">
        <f t="shared" si="255"/>
        <v>0</v>
      </c>
      <c r="CT207">
        <f t="shared" si="256"/>
        <v>0</v>
      </c>
      <c r="CU207">
        <f t="shared" si="257"/>
        <v>0</v>
      </c>
      <c r="CV207">
        <f t="shared" si="258"/>
        <v>0</v>
      </c>
      <c r="CW207">
        <f t="shared" si="259"/>
        <v>0</v>
      </c>
      <c r="CX207">
        <f t="shared" si="260"/>
        <v>0</v>
      </c>
      <c r="CY207">
        <f>S207*(BZ207/100)</f>
        <v>0</v>
      </c>
      <c r="CZ207">
        <f>S207*(CA207/100)</f>
        <v>0</v>
      </c>
      <c r="DC207" t="s">
        <v>4</v>
      </c>
      <c r="DD207" t="s">
        <v>4</v>
      </c>
      <c r="DE207" t="s">
        <v>4</v>
      </c>
      <c r="DF207" t="s">
        <v>4</v>
      </c>
      <c r="DG207" t="s">
        <v>4</v>
      </c>
      <c r="DH207" t="s">
        <v>4</v>
      </c>
      <c r="DI207" t="s">
        <v>4</v>
      </c>
      <c r="DJ207" t="s">
        <v>4</v>
      </c>
      <c r="DK207" t="s">
        <v>4</v>
      </c>
      <c r="DL207" t="s">
        <v>4</v>
      </c>
      <c r="DM207" t="s">
        <v>4</v>
      </c>
      <c r="DN207">
        <v>0</v>
      </c>
      <c r="DO207">
        <v>0</v>
      </c>
      <c r="DP207">
        <v>1</v>
      </c>
      <c r="DQ207">
        <v>1</v>
      </c>
      <c r="DU207">
        <v>1003</v>
      </c>
      <c r="DV207" t="s">
        <v>209</v>
      </c>
      <c r="DW207" t="s">
        <v>209</v>
      </c>
      <c r="DX207">
        <v>1000</v>
      </c>
      <c r="DZ207" t="s">
        <v>4</v>
      </c>
      <c r="EA207" t="s">
        <v>4</v>
      </c>
      <c r="EB207" t="s">
        <v>4</v>
      </c>
      <c r="EC207" t="s">
        <v>4</v>
      </c>
      <c r="EE207">
        <v>69254243</v>
      </c>
      <c r="EF207">
        <v>201</v>
      </c>
      <c r="EG207" t="s">
        <v>226</v>
      </c>
      <c r="EH207">
        <v>0</v>
      </c>
      <c r="EI207" t="s">
        <v>4</v>
      </c>
      <c r="EJ207">
        <v>2</v>
      </c>
      <c r="EK207">
        <v>1618</v>
      </c>
      <c r="EL207" t="s">
        <v>227</v>
      </c>
      <c r="EM207" t="s">
        <v>228</v>
      </c>
      <c r="EO207" t="s">
        <v>4</v>
      </c>
      <c r="EQ207">
        <v>0</v>
      </c>
      <c r="ER207">
        <v>109225.28</v>
      </c>
      <c r="ES207">
        <v>109225.28</v>
      </c>
      <c r="ET207">
        <v>0</v>
      </c>
      <c r="EU207">
        <v>0</v>
      </c>
      <c r="EV207">
        <v>0</v>
      </c>
      <c r="EW207">
        <v>0</v>
      </c>
      <c r="EX207">
        <v>0</v>
      </c>
      <c r="EY207">
        <v>0</v>
      </c>
      <c r="FQ207">
        <v>0</v>
      </c>
      <c r="FR207">
        <f t="shared" si="261"/>
        <v>0</v>
      </c>
      <c r="FS207">
        <v>0</v>
      </c>
      <c r="FX207">
        <v>0</v>
      </c>
      <c r="FY207">
        <v>0</v>
      </c>
      <c r="GA207" t="s">
        <v>4</v>
      </c>
      <c r="GD207">
        <v>0</v>
      </c>
      <c r="GF207">
        <v>241870239</v>
      </c>
      <c r="GG207">
        <v>2</v>
      </c>
      <c r="GH207">
        <v>1</v>
      </c>
      <c r="GI207">
        <v>2</v>
      </c>
      <c r="GJ207">
        <v>0</v>
      </c>
      <c r="GK207">
        <f>ROUND(R207*(S12)/100,2)</f>
        <v>0</v>
      </c>
      <c r="GL207">
        <f t="shared" si="262"/>
        <v>0</v>
      </c>
      <c r="GM207">
        <f t="shared" si="263"/>
        <v>116044.4</v>
      </c>
      <c r="GN207">
        <f t="shared" si="264"/>
        <v>0</v>
      </c>
      <c r="GO207">
        <f t="shared" si="265"/>
        <v>116044.4</v>
      </c>
      <c r="GP207">
        <f t="shared" si="266"/>
        <v>0</v>
      </c>
      <c r="GR207">
        <v>0</v>
      </c>
      <c r="GS207">
        <v>3</v>
      </c>
      <c r="GT207">
        <v>0</v>
      </c>
      <c r="GU207" t="s">
        <v>4</v>
      </c>
      <c r="GV207">
        <f t="shared" si="267"/>
        <v>0</v>
      </c>
      <c r="GW207">
        <v>1</v>
      </c>
      <c r="GX207">
        <f t="shared" si="268"/>
        <v>0</v>
      </c>
      <c r="HA207">
        <v>0</v>
      </c>
      <c r="HB207">
        <v>0</v>
      </c>
      <c r="HC207">
        <f t="shared" si="269"/>
        <v>0</v>
      </c>
      <c r="HE207" t="s">
        <v>4</v>
      </c>
      <c r="HF207" t="s">
        <v>4</v>
      </c>
      <c r="HM207" t="s">
        <v>4</v>
      </c>
      <c r="HN207" t="s">
        <v>4</v>
      </c>
      <c r="HO207" t="s">
        <v>4</v>
      </c>
      <c r="HP207" t="s">
        <v>4</v>
      </c>
      <c r="HQ207" t="s">
        <v>4</v>
      </c>
      <c r="IK207">
        <v>0</v>
      </c>
    </row>
    <row r="208" spans="1:255">
      <c r="A208" s="2">
        <v>17</v>
      </c>
      <c r="B208" s="2">
        <v>1</v>
      </c>
      <c r="C208" s="2">
        <f>ROW(SmtRes!A103)</f>
        <v>103</v>
      </c>
      <c r="D208" s="2">
        <f>ROW(EtalonRes!A336)</f>
        <v>336</v>
      </c>
      <c r="E208" s="2" t="s">
        <v>292</v>
      </c>
      <c r="F208" s="2" t="s">
        <v>293</v>
      </c>
      <c r="G208" s="2" t="s">
        <v>294</v>
      </c>
      <c r="H208" s="2" t="s">
        <v>265</v>
      </c>
      <c r="I208" s="2">
        <f>ROUND((1*2)*2,9)</f>
        <v>4</v>
      </c>
      <c r="J208" s="2">
        <v>0</v>
      </c>
      <c r="K208" s="2">
        <f>ROUND((1*2)*2/100,9)</f>
        <v>0.04</v>
      </c>
      <c r="L208" s="2"/>
      <c r="M208" s="2"/>
      <c r="N208" s="2"/>
      <c r="O208" s="2">
        <f t="shared" si="232"/>
        <v>225.56</v>
      </c>
      <c r="P208" s="2">
        <f t="shared" si="233"/>
        <v>9.8800000000000008</v>
      </c>
      <c r="Q208" s="2">
        <f t="shared" si="234"/>
        <v>0.08</v>
      </c>
      <c r="R208" s="2">
        <f t="shared" si="235"/>
        <v>0</v>
      </c>
      <c r="S208" s="2">
        <f t="shared" si="236"/>
        <v>215.6</v>
      </c>
      <c r="T208" s="2">
        <f t="shared" si="237"/>
        <v>0</v>
      </c>
      <c r="U208" s="2">
        <f t="shared" si="238"/>
        <v>14.825519999999999</v>
      </c>
      <c r="V208" s="2">
        <f t="shared" si="239"/>
        <v>0</v>
      </c>
      <c r="W208" s="2">
        <f t="shared" si="240"/>
        <v>0</v>
      </c>
      <c r="X208" s="2">
        <f t="shared" si="241"/>
        <v>241.47</v>
      </c>
      <c r="Y208" s="2">
        <f t="shared" si="242"/>
        <v>150.91999999999999</v>
      </c>
      <c r="Z208" s="2"/>
      <c r="AA208" s="2">
        <v>70305038</v>
      </c>
      <c r="AB208" s="2">
        <f t="shared" si="243"/>
        <v>53.97</v>
      </c>
      <c r="AC208" s="2">
        <f t="shared" si="244"/>
        <v>2.4700000000000002</v>
      </c>
      <c r="AD208" s="2">
        <f t="shared" si="245"/>
        <v>0.02</v>
      </c>
      <c r="AE208" s="2">
        <f t="shared" si="246"/>
        <v>0</v>
      </c>
      <c r="AF208" s="2">
        <f t="shared" si="247"/>
        <v>51.48</v>
      </c>
      <c r="AG208" s="2">
        <f t="shared" si="248"/>
        <v>0</v>
      </c>
      <c r="AH208" s="2">
        <f t="shared" si="249"/>
        <v>3.54</v>
      </c>
      <c r="AI208" s="2">
        <f t="shared" si="250"/>
        <v>0</v>
      </c>
      <c r="AJ208" s="2">
        <f t="shared" si="251"/>
        <v>0</v>
      </c>
      <c r="AK208" s="2">
        <v>53.97</v>
      </c>
      <c r="AL208" s="2">
        <v>2.4700000000000002</v>
      </c>
      <c r="AM208" s="2">
        <v>0.02</v>
      </c>
      <c r="AN208" s="2">
        <v>0</v>
      </c>
      <c r="AO208" s="2">
        <v>51.48</v>
      </c>
      <c r="AP208" s="2">
        <v>0</v>
      </c>
      <c r="AQ208" s="2">
        <v>3.54</v>
      </c>
      <c r="AR208" s="2">
        <v>0</v>
      </c>
      <c r="AS208" s="2">
        <v>0</v>
      </c>
      <c r="AT208" s="2">
        <v>112</v>
      </c>
      <c r="AU208" s="2">
        <v>70</v>
      </c>
      <c r="AV208" s="2">
        <v>1.0469999999999999</v>
      </c>
      <c r="AW208" s="2">
        <v>1</v>
      </c>
      <c r="AX208" s="2"/>
      <c r="AY208" s="2"/>
      <c r="AZ208" s="2">
        <v>1</v>
      </c>
      <c r="BA208" s="2">
        <v>1</v>
      </c>
      <c r="BB208" s="2">
        <v>1</v>
      </c>
      <c r="BC208" s="2">
        <v>1</v>
      </c>
      <c r="BD208" s="2" t="s">
        <v>4</v>
      </c>
      <c r="BE208" s="2" t="s">
        <v>4</v>
      </c>
      <c r="BF208" s="2" t="s">
        <v>4</v>
      </c>
      <c r="BG208" s="2" t="s">
        <v>4</v>
      </c>
      <c r="BH208" s="2">
        <v>0</v>
      </c>
      <c r="BI208" s="2">
        <v>2</v>
      </c>
      <c r="BJ208" s="2" t="s">
        <v>295</v>
      </c>
      <c r="BK208" s="2"/>
      <c r="BL208" s="2"/>
      <c r="BM208" s="2">
        <v>2135</v>
      </c>
      <c r="BN208" s="2">
        <v>0</v>
      </c>
      <c r="BO208" s="2" t="s">
        <v>4</v>
      </c>
      <c r="BP208" s="2">
        <v>0</v>
      </c>
      <c r="BQ208" s="2">
        <v>40</v>
      </c>
      <c r="BR208" s="2">
        <v>0</v>
      </c>
      <c r="BS208" s="2">
        <v>1</v>
      </c>
      <c r="BT208" s="2">
        <v>1</v>
      </c>
      <c r="BU208" s="2">
        <v>1</v>
      </c>
      <c r="BV208" s="2">
        <v>1</v>
      </c>
      <c r="BW208" s="2">
        <v>1</v>
      </c>
      <c r="BX208" s="2">
        <v>1</v>
      </c>
      <c r="BY208" s="2" t="s">
        <v>4</v>
      </c>
      <c r="BZ208" s="2">
        <v>112</v>
      </c>
      <c r="CA208" s="2">
        <v>70</v>
      </c>
      <c r="CB208" s="2" t="s">
        <v>4</v>
      </c>
      <c r="CC208" s="2"/>
      <c r="CD208" s="2"/>
      <c r="CE208" s="2">
        <v>30</v>
      </c>
      <c r="CF208" s="2">
        <v>0</v>
      </c>
      <c r="CG208" s="2">
        <v>0</v>
      </c>
      <c r="CH208" s="2"/>
      <c r="CI208" s="2"/>
      <c r="CJ208" s="2"/>
      <c r="CK208" s="2"/>
      <c r="CL208" s="2"/>
      <c r="CM208" s="2">
        <v>0</v>
      </c>
      <c r="CN208" s="2" t="s">
        <v>4</v>
      </c>
      <c r="CO208" s="2">
        <v>0</v>
      </c>
      <c r="CP208" s="2">
        <f t="shared" si="252"/>
        <v>225.56</v>
      </c>
      <c r="CQ208" s="2">
        <f t="shared" si="253"/>
        <v>2.4700000000000002</v>
      </c>
      <c r="CR208" s="2">
        <f t="shared" si="254"/>
        <v>0.02</v>
      </c>
      <c r="CS208" s="2">
        <f t="shared" si="255"/>
        <v>0</v>
      </c>
      <c r="CT208" s="2">
        <f t="shared" si="256"/>
        <v>53.9</v>
      </c>
      <c r="CU208" s="2">
        <f t="shared" si="257"/>
        <v>0</v>
      </c>
      <c r="CV208" s="2">
        <f t="shared" si="258"/>
        <v>3.7063799999999998</v>
      </c>
      <c r="CW208" s="2">
        <f t="shared" si="259"/>
        <v>0</v>
      </c>
      <c r="CX208" s="2">
        <f t="shared" si="260"/>
        <v>0</v>
      </c>
      <c r="CY208" s="2">
        <f>((S208*BZ208)/100)</f>
        <v>241.47200000000001</v>
      </c>
      <c r="CZ208" s="2">
        <f>((S208*CA208)/100)</f>
        <v>150.91999999999999</v>
      </c>
      <c r="DA208" s="2"/>
      <c r="DB208" s="2"/>
      <c r="DC208" s="2" t="s">
        <v>4</v>
      </c>
      <c r="DD208" s="2" t="s">
        <v>4</v>
      </c>
      <c r="DE208" s="2" t="s">
        <v>4</v>
      </c>
      <c r="DF208" s="2" t="s">
        <v>4</v>
      </c>
      <c r="DG208" s="2" t="s">
        <v>4</v>
      </c>
      <c r="DH208" s="2" t="s">
        <v>4</v>
      </c>
      <c r="DI208" s="2" t="s">
        <v>4</v>
      </c>
      <c r="DJ208" s="2" t="s">
        <v>4</v>
      </c>
      <c r="DK208" s="2" t="s">
        <v>4</v>
      </c>
      <c r="DL208" s="2" t="s">
        <v>4</v>
      </c>
      <c r="DM208" s="2" t="s">
        <v>4</v>
      </c>
      <c r="DN208" s="2">
        <v>0</v>
      </c>
      <c r="DO208" s="2">
        <v>0</v>
      </c>
      <c r="DP208" s="2">
        <v>1</v>
      </c>
      <c r="DQ208" s="2">
        <v>1</v>
      </c>
      <c r="DR208" s="2"/>
      <c r="DS208" s="2"/>
      <c r="DT208" s="2"/>
      <c r="DU208" s="2">
        <v>1013</v>
      </c>
      <c r="DV208" s="2" t="s">
        <v>265</v>
      </c>
      <c r="DW208" s="2" t="s">
        <v>265</v>
      </c>
      <c r="DX208" s="2">
        <v>1</v>
      </c>
      <c r="DY208" s="2"/>
      <c r="DZ208" s="2" t="s">
        <v>4</v>
      </c>
      <c r="EA208" s="2" t="s">
        <v>4</v>
      </c>
      <c r="EB208" s="2" t="s">
        <v>4</v>
      </c>
      <c r="EC208" s="2" t="s">
        <v>4</v>
      </c>
      <c r="ED208" s="2"/>
      <c r="EE208" s="2">
        <v>69254766</v>
      </c>
      <c r="EF208" s="2">
        <v>40</v>
      </c>
      <c r="EG208" s="2" t="s">
        <v>219</v>
      </c>
      <c r="EH208" s="2">
        <v>0</v>
      </c>
      <c r="EI208" s="2" t="s">
        <v>4</v>
      </c>
      <c r="EJ208" s="2">
        <v>2</v>
      </c>
      <c r="EK208" s="2">
        <v>2135</v>
      </c>
      <c r="EL208" s="2" t="s">
        <v>296</v>
      </c>
      <c r="EM208" s="2" t="s">
        <v>297</v>
      </c>
      <c r="EN208" s="2"/>
      <c r="EO208" s="2" t="s">
        <v>4</v>
      </c>
      <c r="EP208" s="2"/>
      <c r="EQ208" s="2">
        <v>131072</v>
      </c>
      <c r="ER208" s="2">
        <v>53.97</v>
      </c>
      <c r="ES208" s="2">
        <v>2.4700000000000002</v>
      </c>
      <c r="ET208" s="2">
        <v>0.02</v>
      </c>
      <c r="EU208" s="2">
        <v>0</v>
      </c>
      <c r="EV208" s="2">
        <v>51.48</v>
      </c>
      <c r="EW208" s="2">
        <v>3.54</v>
      </c>
      <c r="EX208" s="2">
        <v>0</v>
      </c>
      <c r="EY208" s="2">
        <v>0</v>
      </c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>
        <v>0</v>
      </c>
      <c r="FR208" s="2">
        <f t="shared" si="261"/>
        <v>0</v>
      </c>
      <c r="FS208" s="2">
        <v>0</v>
      </c>
      <c r="FT208" s="2"/>
      <c r="FU208" s="2"/>
      <c r="FV208" s="2"/>
      <c r="FW208" s="2"/>
      <c r="FX208" s="2">
        <v>112</v>
      </c>
      <c r="FY208" s="2">
        <v>70</v>
      </c>
      <c r="FZ208" s="2"/>
      <c r="GA208" s="2" t="s">
        <v>4</v>
      </c>
      <c r="GB208" s="2"/>
      <c r="GC208" s="2"/>
      <c r="GD208" s="2">
        <v>0</v>
      </c>
      <c r="GE208" s="2"/>
      <c r="GF208" s="2">
        <v>-945990116</v>
      </c>
      <c r="GG208" s="2">
        <v>2</v>
      </c>
      <c r="GH208" s="2">
        <v>1</v>
      </c>
      <c r="GI208" s="2">
        <v>-2</v>
      </c>
      <c r="GJ208" s="2">
        <v>0</v>
      </c>
      <c r="GK208" s="2">
        <f>ROUND(R208*(R12)/100,2)</f>
        <v>0</v>
      </c>
      <c r="GL208" s="2">
        <f t="shared" si="262"/>
        <v>0</v>
      </c>
      <c r="GM208" s="2">
        <f t="shared" si="263"/>
        <v>617.95000000000005</v>
      </c>
      <c r="GN208" s="2">
        <f t="shared" si="264"/>
        <v>0</v>
      </c>
      <c r="GO208" s="2">
        <f t="shared" si="265"/>
        <v>617.95000000000005</v>
      </c>
      <c r="GP208" s="2">
        <f t="shared" si="266"/>
        <v>0</v>
      </c>
      <c r="GQ208" s="2"/>
      <c r="GR208" s="2">
        <v>0</v>
      </c>
      <c r="GS208" s="2">
        <v>3</v>
      </c>
      <c r="GT208" s="2">
        <v>0</v>
      </c>
      <c r="GU208" s="2" t="s">
        <v>4</v>
      </c>
      <c r="GV208" s="2">
        <f t="shared" si="267"/>
        <v>0</v>
      </c>
      <c r="GW208" s="2">
        <v>1</v>
      </c>
      <c r="GX208" s="2">
        <f t="shared" si="268"/>
        <v>0</v>
      </c>
      <c r="GY208" s="2"/>
      <c r="GZ208" s="2"/>
      <c r="HA208" s="2">
        <v>0</v>
      </c>
      <c r="HB208" s="2">
        <v>0</v>
      </c>
      <c r="HC208" s="2">
        <f t="shared" si="269"/>
        <v>0</v>
      </c>
      <c r="HD208" s="2"/>
      <c r="HE208" s="2" t="s">
        <v>4</v>
      </c>
      <c r="HF208" s="2" t="s">
        <v>4</v>
      </c>
      <c r="HG208" s="2"/>
      <c r="HH208" s="2"/>
      <c r="HI208" s="2"/>
      <c r="HJ208" s="2"/>
      <c r="HK208" s="2"/>
      <c r="HL208" s="2"/>
      <c r="HM208" s="2" t="s">
        <v>4</v>
      </c>
      <c r="HN208" s="2" t="s">
        <v>4</v>
      </c>
      <c r="HO208" s="2" t="s">
        <v>4</v>
      </c>
      <c r="HP208" s="2" t="s">
        <v>4</v>
      </c>
      <c r="HQ208" s="2" t="s">
        <v>4</v>
      </c>
      <c r="HR208" s="2"/>
      <c r="HS208" s="2"/>
      <c r="HT208" s="2"/>
      <c r="HU208" s="2"/>
      <c r="HV208" s="2"/>
      <c r="HW208" s="2"/>
      <c r="HX208" s="2"/>
      <c r="HY208" s="2"/>
      <c r="HZ208" s="2"/>
      <c r="IA208" s="2"/>
      <c r="IB208" s="2"/>
      <c r="IC208" s="2"/>
      <c r="ID208" s="2"/>
      <c r="IE208" s="2"/>
      <c r="IF208" s="2"/>
      <c r="IG208" s="2"/>
      <c r="IH208" s="2"/>
      <c r="II208" s="2"/>
      <c r="IJ208" s="2"/>
      <c r="IK208" s="2">
        <v>0</v>
      </c>
      <c r="IL208" s="2"/>
      <c r="IM208" s="2"/>
      <c r="IN208" s="2"/>
      <c r="IO208" s="2"/>
      <c r="IP208" s="2"/>
      <c r="IQ208" s="2"/>
      <c r="IR208" s="2"/>
      <c r="IS208" s="2"/>
      <c r="IT208" s="2"/>
      <c r="IU208" s="2"/>
    </row>
    <row r="209" spans="1:255">
      <c r="A209">
        <v>17</v>
      </c>
      <c r="B209">
        <v>1</v>
      </c>
      <c r="C209">
        <f>ROW(SmtRes!A106)</f>
        <v>106</v>
      </c>
      <c r="D209">
        <f>ROW(EtalonRes!A340)</f>
        <v>340</v>
      </c>
      <c r="E209" t="s">
        <v>292</v>
      </c>
      <c r="F209" t="s">
        <v>293</v>
      </c>
      <c r="G209" t="s">
        <v>294</v>
      </c>
      <c r="H209" t="s">
        <v>265</v>
      </c>
      <c r="I209">
        <f>ROUND((1*2)*2,9)</f>
        <v>4</v>
      </c>
      <c r="J209">
        <v>0</v>
      </c>
      <c r="K209">
        <f>ROUND((1*2)*2/100,9)</f>
        <v>0.04</v>
      </c>
      <c r="O209">
        <f t="shared" si="232"/>
        <v>10158.450000000001</v>
      </c>
      <c r="P209">
        <f t="shared" si="233"/>
        <v>95.84</v>
      </c>
      <c r="Q209">
        <f t="shared" si="234"/>
        <v>0.56000000000000005</v>
      </c>
      <c r="R209">
        <f t="shared" si="235"/>
        <v>0</v>
      </c>
      <c r="S209">
        <f t="shared" si="236"/>
        <v>10062.049999999999</v>
      </c>
      <c r="T209">
        <f t="shared" si="237"/>
        <v>0</v>
      </c>
      <c r="U209">
        <f t="shared" si="238"/>
        <v>14.825519999999999</v>
      </c>
      <c r="V209">
        <f t="shared" si="239"/>
        <v>0</v>
      </c>
      <c r="W209">
        <f t="shared" si="240"/>
        <v>0</v>
      </c>
      <c r="X209">
        <f t="shared" si="241"/>
        <v>9257.09</v>
      </c>
      <c r="Y209">
        <f t="shared" si="242"/>
        <v>4326.68</v>
      </c>
      <c r="AA209">
        <v>70305036</v>
      </c>
      <c r="AB209">
        <f t="shared" si="243"/>
        <v>53.97</v>
      </c>
      <c r="AC209">
        <f t="shared" si="244"/>
        <v>2.4700000000000002</v>
      </c>
      <c r="AD209">
        <f t="shared" si="245"/>
        <v>0.02</v>
      </c>
      <c r="AE209">
        <f t="shared" si="246"/>
        <v>0</v>
      </c>
      <c r="AF209">
        <f t="shared" si="247"/>
        <v>51.48</v>
      </c>
      <c r="AG209">
        <f t="shared" si="248"/>
        <v>0</v>
      </c>
      <c r="AH209">
        <f t="shared" si="249"/>
        <v>3.54</v>
      </c>
      <c r="AI209">
        <f t="shared" si="250"/>
        <v>0</v>
      </c>
      <c r="AJ209">
        <f t="shared" si="251"/>
        <v>0</v>
      </c>
      <c r="AK209">
        <v>53.97</v>
      </c>
      <c r="AL209">
        <v>2.4700000000000002</v>
      </c>
      <c r="AM209">
        <v>0.02</v>
      </c>
      <c r="AN209">
        <v>0</v>
      </c>
      <c r="AO209">
        <v>51.48</v>
      </c>
      <c r="AP209">
        <v>0</v>
      </c>
      <c r="AQ209">
        <v>3.54</v>
      </c>
      <c r="AR209">
        <v>0</v>
      </c>
      <c r="AS209">
        <v>0</v>
      </c>
      <c r="AT209">
        <v>92</v>
      </c>
      <c r="AU209">
        <v>43</v>
      </c>
      <c r="AV209">
        <v>1.0469999999999999</v>
      </c>
      <c r="AW209">
        <v>1</v>
      </c>
      <c r="AZ209">
        <v>1</v>
      </c>
      <c r="BA209">
        <v>46.67</v>
      </c>
      <c r="BB209">
        <v>7</v>
      </c>
      <c r="BC209">
        <v>9.6999999999999993</v>
      </c>
      <c r="BD209" t="s">
        <v>4</v>
      </c>
      <c r="BE209" t="s">
        <v>4</v>
      </c>
      <c r="BF209" t="s">
        <v>4</v>
      </c>
      <c r="BG209" t="s">
        <v>4</v>
      </c>
      <c r="BH209">
        <v>0</v>
      </c>
      <c r="BI209">
        <v>2</v>
      </c>
      <c r="BJ209" t="s">
        <v>295</v>
      </c>
      <c r="BM209">
        <v>2135</v>
      </c>
      <c r="BN209">
        <v>0</v>
      </c>
      <c r="BO209" t="s">
        <v>293</v>
      </c>
      <c r="BP209">
        <v>1</v>
      </c>
      <c r="BQ209">
        <v>40</v>
      </c>
      <c r="BR209">
        <v>0</v>
      </c>
      <c r="BS209">
        <v>46.67</v>
      </c>
      <c r="BT209">
        <v>1</v>
      </c>
      <c r="BU209">
        <v>1</v>
      </c>
      <c r="BV209">
        <v>1</v>
      </c>
      <c r="BW209">
        <v>1</v>
      </c>
      <c r="BX209">
        <v>1</v>
      </c>
      <c r="BY209" t="s">
        <v>4</v>
      </c>
      <c r="BZ209">
        <v>92</v>
      </c>
      <c r="CA209">
        <v>43</v>
      </c>
      <c r="CB209" t="s">
        <v>4</v>
      </c>
      <c r="CE209">
        <v>30</v>
      </c>
      <c r="CF209">
        <v>0</v>
      </c>
      <c r="CG209">
        <v>0</v>
      </c>
      <c r="CM209">
        <v>0</v>
      </c>
      <c r="CN209" t="s">
        <v>4</v>
      </c>
      <c r="CO209">
        <v>0</v>
      </c>
      <c r="CP209">
        <f t="shared" si="252"/>
        <v>10158.449999999999</v>
      </c>
      <c r="CQ209">
        <f t="shared" si="253"/>
        <v>23.96</v>
      </c>
      <c r="CR209">
        <f t="shared" si="254"/>
        <v>0.14000000000000001</v>
      </c>
      <c r="CS209">
        <f t="shared" si="255"/>
        <v>0</v>
      </c>
      <c r="CT209">
        <f t="shared" si="256"/>
        <v>2515.5100000000002</v>
      </c>
      <c r="CU209">
        <f t="shared" si="257"/>
        <v>0</v>
      </c>
      <c r="CV209">
        <f t="shared" si="258"/>
        <v>3.7063799999999998</v>
      </c>
      <c r="CW209">
        <f t="shared" si="259"/>
        <v>0</v>
      </c>
      <c r="CX209">
        <f t="shared" si="260"/>
        <v>0</v>
      </c>
      <c r="CY209">
        <f>S209*(BZ209/100)</f>
        <v>9257.0859999999993</v>
      </c>
      <c r="CZ209">
        <f>S209*(CA209/100)</f>
        <v>4326.6814999999997</v>
      </c>
      <c r="DC209" t="s">
        <v>4</v>
      </c>
      <c r="DD209" t="s">
        <v>4</v>
      </c>
      <c r="DE209" t="s">
        <v>4</v>
      </c>
      <c r="DF209" t="s">
        <v>4</v>
      </c>
      <c r="DG209" t="s">
        <v>4</v>
      </c>
      <c r="DH209" t="s">
        <v>4</v>
      </c>
      <c r="DI209" t="s">
        <v>4</v>
      </c>
      <c r="DJ209" t="s">
        <v>4</v>
      </c>
      <c r="DK209" t="s">
        <v>4</v>
      </c>
      <c r="DL209" t="s">
        <v>4</v>
      </c>
      <c r="DM209" t="s">
        <v>4</v>
      </c>
      <c r="DN209">
        <v>112</v>
      </c>
      <c r="DO209">
        <v>70</v>
      </c>
      <c r="DP209">
        <v>1.0469999999999999</v>
      </c>
      <c r="DQ209">
        <v>1</v>
      </c>
      <c r="DU209">
        <v>1013</v>
      </c>
      <c r="DV209" t="s">
        <v>265</v>
      </c>
      <c r="DW209" t="s">
        <v>265</v>
      </c>
      <c r="DX209">
        <v>1</v>
      </c>
      <c r="DZ209" t="s">
        <v>4</v>
      </c>
      <c r="EA209" t="s">
        <v>4</v>
      </c>
      <c r="EB209" t="s">
        <v>4</v>
      </c>
      <c r="EC209" t="s">
        <v>4</v>
      </c>
      <c r="EE209">
        <v>69254766</v>
      </c>
      <c r="EF209">
        <v>40</v>
      </c>
      <c r="EG209" t="s">
        <v>219</v>
      </c>
      <c r="EH209">
        <v>0</v>
      </c>
      <c r="EI209" t="s">
        <v>4</v>
      </c>
      <c r="EJ209">
        <v>2</v>
      </c>
      <c r="EK209">
        <v>2135</v>
      </c>
      <c r="EL209" t="s">
        <v>296</v>
      </c>
      <c r="EM209" t="s">
        <v>297</v>
      </c>
      <c r="EO209" t="s">
        <v>4</v>
      </c>
      <c r="EQ209">
        <v>131072</v>
      </c>
      <c r="ER209">
        <v>53.97</v>
      </c>
      <c r="ES209">
        <v>2.4700000000000002</v>
      </c>
      <c r="ET209">
        <v>0.02</v>
      </c>
      <c r="EU209">
        <v>0</v>
      </c>
      <c r="EV209">
        <v>51.48</v>
      </c>
      <c r="EW209">
        <v>3.54</v>
      </c>
      <c r="EX209">
        <v>0</v>
      </c>
      <c r="EY209">
        <v>0</v>
      </c>
      <c r="FQ209">
        <v>0</v>
      </c>
      <c r="FR209">
        <f t="shared" si="261"/>
        <v>0</v>
      </c>
      <c r="FS209">
        <v>0</v>
      </c>
      <c r="FX209">
        <v>112</v>
      </c>
      <c r="FY209">
        <v>70</v>
      </c>
      <c r="GA209" t="s">
        <v>4</v>
      </c>
      <c r="GD209">
        <v>0</v>
      </c>
      <c r="GF209">
        <v>-945990116</v>
      </c>
      <c r="GG209">
        <v>2</v>
      </c>
      <c r="GH209">
        <v>1</v>
      </c>
      <c r="GI209">
        <v>2</v>
      </c>
      <c r="GJ209">
        <v>0</v>
      </c>
      <c r="GK209">
        <f>ROUND(R209*(S12)/100,2)</f>
        <v>0</v>
      </c>
      <c r="GL209">
        <f t="shared" si="262"/>
        <v>0</v>
      </c>
      <c r="GM209">
        <f t="shared" si="263"/>
        <v>23742.22</v>
      </c>
      <c r="GN209">
        <f t="shared" si="264"/>
        <v>0</v>
      </c>
      <c r="GO209">
        <f t="shared" si="265"/>
        <v>23742.22</v>
      </c>
      <c r="GP209">
        <f t="shared" si="266"/>
        <v>0</v>
      </c>
      <c r="GR209">
        <v>0</v>
      </c>
      <c r="GS209">
        <v>3</v>
      </c>
      <c r="GT209">
        <v>0</v>
      </c>
      <c r="GU209" t="s">
        <v>4</v>
      </c>
      <c r="GV209">
        <f t="shared" si="267"/>
        <v>0</v>
      </c>
      <c r="GW209">
        <v>1</v>
      </c>
      <c r="GX209">
        <f t="shared" si="268"/>
        <v>0</v>
      </c>
      <c r="HA209">
        <v>0</v>
      </c>
      <c r="HB209">
        <v>0</v>
      </c>
      <c r="HC209">
        <f t="shared" si="269"/>
        <v>0</v>
      </c>
      <c r="HE209" t="s">
        <v>4</v>
      </c>
      <c r="HF209" t="s">
        <v>4</v>
      </c>
      <c r="HM209" t="s">
        <v>4</v>
      </c>
      <c r="HN209" t="s">
        <v>4</v>
      </c>
      <c r="HO209" t="s">
        <v>4</v>
      </c>
      <c r="HP209" t="s">
        <v>4</v>
      </c>
      <c r="HQ209" t="s">
        <v>4</v>
      </c>
      <c r="IK209">
        <v>0</v>
      </c>
    </row>
    <row r="210" spans="1:255">
      <c r="A210" s="2">
        <v>17</v>
      </c>
      <c r="B210" s="2">
        <v>1</v>
      </c>
      <c r="C210" s="2"/>
      <c r="D210" s="2"/>
      <c r="E210" s="2" t="s">
        <v>298</v>
      </c>
      <c r="F210" s="2" t="s">
        <v>299</v>
      </c>
      <c r="G210" s="2" t="s">
        <v>300</v>
      </c>
      <c r="H210" s="2" t="s">
        <v>237</v>
      </c>
      <c r="I210" s="2">
        <f>ROUND(4,9)</f>
        <v>4</v>
      </c>
      <c r="J210" s="2">
        <v>0</v>
      </c>
      <c r="K210" s="2">
        <f>ROUND(4,9)</f>
        <v>4</v>
      </c>
      <c r="L210" s="2"/>
      <c r="M210" s="2"/>
      <c r="N210" s="2"/>
      <c r="O210" s="2">
        <f t="shared" si="232"/>
        <v>12948.96</v>
      </c>
      <c r="P210" s="2">
        <f t="shared" si="233"/>
        <v>12948.96</v>
      </c>
      <c r="Q210" s="2">
        <f t="shared" si="234"/>
        <v>0</v>
      </c>
      <c r="R210" s="2">
        <f t="shared" si="235"/>
        <v>0</v>
      </c>
      <c r="S210" s="2">
        <f t="shared" si="236"/>
        <v>0</v>
      </c>
      <c r="T210" s="2">
        <f t="shared" si="237"/>
        <v>0</v>
      </c>
      <c r="U210" s="2">
        <f t="shared" si="238"/>
        <v>0</v>
      </c>
      <c r="V210" s="2">
        <f t="shared" si="239"/>
        <v>0</v>
      </c>
      <c r="W210" s="2">
        <f t="shared" si="240"/>
        <v>0</v>
      </c>
      <c r="X210" s="2">
        <f t="shared" si="241"/>
        <v>0</v>
      </c>
      <c r="Y210" s="2">
        <f t="shared" si="242"/>
        <v>0</v>
      </c>
      <c r="Z210" s="2"/>
      <c r="AA210" s="2">
        <v>70305038</v>
      </c>
      <c r="AB210" s="2">
        <f t="shared" si="243"/>
        <v>3237.24</v>
      </c>
      <c r="AC210" s="2">
        <f t="shared" si="244"/>
        <v>3237.24</v>
      </c>
      <c r="AD210" s="2">
        <f t="shared" si="245"/>
        <v>0</v>
      </c>
      <c r="AE210" s="2">
        <f t="shared" si="246"/>
        <v>0</v>
      </c>
      <c r="AF210" s="2">
        <f t="shared" si="247"/>
        <v>0</v>
      </c>
      <c r="AG210" s="2">
        <f t="shared" si="248"/>
        <v>0</v>
      </c>
      <c r="AH210" s="2">
        <f t="shared" si="249"/>
        <v>0</v>
      </c>
      <c r="AI210" s="2">
        <f t="shared" si="250"/>
        <v>0</v>
      </c>
      <c r="AJ210" s="2">
        <f t="shared" si="251"/>
        <v>0</v>
      </c>
      <c r="AK210" s="2">
        <v>3237.24</v>
      </c>
      <c r="AL210" s="2">
        <v>3237.24</v>
      </c>
      <c r="AM210" s="2">
        <v>0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1</v>
      </c>
      <c r="AW210" s="2">
        <v>1</v>
      </c>
      <c r="AX210" s="2"/>
      <c r="AY210" s="2"/>
      <c r="AZ210" s="2">
        <v>1</v>
      </c>
      <c r="BA210" s="2">
        <v>1</v>
      </c>
      <c r="BB210" s="2">
        <v>1</v>
      </c>
      <c r="BC210" s="2">
        <v>1</v>
      </c>
      <c r="BD210" s="2" t="s">
        <v>4</v>
      </c>
      <c r="BE210" s="2" t="s">
        <v>4</v>
      </c>
      <c r="BF210" s="2" t="s">
        <v>4</v>
      </c>
      <c r="BG210" s="2" t="s">
        <v>4</v>
      </c>
      <c r="BH210" s="2">
        <v>3</v>
      </c>
      <c r="BI210" s="2">
        <v>2</v>
      </c>
      <c r="BJ210" s="2" t="s">
        <v>301</v>
      </c>
      <c r="BK210" s="2"/>
      <c r="BL210" s="2"/>
      <c r="BM210" s="2">
        <v>1618</v>
      </c>
      <c r="BN210" s="2">
        <v>0</v>
      </c>
      <c r="BO210" s="2" t="s">
        <v>4</v>
      </c>
      <c r="BP210" s="2">
        <v>0</v>
      </c>
      <c r="BQ210" s="2">
        <v>201</v>
      </c>
      <c r="BR210" s="2">
        <v>0</v>
      </c>
      <c r="BS210" s="2">
        <v>1</v>
      </c>
      <c r="BT210" s="2">
        <v>1</v>
      </c>
      <c r="BU210" s="2">
        <v>1</v>
      </c>
      <c r="BV210" s="2">
        <v>1</v>
      </c>
      <c r="BW210" s="2">
        <v>1</v>
      </c>
      <c r="BX210" s="2">
        <v>1</v>
      </c>
      <c r="BY210" s="2" t="s">
        <v>4</v>
      </c>
      <c r="BZ210" s="2">
        <v>0</v>
      </c>
      <c r="CA210" s="2">
        <v>0</v>
      </c>
      <c r="CB210" s="2" t="s">
        <v>4</v>
      </c>
      <c r="CC210" s="2"/>
      <c r="CD210" s="2"/>
      <c r="CE210" s="2">
        <v>30</v>
      </c>
      <c r="CF210" s="2">
        <v>0</v>
      </c>
      <c r="CG210" s="2">
        <v>0</v>
      </c>
      <c r="CH210" s="2"/>
      <c r="CI210" s="2"/>
      <c r="CJ210" s="2"/>
      <c r="CK210" s="2"/>
      <c r="CL210" s="2"/>
      <c r="CM210" s="2">
        <v>0</v>
      </c>
      <c r="CN210" s="2" t="s">
        <v>4</v>
      </c>
      <c r="CO210" s="2">
        <v>0</v>
      </c>
      <c r="CP210" s="2">
        <f t="shared" si="252"/>
        <v>12948.96</v>
      </c>
      <c r="CQ210" s="2">
        <f t="shared" si="253"/>
        <v>3237.24</v>
      </c>
      <c r="CR210" s="2">
        <f t="shared" si="254"/>
        <v>0</v>
      </c>
      <c r="CS210" s="2">
        <f t="shared" si="255"/>
        <v>0</v>
      </c>
      <c r="CT210" s="2">
        <f t="shared" si="256"/>
        <v>0</v>
      </c>
      <c r="CU210" s="2">
        <f t="shared" si="257"/>
        <v>0</v>
      </c>
      <c r="CV210" s="2">
        <f t="shared" si="258"/>
        <v>0</v>
      </c>
      <c r="CW210" s="2">
        <f t="shared" si="259"/>
        <v>0</v>
      </c>
      <c r="CX210" s="2">
        <f t="shared" si="260"/>
        <v>0</v>
      </c>
      <c r="CY210" s="2">
        <f>((S210*BZ210)/100)</f>
        <v>0</v>
      </c>
      <c r="CZ210" s="2">
        <f>((S210*CA210)/100)</f>
        <v>0</v>
      </c>
      <c r="DA210" s="2"/>
      <c r="DB210" s="2"/>
      <c r="DC210" s="2" t="s">
        <v>4</v>
      </c>
      <c r="DD210" s="2" t="s">
        <v>4</v>
      </c>
      <c r="DE210" s="2" t="s">
        <v>4</v>
      </c>
      <c r="DF210" s="2" t="s">
        <v>4</v>
      </c>
      <c r="DG210" s="2" t="s">
        <v>4</v>
      </c>
      <c r="DH210" s="2" t="s">
        <v>4</v>
      </c>
      <c r="DI210" s="2" t="s">
        <v>4</v>
      </c>
      <c r="DJ210" s="2" t="s">
        <v>4</v>
      </c>
      <c r="DK210" s="2" t="s">
        <v>4</v>
      </c>
      <c r="DL210" s="2" t="s">
        <v>4</v>
      </c>
      <c r="DM210" s="2" t="s">
        <v>4</v>
      </c>
      <c r="DN210" s="2">
        <v>0</v>
      </c>
      <c r="DO210" s="2">
        <v>0</v>
      </c>
      <c r="DP210" s="2">
        <v>1</v>
      </c>
      <c r="DQ210" s="2">
        <v>1</v>
      </c>
      <c r="DR210" s="2"/>
      <c r="DS210" s="2"/>
      <c r="DT210" s="2"/>
      <c r="DU210" s="2">
        <v>1013</v>
      </c>
      <c r="DV210" s="2" t="s">
        <v>237</v>
      </c>
      <c r="DW210" s="2" t="s">
        <v>237</v>
      </c>
      <c r="DX210" s="2">
        <v>1</v>
      </c>
      <c r="DY210" s="2"/>
      <c r="DZ210" s="2" t="s">
        <v>4</v>
      </c>
      <c r="EA210" s="2" t="s">
        <v>4</v>
      </c>
      <c r="EB210" s="2" t="s">
        <v>4</v>
      </c>
      <c r="EC210" s="2" t="s">
        <v>4</v>
      </c>
      <c r="ED210" s="2"/>
      <c r="EE210" s="2">
        <v>69254243</v>
      </c>
      <c r="EF210" s="2">
        <v>201</v>
      </c>
      <c r="EG210" s="2" t="s">
        <v>226</v>
      </c>
      <c r="EH210" s="2">
        <v>0</v>
      </c>
      <c r="EI210" s="2" t="s">
        <v>4</v>
      </c>
      <c r="EJ210" s="2">
        <v>2</v>
      </c>
      <c r="EK210" s="2">
        <v>1618</v>
      </c>
      <c r="EL210" s="2" t="s">
        <v>227</v>
      </c>
      <c r="EM210" s="2" t="s">
        <v>228</v>
      </c>
      <c r="EN210" s="2"/>
      <c r="EO210" s="2" t="s">
        <v>4</v>
      </c>
      <c r="EP210" s="2"/>
      <c r="EQ210" s="2">
        <v>0</v>
      </c>
      <c r="ER210" s="2">
        <v>3237.24</v>
      </c>
      <c r="ES210" s="2">
        <v>3237.24</v>
      </c>
      <c r="ET210" s="2">
        <v>0</v>
      </c>
      <c r="EU210" s="2">
        <v>0</v>
      </c>
      <c r="EV210" s="2">
        <v>0</v>
      </c>
      <c r="EW210" s="2">
        <v>0</v>
      </c>
      <c r="EX210" s="2">
        <v>0</v>
      </c>
      <c r="EY210" s="2">
        <v>0</v>
      </c>
      <c r="EZ210" s="2"/>
      <c r="FA210" s="2"/>
      <c r="FB210" s="2"/>
      <c r="FC210" s="2"/>
      <c r="FD210" s="2"/>
      <c r="FE210" s="2"/>
      <c r="FF210" s="2"/>
      <c r="FG210" s="2"/>
      <c r="FH210" s="2"/>
      <c r="FI210" s="2"/>
      <c r="FJ210" s="2"/>
      <c r="FK210" s="2"/>
      <c r="FL210" s="2"/>
      <c r="FM210" s="2"/>
      <c r="FN210" s="2"/>
      <c r="FO210" s="2"/>
      <c r="FP210" s="2"/>
      <c r="FQ210" s="2">
        <v>0</v>
      </c>
      <c r="FR210" s="2">
        <f t="shared" si="261"/>
        <v>0</v>
      </c>
      <c r="FS210" s="2">
        <v>0</v>
      </c>
      <c r="FT210" s="2"/>
      <c r="FU210" s="2"/>
      <c r="FV210" s="2"/>
      <c r="FW210" s="2"/>
      <c r="FX210" s="2">
        <v>0</v>
      </c>
      <c r="FY210" s="2">
        <v>0</v>
      </c>
      <c r="FZ210" s="2"/>
      <c r="GA210" s="2" t="s">
        <v>4</v>
      </c>
      <c r="GB210" s="2"/>
      <c r="GC210" s="2"/>
      <c r="GD210" s="2">
        <v>0</v>
      </c>
      <c r="GE210" s="2"/>
      <c r="GF210" s="2">
        <v>-1438135659</v>
      </c>
      <c r="GG210" s="2">
        <v>2</v>
      </c>
      <c r="GH210" s="2">
        <v>1</v>
      </c>
      <c r="GI210" s="2">
        <v>-2</v>
      </c>
      <c r="GJ210" s="2">
        <v>0</v>
      </c>
      <c r="GK210" s="2">
        <f>ROUND(R210*(R12)/100,2)</f>
        <v>0</v>
      </c>
      <c r="GL210" s="2">
        <f t="shared" si="262"/>
        <v>0</v>
      </c>
      <c r="GM210" s="2">
        <f t="shared" si="263"/>
        <v>12948.96</v>
      </c>
      <c r="GN210" s="2">
        <f t="shared" si="264"/>
        <v>0</v>
      </c>
      <c r="GO210" s="2">
        <f t="shared" si="265"/>
        <v>12948.96</v>
      </c>
      <c r="GP210" s="2">
        <f t="shared" si="266"/>
        <v>0</v>
      </c>
      <c r="GQ210" s="2"/>
      <c r="GR210" s="2">
        <v>0</v>
      </c>
      <c r="GS210" s="2">
        <v>0</v>
      </c>
      <c r="GT210" s="2">
        <v>0</v>
      </c>
      <c r="GU210" s="2" t="s">
        <v>4</v>
      </c>
      <c r="GV210" s="2">
        <f t="shared" si="267"/>
        <v>0</v>
      </c>
      <c r="GW210" s="2">
        <v>1</v>
      </c>
      <c r="GX210" s="2">
        <f t="shared" si="268"/>
        <v>0</v>
      </c>
      <c r="GY210" s="2"/>
      <c r="GZ210" s="2"/>
      <c r="HA210" s="2">
        <v>0</v>
      </c>
      <c r="HB210" s="2">
        <v>0</v>
      </c>
      <c r="HC210" s="2">
        <f t="shared" si="269"/>
        <v>0</v>
      </c>
      <c r="HD210" s="2"/>
      <c r="HE210" s="2" t="s">
        <v>4</v>
      </c>
      <c r="HF210" s="2" t="s">
        <v>4</v>
      </c>
      <c r="HG210" s="2"/>
      <c r="HH210" s="2"/>
      <c r="HI210" s="2"/>
      <c r="HJ210" s="2"/>
      <c r="HK210" s="2"/>
      <c r="HL210" s="2"/>
      <c r="HM210" s="2" t="s">
        <v>4</v>
      </c>
      <c r="HN210" s="2" t="s">
        <v>4</v>
      </c>
      <c r="HO210" s="2" t="s">
        <v>4</v>
      </c>
      <c r="HP210" s="2" t="s">
        <v>4</v>
      </c>
      <c r="HQ210" s="2" t="s">
        <v>4</v>
      </c>
      <c r="HR210" s="2"/>
      <c r="HS210" s="2"/>
      <c r="HT210" s="2"/>
      <c r="HU210" s="2"/>
      <c r="HV210" s="2"/>
      <c r="HW210" s="2"/>
      <c r="HX210" s="2"/>
      <c r="HY210" s="2"/>
      <c r="HZ210" s="2"/>
      <c r="IA210" s="2"/>
      <c r="IB210" s="2"/>
      <c r="IC210" s="2"/>
      <c r="ID210" s="2"/>
      <c r="IE210" s="2"/>
      <c r="IF210" s="2"/>
      <c r="IG210" s="2"/>
      <c r="IH210" s="2"/>
      <c r="II210" s="2"/>
      <c r="IJ210" s="2"/>
      <c r="IK210" s="2">
        <v>0</v>
      </c>
      <c r="IL210" s="2"/>
      <c r="IM210" s="2"/>
      <c r="IN210" s="2"/>
      <c r="IO210" s="2"/>
      <c r="IP210" s="2"/>
      <c r="IQ210" s="2"/>
      <c r="IR210" s="2"/>
      <c r="IS210" s="2"/>
      <c r="IT210" s="2"/>
      <c r="IU210" s="2"/>
    </row>
    <row r="211" spans="1:255">
      <c r="A211">
        <v>17</v>
      </c>
      <c r="B211">
        <v>1</v>
      </c>
      <c r="E211" t="s">
        <v>298</v>
      </c>
      <c r="F211" t="s">
        <v>299</v>
      </c>
      <c r="G211" t="s">
        <v>300</v>
      </c>
      <c r="H211" t="s">
        <v>237</v>
      </c>
      <c r="I211">
        <f>ROUND(4,9)</f>
        <v>4</v>
      </c>
      <c r="J211">
        <v>0</v>
      </c>
      <c r="K211">
        <f>ROUND(4,9)</f>
        <v>4</v>
      </c>
      <c r="O211">
        <f t="shared" si="232"/>
        <v>78729.679999999993</v>
      </c>
      <c r="P211">
        <f t="shared" si="233"/>
        <v>78729.679999999993</v>
      </c>
      <c r="Q211">
        <f t="shared" si="234"/>
        <v>0</v>
      </c>
      <c r="R211">
        <f t="shared" si="235"/>
        <v>0</v>
      </c>
      <c r="S211">
        <f t="shared" si="236"/>
        <v>0</v>
      </c>
      <c r="T211">
        <f t="shared" si="237"/>
        <v>0</v>
      </c>
      <c r="U211">
        <f t="shared" si="238"/>
        <v>0</v>
      </c>
      <c r="V211">
        <f t="shared" si="239"/>
        <v>0</v>
      </c>
      <c r="W211">
        <f t="shared" si="240"/>
        <v>0</v>
      </c>
      <c r="X211">
        <f t="shared" si="241"/>
        <v>0</v>
      </c>
      <c r="Y211">
        <f t="shared" si="242"/>
        <v>0</v>
      </c>
      <c r="AA211">
        <v>70305036</v>
      </c>
      <c r="AB211">
        <f t="shared" si="243"/>
        <v>3237.24</v>
      </c>
      <c r="AC211">
        <f t="shared" si="244"/>
        <v>3237.24</v>
      </c>
      <c r="AD211">
        <f t="shared" si="245"/>
        <v>0</v>
      </c>
      <c r="AE211">
        <f t="shared" si="246"/>
        <v>0</v>
      </c>
      <c r="AF211">
        <f t="shared" si="247"/>
        <v>0</v>
      </c>
      <c r="AG211">
        <f t="shared" si="248"/>
        <v>0</v>
      </c>
      <c r="AH211">
        <f t="shared" si="249"/>
        <v>0</v>
      </c>
      <c r="AI211">
        <f t="shared" si="250"/>
        <v>0</v>
      </c>
      <c r="AJ211">
        <f t="shared" si="251"/>
        <v>0</v>
      </c>
      <c r="AK211">
        <v>3237.24</v>
      </c>
      <c r="AL211">
        <v>3237.24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1</v>
      </c>
      <c r="AW211">
        <v>1</v>
      </c>
      <c r="AZ211">
        <v>1</v>
      </c>
      <c r="BA211">
        <v>1</v>
      </c>
      <c r="BB211">
        <v>1</v>
      </c>
      <c r="BC211">
        <v>6.08</v>
      </c>
      <c r="BD211" t="s">
        <v>4</v>
      </c>
      <c r="BE211" t="s">
        <v>4</v>
      </c>
      <c r="BF211" t="s">
        <v>4</v>
      </c>
      <c r="BG211" t="s">
        <v>4</v>
      </c>
      <c r="BH211">
        <v>3</v>
      </c>
      <c r="BI211">
        <v>2</v>
      </c>
      <c r="BJ211" t="s">
        <v>301</v>
      </c>
      <c r="BM211">
        <v>1618</v>
      </c>
      <c r="BN211">
        <v>0</v>
      </c>
      <c r="BO211" t="s">
        <v>299</v>
      </c>
      <c r="BP211">
        <v>1</v>
      </c>
      <c r="BQ211">
        <v>201</v>
      </c>
      <c r="BR211">
        <v>0</v>
      </c>
      <c r="BS211">
        <v>1</v>
      </c>
      <c r="BT211">
        <v>1</v>
      </c>
      <c r="BU211">
        <v>1</v>
      </c>
      <c r="BV211">
        <v>1</v>
      </c>
      <c r="BW211">
        <v>1</v>
      </c>
      <c r="BX211">
        <v>1</v>
      </c>
      <c r="BY211" t="s">
        <v>4</v>
      </c>
      <c r="BZ211">
        <v>0</v>
      </c>
      <c r="CA211">
        <v>0</v>
      </c>
      <c r="CB211" t="s">
        <v>4</v>
      </c>
      <c r="CE211">
        <v>30</v>
      </c>
      <c r="CF211">
        <v>0</v>
      </c>
      <c r="CG211">
        <v>0</v>
      </c>
      <c r="CM211">
        <v>0</v>
      </c>
      <c r="CN211" t="s">
        <v>4</v>
      </c>
      <c r="CO211">
        <v>0</v>
      </c>
      <c r="CP211">
        <f t="shared" si="252"/>
        <v>78729.679999999993</v>
      </c>
      <c r="CQ211">
        <f t="shared" si="253"/>
        <v>19682.419999999998</v>
      </c>
      <c r="CR211">
        <f t="shared" si="254"/>
        <v>0</v>
      </c>
      <c r="CS211">
        <f t="shared" si="255"/>
        <v>0</v>
      </c>
      <c r="CT211">
        <f t="shared" si="256"/>
        <v>0</v>
      </c>
      <c r="CU211">
        <f t="shared" si="257"/>
        <v>0</v>
      </c>
      <c r="CV211">
        <f t="shared" si="258"/>
        <v>0</v>
      </c>
      <c r="CW211">
        <f t="shared" si="259"/>
        <v>0</v>
      </c>
      <c r="CX211">
        <f t="shared" si="260"/>
        <v>0</v>
      </c>
      <c r="CY211">
        <f>S211*(BZ211/100)</f>
        <v>0</v>
      </c>
      <c r="CZ211">
        <f>S211*(CA211/100)</f>
        <v>0</v>
      </c>
      <c r="DC211" t="s">
        <v>4</v>
      </c>
      <c r="DD211" t="s">
        <v>4</v>
      </c>
      <c r="DE211" t="s">
        <v>4</v>
      </c>
      <c r="DF211" t="s">
        <v>4</v>
      </c>
      <c r="DG211" t="s">
        <v>4</v>
      </c>
      <c r="DH211" t="s">
        <v>4</v>
      </c>
      <c r="DI211" t="s">
        <v>4</v>
      </c>
      <c r="DJ211" t="s">
        <v>4</v>
      </c>
      <c r="DK211" t="s">
        <v>4</v>
      </c>
      <c r="DL211" t="s">
        <v>4</v>
      </c>
      <c r="DM211" t="s">
        <v>4</v>
      </c>
      <c r="DN211">
        <v>0</v>
      </c>
      <c r="DO211">
        <v>0</v>
      </c>
      <c r="DP211">
        <v>1</v>
      </c>
      <c r="DQ211">
        <v>1</v>
      </c>
      <c r="DU211">
        <v>1013</v>
      </c>
      <c r="DV211" t="s">
        <v>237</v>
      </c>
      <c r="DW211" t="s">
        <v>237</v>
      </c>
      <c r="DX211">
        <v>1</v>
      </c>
      <c r="DZ211" t="s">
        <v>4</v>
      </c>
      <c r="EA211" t="s">
        <v>4</v>
      </c>
      <c r="EB211" t="s">
        <v>4</v>
      </c>
      <c r="EC211" t="s">
        <v>4</v>
      </c>
      <c r="EE211">
        <v>69254243</v>
      </c>
      <c r="EF211">
        <v>201</v>
      </c>
      <c r="EG211" t="s">
        <v>226</v>
      </c>
      <c r="EH211">
        <v>0</v>
      </c>
      <c r="EI211" t="s">
        <v>4</v>
      </c>
      <c r="EJ211">
        <v>2</v>
      </c>
      <c r="EK211">
        <v>1618</v>
      </c>
      <c r="EL211" t="s">
        <v>227</v>
      </c>
      <c r="EM211" t="s">
        <v>228</v>
      </c>
      <c r="EO211" t="s">
        <v>4</v>
      </c>
      <c r="EQ211">
        <v>0</v>
      </c>
      <c r="ER211">
        <v>3237.24</v>
      </c>
      <c r="ES211">
        <v>3237.24</v>
      </c>
      <c r="ET211">
        <v>0</v>
      </c>
      <c r="EU211">
        <v>0</v>
      </c>
      <c r="EV211">
        <v>0</v>
      </c>
      <c r="EW211">
        <v>0</v>
      </c>
      <c r="EX211">
        <v>0</v>
      </c>
      <c r="EY211">
        <v>0</v>
      </c>
      <c r="FQ211">
        <v>0</v>
      </c>
      <c r="FR211">
        <f t="shared" si="261"/>
        <v>0</v>
      </c>
      <c r="FS211">
        <v>0</v>
      </c>
      <c r="FX211">
        <v>0</v>
      </c>
      <c r="FY211">
        <v>0</v>
      </c>
      <c r="GA211" t="s">
        <v>4</v>
      </c>
      <c r="GD211">
        <v>0</v>
      </c>
      <c r="GF211">
        <v>-1438135659</v>
      </c>
      <c r="GG211">
        <v>2</v>
      </c>
      <c r="GH211">
        <v>1</v>
      </c>
      <c r="GI211">
        <v>2</v>
      </c>
      <c r="GJ211">
        <v>0</v>
      </c>
      <c r="GK211">
        <f>ROUND(R211*(S12)/100,2)</f>
        <v>0</v>
      </c>
      <c r="GL211">
        <f t="shared" si="262"/>
        <v>0</v>
      </c>
      <c r="GM211">
        <f t="shared" si="263"/>
        <v>78729.679999999993</v>
      </c>
      <c r="GN211">
        <f t="shared" si="264"/>
        <v>0</v>
      </c>
      <c r="GO211">
        <f t="shared" si="265"/>
        <v>78729.679999999993</v>
      </c>
      <c r="GP211">
        <f t="shared" si="266"/>
        <v>0</v>
      </c>
      <c r="GR211">
        <v>0</v>
      </c>
      <c r="GS211">
        <v>3</v>
      </c>
      <c r="GT211">
        <v>0</v>
      </c>
      <c r="GU211" t="s">
        <v>4</v>
      </c>
      <c r="GV211">
        <f t="shared" si="267"/>
        <v>0</v>
      </c>
      <c r="GW211">
        <v>1</v>
      </c>
      <c r="GX211">
        <f t="shared" si="268"/>
        <v>0</v>
      </c>
      <c r="HA211">
        <v>0</v>
      </c>
      <c r="HB211">
        <v>0</v>
      </c>
      <c r="HC211">
        <f t="shared" si="269"/>
        <v>0</v>
      </c>
      <c r="HE211" t="s">
        <v>4</v>
      </c>
      <c r="HF211" t="s">
        <v>4</v>
      </c>
      <c r="HM211" t="s">
        <v>4</v>
      </c>
      <c r="HN211" t="s">
        <v>4</v>
      </c>
      <c r="HO211" t="s">
        <v>4</v>
      </c>
      <c r="HP211" t="s">
        <v>4</v>
      </c>
      <c r="HQ211" t="s">
        <v>4</v>
      </c>
      <c r="IK211">
        <v>0</v>
      </c>
    </row>
    <row r="212" spans="1:255">
      <c r="A212" s="2">
        <v>17</v>
      </c>
      <c r="B212" s="2">
        <v>1</v>
      </c>
      <c r="C212" s="2"/>
      <c r="D212" s="2"/>
      <c r="E212" s="2" t="s">
        <v>4</v>
      </c>
      <c r="F212" s="2" t="s">
        <v>302</v>
      </c>
      <c r="G212" s="2" t="s">
        <v>303</v>
      </c>
      <c r="H212" s="2" t="s">
        <v>304</v>
      </c>
      <c r="I212" s="2">
        <v>1</v>
      </c>
      <c r="J212" s="2">
        <v>0</v>
      </c>
      <c r="K212" s="2">
        <v>1</v>
      </c>
      <c r="L212" s="2"/>
      <c r="M212" s="2"/>
      <c r="N212" s="2"/>
      <c r="O212" s="2">
        <f t="shared" si="232"/>
        <v>0</v>
      </c>
      <c r="P212" s="2">
        <f t="shared" si="233"/>
        <v>0</v>
      </c>
      <c r="Q212" s="2">
        <f t="shared" si="234"/>
        <v>0</v>
      </c>
      <c r="R212" s="2">
        <f t="shared" si="235"/>
        <v>0</v>
      </c>
      <c r="S212" s="2">
        <f t="shared" si="236"/>
        <v>0</v>
      </c>
      <c r="T212" s="2">
        <f t="shared" si="237"/>
        <v>0</v>
      </c>
      <c r="U212" s="2">
        <f t="shared" si="238"/>
        <v>0</v>
      </c>
      <c r="V212" s="2">
        <f t="shared" si="239"/>
        <v>0</v>
      </c>
      <c r="W212" s="2">
        <f t="shared" si="240"/>
        <v>0</v>
      </c>
      <c r="X212" s="2">
        <f t="shared" si="241"/>
        <v>0</v>
      </c>
      <c r="Y212" s="2">
        <f t="shared" si="242"/>
        <v>0</v>
      </c>
      <c r="Z212" s="2"/>
      <c r="AA212" s="2">
        <v>-1</v>
      </c>
      <c r="AB212" s="2">
        <f t="shared" si="243"/>
        <v>0</v>
      </c>
      <c r="AC212" s="2">
        <f t="shared" si="244"/>
        <v>0</v>
      </c>
      <c r="AD212" s="2">
        <f t="shared" si="245"/>
        <v>0</v>
      </c>
      <c r="AE212" s="2">
        <f t="shared" si="246"/>
        <v>0</v>
      </c>
      <c r="AF212" s="2">
        <f t="shared" si="247"/>
        <v>0</v>
      </c>
      <c r="AG212" s="2">
        <f t="shared" si="248"/>
        <v>0</v>
      </c>
      <c r="AH212" s="2">
        <f t="shared" si="249"/>
        <v>0</v>
      </c>
      <c r="AI212" s="2">
        <f t="shared" si="250"/>
        <v>0</v>
      </c>
      <c r="AJ212" s="2">
        <f t="shared" si="251"/>
        <v>0</v>
      </c>
      <c r="AK212" s="2">
        <v>0</v>
      </c>
      <c r="AL212" s="2">
        <v>0</v>
      </c>
      <c r="AM212" s="2">
        <v>0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1</v>
      </c>
      <c r="AW212" s="2">
        <v>1</v>
      </c>
      <c r="AX212" s="2"/>
      <c r="AY212" s="2"/>
      <c r="AZ212" s="2">
        <v>1</v>
      </c>
      <c r="BA212" s="2">
        <v>1</v>
      </c>
      <c r="BB212" s="2">
        <v>1</v>
      </c>
      <c r="BC212" s="2">
        <v>1</v>
      </c>
      <c r="BD212" s="2" t="s">
        <v>4</v>
      </c>
      <c r="BE212" s="2" t="s">
        <v>4</v>
      </c>
      <c r="BF212" s="2" t="s">
        <v>4</v>
      </c>
      <c r="BG212" s="2" t="s">
        <v>4</v>
      </c>
      <c r="BH212" s="2">
        <v>3</v>
      </c>
      <c r="BI212" s="2">
        <v>1</v>
      </c>
      <c r="BJ212" s="2" t="s">
        <v>4</v>
      </c>
      <c r="BK212" s="2"/>
      <c r="BL212" s="2"/>
      <c r="BM212" s="2">
        <v>400002</v>
      </c>
      <c r="BN212" s="2">
        <v>0</v>
      </c>
      <c r="BO212" s="2" t="s">
        <v>4</v>
      </c>
      <c r="BP212" s="2">
        <v>0</v>
      </c>
      <c r="BQ212" s="2">
        <v>202</v>
      </c>
      <c r="BR212" s="2">
        <v>0</v>
      </c>
      <c r="BS212" s="2">
        <v>1</v>
      </c>
      <c r="BT212" s="2">
        <v>1</v>
      </c>
      <c r="BU212" s="2">
        <v>1</v>
      </c>
      <c r="BV212" s="2">
        <v>1</v>
      </c>
      <c r="BW212" s="2">
        <v>1</v>
      </c>
      <c r="BX212" s="2">
        <v>1</v>
      </c>
      <c r="BY212" s="2" t="s">
        <v>4</v>
      </c>
      <c r="BZ212" s="2">
        <v>0</v>
      </c>
      <c r="CA212" s="2">
        <v>0</v>
      </c>
      <c r="CB212" s="2" t="s">
        <v>4</v>
      </c>
      <c r="CC212" s="2"/>
      <c r="CD212" s="2"/>
      <c r="CE212" s="2">
        <v>30</v>
      </c>
      <c r="CF212" s="2">
        <v>0</v>
      </c>
      <c r="CG212" s="2">
        <v>0</v>
      </c>
      <c r="CH212" s="2"/>
      <c r="CI212" s="2"/>
      <c r="CJ212" s="2"/>
      <c r="CK212" s="2"/>
      <c r="CL212" s="2"/>
      <c r="CM212" s="2">
        <v>0</v>
      </c>
      <c r="CN212" s="2" t="s">
        <v>4</v>
      </c>
      <c r="CO212" s="2">
        <v>0</v>
      </c>
      <c r="CP212" s="2">
        <f t="shared" si="252"/>
        <v>0</v>
      </c>
      <c r="CQ212" s="2">
        <f t="shared" si="253"/>
        <v>0</v>
      </c>
      <c r="CR212" s="2">
        <f t="shared" si="254"/>
        <v>0</v>
      </c>
      <c r="CS212" s="2">
        <f t="shared" si="255"/>
        <v>0</v>
      </c>
      <c r="CT212" s="2">
        <f t="shared" si="256"/>
        <v>0</v>
      </c>
      <c r="CU212" s="2">
        <f t="shared" si="257"/>
        <v>0</v>
      </c>
      <c r="CV212" s="2">
        <f t="shared" si="258"/>
        <v>0</v>
      </c>
      <c r="CW212" s="2">
        <f t="shared" si="259"/>
        <v>0</v>
      </c>
      <c r="CX212" s="2">
        <f t="shared" si="260"/>
        <v>0</v>
      </c>
      <c r="CY212" s="2">
        <f>((S212*BZ212)/100)</f>
        <v>0</v>
      </c>
      <c r="CZ212" s="2">
        <f>((S212*CA212)/100)</f>
        <v>0</v>
      </c>
      <c r="DA212" s="2"/>
      <c r="DB212" s="2"/>
      <c r="DC212" s="2" t="s">
        <v>4</v>
      </c>
      <c r="DD212" s="2" t="s">
        <v>4</v>
      </c>
      <c r="DE212" s="2" t="s">
        <v>4</v>
      </c>
      <c r="DF212" s="2" t="s">
        <v>4</v>
      </c>
      <c r="DG212" s="2" t="s">
        <v>4</v>
      </c>
      <c r="DH212" s="2" t="s">
        <v>4</v>
      </c>
      <c r="DI212" s="2" t="s">
        <v>4</v>
      </c>
      <c r="DJ212" s="2" t="s">
        <v>4</v>
      </c>
      <c r="DK212" s="2" t="s">
        <v>4</v>
      </c>
      <c r="DL212" s="2" t="s">
        <v>4</v>
      </c>
      <c r="DM212" s="2" t="s">
        <v>4</v>
      </c>
      <c r="DN212" s="2">
        <v>0</v>
      </c>
      <c r="DO212" s="2">
        <v>0</v>
      </c>
      <c r="DP212" s="2">
        <v>1</v>
      </c>
      <c r="DQ212" s="2">
        <v>1</v>
      </c>
      <c r="DR212" s="2"/>
      <c r="DS212" s="2"/>
      <c r="DT212" s="2"/>
      <c r="DU212" s="2">
        <v>1013</v>
      </c>
      <c r="DV212" s="2" t="s">
        <v>304</v>
      </c>
      <c r="DW212" s="2" t="s">
        <v>304</v>
      </c>
      <c r="DX212" s="2">
        <v>1</v>
      </c>
      <c r="DY212" s="2"/>
      <c r="DZ212" s="2" t="s">
        <v>4</v>
      </c>
      <c r="EA212" s="2" t="s">
        <v>4</v>
      </c>
      <c r="EB212" s="2" t="s">
        <v>4</v>
      </c>
      <c r="EC212" s="2" t="s">
        <v>4</v>
      </c>
      <c r="ED212" s="2"/>
      <c r="EE212" s="2">
        <v>69254592</v>
      </c>
      <c r="EF212" s="2">
        <v>202</v>
      </c>
      <c r="EG212" s="2" t="s">
        <v>210</v>
      </c>
      <c r="EH212" s="2">
        <v>0</v>
      </c>
      <c r="EI212" s="2" t="s">
        <v>4</v>
      </c>
      <c r="EJ212" s="2">
        <v>1</v>
      </c>
      <c r="EK212" s="2">
        <v>400002</v>
      </c>
      <c r="EL212" s="2" t="s">
        <v>211</v>
      </c>
      <c r="EM212" s="2" t="s">
        <v>210</v>
      </c>
      <c r="EN212" s="2"/>
      <c r="EO212" s="2" t="s">
        <v>4</v>
      </c>
      <c r="EP212" s="2"/>
      <c r="EQ212" s="2">
        <v>1024</v>
      </c>
      <c r="ER212" s="2">
        <v>0</v>
      </c>
      <c r="ES212" s="2">
        <v>0</v>
      </c>
      <c r="ET212" s="2">
        <v>0</v>
      </c>
      <c r="EU212" s="2">
        <v>0</v>
      </c>
      <c r="EV212" s="2">
        <v>0</v>
      </c>
      <c r="EW212" s="2">
        <v>0</v>
      </c>
      <c r="EX212" s="2">
        <v>0</v>
      </c>
      <c r="EY212" s="2">
        <v>0</v>
      </c>
      <c r="EZ212" s="2"/>
      <c r="FA212" s="2"/>
      <c r="FB212" s="2"/>
      <c r="FC212" s="2"/>
      <c r="FD212" s="2"/>
      <c r="FE212" s="2"/>
      <c r="FF212" s="2"/>
      <c r="FG212" s="2"/>
      <c r="FH212" s="2"/>
      <c r="FI212" s="2"/>
      <c r="FJ212" s="2"/>
      <c r="FK212" s="2"/>
      <c r="FL212" s="2"/>
      <c r="FM212" s="2"/>
      <c r="FN212" s="2"/>
      <c r="FO212" s="2"/>
      <c r="FP212" s="2"/>
      <c r="FQ212" s="2">
        <v>0</v>
      </c>
      <c r="FR212" s="2">
        <f t="shared" si="261"/>
        <v>0</v>
      </c>
      <c r="FS212" s="2">
        <v>0</v>
      </c>
      <c r="FT212" s="2"/>
      <c r="FU212" s="2"/>
      <c r="FV212" s="2"/>
      <c r="FW212" s="2"/>
      <c r="FX212" s="2">
        <v>0</v>
      </c>
      <c r="FY212" s="2">
        <v>0</v>
      </c>
      <c r="FZ212" s="2"/>
      <c r="GA212" s="2" t="s">
        <v>4</v>
      </c>
      <c r="GB212" s="2"/>
      <c r="GC212" s="2"/>
      <c r="GD212" s="2">
        <v>0</v>
      </c>
      <c r="GE212" s="2"/>
      <c r="GF212" s="2">
        <v>1350637602</v>
      </c>
      <c r="GG212" s="2">
        <v>2</v>
      </c>
      <c r="GH212" s="2">
        <v>0</v>
      </c>
      <c r="GI212" s="2">
        <v>-2</v>
      </c>
      <c r="GJ212" s="2">
        <v>0</v>
      </c>
      <c r="GK212" s="2">
        <f>ROUND(R212*(R12)/100,2)</f>
        <v>0</v>
      </c>
      <c r="GL212" s="2">
        <f t="shared" si="262"/>
        <v>0</v>
      </c>
      <c r="GM212" s="2">
        <f t="shared" si="263"/>
        <v>0</v>
      </c>
      <c r="GN212" s="2">
        <f t="shared" si="264"/>
        <v>0</v>
      </c>
      <c r="GO212" s="2">
        <f t="shared" si="265"/>
        <v>0</v>
      </c>
      <c r="GP212" s="2">
        <f t="shared" si="266"/>
        <v>0</v>
      </c>
      <c r="GQ212" s="2"/>
      <c r="GR212" s="2">
        <v>0</v>
      </c>
      <c r="GS212" s="2">
        <v>0</v>
      </c>
      <c r="GT212" s="2">
        <v>0</v>
      </c>
      <c r="GU212" s="2" t="s">
        <v>4</v>
      </c>
      <c r="GV212" s="2">
        <f t="shared" si="267"/>
        <v>0</v>
      </c>
      <c r="GW212" s="2">
        <v>1</v>
      </c>
      <c r="GX212" s="2">
        <f t="shared" si="268"/>
        <v>0</v>
      </c>
      <c r="GY212" s="2"/>
      <c r="GZ212" s="2"/>
      <c r="HA212" s="2">
        <v>0</v>
      </c>
      <c r="HB212" s="2">
        <v>0</v>
      </c>
      <c r="HC212" s="2">
        <f t="shared" si="269"/>
        <v>0</v>
      </c>
      <c r="HD212" s="2"/>
      <c r="HE212" s="2" t="s">
        <v>4</v>
      </c>
      <c r="HF212" s="2" t="s">
        <v>4</v>
      </c>
      <c r="HG212" s="2"/>
      <c r="HH212" s="2"/>
      <c r="HI212" s="2"/>
      <c r="HJ212" s="2"/>
      <c r="HK212" s="2"/>
      <c r="HL212" s="2"/>
      <c r="HM212" s="2" t="s">
        <v>4</v>
      </c>
      <c r="HN212" s="2" t="s">
        <v>4</v>
      </c>
      <c r="HO212" s="2" t="s">
        <v>4</v>
      </c>
      <c r="HP212" s="2" t="s">
        <v>4</v>
      </c>
      <c r="HQ212" s="2" t="s">
        <v>4</v>
      </c>
      <c r="HR212" s="2"/>
      <c r="HS212" s="2"/>
      <c r="HT212" s="2"/>
      <c r="HU212" s="2"/>
      <c r="HV212" s="2"/>
      <c r="HW212" s="2"/>
      <c r="HX212" s="2"/>
      <c r="HY212" s="2"/>
      <c r="HZ212" s="2"/>
      <c r="IA212" s="2"/>
      <c r="IB212" s="2"/>
      <c r="IC212" s="2"/>
      <c r="ID212" s="2"/>
      <c r="IE212" s="2"/>
      <c r="IF212" s="2"/>
      <c r="IG212" s="2"/>
      <c r="IH212" s="2"/>
      <c r="II212" s="2"/>
      <c r="IJ212" s="2"/>
      <c r="IK212" s="2">
        <v>0</v>
      </c>
      <c r="IL212" s="2"/>
      <c r="IM212" s="2"/>
      <c r="IN212" s="2"/>
      <c r="IO212" s="2"/>
      <c r="IP212" s="2"/>
      <c r="IQ212" s="2"/>
      <c r="IR212" s="2"/>
      <c r="IS212" s="2"/>
      <c r="IT212" s="2"/>
      <c r="IU212" s="2"/>
    </row>
    <row r="213" spans="1:255">
      <c r="A213">
        <v>17</v>
      </c>
      <c r="B213">
        <v>1</v>
      </c>
      <c r="E213" t="s">
        <v>4</v>
      </c>
      <c r="F213" t="s">
        <v>302</v>
      </c>
      <c r="G213" t="s">
        <v>303</v>
      </c>
      <c r="H213" t="s">
        <v>304</v>
      </c>
      <c r="I213">
        <v>1</v>
      </c>
      <c r="J213">
        <v>0</v>
      </c>
      <c r="K213">
        <v>1</v>
      </c>
      <c r="O213">
        <f t="shared" si="232"/>
        <v>0</v>
      </c>
      <c r="P213">
        <f t="shared" si="233"/>
        <v>0</v>
      </c>
      <c r="Q213">
        <f t="shared" si="234"/>
        <v>0</v>
      </c>
      <c r="R213">
        <f t="shared" si="235"/>
        <v>0</v>
      </c>
      <c r="S213">
        <f t="shared" si="236"/>
        <v>0</v>
      </c>
      <c r="T213">
        <f t="shared" si="237"/>
        <v>0</v>
      </c>
      <c r="U213">
        <f t="shared" si="238"/>
        <v>0</v>
      </c>
      <c r="V213">
        <f t="shared" si="239"/>
        <v>0</v>
      </c>
      <c r="W213">
        <f t="shared" si="240"/>
        <v>0</v>
      </c>
      <c r="X213">
        <f t="shared" si="241"/>
        <v>0</v>
      </c>
      <c r="Y213">
        <f t="shared" si="242"/>
        <v>0</v>
      </c>
      <c r="AA213">
        <v>-1</v>
      </c>
      <c r="AB213">
        <f t="shared" si="243"/>
        <v>0</v>
      </c>
      <c r="AC213">
        <f t="shared" si="244"/>
        <v>0</v>
      </c>
      <c r="AD213">
        <f t="shared" si="245"/>
        <v>0</v>
      </c>
      <c r="AE213">
        <f t="shared" si="246"/>
        <v>0</v>
      </c>
      <c r="AF213">
        <f t="shared" si="247"/>
        <v>0</v>
      </c>
      <c r="AG213">
        <f t="shared" si="248"/>
        <v>0</v>
      </c>
      <c r="AH213">
        <f t="shared" si="249"/>
        <v>0</v>
      </c>
      <c r="AI213">
        <f t="shared" si="250"/>
        <v>0</v>
      </c>
      <c r="AJ213">
        <f t="shared" si="251"/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1</v>
      </c>
      <c r="AW213">
        <v>1</v>
      </c>
      <c r="AZ213">
        <v>1</v>
      </c>
      <c r="BA213">
        <v>1</v>
      </c>
      <c r="BB213">
        <v>1</v>
      </c>
      <c r="BC213">
        <v>1</v>
      </c>
      <c r="BD213" t="s">
        <v>4</v>
      </c>
      <c r="BE213" t="s">
        <v>4</v>
      </c>
      <c r="BF213" t="s">
        <v>4</v>
      </c>
      <c r="BG213" t="s">
        <v>4</v>
      </c>
      <c r="BH213">
        <v>3</v>
      </c>
      <c r="BI213">
        <v>1</v>
      </c>
      <c r="BJ213" t="s">
        <v>4</v>
      </c>
      <c r="BM213">
        <v>400002</v>
      </c>
      <c r="BN213">
        <v>0</v>
      </c>
      <c r="BO213" t="s">
        <v>4</v>
      </c>
      <c r="BP213">
        <v>0</v>
      </c>
      <c r="BQ213">
        <v>202</v>
      </c>
      <c r="BR213">
        <v>0</v>
      </c>
      <c r="BS213">
        <v>1</v>
      </c>
      <c r="BT213">
        <v>1</v>
      </c>
      <c r="BU213">
        <v>1</v>
      </c>
      <c r="BV213">
        <v>1</v>
      </c>
      <c r="BW213">
        <v>1</v>
      </c>
      <c r="BX213">
        <v>1</v>
      </c>
      <c r="BY213" t="s">
        <v>4</v>
      </c>
      <c r="BZ213">
        <v>0</v>
      </c>
      <c r="CA213">
        <v>0</v>
      </c>
      <c r="CB213" t="s">
        <v>4</v>
      </c>
      <c r="CE213">
        <v>30</v>
      </c>
      <c r="CF213">
        <v>0</v>
      </c>
      <c r="CG213">
        <v>0</v>
      </c>
      <c r="CM213">
        <v>0</v>
      </c>
      <c r="CN213" t="s">
        <v>4</v>
      </c>
      <c r="CO213">
        <v>0</v>
      </c>
      <c r="CP213">
        <f t="shared" si="252"/>
        <v>0</v>
      </c>
      <c r="CQ213">
        <f t="shared" si="253"/>
        <v>0</v>
      </c>
      <c r="CR213">
        <f t="shared" si="254"/>
        <v>0</v>
      </c>
      <c r="CS213">
        <f t="shared" si="255"/>
        <v>0</v>
      </c>
      <c r="CT213">
        <f t="shared" si="256"/>
        <v>0</v>
      </c>
      <c r="CU213">
        <f t="shared" si="257"/>
        <v>0</v>
      </c>
      <c r="CV213">
        <f t="shared" si="258"/>
        <v>0</v>
      </c>
      <c r="CW213">
        <f t="shared" si="259"/>
        <v>0</v>
      </c>
      <c r="CX213">
        <f t="shared" si="260"/>
        <v>0</v>
      </c>
      <c r="CY213">
        <f>S213*(BZ213/100)</f>
        <v>0</v>
      </c>
      <c r="CZ213">
        <f>S213*(CA213/100)</f>
        <v>0</v>
      </c>
      <c r="DC213" t="s">
        <v>4</v>
      </c>
      <c r="DD213" t="s">
        <v>4</v>
      </c>
      <c r="DE213" t="s">
        <v>4</v>
      </c>
      <c r="DF213" t="s">
        <v>4</v>
      </c>
      <c r="DG213" t="s">
        <v>4</v>
      </c>
      <c r="DH213" t="s">
        <v>4</v>
      </c>
      <c r="DI213" t="s">
        <v>4</v>
      </c>
      <c r="DJ213" t="s">
        <v>4</v>
      </c>
      <c r="DK213" t="s">
        <v>4</v>
      </c>
      <c r="DL213" t="s">
        <v>4</v>
      </c>
      <c r="DM213" t="s">
        <v>4</v>
      </c>
      <c r="DN213">
        <v>0</v>
      </c>
      <c r="DO213">
        <v>0</v>
      </c>
      <c r="DP213">
        <v>1</v>
      </c>
      <c r="DQ213">
        <v>1</v>
      </c>
      <c r="DU213">
        <v>1013</v>
      </c>
      <c r="DV213" t="s">
        <v>304</v>
      </c>
      <c r="DW213" t="s">
        <v>304</v>
      </c>
      <c r="DX213">
        <v>1</v>
      </c>
      <c r="DZ213" t="s">
        <v>4</v>
      </c>
      <c r="EA213" t="s">
        <v>4</v>
      </c>
      <c r="EB213" t="s">
        <v>4</v>
      </c>
      <c r="EC213" t="s">
        <v>4</v>
      </c>
      <c r="EE213">
        <v>69254592</v>
      </c>
      <c r="EF213">
        <v>202</v>
      </c>
      <c r="EG213" t="s">
        <v>210</v>
      </c>
      <c r="EH213">
        <v>0</v>
      </c>
      <c r="EI213" t="s">
        <v>4</v>
      </c>
      <c r="EJ213">
        <v>1</v>
      </c>
      <c r="EK213">
        <v>400002</v>
      </c>
      <c r="EL213" t="s">
        <v>211</v>
      </c>
      <c r="EM213" t="s">
        <v>210</v>
      </c>
      <c r="EO213" t="s">
        <v>4</v>
      </c>
      <c r="EQ213">
        <v>1024</v>
      </c>
      <c r="ER213">
        <v>0</v>
      </c>
      <c r="ES213">
        <v>0</v>
      </c>
      <c r="ET213">
        <v>0</v>
      </c>
      <c r="EU213">
        <v>0</v>
      </c>
      <c r="EV213">
        <v>0</v>
      </c>
      <c r="EW213">
        <v>0</v>
      </c>
      <c r="EX213">
        <v>0</v>
      </c>
      <c r="EY213">
        <v>0</v>
      </c>
      <c r="FQ213">
        <v>0</v>
      </c>
      <c r="FR213">
        <f t="shared" si="261"/>
        <v>0</v>
      </c>
      <c r="FS213">
        <v>0</v>
      </c>
      <c r="FX213">
        <v>0</v>
      </c>
      <c r="FY213">
        <v>0</v>
      </c>
      <c r="GA213" t="s">
        <v>4</v>
      </c>
      <c r="GD213">
        <v>0</v>
      </c>
      <c r="GF213">
        <v>1350637602</v>
      </c>
      <c r="GG213">
        <v>2</v>
      </c>
      <c r="GH213">
        <v>0</v>
      </c>
      <c r="GI213">
        <v>-2</v>
      </c>
      <c r="GJ213">
        <v>0</v>
      </c>
      <c r="GK213">
        <f>ROUND(R213*(S12)/100,2)</f>
        <v>0</v>
      </c>
      <c r="GL213">
        <f t="shared" si="262"/>
        <v>0</v>
      </c>
      <c r="GM213">
        <f t="shared" si="263"/>
        <v>0</v>
      </c>
      <c r="GN213">
        <f t="shared" si="264"/>
        <v>0</v>
      </c>
      <c r="GO213">
        <f t="shared" si="265"/>
        <v>0</v>
      </c>
      <c r="GP213">
        <f t="shared" si="266"/>
        <v>0</v>
      </c>
      <c r="GR213">
        <v>0</v>
      </c>
      <c r="GS213">
        <v>3</v>
      </c>
      <c r="GT213">
        <v>0</v>
      </c>
      <c r="GU213" t="s">
        <v>4</v>
      </c>
      <c r="GV213">
        <f t="shared" si="267"/>
        <v>0</v>
      </c>
      <c r="GW213">
        <v>1</v>
      </c>
      <c r="GX213">
        <f t="shared" si="268"/>
        <v>0</v>
      </c>
      <c r="HA213">
        <v>0</v>
      </c>
      <c r="HB213">
        <v>0</v>
      </c>
      <c r="HC213">
        <f t="shared" si="269"/>
        <v>0</v>
      </c>
      <c r="HE213" t="s">
        <v>4</v>
      </c>
      <c r="HF213" t="s">
        <v>4</v>
      </c>
      <c r="HM213" t="s">
        <v>4</v>
      </c>
      <c r="HN213" t="s">
        <v>4</v>
      </c>
      <c r="HO213" t="s">
        <v>4</v>
      </c>
      <c r="HP213" t="s">
        <v>4</v>
      </c>
      <c r="HQ213" t="s">
        <v>4</v>
      </c>
      <c r="IK213">
        <v>0</v>
      </c>
    </row>
    <row r="214" spans="1:255">
      <c r="A214" s="2">
        <v>17</v>
      </c>
      <c r="B214" s="2">
        <v>1</v>
      </c>
      <c r="C214" s="2"/>
      <c r="D214" s="2">
        <f>ROW(EtalonRes!A355)</f>
        <v>355</v>
      </c>
      <c r="E214" s="2" t="s">
        <v>4</v>
      </c>
      <c r="F214" s="2" t="s">
        <v>215</v>
      </c>
      <c r="G214" s="2" t="s">
        <v>305</v>
      </c>
      <c r="H214" s="2" t="s">
        <v>217</v>
      </c>
      <c r="I214" s="2">
        <f>ROUND((4*14+5*2)/100,9)</f>
        <v>0.66</v>
      </c>
      <c r="J214" s="2">
        <v>0</v>
      </c>
      <c r="K214" s="2">
        <f>ROUND((4*14+5*2)/100,9)</f>
        <v>0.66</v>
      </c>
      <c r="L214" s="2"/>
      <c r="M214" s="2"/>
      <c r="N214" s="2"/>
      <c r="O214" s="2">
        <f t="shared" si="232"/>
        <v>734.18</v>
      </c>
      <c r="P214" s="2">
        <f t="shared" si="233"/>
        <v>124.41</v>
      </c>
      <c r="Q214" s="2">
        <f t="shared" si="234"/>
        <v>155.84</v>
      </c>
      <c r="R214" s="2">
        <f t="shared" si="235"/>
        <v>15.53</v>
      </c>
      <c r="S214" s="2">
        <f t="shared" si="236"/>
        <v>453.93</v>
      </c>
      <c r="T214" s="2">
        <f t="shared" si="237"/>
        <v>0</v>
      </c>
      <c r="U214" s="2">
        <f t="shared" si="238"/>
        <v>37.398002399999996</v>
      </c>
      <c r="V214" s="2">
        <f t="shared" si="239"/>
        <v>0</v>
      </c>
      <c r="W214" s="2">
        <f t="shared" si="240"/>
        <v>0</v>
      </c>
      <c r="X214" s="2">
        <f t="shared" si="241"/>
        <v>508.4</v>
      </c>
      <c r="Y214" s="2">
        <f t="shared" si="242"/>
        <v>317.75</v>
      </c>
      <c r="Z214" s="2"/>
      <c r="AA214" s="2">
        <v>-1</v>
      </c>
      <c r="AB214" s="2">
        <f t="shared" si="243"/>
        <v>1070.92</v>
      </c>
      <c r="AC214" s="2">
        <f t="shared" si="244"/>
        <v>188.5</v>
      </c>
      <c r="AD214" s="2">
        <f t="shared" si="245"/>
        <v>225.52</v>
      </c>
      <c r="AE214" s="2">
        <f t="shared" si="246"/>
        <v>22.47</v>
      </c>
      <c r="AF214" s="2">
        <f t="shared" si="247"/>
        <v>656.9</v>
      </c>
      <c r="AG214" s="2">
        <f t="shared" si="248"/>
        <v>0</v>
      </c>
      <c r="AH214" s="2">
        <f t="shared" si="249"/>
        <v>54.12</v>
      </c>
      <c r="AI214" s="2">
        <f t="shared" si="250"/>
        <v>0</v>
      </c>
      <c r="AJ214" s="2">
        <f t="shared" si="251"/>
        <v>0</v>
      </c>
      <c r="AK214" s="2">
        <v>1070.92</v>
      </c>
      <c r="AL214" s="2">
        <v>188.5</v>
      </c>
      <c r="AM214" s="2">
        <v>225.52</v>
      </c>
      <c r="AN214" s="2">
        <v>22.47</v>
      </c>
      <c r="AO214" s="2">
        <v>656.9</v>
      </c>
      <c r="AP214" s="2">
        <v>0</v>
      </c>
      <c r="AQ214" s="2">
        <v>54.12</v>
      </c>
      <c r="AR214" s="2">
        <v>0</v>
      </c>
      <c r="AS214" s="2">
        <v>0</v>
      </c>
      <c r="AT214" s="2">
        <v>112</v>
      </c>
      <c r="AU214" s="2">
        <v>70</v>
      </c>
      <c r="AV214" s="2">
        <v>1.0469999999999999</v>
      </c>
      <c r="AW214" s="2">
        <v>1</v>
      </c>
      <c r="AX214" s="2"/>
      <c r="AY214" s="2"/>
      <c r="AZ214" s="2">
        <v>1</v>
      </c>
      <c r="BA214" s="2">
        <v>1</v>
      </c>
      <c r="BB214" s="2">
        <v>1</v>
      </c>
      <c r="BC214" s="2">
        <v>1</v>
      </c>
      <c r="BD214" s="2" t="s">
        <v>4</v>
      </c>
      <c r="BE214" s="2" t="s">
        <v>4</v>
      </c>
      <c r="BF214" s="2" t="s">
        <v>4</v>
      </c>
      <c r="BG214" s="2" t="s">
        <v>4</v>
      </c>
      <c r="BH214" s="2">
        <v>0</v>
      </c>
      <c r="BI214" s="2">
        <v>2</v>
      </c>
      <c r="BJ214" s="2" t="s">
        <v>218</v>
      </c>
      <c r="BK214" s="2"/>
      <c r="BL214" s="2"/>
      <c r="BM214" s="2">
        <v>1726</v>
      </c>
      <c r="BN214" s="2">
        <v>0</v>
      </c>
      <c r="BO214" s="2" t="s">
        <v>4</v>
      </c>
      <c r="BP214" s="2">
        <v>0</v>
      </c>
      <c r="BQ214" s="2">
        <v>40</v>
      </c>
      <c r="BR214" s="2">
        <v>0</v>
      </c>
      <c r="BS214" s="2">
        <v>1</v>
      </c>
      <c r="BT214" s="2">
        <v>1</v>
      </c>
      <c r="BU214" s="2">
        <v>1</v>
      </c>
      <c r="BV214" s="2">
        <v>1</v>
      </c>
      <c r="BW214" s="2">
        <v>1</v>
      </c>
      <c r="BX214" s="2">
        <v>1</v>
      </c>
      <c r="BY214" s="2" t="s">
        <v>4</v>
      </c>
      <c r="BZ214" s="2">
        <v>112</v>
      </c>
      <c r="CA214" s="2">
        <v>70</v>
      </c>
      <c r="CB214" s="2" t="s">
        <v>4</v>
      </c>
      <c r="CC214" s="2"/>
      <c r="CD214" s="2"/>
      <c r="CE214" s="2">
        <v>30</v>
      </c>
      <c r="CF214" s="2">
        <v>0</v>
      </c>
      <c r="CG214" s="2">
        <v>0</v>
      </c>
      <c r="CH214" s="2"/>
      <c r="CI214" s="2"/>
      <c r="CJ214" s="2"/>
      <c r="CK214" s="2"/>
      <c r="CL214" s="2"/>
      <c r="CM214" s="2">
        <v>0</v>
      </c>
      <c r="CN214" s="2" t="s">
        <v>4</v>
      </c>
      <c r="CO214" s="2">
        <v>0</v>
      </c>
      <c r="CP214" s="2">
        <f t="shared" si="252"/>
        <v>734.18000000000006</v>
      </c>
      <c r="CQ214" s="2">
        <f t="shared" si="253"/>
        <v>188.5</v>
      </c>
      <c r="CR214" s="2">
        <f t="shared" si="254"/>
        <v>236.12</v>
      </c>
      <c r="CS214" s="2">
        <f t="shared" si="255"/>
        <v>23.53</v>
      </c>
      <c r="CT214" s="2">
        <f t="shared" si="256"/>
        <v>687.77</v>
      </c>
      <c r="CU214" s="2">
        <f t="shared" si="257"/>
        <v>0</v>
      </c>
      <c r="CV214" s="2">
        <f t="shared" si="258"/>
        <v>56.663639999999994</v>
      </c>
      <c r="CW214" s="2">
        <f t="shared" si="259"/>
        <v>0</v>
      </c>
      <c r="CX214" s="2">
        <f t="shared" si="260"/>
        <v>0</v>
      </c>
      <c r="CY214" s="2">
        <f>((S214*BZ214)/100)</f>
        <v>508.40160000000003</v>
      </c>
      <c r="CZ214" s="2">
        <f>((S214*CA214)/100)</f>
        <v>317.75100000000003</v>
      </c>
      <c r="DA214" s="2"/>
      <c r="DB214" s="2"/>
      <c r="DC214" s="2" t="s">
        <v>4</v>
      </c>
      <c r="DD214" s="2" t="s">
        <v>4</v>
      </c>
      <c r="DE214" s="2" t="s">
        <v>4</v>
      </c>
      <c r="DF214" s="2" t="s">
        <v>4</v>
      </c>
      <c r="DG214" s="2" t="s">
        <v>4</v>
      </c>
      <c r="DH214" s="2" t="s">
        <v>4</v>
      </c>
      <c r="DI214" s="2" t="s">
        <v>4</v>
      </c>
      <c r="DJ214" s="2" t="s">
        <v>4</v>
      </c>
      <c r="DK214" s="2" t="s">
        <v>4</v>
      </c>
      <c r="DL214" s="2" t="s">
        <v>4</v>
      </c>
      <c r="DM214" s="2" t="s">
        <v>4</v>
      </c>
      <c r="DN214" s="2">
        <v>0</v>
      </c>
      <c r="DO214" s="2">
        <v>0</v>
      </c>
      <c r="DP214" s="2">
        <v>1</v>
      </c>
      <c r="DQ214" s="2">
        <v>1</v>
      </c>
      <c r="DR214" s="2"/>
      <c r="DS214" s="2"/>
      <c r="DT214" s="2"/>
      <c r="DU214" s="2">
        <v>1003</v>
      </c>
      <c r="DV214" s="2" t="s">
        <v>217</v>
      </c>
      <c r="DW214" s="2" t="s">
        <v>217</v>
      </c>
      <c r="DX214" s="2">
        <v>100</v>
      </c>
      <c r="DY214" s="2"/>
      <c r="DZ214" s="2" t="s">
        <v>4</v>
      </c>
      <c r="EA214" s="2" t="s">
        <v>4</v>
      </c>
      <c r="EB214" s="2" t="s">
        <v>4</v>
      </c>
      <c r="EC214" s="2" t="s">
        <v>4</v>
      </c>
      <c r="ED214" s="2"/>
      <c r="EE214" s="2">
        <v>69254351</v>
      </c>
      <c r="EF214" s="2">
        <v>40</v>
      </c>
      <c r="EG214" s="2" t="s">
        <v>219</v>
      </c>
      <c r="EH214" s="2">
        <v>0</v>
      </c>
      <c r="EI214" s="2" t="s">
        <v>4</v>
      </c>
      <c r="EJ214" s="2">
        <v>2</v>
      </c>
      <c r="EK214" s="2">
        <v>1726</v>
      </c>
      <c r="EL214" s="2" t="s">
        <v>220</v>
      </c>
      <c r="EM214" s="2" t="s">
        <v>221</v>
      </c>
      <c r="EN214" s="2"/>
      <c r="EO214" s="2" t="s">
        <v>4</v>
      </c>
      <c r="EP214" s="2"/>
      <c r="EQ214" s="2">
        <v>132096</v>
      </c>
      <c r="ER214" s="2">
        <v>1070.92</v>
      </c>
      <c r="ES214" s="2">
        <v>188.5</v>
      </c>
      <c r="ET214" s="2">
        <v>225.52</v>
      </c>
      <c r="EU214" s="2">
        <v>22.47</v>
      </c>
      <c r="EV214" s="2">
        <v>656.9</v>
      </c>
      <c r="EW214" s="2">
        <v>54.12</v>
      </c>
      <c r="EX214" s="2">
        <v>0</v>
      </c>
      <c r="EY214" s="2">
        <v>0</v>
      </c>
      <c r="EZ214" s="2"/>
      <c r="FA214" s="2"/>
      <c r="FB214" s="2"/>
      <c r="FC214" s="2"/>
      <c r="FD214" s="2"/>
      <c r="FE214" s="2"/>
      <c r="FF214" s="2"/>
      <c r="FG214" s="2"/>
      <c r="FH214" s="2"/>
      <c r="FI214" s="2"/>
      <c r="FJ214" s="2"/>
      <c r="FK214" s="2"/>
      <c r="FL214" s="2"/>
      <c r="FM214" s="2"/>
      <c r="FN214" s="2"/>
      <c r="FO214" s="2"/>
      <c r="FP214" s="2"/>
      <c r="FQ214" s="2">
        <v>0</v>
      </c>
      <c r="FR214" s="2">
        <f t="shared" si="261"/>
        <v>0</v>
      </c>
      <c r="FS214" s="2">
        <v>0</v>
      </c>
      <c r="FT214" s="2"/>
      <c r="FU214" s="2"/>
      <c r="FV214" s="2"/>
      <c r="FW214" s="2"/>
      <c r="FX214" s="2">
        <v>112</v>
      </c>
      <c r="FY214" s="2">
        <v>70</v>
      </c>
      <c r="FZ214" s="2"/>
      <c r="GA214" s="2" t="s">
        <v>4</v>
      </c>
      <c r="GB214" s="2"/>
      <c r="GC214" s="2"/>
      <c r="GD214" s="2">
        <v>0</v>
      </c>
      <c r="GE214" s="2"/>
      <c r="GF214" s="2">
        <v>1797890766</v>
      </c>
      <c r="GG214" s="2">
        <v>2</v>
      </c>
      <c r="GH214" s="2">
        <v>1</v>
      </c>
      <c r="GI214" s="2">
        <v>-2</v>
      </c>
      <c r="GJ214" s="2">
        <v>0</v>
      </c>
      <c r="GK214" s="2">
        <f>ROUND(R214*(R12)/100,2)</f>
        <v>27.18</v>
      </c>
      <c r="GL214" s="2">
        <f t="shared" si="262"/>
        <v>0</v>
      </c>
      <c r="GM214" s="2">
        <f t="shared" si="263"/>
        <v>1587.51</v>
      </c>
      <c r="GN214" s="2">
        <f t="shared" si="264"/>
        <v>0</v>
      </c>
      <c r="GO214" s="2">
        <f t="shared" si="265"/>
        <v>1587.51</v>
      </c>
      <c r="GP214" s="2">
        <f t="shared" si="266"/>
        <v>0</v>
      </c>
      <c r="GQ214" s="2"/>
      <c r="GR214" s="2">
        <v>0</v>
      </c>
      <c r="GS214" s="2">
        <v>0</v>
      </c>
      <c r="GT214" s="2">
        <v>0</v>
      </c>
      <c r="GU214" s="2" t="s">
        <v>4</v>
      </c>
      <c r="GV214" s="2">
        <f t="shared" si="267"/>
        <v>0</v>
      </c>
      <c r="GW214" s="2">
        <v>1</v>
      </c>
      <c r="GX214" s="2">
        <f t="shared" si="268"/>
        <v>0</v>
      </c>
      <c r="GY214" s="2"/>
      <c r="GZ214" s="2"/>
      <c r="HA214" s="2">
        <v>0</v>
      </c>
      <c r="HB214" s="2">
        <v>0</v>
      </c>
      <c r="HC214" s="2">
        <f t="shared" si="269"/>
        <v>0</v>
      </c>
      <c r="HD214" s="2"/>
      <c r="HE214" s="2" t="s">
        <v>4</v>
      </c>
      <c r="HF214" s="2" t="s">
        <v>4</v>
      </c>
      <c r="HG214" s="2"/>
      <c r="HH214" s="2"/>
      <c r="HI214" s="2"/>
      <c r="HJ214" s="2"/>
      <c r="HK214" s="2"/>
      <c r="HL214" s="2"/>
      <c r="HM214" s="2" t="s">
        <v>4</v>
      </c>
      <c r="HN214" s="2" t="s">
        <v>4</v>
      </c>
      <c r="HO214" s="2" t="s">
        <v>4</v>
      </c>
      <c r="HP214" s="2" t="s">
        <v>4</v>
      </c>
      <c r="HQ214" s="2" t="s">
        <v>4</v>
      </c>
      <c r="HR214" s="2"/>
      <c r="HS214" s="2"/>
      <c r="HT214" s="2"/>
      <c r="HU214" s="2"/>
      <c r="HV214" s="2"/>
      <c r="HW214" s="2"/>
      <c r="HX214" s="2"/>
      <c r="HY214" s="2"/>
      <c r="HZ214" s="2"/>
      <c r="IA214" s="2"/>
      <c r="IB214" s="2"/>
      <c r="IC214" s="2"/>
      <c r="ID214" s="2"/>
      <c r="IE214" s="2"/>
      <c r="IF214" s="2"/>
      <c r="IG214" s="2"/>
      <c r="IH214" s="2"/>
      <c r="II214" s="2"/>
      <c r="IJ214" s="2"/>
      <c r="IK214" s="2">
        <v>0</v>
      </c>
      <c r="IL214" s="2"/>
      <c r="IM214" s="2"/>
      <c r="IN214" s="2"/>
      <c r="IO214" s="2"/>
      <c r="IP214" s="2"/>
      <c r="IQ214" s="2"/>
      <c r="IR214" s="2"/>
      <c r="IS214" s="2"/>
      <c r="IT214" s="2"/>
      <c r="IU214" s="2"/>
    </row>
    <row r="215" spans="1:255">
      <c r="A215">
        <v>17</v>
      </c>
      <c r="B215">
        <v>1</v>
      </c>
      <c r="D215">
        <f>ROW(EtalonRes!A370)</f>
        <v>370</v>
      </c>
      <c r="E215" t="s">
        <v>4</v>
      </c>
      <c r="F215" t="s">
        <v>215</v>
      </c>
      <c r="G215" t="s">
        <v>305</v>
      </c>
      <c r="H215" t="s">
        <v>217</v>
      </c>
      <c r="I215">
        <f>ROUND((4*14+5*2)/100,9)</f>
        <v>0.66</v>
      </c>
      <c r="J215">
        <v>0</v>
      </c>
      <c r="K215">
        <f>ROUND((4*14+5*2)/100,9)</f>
        <v>0.66</v>
      </c>
      <c r="O215">
        <f t="shared" si="232"/>
        <v>23996.54</v>
      </c>
      <c r="P215">
        <f t="shared" si="233"/>
        <v>757.66</v>
      </c>
      <c r="Q215">
        <f t="shared" si="234"/>
        <v>2053.9699999999998</v>
      </c>
      <c r="R215">
        <f t="shared" si="235"/>
        <v>724.79</v>
      </c>
      <c r="S215">
        <f t="shared" si="236"/>
        <v>21184.91</v>
      </c>
      <c r="T215">
        <f t="shared" si="237"/>
        <v>0</v>
      </c>
      <c r="U215">
        <f t="shared" si="238"/>
        <v>37.398002399999996</v>
      </c>
      <c r="V215">
        <f t="shared" si="239"/>
        <v>0</v>
      </c>
      <c r="W215">
        <f t="shared" si="240"/>
        <v>0</v>
      </c>
      <c r="X215">
        <f t="shared" si="241"/>
        <v>19490.12</v>
      </c>
      <c r="Y215">
        <f t="shared" si="242"/>
        <v>9109.51</v>
      </c>
      <c r="AA215">
        <v>-1</v>
      </c>
      <c r="AB215">
        <f t="shared" si="243"/>
        <v>1070.92</v>
      </c>
      <c r="AC215">
        <f t="shared" si="244"/>
        <v>188.5</v>
      </c>
      <c r="AD215">
        <f t="shared" si="245"/>
        <v>225.52</v>
      </c>
      <c r="AE215">
        <f t="shared" si="246"/>
        <v>22.47</v>
      </c>
      <c r="AF215">
        <f t="shared" si="247"/>
        <v>656.9</v>
      </c>
      <c r="AG215">
        <f t="shared" si="248"/>
        <v>0</v>
      </c>
      <c r="AH215">
        <f t="shared" si="249"/>
        <v>54.12</v>
      </c>
      <c r="AI215">
        <f t="shared" si="250"/>
        <v>0</v>
      </c>
      <c r="AJ215">
        <f t="shared" si="251"/>
        <v>0</v>
      </c>
      <c r="AK215">
        <v>1070.92</v>
      </c>
      <c r="AL215">
        <v>188.5</v>
      </c>
      <c r="AM215">
        <v>225.52</v>
      </c>
      <c r="AN215">
        <v>22.47</v>
      </c>
      <c r="AO215">
        <v>656.9</v>
      </c>
      <c r="AP215">
        <v>0</v>
      </c>
      <c r="AQ215">
        <v>54.12</v>
      </c>
      <c r="AR215">
        <v>0</v>
      </c>
      <c r="AS215">
        <v>0</v>
      </c>
      <c r="AT215">
        <v>92</v>
      </c>
      <c r="AU215">
        <v>43</v>
      </c>
      <c r="AV215">
        <v>1.0469999999999999</v>
      </c>
      <c r="AW215">
        <v>1</v>
      </c>
      <c r="AZ215">
        <v>1</v>
      </c>
      <c r="BA215">
        <v>46.67</v>
      </c>
      <c r="BB215">
        <v>13.18</v>
      </c>
      <c r="BC215">
        <v>6.09</v>
      </c>
      <c r="BD215" t="s">
        <v>4</v>
      </c>
      <c r="BE215" t="s">
        <v>4</v>
      </c>
      <c r="BF215" t="s">
        <v>4</v>
      </c>
      <c r="BG215" t="s">
        <v>4</v>
      </c>
      <c r="BH215">
        <v>0</v>
      </c>
      <c r="BI215">
        <v>2</v>
      </c>
      <c r="BJ215" t="s">
        <v>218</v>
      </c>
      <c r="BM215">
        <v>1726</v>
      </c>
      <c r="BN215">
        <v>0</v>
      </c>
      <c r="BO215" t="s">
        <v>215</v>
      </c>
      <c r="BP215">
        <v>1</v>
      </c>
      <c r="BQ215">
        <v>40</v>
      </c>
      <c r="BR215">
        <v>0</v>
      </c>
      <c r="BS215">
        <v>46.67</v>
      </c>
      <c r="BT215">
        <v>1</v>
      </c>
      <c r="BU215">
        <v>1</v>
      </c>
      <c r="BV215">
        <v>1</v>
      </c>
      <c r="BW215">
        <v>1</v>
      </c>
      <c r="BX215">
        <v>1</v>
      </c>
      <c r="BY215" t="s">
        <v>4</v>
      </c>
      <c r="BZ215">
        <v>92</v>
      </c>
      <c r="CA215">
        <v>43</v>
      </c>
      <c r="CB215" t="s">
        <v>4</v>
      </c>
      <c r="CE215">
        <v>30</v>
      </c>
      <c r="CF215">
        <v>0</v>
      </c>
      <c r="CG215">
        <v>0</v>
      </c>
      <c r="CM215">
        <v>0</v>
      </c>
      <c r="CN215" t="s">
        <v>4</v>
      </c>
      <c r="CO215">
        <v>0</v>
      </c>
      <c r="CP215">
        <f t="shared" si="252"/>
        <v>23996.54</v>
      </c>
      <c r="CQ215">
        <f t="shared" si="253"/>
        <v>1147.97</v>
      </c>
      <c r="CR215">
        <f t="shared" si="254"/>
        <v>3112.06</v>
      </c>
      <c r="CS215">
        <f t="shared" si="255"/>
        <v>1098.1500000000001</v>
      </c>
      <c r="CT215">
        <f t="shared" si="256"/>
        <v>32098.23</v>
      </c>
      <c r="CU215">
        <f t="shared" si="257"/>
        <v>0</v>
      </c>
      <c r="CV215">
        <f t="shared" si="258"/>
        <v>56.663639999999994</v>
      </c>
      <c r="CW215">
        <f t="shared" si="259"/>
        <v>0</v>
      </c>
      <c r="CX215">
        <f t="shared" si="260"/>
        <v>0</v>
      </c>
      <c r="CY215">
        <f>S215*(BZ215/100)</f>
        <v>19490.117200000001</v>
      </c>
      <c r="CZ215">
        <f>S215*(CA215/100)</f>
        <v>9109.5113000000001</v>
      </c>
      <c r="DC215" t="s">
        <v>4</v>
      </c>
      <c r="DD215" t="s">
        <v>4</v>
      </c>
      <c r="DE215" t="s">
        <v>4</v>
      </c>
      <c r="DF215" t="s">
        <v>4</v>
      </c>
      <c r="DG215" t="s">
        <v>4</v>
      </c>
      <c r="DH215" t="s">
        <v>4</v>
      </c>
      <c r="DI215" t="s">
        <v>4</v>
      </c>
      <c r="DJ215" t="s">
        <v>4</v>
      </c>
      <c r="DK215" t="s">
        <v>4</v>
      </c>
      <c r="DL215" t="s">
        <v>4</v>
      </c>
      <c r="DM215" t="s">
        <v>4</v>
      </c>
      <c r="DN215">
        <v>112</v>
      </c>
      <c r="DO215">
        <v>70</v>
      </c>
      <c r="DP215">
        <v>1.0469999999999999</v>
      </c>
      <c r="DQ215">
        <v>1</v>
      </c>
      <c r="DU215">
        <v>1003</v>
      </c>
      <c r="DV215" t="s">
        <v>217</v>
      </c>
      <c r="DW215" t="s">
        <v>217</v>
      </c>
      <c r="DX215">
        <v>100</v>
      </c>
      <c r="DZ215" t="s">
        <v>4</v>
      </c>
      <c r="EA215" t="s">
        <v>4</v>
      </c>
      <c r="EB215" t="s">
        <v>4</v>
      </c>
      <c r="EC215" t="s">
        <v>4</v>
      </c>
      <c r="EE215">
        <v>69254351</v>
      </c>
      <c r="EF215">
        <v>40</v>
      </c>
      <c r="EG215" t="s">
        <v>219</v>
      </c>
      <c r="EH215">
        <v>0</v>
      </c>
      <c r="EI215" t="s">
        <v>4</v>
      </c>
      <c r="EJ215">
        <v>2</v>
      </c>
      <c r="EK215">
        <v>1726</v>
      </c>
      <c r="EL215" t="s">
        <v>220</v>
      </c>
      <c r="EM215" t="s">
        <v>221</v>
      </c>
      <c r="EO215" t="s">
        <v>4</v>
      </c>
      <c r="EQ215">
        <v>132096</v>
      </c>
      <c r="ER215">
        <v>1070.92</v>
      </c>
      <c r="ES215">
        <v>188.5</v>
      </c>
      <c r="ET215">
        <v>225.52</v>
      </c>
      <c r="EU215">
        <v>22.47</v>
      </c>
      <c r="EV215">
        <v>656.9</v>
      </c>
      <c r="EW215">
        <v>54.12</v>
      </c>
      <c r="EX215">
        <v>0</v>
      </c>
      <c r="EY215">
        <v>0</v>
      </c>
      <c r="FQ215">
        <v>0</v>
      </c>
      <c r="FR215">
        <f t="shared" si="261"/>
        <v>0</v>
      </c>
      <c r="FS215">
        <v>0</v>
      </c>
      <c r="FX215">
        <v>112</v>
      </c>
      <c r="FY215">
        <v>70</v>
      </c>
      <c r="GA215" t="s">
        <v>4</v>
      </c>
      <c r="GD215">
        <v>0</v>
      </c>
      <c r="GF215">
        <v>1797890766</v>
      </c>
      <c r="GG215">
        <v>2</v>
      </c>
      <c r="GH215">
        <v>1</v>
      </c>
      <c r="GI215">
        <v>2</v>
      </c>
      <c r="GJ215">
        <v>0</v>
      </c>
      <c r="GK215">
        <f>ROUND(R215*(S12)/100,2)</f>
        <v>1159.6600000000001</v>
      </c>
      <c r="GL215">
        <f t="shared" si="262"/>
        <v>0</v>
      </c>
      <c r="GM215">
        <f t="shared" si="263"/>
        <v>53755.83</v>
      </c>
      <c r="GN215">
        <f t="shared" si="264"/>
        <v>0</v>
      </c>
      <c r="GO215">
        <f t="shared" si="265"/>
        <v>53755.83</v>
      </c>
      <c r="GP215">
        <f t="shared" si="266"/>
        <v>0</v>
      </c>
      <c r="GR215">
        <v>0</v>
      </c>
      <c r="GS215">
        <v>3</v>
      </c>
      <c r="GT215">
        <v>0</v>
      </c>
      <c r="GU215" t="s">
        <v>4</v>
      </c>
      <c r="GV215">
        <f t="shared" si="267"/>
        <v>0</v>
      </c>
      <c r="GW215">
        <v>1</v>
      </c>
      <c r="GX215">
        <f t="shared" si="268"/>
        <v>0</v>
      </c>
      <c r="HA215">
        <v>0</v>
      </c>
      <c r="HB215">
        <v>0</v>
      </c>
      <c r="HC215">
        <f t="shared" si="269"/>
        <v>0</v>
      </c>
      <c r="HE215" t="s">
        <v>4</v>
      </c>
      <c r="HF215" t="s">
        <v>4</v>
      </c>
      <c r="HM215" t="s">
        <v>4</v>
      </c>
      <c r="HN215" t="s">
        <v>4</v>
      </c>
      <c r="HO215" t="s">
        <v>4</v>
      </c>
      <c r="HP215" t="s">
        <v>4</v>
      </c>
      <c r="HQ215" t="s">
        <v>4</v>
      </c>
      <c r="IK215">
        <v>0</v>
      </c>
    </row>
    <row r="216" spans="1:255">
      <c r="A216" s="2">
        <v>17</v>
      </c>
      <c r="B216" s="2">
        <v>1</v>
      </c>
      <c r="C216" s="2">
        <f>ROW(SmtRes!A108)</f>
        <v>108</v>
      </c>
      <c r="D216" s="2">
        <f>ROW(EtalonRes!A377)</f>
        <v>377</v>
      </c>
      <c r="E216" s="2" t="s">
        <v>4</v>
      </c>
      <c r="F216" s="2" t="s">
        <v>306</v>
      </c>
      <c r="G216" s="2" t="s">
        <v>307</v>
      </c>
      <c r="H216" s="2" t="s">
        <v>308</v>
      </c>
      <c r="I216" s="2">
        <f>ROUND((3*8)*2/100,9)</f>
        <v>0.48</v>
      </c>
      <c r="J216" s="2">
        <v>0</v>
      </c>
      <c r="K216" s="2">
        <f>ROUND((3*8)*2/100,9)</f>
        <v>0.48</v>
      </c>
      <c r="L216" s="2"/>
      <c r="M216" s="2"/>
      <c r="N216" s="2"/>
      <c r="O216" s="2">
        <f t="shared" si="232"/>
        <v>1655.99</v>
      </c>
      <c r="P216" s="2">
        <f t="shared" si="233"/>
        <v>686.16</v>
      </c>
      <c r="Q216" s="2">
        <f t="shared" si="234"/>
        <v>7.52</v>
      </c>
      <c r="R216" s="2">
        <f t="shared" si="235"/>
        <v>1.1399999999999999</v>
      </c>
      <c r="S216" s="2">
        <f t="shared" si="236"/>
        <v>962.31</v>
      </c>
      <c r="T216" s="2">
        <f t="shared" si="237"/>
        <v>0</v>
      </c>
      <c r="U216" s="2">
        <f t="shared" si="238"/>
        <v>71.016753600000001</v>
      </c>
      <c r="V216" s="2">
        <f t="shared" si="239"/>
        <v>0</v>
      </c>
      <c r="W216" s="2">
        <f t="shared" si="240"/>
        <v>0</v>
      </c>
      <c r="X216" s="2">
        <f t="shared" si="241"/>
        <v>1077.79</v>
      </c>
      <c r="Y216" s="2">
        <f t="shared" si="242"/>
        <v>673.62</v>
      </c>
      <c r="Z216" s="2"/>
      <c r="AA216" s="2">
        <v>-1</v>
      </c>
      <c r="AB216" s="2">
        <f t="shared" si="243"/>
        <v>3359.27</v>
      </c>
      <c r="AC216" s="2">
        <f t="shared" si="244"/>
        <v>1429.5</v>
      </c>
      <c r="AD216" s="2">
        <f t="shared" si="245"/>
        <v>14.96</v>
      </c>
      <c r="AE216" s="2">
        <f t="shared" si="246"/>
        <v>2.27</v>
      </c>
      <c r="AF216" s="2">
        <f t="shared" si="247"/>
        <v>1914.81</v>
      </c>
      <c r="AG216" s="2">
        <f t="shared" si="248"/>
        <v>0</v>
      </c>
      <c r="AH216" s="2">
        <f t="shared" si="249"/>
        <v>141.31</v>
      </c>
      <c r="AI216" s="2">
        <f t="shared" si="250"/>
        <v>0</v>
      </c>
      <c r="AJ216" s="2">
        <f t="shared" si="251"/>
        <v>0</v>
      </c>
      <c r="AK216" s="2">
        <v>3359.27</v>
      </c>
      <c r="AL216" s="2">
        <v>1429.5</v>
      </c>
      <c r="AM216" s="2">
        <v>14.96</v>
      </c>
      <c r="AN216" s="2">
        <v>2.27</v>
      </c>
      <c r="AO216" s="2">
        <v>1914.81</v>
      </c>
      <c r="AP216" s="2">
        <v>0</v>
      </c>
      <c r="AQ216" s="2">
        <v>141.31</v>
      </c>
      <c r="AR216" s="2">
        <v>0</v>
      </c>
      <c r="AS216" s="2">
        <v>0</v>
      </c>
      <c r="AT216" s="2">
        <v>112</v>
      </c>
      <c r="AU216" s="2">
        <v>70</v>
      </c>
      <c r="AV216" s="2">
        <v>1.0469999999999999</v>
      </c>
      <c r="AW216" s="2">
        <v>1</v>
      </c>
      <c r="AX216" s="2"/>
      <c r="AY216" s="2"/>
      <c r="AZ216" s="2">
        <v>1</v>
      </c>
      <c r="BA216" s="2">
        <v>1</v>
      </c>
      <c r="BB216" s="2">
        <v>1</v>
      </c>
      <c r="BC216" s="2">
        <v>1</v>
      </c>
      <c r="BD216" s="2" t="s">
        <v>4</v>
      </c>
      <c r="BE216" s="2" t="s">
        <v>4</v>
      </c>
      <c r="BF216" s="2" t="s">
        <v>4</v>
      </c>
      <c r="BG216" s="2" t="s">
        <v>4</v>
      </c>
      <c r="BH216" s="2">
        <v>0</v>
      </c>
      <c r="BI216" s="2">
        <v>2</v>
      </c>
      <c r="BJ216" s="2" t="s">
        <v>309</v>
      </c>
      <c r="BK216" s="2"/>
      <c r="BL216" s="2"/>
      <c r="BM216" s="2">
        <v>1726</v>
      </c>
      <c r="BN216" s="2">
        <v>0</v>
      </c>
      <c r="BO216" s="2" t="s">
        <v>4</v>
      </c>
      <c r="BP216" s="2">
        <v>0</v>
      </c>
      <c r="BQ216" s="2">
        <v>40</v>
      </c>
      <c r="BR216" s="2">
        <v>0</v>
      </c>
      <c r="BS216" s="2">
        <v>1</v>
      </c>
      <c r="BT216" s="2">
        <v>1</v>
      </c>
      <c r="BU216" s="2">
        <v>1</v>
      </c>
      <c r="BV216" s="2">
        <v>1</v>
      </c>
      <c r="BW216" s="2">
        <v>1</v>
      </c>
      <c r="BX216" s="2">
        <v>1</v>
      </c>
      <c r="BY216" s="2" t="s">
        <v>4</v>
      </c>
      <c r="BZ216" s="2">
        <v>112</v>
      </c>
      <c r="CA216" s="2">
        <v>70</v>
      </c>
      <c r="CB216" s="2" t="s">
        <v>4</v>
      </c>
      <c r="CC216" s="2"/>
      <c r="CD216" s="2"/>
      <c r="CE216" s="2">
        <v>30</v>
      </c>
      <c r="CF216" s="2">
        <v>0</v>
      </c>
      <c r="CG216" s="2">
        <v>0</v>
      </c>
      <c r="CH216" s="2"/>
      <c r="CI216" s="2"/>
      <c r="CJ216" s="2"/>
      <c r="CK216" s="2"/>
      <c r="CL216" s="2"/>
      <c r="CM216" s="2">
        <v>0</v>
      </c>
      <c r="CN216" s="2" t="s">
        <v>4</v>
      </c>
      <c r="CO216" s="2">
        <v>0</v>
      </c>
      <c r="CP216" s="2">
        <f t="shared" si="252"/>
        <v>1655.9899999999998</v>
      </c>
      <c r="CQ216" s="2">
        <f t="shared" si="253"/>
        <v>1429.5</v>
      </c>
      <c r="CR216" s="2">
        <f t="shared" si="254"/>
        <v>15.66</v>
      </c>
      <c r="CS216" s="2">
        <f t="shared" si="255"/>
        <v>2.38</v>
      </c>
      <c r="CT216" s="2">
        <f t="shared" si="256"/>
        <v>2004.81</v>
      </c>
      <c r="CU216" s="2">
        <f t="shared" si="257"/>
        <v>0</v>
      </c>
      <c r="CV216" s="2">
        <f t="shared" si="258"/>
        <v>147.95157</v>
      </c>
      <c r="CW216" s="2">
        <f t="shared" si="259"/>
        <v>0</v>
      </c>
      <c r="CX216" s="2">
        <f t="shared" si="260"/>
        <v>0</v>
      </c>
      <c r="CY216" s="2">
        <f>((S216*BZ216)/100)</f>
        <v>1077.7872</v>
      </c>
      <c r="CZ216" s="2">
        <f>((S216*CA216)/100)</f>
        <v>673.61699999999996</v>
      </c>
      <c r="DA216" s="2"/>
      <c r="DB216" s="2"/>
      <c r="DC216" s="2" t="s">
        <v>4</v>
      </c>
      <c r="DD216" s="2" t="s">
        <v>4</v>
      </c>
      <c r="DE216" s="2" t="s">
        <v>4</v>
      </c>
      <c r="DF216" s="2" t="s">
        <v>4</v>
      </c>
      <c r="DG216" s="2" t="s">
        <v>4</v>
      </c>
      <c r="DH216" s="2" t="s">
        <v>4</v>
      </c>
      <c r="DI216" s="2" t="s">
        <v>4</v>
      </c>
      <c r="DJ216" s="2" t="s">
        <v>4</v>
      </c>
      <c r="DK216" s="2" t="s">
        <v>4</v>
      </c>
      <c r="DL216" s="2" t="s">
        <v>4</v>
      </c>
      <c r="DM216" s="2" t="s">
        <v>4</v>
      </c>
      <c r="DN216" s="2">
        <v>0</v>
      </c>
      <c r="DO216" s="2">
        <v>0</v>
      </c>
      <c r="DP216" s="2">
        <v>1</v>
      </c>
      <c r="DQ216" s="2">
        <v>1</v>
      </c>
      <c r="DR216" s="2"/>
      <c r="DS216" s="2"/>
      <c r="DT216" s="2"/>
      <c r="DU216" s="2">
        <v>1013</v>
      </c>
      <c r="DV216" s="2" t="s">
        <v>308</v>
      </c>
      <c r="DW216" s="2" t="s">
        <v>308</v>
      </c>
      <c r="DX216" s="2">
        <v>1</v>
      </c>
      <c r="DY216" s="2"/>
      <c r="DZ216" s="2" t="s">
        <v>4</v>
      </c>
      <c r="EA216" s="2" t="s">
        <v>4</v>
      </c>
      <c r="EB216" s="2" t="s">
        <v>4</v>
      </c>
      <c r="EC216" s="2" t="s">
        <v>4</v>
      </c>
      <c r="ED216" s="2"/>
      <c r="EE216" s="2">
        <v>69254351</v>
      </c>
      <c r="EF216" s="2">
        <v>40</v>
      </c>
      <c r="EG216" s="2" t="s">
        <v>219</v>
      </c>
      <c r="EH216" s="2">
        <v>0</v>
      </c>
      <c r="EI216" s="2" t="s">
        <v>4</v>
      </c>
      <c r="EJ216" s="2">
        <v>2</v>
      </c>
      <c r="EK216" s="2">
        <v>1726</v>
      </c>
      <c r="EL216" s="2" t="s">
        <v>220</v>
      </c>
      <c r="EM216" s="2" t="s">
        <v>221</v>
      </c>
      <c r="EN216" s="2"/>
      <c r="EO216" s="2" t="s">
        <v>4</v>
      </c>
      <c r="EP216" s="2"/>
      <c r="EQ216" s="2">
        <v>132096</v>
      </c>
      <c r="ER216" s="2">
        <v>3359.27</v>
      </c>
      <c r="ES216" s="2">
        <v>1429.5</v>
      </c>
      <c r="ET216" s="2">
        <v>14.96</v>
      </c>
      <c r="EU216" s="2">
        <v>2.27</v>
      </c>
      <c r="EV216" s="2">
        <v>1914.81</v>
      </c>
      <c r="EW216" s="2">
        <v>141.31</v>
      </c>
      <c r="EX216" s="2">
        <v>0</v>
      </c>
      <c r="EY216" s="2">
        <v>0</v>
      </c>
      <c r="EZ216" s="2"/>
      <c r="FA216" s="2"/>
      <c r="FB216" s="2"/>
      <c r="FC216" s="2"/>
      <c r="FD216" s="2"/>
      <c r="FE216" s="2"/>
      <c r="FF216" s="2"/>
      <c r="FG216" s="2"/>
      <c r="FH216" s="2"/>
      <c r="FI216" s="2"/>
      <c r="FJ216" s="2"/>
      <c r="FK216" s="2"/>
      <c r="FL216" s="2"/>
      <c r="FM216" s="2"/>
      <c r="FN216" s="2"/>
      <c r="FO216" s="2"/>
      <c r="FP216" s="2"/>
      <c r="FQ216" s="2">
        <v>0</v>
      </c>
      <c r="FR216" s="2">
        <f t="shared" si="261"/>
        <v>0</v>
      </c>
      <c r="FS216" s="2">
        <v>0</v>
      </c>
      <c r="FT216" s="2"/>
      <c r="FU216" s="2"/>
      <c r="FV216" s="2"/>
      <c r="FW216" s="2"/>
      <c r="FX216" s="2">
        <v>112</v>
      </c>
      <c r="FY216" s="2">
        <v>70</v>
      </c>
      <c r="FZ216" s="2"/>
      <c r="GA216" s="2" t="s">
        <v>4</v>
      </c>
      <c r="GB216" s="2"/>
      <c r="GC216" s="2"/>
      <c r="GD216" s="2">
        <v>0</v>
      </c>
      <c r="GE216" s="2"/>
      <c r="GF216" s="2">
        <v>1640032820</v>
      </c>
      <c r="GG216" s="2">
        <v>2</v>
      </c>
      <c r="GH216" s="2">
        <v>1</v>
      </c>
      <c r="GI216" s="2">
        <v>-2</v>
      </c>
      <c r="GJ216" s="2">
        <v>0</v>
      </c>
      <c r="GK216" s="2">
        <f>ROUND(R216*(R12)/100,2)</f>
        <v>2</v>
      </c>
      <c r="GL216" s="2">
        <f t="shared" si="262"/>
        <v>0</v>
      </c>
      <c r="GM216" s="2">
        <f t="shared" si="263"/>
        <v>3409.4</v>
      </c>
      <c r="GN216" s="2">
        <f t="shared" si="264"/>
        <v>0</v>
      </c>
      <c r="GO216" s="2">
        <f t="shared" si="265"/>
        <v>3409.4</v>
      </c>
      <c r="GP216" s="2">
        <f t="shared" si="266"/>
        <v>0</v>
      </c>
      <c r="GQ216" s="2"/>
      <c r="GR216" s="2">
        <v>0</v>
      </c>
      <c r="GS216" s="2">
        <v>0</v>
      </c>
      <c r="GT216" s="2">
        <v>0</v>
      </c>
      <c r="GU216" s="2" t="s">
        <v>4</v>
      </c>
      <c r="GV216" s="2">
        <f t="shared" si="267"/>
        <v>0</v>
      </c>
      <c r="GW216" s="2">
        <v>1</v>
      </c>
      <c r="GX216" s="2">
        <f t="shared" si="268"/>
        <v>0</v>
      </c>
      <c r="GY216" s="2"/>
      <c r="GZ216" s="2"/>
      <c r="HA216" s="2">
        <v>0</v>
      </c>
      <c r="HB216" s="2">
        <v>0</v>
      </c>
      <c r="HC216" s="2">
        <f t="shared" si="269"/>
        <v>0</v>
      </c>
      <c r="HD216" s="2"/>
      <c r="HE216" s="2" t="s">
        <v>4</v>
      </c>
      <c r="HF216" s="2" t="s">
        <v>4</v>
      </c>
      <c r="HG216" s="2"/>
      <c r="HH216" s="2"/>
      <c r="HI216" s="2"/>
      <c r="HJ216" s="2"/>
      <c r="HK216" s="2"/>
      <c r="HL216" s="2"/>
      <c r="HM216" s="2" t="s">
        <v>4</v>
      </c>
      <c r="HN216" s="2" t="s">
        <v>4</v>
      </c>
      <c r="HO216" s="2" t="s">
        <v>4</v>
      </c>
      <c r="HP216" s="2" t="s">
        <v>4</v>
      </c>
      <c r="HQ216" s="2" t="s">
        <v>4</v>
      </c>
      <c r="HR216" s="2"/>
      <c r="HS216" s="2"/>
      <c r="HT216" s="2"/>
      <c r="HU216" s="2"/>
      <c r="HV216" s="2"/>
      <c r="HW216" s="2"/>
      <c r="HX216" s="2"/>
      <c r="HY216" s="2"/>
      <c r="HZ216" s="2"/>
      <c r="IA216" s="2"/>
      <c r="IB216" s="2"/>
      <c r="IC216" s="2"/>
      <c r="ID216" s="2"/>
      <c r="IE216" s="2"/>
      <c r="IF216" s="2"/>
      <c r="IG216" s="2"/>
      <c r="IH216" s="2"/>
      <c r="II216" s="2"/>
      <c r="IJ216" s="2"/>
      <c r="IK216" s="2">
        <v>0</v>
      </c>
      <c r="IL216" s="2"/>
      <c r="IM216" s="2"/>
      <c r="IN216" s="2"/>
      <c r="IO216" s="2"/>
      <c r="IP216" s="2"/>
      <c r="IQ216" s="2"/>
      <c r="IR216" s="2"/>
      <c r="IS216" s="2"/>
      <c r="IT216" s="2"/>
      <c r="IU216" s="2"/>
    </row>
    <row r="217" spans="1:255">
      <c r="A217">
        <v>17</v>
      </c>
      <c r="B217">
        <v>1</v>
      </c>
      <c r="C217">
        <f>ROW(SmtRes!A110)</f>
        <v>110</v>
      </c>
      <c r="D217">
        <f>ROW(EtalonRes!A384)</f>
        <v>384</v>
      </c>
      <c r="E217" t="s">
        <v>4</v>
      </c>
      <c r="F217" t="s">
        <v>306</v>
      </c>
      <c r="G217" t="s">
        <v>307</v>
      </c>
      <c r="H217" t="s">
        <v>308</v>
      </c>
      <c r="I217">
        <f>ROUND((3*8)*2/100,9)</f>
        <v>0.48</v>
      </c>
      <c r="J217">
        <v>0</v>
      </c>
      <c r="K217">
        <f>ROUND((3*8)*2/100,9)</f>
        <v>0.48</v>
      </c>
      <c r="O217">
        <f t="shared" si="232"/>
        <v>48242.2</v>
      </c>
      <c r="P217">
        <f t="shared" si="233"/>
        <v>3218.09</v>
      </c>
      <c r="Q217">
        <f t="shared" si="234"/>
        <v>113.1</v>
      </c>
      <c r="R217">
        <f t="shared" si="235"/>
        <v>53.2</v>
      </c>
      <c r="S217">
        <f t="shared" si="236"/>
        <v>44911.01</v>
      </c>
      <c r="T217">
        <f t="shared" si="237"/>
        <v>0</v>
      </c>
      <c r="U217">
        <f t="shared" si="238"/>
        <v>71.016753600000001</v>
      </c>
      <c r="V217">
        <f t="shared" si="239"/>
        <v>0</v>
      </c>
      <c r="W217">
        <f t="shared" si="240"/>
        <v>0</v>
      </c>
      <c r="X217">
        <f t="shared" si="241"/>
        <v>41318.129999999997</v>
      </c>
      <c r="Y217">
        <f t="shared" si="242"/>
        <v>19311.73</v>
      </c>
      <c r="AA217">
        <v>-1</v>
      </c>
      <c r="AB217">
        <f t="shared" si="243"/>
        <v>3359.27</v>
      </c>
      <c r="AC217">
        <f t="shared" si="244"/>
        <v>1429.5</v>
      </c>
      <c r="AD217">
        <f t="shared" si="245"/>
        <v>14.96</v>
      </c>
      <c r="AE217">
        <f t="shared" si="246"/>
        <v>2.27</v>
      </c>
      <c r="AF217">
        <f t="shared" si="247"/>
        <v>1914.81</v>
      </c>
      <c r="AG217">
        <f t="shared" si="248"/>
        <v>0</v>
      </c>
      <c r="AH217">
        <f t="shared" si="249"/>
        <v>141.31</v>
      </c>
      <c r="AI217">
        <f t="shared" si="250"/>
        <v>0</v>
      </c>
      <c r="AJ217">
        <f t="shared" si="251"/>
        <v>0</v>
      </c>
      <c r="AK217">
        <v>3359.27</v>
      </c>
      <c r="AL217">
        <v>1429.5</v>
      </c>
      <c r="AM217">
        <v>14.96</v>
      </c>
      <c r="AN217">
        <v>2.27</v>
      </c>
      <c r="AO217">
        <v>1914.81</v>
      </c>
      <c r="AP217">
        <v>0</v>
      </c>
      <c r="AQ217">
        <v>141.31</v>
      </c>
      <c r="AR217">
        <v>0</v>
      </c>
      <c r="AS217">
        <v>0</v>
      </c>
      <c r="AT217">
        <v>92</v>
      </c>
      <c r="AU217">
        <v>43</v>
      </c>
      <c r="AV217">
        <v>1.0469999999999999</v>
      </c>
      <c r="AW217">
        <v>1</v>
      </c>
      <c r="AZ217">
        <v>1</v>
      </c>
      <c r="BA217">
        <v>46.67</v>
      </c>
      <c r="BB217">
        <v>15.04</v>
      </c>
      <c r="BC217">
        <v>4.6900000000000004</v>
      </c>
      <c r="BD217" t="s">
        <v>4</v>
      </c>
      <c r="BE217" t="s">
        <v>4</v>
      </c>
      <c r="BF217" t="s">
        <v>4</v>
      </c>
      <c r="BG217" t="s">
        <v>4</v>
      </c>
      <c r="BH217">
        <v>0</v>
      </c>
      <c r="BI217">
        <v>2</v>
      </c>
      <c r="BJ217" t="s">
        <v>309</v>
      </c>
      <c r="BM217">
        <v>1726</v>
      </c>
      <c r="BN217">
        <v>0</v>
      </c>
      <c r="BO217" t="s">
        <v>306</v>
      </c>
      <c r="BP217">
        <v>1</v>
      </c>
      <c r="BQ217">
        <v>40</v>
      </c>
      <c r="BR217">
        <v>0</v>
      </c>
      <c r="BS217">
        <v>46.67</v>
      </c>
      <c r="BT217">
        <v>1</v>
      </c>
      <c r="BU217">
        <v>1</v>
      </c>
      <c r="BV217">
        <v>1</v>
      </c>
      <c r="BW217">
        <v>1</v>
      </c>
      <c r="BX217">
        <v>1</v>
      </c>
      <c r="BY217" t="s">
        <v>4</v>
      </c>
      <c r="BZ217">
        <v>92</v>
      </c>
      <c r="CA217">
        <v>43</v>
      </c>
      <c r="CB217" t="s">
        <v>4</v>
      </c>
      <c r="CE217">
        <v>30</v>
      </c>
      <c r="CF217">
        <v>0</v>
      </c>
      <c r="CG217">
        <v>0</v>
      </c>
      <c r="CM217">
        <v>0</v>
      </c>
      <c r="CN217" t="s">
        <v>4</v>
      </c>
      <c r="CO217">
        <v>0</v>
      </c>
      <c r="CP217">
        <f t="shared" si="252"/>
        <v>48242.200000000004</v>
      </c>
      <c r="CQ217">
        <f t="shared" si="253"/>
        <v>6704.36</v>
      </c>
      <c r="CR217">
        <f t="shared" si="254"/>
        <v>235.53</v>
      </c>
      <c r="CS217">
        <f t="shared" si="255"/>
        <v>111.07</v>
      </c>
      <c r="CT217">
        <f t="shared" si="256"/>
        <v>93564.479999999996</v>
      </c>
      <c r="CU217">
        <f t="shared" si="257"/>
        <v>0</v>
      </c>
      <c r="CV217">
        <f t="shared" si="258"/>
        <v>147.95157</v>
      </c>
      <c r="CW217">
        <f t="shared" si="259"/>
        <v>0</v>
      </c>
      <c r="CX217">
        <f t="shared" si="260"/>
        <v>0</v>
      </c>
      <c r="CY217">
        <f>S217*(BZ217/100)</f>
        <v>41318.129200000003</v>
      </c>
      <c r="CZ217">
        <f>S217*(CA217/100)</f>
        <v>19311.7343</v>
      </c>
      <c r="DC217" t="s">
        <v>4</v>
      </c>
      <c r="DD217" t="s">
        <v>4</v>
      </c>
      <c r="DE217" t="s">
        <v>4</v>
      </c>
      <c r="DF217" t="s">
        <v>4</v>
      </c>
      <c r="DG217" t="s">
        <v>4</v>
      </c>
      <c r="DH217" t="s">
        <v>4</v>
      </c>
      <c r="DI217" t="s">
        <v>4</v>
      </c>
      <c r="DJ217" t="s">
        <v>4</v>
      </c>
      <c r="DK217" t="s">
        <v>4</v>
      </c>
      <c r="DL217" t="s">
        <v>4</v>
      </c>
      <c r="DM217" t="s">
        <v>4</v>
      </c>
      <c r="DN217">
        <v>112</v>
      </c>
      <c r="DO217">
        <v>70</v>
      </c>
      <c r="DP217">
        <v>1.0469999999999999</v>
      </c>
      <c r="DQ217">
        <v>1</v>
      </c>
      <c r="DU217">
        <v>1013</v>
      </c>
      <c r="DV217" t="s">
        <v>308</v>
      </c>
      <c r="DW217" t="s">
        <v>308</v>
      </c>
      <c r="DX217">
        <v>1</v>
      </c>
      <c r="DZ217" t="s">
        <v>4</v>
      </c>
      <c r="EA217" t="s">
        <v>4</v>
      </c>
      <c r="EB217" t="s">
        <v>4</v>
      </c>
      <c r="EC217" t="s">
        <v>4</v>
      </c>
      <c r="EE217">
        <v>69254351</v>
      </c>
      <c r="EF217">
        <v>40</v>
      </c>
      <c r="EG217" t="s">
        <v>219</v>
      </c>
      <c r="EH217">
        <v>0</v>
      </c>
      <c r="EI217" t="s">
        <v>4</v>
      </c>
      <c r="EJ217">
        <v>2</v>
      </c>
      <c r="EK217">
        <v>1726</v>
      </c>
      <c r="EL217" t="s">
        <v>220</v>
      </c>
      <c r="EM217" t="s">
        <v>221</v>
      </c>
      <c r="EO217" t="s">
        <v>4</v>
      </c>
      <c r="EQ217">
        <v>132096</v>
      </c>
      <c r="ER217">
        <v>3359.27</v>
      </c>
      <c r="ES217">
        <v>1429.5</v>
      </c>
      <c r="ET217">
        <v>14.96</v>
      </c>
      <c r="EU217">
        <v>2.27</v>
      </c>
      <c r="EV217">
        <v>1914.81</v>
      </c>
      <c r="EW217">
        <v>141.31</v>
      </c>
      <c r="EX217">
        <v>0</v>
      </c>
      <c r="EY217">
        <v>0</v>
      </c>
      <c r="FQ217">
        <v>0</v>
      </c>
      <c r="FR217">
        <f t="shared" si="261"/>
        <v>0</v>
      </c>
      <c r="FS217">
        <v>0</v>
      </c>
      <c r="FX217">
        <v>112</v>
      </c>
      <c r="FY217">
        <v>70</v>
      </c>
      <c r="GA217" t="s">
        <v>4</v>
      </c>
      <c r="GD217">
        <v>0</v>
      </c>
      <c r="GF217">
        <v>1640032820</v>
      </c>
      <c r="GG217">
        <v>2</v>
      </c>
      <c r="GH217">
        <v>1</v>
      </c>
      <c r="GI217">
        <v>2</v>
      </c>
      <c r="GJ217">
        <v>0</v>
      </c>
      <c r="GK217">
        <f>ROUND(R217*(S12)/100,2)</f>
        <v>85.12</v>
      </c>
      <c r="GL217">
        <f t="shared" si="262"/>
        <v>0</v>
      </c>
      <c r="GM217">
        <f t="shared" si="263"/>
        <v>108957.18</v>
      </c>
      <c r="GN217">
        <f t="shared" si="264"/>
        <v>0</v>
      </c>
      <c r="GO217">
        <f t="shared" si="265"/>
        <v>108957.18</v>
      </c>
      <c r="GP217">
        <f t="shared" si="266"/>
        <v>0</v>
      </c>
      <c r="GR217">
        <v>0</v>
      </c>
      <c r="GS217">
        <v>3</v>
      </c>
      <c r="GT217">
        <v>0</v>
      </c>
      <c r="GU217" t="s">
        <v>4</v>
      </c>
      <c r="GV217">
        <f t="shared" si="267"/>
        <v>0</v>
      </c>
      <c r="GW217">
        <v>1</v>
      </c>
      <c r="GX217">
        <f t="shared" si="268"/>
        <v>0</v>
      </c>
      <c r="HA217">
        <v>0</v>
      </c>
      <c r="HB217">
        <v>0</v>
      </c>
      <c r="HC217">
        <f t="shared" si="269"/>
        <v>0</v>
      </c>
      <c r="HE217" t="s">
        <v>4</v>
      </c>
      <c r="HF217" t="s">
        <v>4</v>
      </c>
      <c r="HM217" t="s">
        <v>4</v>
      </c>
      <c r="HN217" t="s">
        <v>4</v>
      </c>
      <c r="HO217" t="s">
        <v>4</v>
      </c>
      <c r="HP217" t="s">
        <v>4</v>
      </c>
      <c r="HQ217" t="s">
        <v>4</v>
      </c>
      <c r="IK217">
        <v>0</v>
      </c>
    </row>
    <row r="218" spans="1:255">
      <c r="A218" s="2">
        <v>18</v>
      </c>
      <c r="B218" s="2">
        <v>1</v>
      </c>
      <c r="C218" s="2">
        <v>107</v>
      </c>
      <c r="D218" s="2"/>
      <c r="E218" s="2" t="s">
        <v>4</v>
      </c>
      <c r="F218" s="2" t="s">
        <v>310</v>
      </c>
      <c r="G218" s="2" t="s">
        <v>311</v>
      </c>
      <c r="H218" s="2" t="s">
        <v>188</v>
      </c>
      <c r="I218" s="2">
        <f>I216*J218</f>
        <v>0</v>
      </c>
      <c r="J218" s="2">
        <v>0</v>
      </c>
      <c r="K218" s="2">
        <v>0</v>
      </c>
      <c r="L218" s="2"/>
      <c r="M218" s="2"/>
      <c r="N218" s="2"/>
      <c r="O218" s="2">
        <f t="shared" si="232"/>
        <v>0</v>
      </c>
      <c r="P218" s="2">
        <f t="shared" si="233"/>
        <v>0</v>
      </c>
      <c r="Q218" s="2">
        <f t="shared" si="234"/>
        <v>0</v>
      </c>
      <c r="R218" s="2">
        <f t="shared" si="235"/>
        <v>0</v>
      </c>
      <c r="S218" s="2">
        <f t="shared" si="236"/>
        <v>0</v>
      </c>
      <c r="T218" s="2">
        <f t="shared" si="237"/>
        <v>0</v>
      </c>
      <c r="U218" s="2">
        <f t="shared" si="238"/>
        <v>0</v>
      </c>
      <c r="V218" s="2">
        <f t="shared" si="239"/>
        <v>0</v>
      </c>
      <c r="W218" s="2">
        <f t="shared" si="240"/>
        <v>0</v>
      </c>
      <c r="X218" s="2">
        <f t="shared" si="241"/>
        <v>0</v>
      </c>
      <c r="Y218" s="2">
        <f t="shared" si="242"/>
        <v>0</v>
      </c>
      <c r="Z218" s="2"/>
      <c r="AA218" s="2">
        <v>-1</v>
      </c>
      <c r="AB218" s="2">
        <f t="shared" si="243"/>
        <v>38</v>
      </c>
      <c r="AC218" s="2">
        <f t="shared" si="244"/>
        <v>38</v>
      </c>
      <c r="AD218" s="2">
        <f t="shared" si="245"/>
        <v>0</v>
      </c>
      <c r="AE218" s="2">
        <f t="shared" si="246"/>
        <v>0</v>
      </c>
      <c r="AF218" s="2">
        <f t="shared" si="247"/>
        <v>0</v>
      </c>
      <c r="AG218" s="2">
        <f t="shared" si="248"/>
        <v>0</v>
      </c>
      <c r="AH218" s="2">
        <f t="shared" si="249"/>
        <v>0</v>
      </c>
      <c r="AI218" s="2">
        <f t="shared" si="250"/>
        <v>0</v>
      </c>
      <c r="AJ218" s="2">
        <f t="shared" si="251"/>
        <v>0</v>
      </c>
      <c r="AK218" s="2">
        <v>38</v>
      </c>
      <c r="AL218" s="2">
        <v>38</v>
      </c>
      <c r="AM218" s="2">
        <v>0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112</v>
      </c>
      <c r="AU218" s="2">
        <v>70</v>
      </c>
      <c r="AV218" s="2">
        <v>1.0469999999999999</v>
      </c>
      <c r="AW218" s="2">
        <v>1</v>
      </c>
      <c r="AX218" s="2"/>
      <c r="AY218" s="2"/>
      <c r="AZ218" s="2">
        <v>1</v>
      </c>
      <c r="BA218" s="2">
        <v>1</v>
      </c>
      <c r="BB218" s="2">
        <v>1</v>
      </c>
      <c r="BC218" s="2">
        <v>1</v>
      </c>
      <c r="BD218" s="2" t="s">
        <v>4</v>
      </c>
      <c r="BE218" s="2" t="s">
        <v>4</v>
      </c>
      <c r="BF218" s="2" t="s">
        <v>4</v>
      </c>
      <c r="BG218" s="2" t="s">
        <v>4</v>
      </c>
      <c r="BH218" s="2">
        <v>3</v>
      </c>
      <c r="BI218" s="2">
        <v>2</v>
      </c>
      <c r="BJ218" s="2" t="s">
        <v>312</v>
      </c>
      <c r="BK218" s="2"/>
      <c r="BL218" s="2"/>
      <c r="BM218" s="2">
        <v>1726</v>
      </c>
      <c r="BN218" s="2">
        <v>0</v>
      </c>
      <c r="BO218" s="2" t="s">
        <v>4</v>
      </c>
      <c r="BP218" s="2">
        <v>0</v>
      </c>
      <c r="BQ218" s="2">
        <v>40</v>
      </c>
      <c r="BR218" s="2">
        <v>0</v>
      </c>
      <c r="BS218" s="2">
        <v>1</v>
      </c>
      <c r="BT218" s="2">
        <v>1</v>
      </c>
      <c r="BU218" s="2">
        <v>1</v>
      </c>
      <c r="BV218" s="2">
        <v>1</v>
      </c>
      <c r="BW218" s="2">
        <v>1</v>
      </c>
      <c r="BX218" s="2">
        <v>1</v>
      </c>
      <c r="BY218" s="2" t="s">
        <v>4</v>
      </c>
      <c r="BZ218" s="2">
        <v>112</v>
      </c>
      <c r="CA218" s="2">
        <v>70</v>
      </c>
      <c r="CB218" s="2" t="s">
        <v>4</v>
      </c>
      <c r="CC218" s="2"/>
      <c r="CD218" s="2"/>
      <c r="CE218" s="2">
        <v>30</v>
      </c>
      <c r="CF218" s="2">
        <v>0</v>
      </c>
      <c r="CG218" s="2">
        <v>0</v>
      </c>
      <c r="CH218" s="2"/>
      <c r="CI218" s="2"/>
      <c r="CJ218" s="2"/>
      <c r="CK218" s="2"/>
      <c r="CL218" s="2"/>
      <c r="CM218" s="2">
        <v>0</v>
      </c>
      <c r="CN218" s="2" t="s">
        <v>4</v>
      </c>
      <c r="CO218" s="2">
        <v>0</v>
      </c>
      <c r="CP218" s="2">
        <f t="shared" si="252"/>
        <v>0</v>
      </c>
      <c r="CQ218" s="2">
        <f t="shared" si="253"/>
        <v>38</v>
      </c>
      <c r="CR218" s="2">
        <f t="shared" si="254"/>
        <v>0</v>
      </c>
      <c r="CS218" s="2">
        <f t="shared" si="255"/>
        <v>0</v>
      </c>
      <c r="CT218" s="2">
        <f t="shared" si="256"/>
        <v>0</v>
      </c>
      <c r="CU218" s="2">
        <f t="shared" si="257"/>
        <v>0</v>
      </c>
      <c r="CV218" s="2">
        <f t="shared" si="258"/>
        <v>0</v>
      </c>
      <c r="CW218" s="2">
        <f t="shared" si="259"/>
        <v>0</v>
      </c>
      <c r="CX218" s="2">
        <f t="shared" si="260"/>
        <v>0</v>
      </c>
      <c r="CY218" s="2">
        <f>((S218*BZ218)/100)</f>
        <v>0</v>
      </c>
      <c r="CZ218" s="2">
        <f>((S218*CA218)/100)</f>
        <v>0</v>
      </c>
      <c r="DA218" s="2"/>
      <c r="DB218" s="2"/>
      <c r="DC218" s="2" t="s">
        <v>4</v>
      </c>
      <c r="DD218" s="2" t="s">
        <v>4</v>
      </c>
      <c r="DE218" s="2" t="s">
        <v>4</v>
      </c>
      <c r="DF218" s="2" t="s">
        <v>4</v>
      </c>
      <c r="DG218" s="2" t="s">
        <v>4</v>
      </c>
      <c r="DH218" s="2" t="s">
        <v>4</v>
      </c>
      <c r="DI218" s="2" t="s">
        <v>4</v>
      </c>
      <c r="DJ218" s="2" t="s">
        <v>4</v>
      </c>
      <c r="DK218" s="2" t="s">
        <v>4</v>
      </c>
      <c r="DL218" s="2" t="s">
        <v>4</v>
      </c>
      <c r="DM218" s="2" t="s">
        <v>4</v>
      </c>
      <c r="DN218" s="2">
        <v>0</v>
      </c>
      <c r="DO218" s="2">
        <v>0</v>
      </c>
      <c r="DP218" s="2">
        <v>1</v>
      </c>
      <c r="DQ218" s="2">
        <v>1</v>
      </c>
      <c r="DR218" s="2"/>
      <c r="DS218" s="2"/>
      <c r="DT218" s="2"/>
      <c r="DU218" s="2">
        <v>1010</v>
      </c>
      <c r="DV218" s="2" t="s">
        <v>188</v>
      </c>
      <c r="DW218" s="2" t="s">
        <v>188</v>
      </c>
      <c r="DX218" s="2">
        <v>1</v>
      </c>
      <c r="DY218" s="2"/>
      <c r="DZ218" s="2" t="s">
        <v>4</v>
      </c>
      <c r="EA218" s="2" t="s">
        <v>4</v>
      </c>
      <c r="EB218" s="2" t="s">
        <v>4</v>
      </c>
      <c r="EC218" s="2" t="s">
        <v>4</v>
      </c>
      <c r="ED218" s="2"/>
      <c r="EE218" s="2">
        <v>69254351</v>
      </c>
      <c r="EF218" s="2">
        <v>40</v>
      </c>
      <c r="EG218" s="2" t="s">
        <v>219</v>
      </c>
      <c r="EH218" s="2">
        <v>0</v>
      </c>
      <c r="EI218" s="2" t="s">
        <v>4</v>
      </c>
      <c r="EJ218" s="2">
        <v>2</v>
      </c>
      <c r="EK218" s="2">
        <v>1726</v>
      </c>
      <c r="EL218" s="2" t="s">
        <v>220</v>
      </c>
      <c r="EM218" s="2" t="s">
        <v>221</v>
      </c>
      <c r="EN218" s="2"/>
      <c r="EO218" s="2" t="s">
        <v>4</v>
      </c>
      <c r="EP218" s="2"/>
      <c r="EQ218" s="2">
        <v>1024</v>
      </c>
      <c r="ER218" s="2">
        <v>38</v>
      </c>
      <c r="ES218" s="2">
        <v>38</v>
      </c>
      <c r="ET218" s="2">
        <v>0</v>
      </c>
      <c r="EU218" s="2">
        <v>0</v>
      </c>
      <c r="EV218" s="2">
        <v>0</v>
      </c>
      <c r="EW218" s="2">
        <v>0</v>
      </c>
      <c r="EX218" s="2">
        <v>0</v>
      </c>
      <c r="EY218" s="2"/>
      <c r="EZ218" s="2"/>
      <c r="FA218" s="2"/>
      <c r="FB218" s="2"/>
      <c r="FC218" s="2"/>
      <c r="FD218" s="2"/>
      <c r="FE218" s="2"/>
      <c r="FF218" s="2"/>
      <c r="FG218" s="2"/>
      <c r="FH218" s="2"/>
      <c r="FI218" s="2"/>
      <c r="FJ218" s="2"/>
      <c r="FK218" s="2"/>
      <c r="FL218" s="2"/>
      <c r="FM218" s="2"/>
      <c r="FN218" s="2"/>
      <c r="FO218" s="2"/>
      <c r="FP218" s="2"/>
      <c r="FQ218" s="2">
        <v>0</v>
      </c>
      <c r="FR218" s="2">
        <f t="shared" si="261"/>
        <v>0</v>
      </c>
      <c r="FS218" s="2">
        <v>0</v>
      </c>
      <c r="FT218" s="2"/>
      <c r="FU218" s="2"/>
      <c r="FV218" s="2"/>
      <c r="FW218" s="2"/>
      <c r="FX218" s="2">
        <v>112</v>
      </c>
      <c r="FY218" s="2">
        <v>70</v>
      </c>
      <c r="FZ218" s="2"/>
      <c r="GA218" s="2" t="s">
        <v>4</v>
      </c>
      <c r="GB218" s="2"/>
      <c r="GC218" s="2"/>
      <c r="GD218" s="2">
        <v>0</v>
      </c>
      <c r="GE218" s="2"/>
      <c r="GF218" s="2">
        <v>-281701414</v>
      </c>
      <c r="GG218" s="2">
        <v>2</v>
      </c>
      <c r="GH218" s="2">
        <v>1</v>
      </c>
      <c r="GI218" s="2">
        <v>-2</v>
      </c>
      <c r="GJ218" s="2">
        <v>0</v>
      </c>
      <c r="GK218" s="2">
        <f>ROUND(R218*(R12)/100,2)</f>
        <v>0</v>
      </c>
      <c r="GL218" s="2">
        <f t="shared" si="262"/>
        <v>0</v>
      </c>
      <c r="GM218" s="2">
        <f t="shared" si="263"/>
        <v>0</v>
      </c>
      <c r="GN218" s="2">
        <f t="shared" si="264"/>
        <v>0</v>
      </c>
      <c r="GO218" s="2">
        <f t="shared" si="265"/>
        <v>0</v>
      </c>
      <c r="GP218" s="2">
        <f t="shared" si="266"/>
        <v>0</v>
      </c>
      <c r="GQ218" s="2"/>
      <c r="GR218" s="2">
        <v>0</v>
      </c>
      <c r="GS218" s="2">
        <v>0</v>
      </c>
      <c r="GT218" s="2">
        <v>0</v>
      </c>
      <c r="GU218" s="2" t="s">
        <v>4</v>
      </c>
      <c r="GV218" s="2">
        <f t="shared" si="267"/>
        <v>0</v>
      </c>
      <c r="GW218" s="2">
        <v>1</v>
      </c>
      <c r="GX218" s="2">
        <f t="shared" si="268"/>
        <v>0</v>
      </c>
      <c r="GY218" s="2"/>
      <c r="GZ218" s="2"/>
      <c r="HA218" s="2">
        <v>0</v>
      </c>
      <c r="HB218" s="2">
        <v>0</v>
      </c>
      <c r="HC218" s="2">
        <f t="shared" si="269"/>
        <v>0</v>
      </c>
      <c r="HD218" s="2"/>
      <c r="HE218" s="2" t="s">
        <v>4</v>
      </c>
      <c r="HF218" s="2" t="s">
        <v>4</v>
      </c>
      <c r="HG218" s="2"/>
      <c r="HH218" s="2"/>
      <c r="HI218" s="2"/>
      <c r="HJ218" s="2"/>
      <c r="HK218" s="2"/>
      <c r="HL218" s="2"/>
      <c r="HM218" s="2" t="s">
        <v>4</v>
      </c>
      <c r="HN218" s="2" t="s">
        <v>4</v>
      </c>
      <c r="HO218" s="2" t="s">
        <v>4</v>
      </c>
      <c r="HP218" s="2" t="s">
        <v>4</v>
      </c>
      <c r="HQ218" s="2" t="s">
        <v>4</v>
      </c>
      <c r="HR218" s="2"/>
      <c r="HS218" s="2"/>
      <c r="HT218" s="2"/>
      <c r="HU218" s="2"/>
      <c r="HV218" s="2"/>
      <c r="HW218" s="2"/>
      <c r="HX218" s="2"/>
      <c r="HY218" s="2"/>
      <c r="HZ218" s="2"/>
      <c r="IA218" s="2"/>
      <c r="IB218" s="2"/>
      <c r="IC218" s="2"/>
      <c r="ID218" s="2"/>
      <c r="IE218" s="2"/>
      <c r="IF218" s="2"/>
      <c r="IG218" s="2"/>
      <c r="IH218" s="2"/>
      <c r="II218" s="2"/>
      <c r="IJ218" s="2"/>
      <c r="IK218" s="2">
        <v>0</v>
      </c>
      <c r="IL218" s="2"/>
      <c r="IM218" s="2"/>
      <c r="IN218" s="2"/>
      <c r="IO218" s="2"/>
      <c r="IP218" s="2"/>
      <c r="IQ218" s="2"/>
      <c r="IR218" s="2"/>
      <c r="IS218" s="2"/>
      <c r="IT218" s="2"/>
      <c r="IU218" s="2"/>
    </row>
    <row r="219" spans="1:255">
      <c r="A219">
        <v>18</v>
      </c>
      <c r="B219">
        <v>1</v>
      </c>
      <c r="C219">
        <v>109</v>
      </c>
      <c r="E219" t="s">
        <v>4</v>
      </c>
      <c r="F219" t="s">
        <v>310</v>
      </c>
      <c r="G219" t="s">
        <v>311</v>
      </c>
      <c r="H219" t="s">
        <v>188</v>
      </c>
      <c r="I219">
        <f>I217*J219</f>
        <v>0</v>
      </c>
      <c r="J219">
        <v>0</v>
      </c>
      <c r="K219">
        <v>0</v>
      </c>
      <c r="O219">
        <f t="shared" si="232"/>
        <v>0</v>
      </c>
      <c r="P219">
        <f t="shared" si="233"/>
        <v>0</v>
      </c>
      <c r="Q219">
        <f t="shared" si="234"/>
        <v>0</v>
      </c>
      <c r="R219">
        <f t="shared" si="235"/>
        <v>0</v>
      </c>
      <c r="S219">
        <f t="shared" si="236"/>
        <v>0</v>
      </c>
      <c r="T219">
        <f t="shared" si="237"/>
        <v>0</v>
      </c>
      <c r="U219">
        <f t="shared" si="238"/>
        <v>0</v>
      </c>
      <c r="V219">
        <f t="shared" si="239"/>
        <v>0</v>
      </c>
      <c r="W219">
        <f t="shared" si="240"/>
        <v>0</v>
      </c>
      <c r="X219">
        <f t="shared" si="241"/>
        <v>0</v>
      </c>
      <c r="Y219">
        <f t="shared" si="242"/>
        <v>0</v>
      </c>
      <c r="AA219">
        <v>-1</v>
      </c>
      <c r="AB219">
        <f t="shared" si="243"/>
        <v>38</v>
      </c>
      <c r="AC219">
        <f t="shared" si="244"/>
        <v>38</v>
      </c>
      <c r="AD219">
        <f t="shared" si="245"/>
        <v>0</v>
      </c>
      <c r="AE219">
        <f t="shared" si="246"/>
        <v>0</v>
      </c>
      <c r="AF219">
        <f t="shared" si="247"/>
        <v>0</v>
      </c>
      <c r="AG219">
        <f t="shared" si="248"/>
        <v>0</v>
      </c>
      <c r="AH219">
        <f t="shared" si="249"/>
        <v>0</v>
      </c>
      <c r="AI219">
        <f t="shared" si="250"/>
        <v>0</v>
      </c>
      <c r="AJ219">
        <f t="shared" si="251"/>
        <v>0</v>
      </c>
      <c r="AK219">
        <v>38</v>
      </c>
      <c r="AL219">
        <v>38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1</v>
      </c>
      <c r="AW219">
        <v>1</v>
      </c>
      <c r="AZ219">
        <v>1</v>
      </c>
      <c r="BA219">
        <v>1</v>
      </c>
      <c r="BB219">
        <v>1</v>
      </c>
      <c r="BC219">
        <v>5.34</v>
      </c>
      <c r="BD219" t="s">
        <v>4</v>
      </c>
      <c r="BE219" t="s">
        <v>4</v>
      </c>
      <c r="BF219" t="s">
        <v>4</v>
      </c>
      <c r="BG219" t="s">
        <v>4</v>
      </c>
      <c r="BH219">
        <v>3</v>
      </c>
      <c r="BI219">
        <v>2</v>
      </c>
      <c r="BJ219" t="s">
        <v>312</v>
      </c>
      <c r="BM219">
        <v>1726</v>
      </c>
      <c r="BN219">
        <v>0</v>
      </c>
      <c r="BO219" t="s">
        <v>310</v>
      </c>
      <c r="BP219">
        <v>1</v>
      </c>
      <c r="BQ219">
        <v>40</v>
      </c>
      <c r="BR219">
        <v>0</v>
      </c>
      <c r="BS219">
        <v>1</v>
      </c>
      <c r="BT219">
        <v>1</v>
      </c>
      <c r="BU219">
        <v>1</v>
      </c>
      <c r="BV219">
        <v>1</v>
      </c>
      <c r="BW219">
        <v>1</v>
      </c>
      <c r="BX219">
        <v>1</v>
      </c>
      <c r="BY219" t="s">
        <v>4</v>
      </c>
      <c r="BZ219">
        <v>0</v>
      </c>
      <c r="CA219">
        <v>0</v>
      </c>
      <c r="CB219" t="s">
        <v>4</v>
      </c>
      <c r="CE219">
        <v>30</v>
      </c>
      <c r="CF219">
        <v>0</v>
      </c>
      <c r="CG219">
        <v>0</v>
      </c>
      <c r="CM219">
        <v>0</v>
      </c>
      <c r="CN219" t="s">
        <v>4</v>
      </c>
      <c r="CO219">
        <v>0</v>
      </c>
      <c r="CP219">
        <f t="shared" si="252"/>
        <v>0</v>
      </c>
      <c r="CQ219">
        <f t="shared" si="253"/>
        <v>202.92</v>
      </c>
      <c r="CR219">
        <f t="shared" si="254"/>
        <v>0</v>
      </c>
      <c r="CS219">
        <f t="shared" si="255"/>
        <v>0</v>
      </c>
      <c r="CT219">
        <f t="shared" si="256"/>
        <v>0</v>
      </c>
      <c r="CU219">
        <f t="shared" si="257"/>
        <v>0</v>
      </c>
      <c r="CV219">
        <f t="shared" si="258"/>
        <v>0</v>
      </c>
      <c r="CW219">
        <f t="shared" si="259"/>
        <v>0</v>
      </c>
      <c r="CX219">
        <f t="shared" si="260"/>
        <v>0</v>
      </c>
      <c r="CY219">
        <f>S219*(BZ219/100)</f>
        <v>0</v>
      </c>
      <c r="CZ219">
        <f>S219*(CA219/100)</f>
        <v>0</v>
      </c>
      <c r="DC219" t="s">
        <v>4</v>
      </c>
      <c r="DD219" t="s">
        <v>4</v>
      </c>
      <c r="DE219" t="s">
        <v>4</v>
      </c>
      <c r="DF219" t="s">
        <v>4</v>
      </c>
      <c r="DG219" t="s">
        <v>4</v>
      </c>
      <c r="DH219" t="s">
        <v>4</v>
      </c>
      <c r="DI219" t="s">
        <v>4</v>
      </c>
      <c r="DJ219" t="s">
        <v>4</v>
      </c>
      <c r="DK219" t="s">
        <v>4</v>
      </c>
      <c r="DL219" t="s">
        <v>4</v>
      </c>
      <c r="DM219" t="s">
        <v>4</v>
      </c>
      <c r="DN219">
        <v>112</v>
      </c>
      <c r="DO219">
        <v>70</v>
      </c>
      <c r="DP219">
        <v>1.0469999999999999</v>
      </c>
      <c r="DQ219">
        <v>1</v>
      </c>
      <c r="DU219">
        <v>1010</v>
      </c>
      <c r="DV219" t="s">
        <v>188</v>
      </c>
      <c r="DW219" t="s">
        <v>188</v>
      </c>
      <c r="DX219">
        <v>1</v>
      </c>
      <c r="DZ219" t="s">
        <v>4</v>
      </c>
      <c r="EA219" t="s">
        <v>4</v>
      </c>
      <c r="EB219" t="s">
        <v>4</v>
      </c>
      <c r="EC219" t="s">
        <v>4</v>
      </c>
      <c r="EE219">
        <v>69254351</v>
      </c>
      <c r="EF219">
        <v>40</v>
      </c>
      <c r="EG219" t="s">
        <v>219</v>
      </c>
      <c r="EH219">
        <v>0</v>
      </c>
      <c r="EI219" t="s">
        <v>4</v>
      </c>
      <c r="EJ219">
        <v>2</v>
      </c>
      <c r="EK219">
        <v>1726</v>
      </c>
      <c r="EL219" t="s">
        <v>220</v>
      </c>
      <c r="EM219" t="s">
        <v>221</v>
      </c>
      <c r="EO219" t="s">
        <v>4</v>
      </c>
      <c r="EQ219">
        <v>1024</v>
      </c>
      <c r="ER219">
        <v>38</v>
      </c>
      <c r="ES219">
        <v>38</v>
      </c>
      <c r="ET219">
        <v>0</v>
      </c>
      <c r="EU219">
        <v>0</v>
      </c>
      <c r="EV219">
        <v>0</v>
      </c>
      <c r="EW219">
        <v>0</v>
      </c>
      <c r="EX219">
        <v>0</v>
      </c>
      <c r="FQ219">
        <v>0</v>
      </c>
      <c r="FR219">
        <f t="shared" si="261"/>
        <v>0</v>
      </c>
      <c r="FS219">
        <v>0</v>
      </c>
      <c r="FX219">
        <v>112</v>
      </c>
      <c r="FY219">
        <v>70</v>
      </c>
      <c r="GA219" t="s">
        <v>4</v>
      </c>
      <c r="GD219">
        <v>0</v>
      </c>
      <c r="GF219">
        <v>-281701414</v>
      </c>
      <c r="GG219">
        <v>2</v>
      </c>
      <c r="GH219">
        <v>1</v>
      </c>
      <c r="GI219">
        <v>2</v>
      </c>
      <c r="GJ219">
        <v>0</v>
      </c>
      <c r="GK219">
        <f>ROUND(R219*(S12)/100,2)</f>
        <v>0</v>
      </c>
      <c r="GL219">
        <f t="shared" si="262"/>
        <v>0</v>
      </c>
      <c r="GM219">
        <f t="shared" si="263"/>
        <v>0</v>
      </c>
      <c r="GN219">
        <f t="shared" si="264"/>
        <v>0</v>
      </c>
      <c r="GO219">
        <f t="shared" si="265"/>
        <v>0</v>
      </c>
      <c r="GP219">
        <f t="shared" si="266"/>
        <v>0</v>
      </c>
      <c r="GR219">
        <v>0</v>
      </c>
      <c r="GS219">
        <v>3</v>
      </c>
      <c r="GT219">
        <v>0</v>
      </c>
      <c r="GU219" t="s">
        <v>4</v>
      </c>
      <c r="GV219">
        <f t="shared" si="267"/>
        <v>0</v>
      </c>
      <c r="GW219">
        <v>1</v>
      </c>
      <c r="GX219">
        <f t="shared" si="268"/>
        <v>0</v>
      </c>
      <c r="HA219">
        <v>0</v>
      </c>
      <c r="HB219">
        <v>0</v>
      </c>
      <c r="HC219">
        <f t="shared" si="269"/>
        <v>0</v>
      </c>
      <c r="HE219" t="s">
        <v>4</v>
      </c>
      <c r="HF219" t="s">
        <v>4</v>
      </c>
      <c r="HM219" t="s">
        <v>4</v>
      </c>
      <c r="HN219" t="s">
        <v>4</v>
      </c>
      <c r="HO219" t="s">
        <v>4</v>
      </c>
      <c r="HP219" t="s">
        <v>4</v>
      </c>
      <c r="HQ219" t="s">
        <v>4</v>
      </c>
      <c r="IK219">
        <v>0</v>
      </c>
    </row>
    <row r="220" spans="1:255">
      <c r="A220" s="2">
        <v>18</v>
      </c>
      <c r="B220" s="2">
        <v>1</v>
      </c>
      <c r="C220" s="2">
        <v>108</v>
      </c>
      <c r="D220" s="2"/>
      <c r="E220" s="2" t="s">
        <v>4</v>
      </c>
      <c r="F220" s="2" t="s">
        <v>313</v>
      </c>
      <c r="G220" s="2" t="s">
        <v>314</v>
      </c>
      <c r="H220" s="2" t="s">
        <v>237</v>
      </c>
      <c r="I220" s="2">
        <f>I216*J220</f>
        <v>0</v>
      </c>
      <c r="J220" s="2">
        <v>0</v>
      </c>
      <c r="K220" s="2">
        <v>0</v>
      </c>
      <c r="L220" s="2"/>
      <c r="M220" s="2"/>
      <c r="N220" s="2"/>
      <c r="O220" s="2">
        <f t="shared" si="232"/>
        <v>0</v>
      </c>
      <c r="P220" s="2">
        <f t="shared" si="233"/>
        <v>0</v>
      </c>
      <c r="Q220" s="2">
        <f t="shared" si="234"/>
        <v>0</v>
      </c>
      <c r="R220" s="2">
        <f t="shared" si="235"/>
        <v>0</v>
      </c>
      <c r="S220" s="2">
        <f t="shared" si="236"/>
        <v>0</v>
      </c>
      <c r="T220" s="2">
        <f t="shared" si="237"/>
        <v>0</v>
      </c>
      <c r="U220" s="2">
        <f t="shared" si="238"/>
        <v>0</v>
      </c>
      <c r="V220" s="2">
        <f t="shared" si="239"/>
        <v>0</v>
      </c>
      <c r="W220" s="2">
        <f t="shared" si="240"/>
        <v>0</v>
      </c>
      <c r="X220" s="2">
        <f t="shared" si="241"/>
        <v>0</v>
      </c>
      <c r="Y220" s="2">
        <f t="shared" si="242"/>
        <v>0</v>
      </c>
      <c r="Z220" s="2"/>
      <c r="AA220" s="2">
        <v>-1</v>
      </c>
      <c r="AB220" s="2">
        <f t="shared" si="243"/>
        <v>9414.7999999999993</v>
      </c>
      <c r="AC220" s="2">
        <f t="shared" si="244"/>
        <v>9414.7999999999993</v>
      </c>
      <c r="AD220" s="2">
        <f t="shared" si="245"/>
        <v>0</v>
      </c>
      <c r="AE220" s="2">
        <f t="shared" si="246"/>
        <v>0</v>
      </c>
      <c r="AF220" s="2">
        <f t="shared" si="247"/>
        <v>0</v>
      </c>
      <c r="AG220" s="2">
        <f t="shared" si="248"/>
        <v>0</v>
      </c>
      <c r="AH220" s="2">
        <f t="shared" si="249"/>
        <v>0</v>
      </c>
      <c r="AI220" s="2">
        <f t="shared" si="250"/>
        <v>0</v>
      </c>
      <c r="AJ220" s="2">
        <f t="shared" si="251"/>
        <v>0</v>
      </c>
      <c r="AK220" s="2">
        <v>9414.7999999999993</v>
      </c>
      <c r="AL220" s="2">
        <v>9414.7999999999993</v>
      </c>
      <c r="AM220" s="2">
        <v>0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112</v>
      </c>
      <c r="AU220" s="2">
        <v>70</v>
      </c>
      <c r="AV220" s="2">
        <v>1.0469999999999999</v>
      </c>
      <c r="AW220" s="2">
        <v>1</v>
      </c>
      <c r="AX220" s="2"/>
      <c r="AY220" s="2"/>
      <c r="AZ220" s="2">
        <v>1</v>
      </c>
      <c r="BA220" s="2">
        <v>1</v>
      </c>
      <c r="BB220" s="2">
        <v>1</v>
      </c>
      <c r="BC220" s="2">
        <v>1</v>
      </c>
      <c r="BD220" s="2" t="s">
        <v>4</v>
      </c>
      <c r="BE220" s="2" t="s">
        <v>4</v>
      </c>
      <c r="BF220" s="2" t="s">
        <v>4</v>
      </c>
      <c r="BG220" s="2" t="s">
        <v>4</v>
      </c>
      <c r="BH220" s="2">
        <v>3</v>
      </c>
      <c r="BI220" s="2">
        <v>2</v>
      </c>
      <c r="BJ220" s="2" t="s">
        <v>315</v>
      </c>
      <c r="BK220" s="2"/>
      <c r="BL220" s="2"/>
      <c r="BM220" s="2">
        <v>1726</v>
      </c>
      <c r="BN220" s="2">
        <v>0</v>
      </c>
      <c r="BO220" s="2" t="s">
        <v>4</v>
      </c>
      <c r="BP220" s="2">
        <v>0</v>
      </c>
      <c r="BQ220" s="2">
        <v>40</v>
      </c>
      <c r="BR220" s="2">
        <v>0</v>
      </c>
      <c r="BS220" s="2">
        <v>1</v>
      </c>
      <c r="BT220" s="2">
        <v>1</v>
      </c>
      <c r="BU220" s="2">
        <v>1</v>
      </c>
      <c r="BV220" s="2">
        <v>1</v>
      </c>
      <c r="BW220" s="2">
        <v>1</v>
      </c>
      <c r="BX220" s="2">
        <v>1</v>
      </c>
      <c r="BY220" s="2" t="s">
        <v>4</v>
      </c>
      <c r="BZ220" s="2">
        <v>112</v>
      </c>
      <c r="CA220" s="2">
        <v>70</v>
      </c>
      <c r="CB220" s="2" t="s">
        <v>4</v>
      </c>
      <c r="CC220" s="2"/>
      <c r="CD220" s="2"/>
      <c r="CE220" s="2">
        <v>30</v>
      </c>
      <c r="CF220" s="2">
        <v>0</v>
      </c>
      <c r="CG220" s="2">
        <v>0</v>
      </c>
      <c r="CH220" s="2"/>
      <c r="CI220" s="2"/>
      <c r="CJ220" s="2"/>
      <c r="CK220" s="2"/>
      <c r="CL220" s="2"/>
      <c r="CM220" s="2">
        <v>0</v>
      </c>
      <c r="CN220" s="2" t="s">
        <v>4</v>
      </c>
      <c r="CO220" s="2">
        <v>0</v>
      </c>
      <c r="CP220" s="2">
        <f t="shared" si="252"/>
        <v>0</v>
      </c>
      <c r="CQ220" s="2">
        <f t="shared" si="253"/>
        <v>9414.7999999999993</v>
      </c>
      <c r="CR220" s="2">
        <f t="shared" si="254"/>
        <v>0</v>
      </c>
      <c r="CS220" s="2">
        <f t="shared" si="255"/>
        <v>0</v>
      </c>
      <c r="CT220" s="2">
        <f t="shared" si="256"/>
        <v>0</v>
      </c>
      <c r="CU220" s="2">
        <f t="shared" si="257"/>
        <v>0</v>
      </c>
      <c r="CV220" s="2">
        <f t="shared" si="258"/>
        <v>0</v>
      </c>
      <c r="CW220" s="2">
        <f t="shared" si="259"/>
        <v>0</v>
      </c>
      <c r="CX220" s="2">
        <f t="shared" si="260"/>
        <v>0</v>
      </c>
      <c r="CY220" s="2">
        <f>((S220*BZ220)/100)</f>
        <v>0</v>
      </c>
      <c r="CZ220" s="2">
        <f>((S220*CA220)/100)</f>
        <v>0</v>
      </c>
      <c r="DA220" s="2"/>
      <c r="DB220" s="2"/>
      <c r="DC220" s="2" t="s">
        <v>4</v>
      </c>
      <c r="DD220" s="2" t="s">
        <v>4</v>
      </c>
      <c r="DE220" s="2" t="s">
        <v>4</v>
      </c>
      <c r="DF220" s="2" t="s">
        <v>4</v>
      </c>
      <c r="DG220" s="2" t="s">
        <v>4</v>
      </c>
      <c r="DH220" s="2" t="s">
        <v>4</v>
      </c>
      <c r="DI220" s="2" t="s">
        <v>4</v>
      </c>
      <c r="DJ220" s="2" t="s">
        <v>4</v>
      </c>
      <c r="DK220" s="2" t="s">
        <v>4</v>
      </c>
      <c r="DL220" s="2" t="s">
        <v>4</v>
      </c>
      <c r="DM220" s="2" t="s">
        <v>4</v>
      </c>
      <c r="DN220" s="2">
        <v>0</v>
      </c>
      <c r="DO220" s="2">
        <v>0</v>
      </c>
      <c r="DP220" s="2">
        <v>1</v>
      </c>
      <c r="DQ220" s="2">
        <v>1</v>
      </c>
      <c r="DR220" s="2"/>
      <c r="DS220" s="2"/>
      <c r="DT220" s="2"/>
      <c r="DU220" s="2">
        <v>1013</v>
      </c>
      <c r="DV220" s="2" t="s">
        <v>237</v>
      </c>
      <c r="DW220" s="2" t="s">
        <v>237</v>
      </c>
      <c r="DX220" s="2">
        <v>1</v>
      </c>
      <c r="DY220" s="2"/>
      <c r="DZ220" s="2" t="s">
        <v>4</v>
      </c>
      <c r="EA220" s="2" t="s">
        <v>4</v>
      </c>
      <c r="EB220" s="2" t="s">
        <v>4</v>
      </c>
      <c r="EC220" s="2" t="s">
        <v>4</v>
      </c>
      <c r="ED220" s="2"/>
      <c r="EE220" s="2">
        <v>69254351</v>
      </c>
      <c r="EF220" s="2">
        <v>40</v>
      </c>
      <c r="EG220" s="2" t="s">
        <v>219</v>
      </c>
      <c r="EH220" s="2">
        <v>0</v>
      </c>
      <c r="EI220" s="2" t="s">
        <v>4</v>
      </c>
      <c r="EJ220" s="2">
        <v>2</v>
      </c>
      <c r="EK220" s="2">
        <v>1726</v>
      </c>
      <c r="EL220" s="2" t="s">
        <v>220</v>
      </c>
      <c r="EM220" s="2" t="s">
        <v>221</v>
      </c>
      <c r="EN220" s="2"/>
      <c r="EO220" s="2" t="s">
        <v>4</v>
      </c>
      <c r="EP220" s="2"/>
      <c r="EQ220" s="2">
        <v>1024</v>
      </c>
      <c r="ER220" s="2">
        <v>9414.7999999999993</v>
      </c>
      <c r="ES220" s="2">
        <v>9414.7999999999993</v>
      </c>
      <c r="ET220" s="2">
        <v>0</v>
      </c>
      <c r="EU220" s="2">
        <v>0</v>
      </c>
      <c r="EV220" s="2">
        <v>0</v>
      </c>
      <c r="EW220" s="2">
        <v>0</v>
      </c>
      <c r="EX220" s="2">
        <v>0</v>
      </c>
      <c r="EY220" s="2"/>
      <c r="EZ220" s="2"/>
      <c r="FA220" s="2"/>
      <c r="FB220" s="2"/>
      <c r="FC220" s="2"/>
      <c r="FD220" s="2"/>
      <c r="FE220" s="2"/>
      <c r="FF220" s="2"/>
      <c r="FG220" s="2"/>
      <c r="FH220" s="2"/>
      <c r="FI220" s="2"/>
      <c r="FJ220" s="2"/>
      <c r="FK220" s="2"/>
      <c r="FL220" s="2"/>
      <c r="FM220" s="2"/>
      <c r="FN220" s="2"/>
      <c r="FO220" s="2"/>
      <c r="FP220" s="2"/>
      <c r="FQ220" s="2">
        <v>0</v>
      </c>
      <c r="FR220" s="2">
        <f t="shared" si="261"/>
        <v>0</v>
      </c>
      <c r="FS220" s="2">
        <v>0</v>
      </c>
      <c r="FT220" s="2"/>
      <c r="FU220" s="2"/>
      <c r="FV220" s="2"/>
      <c r="FW220" s="2"/>
      <c r="FX220" s="2">
        <v>112</v>
      </c>
      <c r="FY220" s="2">
        <v>70</v>
      </c>
      <c r="FZ220" s="2"/>
      <c r="GA220" s="2" t="s">
        <v>4</v>
      </c>
      <c r="GB220" s="2"/>
      <c r="GC220" s="2"/>
      <c r="GD220" s="2">
        <v>0</v>
      </c>
      <c r="GE220" s="2"/>
      <c r="GF220" s="2">
        <v>460640214</v>
      </c>
      <c r="GG220" s="2">
        <v>2</v>
      </c>
      <c r="GH220" s="2">
        <v>1</v>
      </c>
      <c r="GI220" s="2">
        <v>-2</v>
      </c>
      <c r="GJ220" s="2">
        <v>0</v>
      </c>
      <c r="GK220" s="2">
        <f>ROUND(R220*(R12)/100,2)</f>
        <v>0</v>
      </c>
      <c r="GL220" s="2">
        <f t="shared" si="262"/>
        <v>0</v>
      </c>
      <c r="GM220" s="2">
        <f t="shared" si="263"/>
        <v>0</v>
      </c>
      <c r="GN220" s="2">
        <f t="shared" si="264"/>
        <v>0</v>
      </c>
      <c r="GO220" s="2">
        <f t="shared" si="265"/>
        <v>0</v>
      </c>
      <c r="GP220" s="2">
        <f t="shared" si="266"/>
        <v>0</v>
      </c>
      <c r="GQ220" s="2"/>
      <c r="GR220" s="2">
        <v>0</v>
      </c>
      <c r="GS220" s="2">
        <v>0</v>
      </c>
      <c r="GT220" s="2">
        <v>0</v>
      </c>
      <c r="GU220" s="2" t="s">
        <v>4</v>
      </c>
      <c r="GV220" s="2">
        <f t="shared" si="267"/>
        <v>0</v>
      </c>
      <c r="GW220" s="2">
        <v>1</v>
      </c>
      <c r="GX220" s="2">
        <f t="shared" si="268"/>
        <v>0</v>
      </c>
      <c r="GY220" s="2"/>
      <c r="GZ220" s="2"/>
      <c r="HA220" s="2">
        <v>0</v>
      </c>
      <c r="HB220" s="2">
        <v>0</v>
      </c>
      <c r="HC220" s="2">
        <f t="shared" si="269"/>
        <v>0</v>
      </c>
      <c r="HD220" s="2"/>
      <c r="HE220" s="2" t="s">
        <v>4</v>
      </c>
      <c r="HF220" s="2" t="s">
        <v>4</v>
      </c>
      <c r="HG220" s="2"/>
      <c r="HH220" s="2"/>
      <c r="HI220" s="2"/>
      <c r="HJ220" s="2"/>
      <c r="HK220" s="2"/>
      <c r="HL220" s="2"/>
      <c r="HM220" s="2" t="s">
        <v>4</v>
      </c>
      <c r="HN220" s="2" t="s">
        <v>4</v>
      </c>
      <c r="HO220" s="2" t="s">
        <v>4</v>
      </c>
      <c r="HP220" s="2" t="s">
        <v>4</v>
      </c>
      <c r="HQ220" s="2" t="s">
        <v>4</v>
      </c>
      <c r="HR220" s="2"/>
      <c r="HS220" s="2"/>
      <c r="HT220" s="2"/>
      <c r="HU220" s="2"/>
      <c r="HV220" s="2"/>
      <c r="HW220" s="2"/>
      <c r="HX220" s="2"/>
      <c r="HY220" s="2"/>
      <c r="HZ220" s="2"/>
      <c r="IA220" s="2"/>
      <c r="IB220" s="2"/>
      <c r="IC220" s="2"/>
      <c r="ID220" s="2"/>
      <c r="IE220" s="2"/>
      <c r="IF220" s="2"/>
      <c r="IG220" s="2"/>
      <c r="IH220" s="2"/>
      <c r="II220" s="2"/>
      <c r="IJ220" s="2"/>
      <c r="IK220" s="2">
        <v>0</v>
      </c>
      <c r="IL220" s="2"/>
      <c r="IM220" s="2"/>
      <c r="IN220" s="2"/>
      <c r="IO220" s="2"/>
      <c r="IP220" s="2"/>
      <c r="IQ220" s="2"/>
      <c r="IR220" s="2"/>
      <c r="IS220" s="2"/>
      <c r="IT220" s="2"/>
      <c r="IU220" s="2"/>
    </row>
    <row r="221" spans="1:255">
      <c r="A221">
        <v>18</v>
      </c>
      <c r="B221">
        <v>1</v>
      </c>
      <c r="C221">
        <v>110</v>
      </c>
      <c r="E221" t="s">
        <v>4</v>
      </c>
      <c r="F221" t="s">
        <v>313</v>
      </c>
      <c r="G221" t="s">
        <v>314</v>
      </c>
      <c r="H221" t="s">
        <v>237</v>
      </c>
      <c r="I221">
        <f>I217*J221</f>
        <v>0</v>
      </c>
      <c r="J221">
        <v>0</v>
      </c>
      <c r="K221">
        <v>0</v>
      </c>
      <c r="O221">
        <f t="shared" si="232"/>
        <v>0</v>
      </c>
      <c r="P221">
        <f t="shared" si="233"/>
        <v>0</v>
      </c>
      <c r="Q221">
        <f t="shared" si="234"/>
        <v>0</v>
      </c>
      <c r="R221">
        <f t="shared" si="235"/>
        <v>0</v>
      </c>
      <c r="S221">
        <f t="shared" si="236"/>
        <v>0</v>
      </c>
      <c r="T221">
        <f t="shared" si="237"/>
        <v>0</v>
      </c>
      <c r="U221">
        <f t="shared" si="238"/>
        <v>0</v>
      </c>
      <c r="V221">
        <f t="shared" si="239"/>
        <v>0</v>
      </c>
      <c r="W221">
        <f t="shared" si="240"/>
        <v>0</v>
      </c>
      <c r="X221">
        <f t="shared" si="241"/>
        <v>0</v>
      </c>
      <c r="Y221">
        <f t="shared" si="242"/>
        <v>0</v>
      </c>
      <c r="AA221">
        <v>-1</v>
      </c>
      <c r="AB221">
        <f t="shared" si="243"/>
        <v>9414.7999999999993</v>
      </c>
      <c r="AC221">
        <f t="shared" si="244"/>
        <v>9414.7999999999993</v>
      </c>
      <c r="AD221">
        <f t="shared" si="245"/>
        <v>0</v>
      </c>
      <c r="AE221">
        <f t="shared" si="246"/>
        <v>0</v>
      </c>
      <c r="AF221">
        <f t="shared" si="247"/>
        <v>0</v>
      </c>
      <c r="AG221">
        <f t="shared" si="248"/>
        <v>0</v>
      </c>
      <c r="AH221">
        <f t="shared" si="249"/>
        <v>0</v>
      </c>
      <c r="AI221">
        <f t="shared" si="250"/>
        <v>0</v>
      </c>
      <c r="AJ221">
        <f t="shared" si="251"/>
        <v>0</v>
      </c>
      <c r="AK221">
        <v>9414.7999999999993</v>
      </c>
      <c r="AL221">
        <v>9414.7999999999993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1</v>
      </c>
      <c r="AW221">
        <v>1</v>
      </c>
      <c r="AZ221">
        <v>1</v>
      </c>
      <c r="BA221">
        <v>1</v>
      </c>
      <c r="BB221">
        <v>1</v>
      </c>
      <c r="BC221">
        <v>6.2</v>
      </c>
      <c r="BD221" t="s">
        <v>4</v>
      </c>
      <c r="BE221" t="s">
        <v>4</v>
      </c>
      <c r="BF221" t="s">
        <v>4</v>
      </c>
      <c r="BG221" t="s">
        <v>4</v>
      </c>
      <c r="BH221">
        <v>3</v>
      </c>
      <c r="BI221">
        <v>2</v>
      </c>
      <c r="BJ221" t="s">
        <v>315</v>
      </c>
      <c r="BM221">
        <v>1726</v>
      </c>
      <c r="BN221">
        <v>0</v>
      </c>
      <c r="BO221" t="s">
        <v>313</v>
      </c>
      <c r="BP221">
        <v>1</v>
      </c>
      <c r="BQ221">
        <v>40</v>
      </c>
      <c r="BR221">
        <v>0</v>
      </c>
      <c r="BS221">
        <v>1</v>
      </c>
      <c r="BT221">
        <v>1</v>
      </c>
      <c r="BU221">
        <v>1</v>
      </c>
      <c r="BV221">
        <v>1</v>
      </c>
      <c r="BW221">
        <v>1</v>
      </c>
      <c r="BX221">
        <v>1</v>
      </c>
      <c r="BY221" t="s">
        <v>4</v>
      </c>
      <c r="BZ221">
        <v>0</v>
      </c>
      <c r="CA221">
        <v>0</v>
      </c>
      <c r="CB221" t="s">
        <v>4</v>
      </c>
      <c r="CE221">
        <v>30</v>
      </c>
      <c r="CF221">
        <v>0</v>
      </c>
      <c r="CG221">
        <v>0</v>
      </c>
      <c r="CM221">
        <v>0</v>
      </c>
      <c r="CN221" t="s">
        <v>4</v>
      </c>
      <c r="CO221">
        <v>0</v>
      </c>
      <c r="CP221">
        <f t="shared" si="252"/>
        <v>0</v>
      </c>
      <c r="CQ221">
        <f t="shared" si="253"/>
        <v>58371.76</v>
      </c>
      <c r="CR221">
        <f t="shared" si="254"/>
        <v>0</v>
      </c>
      <c r="CS221">
        <f t="shared" si="255"/>
        <v>0</v>
      </c>
      <c r="CT221">
        <f t="shared" si="256"/>
        <v>0</v>
      </c>
      <c r="CU221">
        <f t="shared" si="257"/>
        <v>0</v>
      </c>
      <c r="CV221">
        <f t="shared" si="258"/>
        <v>0</v>
      </c>
      <c r="CW221">
        <f t="shared" si="259"/>
        <v>0</v>
      </c>
      <c r="CX221">
        <f t="shared" si="260"/>
        <v>0</v>
      </c>
      <c r="CY221">
        <f>S221*(BZ221/100)</f>
        <v>0</v>
      </c>
      <c r="CZ221">
        <f>S221*(CA221/100)</f>
        <v>0</v>
      </c>
      <c r="DC221" t="s">
        <v>4</v>
      </c>
      <c r="DD221" t="s">
        <v>4</v>
      </c>
      <c r="DE221" t="s">
        <v>4</v>
      </c>
      <c r="DF221" t="s">
        <v>4</v>
      </c>
      <c r="DG221" t="s">
        <v>4</v>
      </c>
      <c r="DH221" t="s">
        <v>4</v>
      </c>
      <c r="DI221" t="s">
        <v>4</v>
      </c>
      <c r="DJ221" t="s">
        <v>4</v>
      </c>
      <c r="DK221" t="s">
        <v>4</v>
      </c>
      <c r="DL221" t="s">
        <v>4</v>
      </c>
      <c r="DM221" t="s">
        <v>4</v>
      </c>
      <c r="DN221">
        <v>112</v>
      </c>
      <c r="DO221">
        <v>70</v>
      </c>
      <c r="DP221">
        <v>1.0469999999999999</v>
      </c>
      <c r="DQ221">
        <v>1</v>
      </c>
      <c r="DU221">
        <v>1013</v>
      </c>
      <c r="DV221" t="s">
        <v>237</v>
      </c>
      <c r="DW221" t="s">
        <v>237</v>
      </c>
      <c r="DX221">
        <v>1</v>
      </c>
      <c r="DZ221" t="s">
        <v>4</v>
      </c>
      <c r="EA221" t="s">
        <v>4</v>
      </c>
      <c r="EB221" t="s">
        <v>4</v>
      </c>
      <c r="EC221" t="s">
        <v>4</v>
      </c>
      <c r="EE221">
        <v>69254351</v>
      </c>
      <c r="EF221">
        <v>40</v>
      </c>
      <c r="EG221" t="s">
        <v>219</v>
      </c>
      <c r="EH221">
        <v>0</v>
      </c>
      <c r="EI221" t="s">
        <v>4</v>
      </c>
      <c r="EJ221">
        <v>2</v>
      </c>
      <c r="EK221">
        <v>1726</v>
      </c>
      <c r="EL221" t="s">
        <v>220</v>
      </c>
      <c r="EM221" t="s">
        <v>221</v>
      </c>
      <c r="EO221" t="s">
        <v>4</v>
      </c>
      <c r="EQ221">
        <v>1024</v>
      </c>
      <c r="ER221">
        <v>9414.7999999999993</v>
      </c>
      <c r="ES221">
        <v>9414.7999999999993</v>
      </c>
      <c r="ET221">
        <v>0</v>
      </c>
      <c r="EU221">
        <v>0</v>
      </c>
      <c r="EV221">
        <v>0</v>
      </c>
      <c r="EW221">
        <v>0</v>
      </c>
      <c r="EX221">
        <v>0</v>
      </c>
      <c r="FQ221">
        <v>0</v>
      </c>
      <c r="FR221">
        <f t="shared" si="261"/>
        <v>0</v>
      </c>
      <c r="FS221">
        <v>0</v>
      </c>
      <c r="FX221">
        <v>112</v>
      </c>
      <c r="FY221">
        <v>70</v>
      </c>
      <c r="GA221" t="s">
        <v>4</v>
      </c>
      <c r="GD221">
        <v>0</v>
      </c>
      <c r="GF221">
        <v>460640214</v>
      </c>
      <c r="GG221">
        <v>2</v>
      </c>
      <c r="GH221">
        <v>1</v>
      </c>
      <c r="GI221">
        <v>2</v>
      </c>
      <c r="GJ221">
        <v>0</v>
      </c>
      <c r="GK221">
        <f>ROUND(R221*(S12)/100,2)</f>
        <v>0</v>
      </c>
      <c r="GL221">
        <f t="shared" si="262"/>
        <v>0</v>
      </c>
      <c r="GM221">
        <f t="shared" si="263"/>
        <v>0</v>
      </c>
      <c r="GN221">
        <f t="shared" si="264"/>
        <v>0</v>
      </c>
      <c r="GO221">
        <f t="shared" si="265"/>
        <v>0</v>
      </c>
      <c r="GP221">
        <f t="shared" si="266"/>
        <v>0</v>
      </c>
      <c r="GR221">
        <v>0</v>
      </c>
      <c r="GS221">
        <v>3</v>
      </c>
      <c r="GT221">
        <v>0</v>
      </c>
      <c r="GU221" t="s">
        <v>4</v>
      </c>
      <c r="GV221">
        <f t="shared" si="267"/>
        <v>0</v>
      </c>
      <c r="GW221">
        <v>1</v>
      </c>
      <c r="GX221">
        <f t="shared" si="268"/>
        <v>0</v>
      </c>
      <c r="HA221">
        <v>0</v>
      </c>
      <c r="HB221">
        <v>0</v>
      </c>
      <c r="HC221">
        <f t="shared" si="269"/>
        <v>0</v>
      </c>
      <c r="HE221" t="s">
        <v>4</v>
      </c>
      <c r="HF221" t="s">
        <v>4</v>
      </c>
      <c r="HM221" t="s">
        <v>4</v>
      </c>
      <c r="HN221" t="s">
        <v>4</v>
      </c>
      <c r="HO221" t="s">
        <v>4</v>
      </c>
      <c r="HP221" t="s">
        <v>4</v>
      </c>
      <c r="HQ221" t="s">
        <v>4</v>
      </c>
      <c r="IK221">
        <v>0</v>
      </c>
    </row>
    <row r="223" spans="1:255">
      <c r="A223" s="3">
        <v>51</v>
      </c>
      <c r="B223" s="3">
        <f>B158</f>
        <v>1</v>
      </c>
      <c r="C223" s="3">
        <f>A158</f>
        <v>5</v>
      </c>
      <c r="D223" s="3">
        <f>ROW(A158)</f>
        <v>158</v>
      </c>
      <c r="E223" s="3"/>
      <c r="F223" s="3" t="str">
        <f>IF(F158&lt;&gt;"",F158,"")</f>
        <v>Новый подраздел</v>
      </c>
      <c r="G223" s="3" t="str">
        <f>IF(G158&lt;&gt;"",G158,"")</f>
        <v>от РТП 27044 до ТП 27616</v>
      </c>
      <c r="H223" s="3">
        <v>0</v>
      </c>
      <c r="I223" s="3"/>
      <c r="J223" s="3"/>
      <c r="K223" s="3"/>
      <c r="L223" s="3"/>
      <c r="M223" s="3"/>
      <c r="N223" s="3"/>
      <c r="O223" s="3">
        <f t="shared" ref="O223:T223" si="270">ROUND(AB223,2)</f>
        <v>2498814.2999999998</v>
      </c>
      <c r="P223" s="3">
        <f t="shared" si="270"/>
        <v>2429244.7000000002</v>
      </c>
      <c r="Q223" s="3">
        <f t="shared" si="270"/>
        <v>18964.28</v>
      </c>
      <c r="R223" s="3">
        <f t="shared" si="270"/>
        <v>1960.77</v>
      </c>
      <c r="S223" s="3">
        <f t="shared" si="270"/>
        <v>50605.32</v>
      </c>
      <c r="T223" s="3">
        <f t="shared" si="270"/>
        <v>0</v>
      </c>
      <c r="U223" s="3">
        <f>AH223</f>
        <v>4119.6834743999998</v>
      </c>
      <c r="V223" s="3">
        <f>AI223</f>
        <v>0</v>
      </c>
      <c r="W223" s="3">
        <f>ROUND(AJ223,2)</f>
        <v>0</v>
      </c>
      <c r="X223" s="3">
        <f>ROUND(AK223,2)</f>
        <v>56677.95</v>
      </c>
      <c r="Y223" s="3">
        <f>ROUND(AL223,2)</f>
        <v>35423.730000000003</v>
      </c>
      <c r="Z223" s="3"/>
      <c r="AA223" s="3"/>
      <c r="AB223" s="3">
        <f>ROUND(SUMIF(AA162:AA221,"=70305038",O162:O221),2)</f>
        <v>2498814.2999999998</v>
      </c>
      <c r="AC223" s="3">
        <f>ROUND(SUMIF(AA162:AA221,"=70305038",P162:P221),2)</f>
        <v>2429244.7000000002</v>
      </c>
      <c r="AD223" s="3">
        <f>ROUND(SUMIF(AA162:AA221,"=70305038",Q162:Q221),2)</f>
        <v>18964.28</v>
      </c>
      <c r="AE223" s="3">
        <f>ROUND(SUMIF(AA162:AA221,"=70305038",R162:R221),2)</f>
        <v>1960.77</v>
      </c>
      <c r="AF223" s="3">
        <f>ROUND(SUMIF(AA162:AA221,"=70305038",S162:S221),2)</f>
        <v>50605.32</v>
      </c>
      <c r="AG223" s="3">
        <f>ROUND(SUMIF(AA162:AA221,"=70305038",T162:T221),2)</f>
        <v>0</v>
      </c>
      <c r="AH223" s="3">
        <f>SUMIF(AA162:AA221,"=70305038",U162:U221)</f>
        <v>4119.6834743999998</v>
      </c>
      <c r="AI223" s="3">
        <f>SUMIF(AA162:AA221,"=70305038",V162:V221)</f>
        <v>0</v>
      </c>
      <c r="AJ223" s="3">
        <f>ROUND(SUMIF(AA162:AA221,"=70305038",W162:W221),2)</f>
        <v>0</v>
      </c>
      <c r="AK223" s="3">
        <f>ROUND(SUMIF(AA162:AA221,"=70305038",X162:X221),2)</f>
        <v>56677.95</v>
      </c>
      <c r="AL223" s="3">
        <f>ROUND(SUMIF(AA162:AA221,"=70305038",Y162:Y221),2)</f>
        <v>35423.730000000003</v>
      </c>
      <c r="AM223" s="3"/>
      <c r="AN223" s="3"/>
      <c r="AO223" s="3">
        <f t="shared" ref="AO223:BD223" si="271">ROUND(BX223,2)</f>
        <v>0</v>
      </c>
      <c r="AP223" s="3">
        <f t="shared" si="271"/>
        <v>0</v>
      </c>
      <c r="AQ223" s="3">
        <f t="shared" si="271"/>
        <v>0</v>
      </c>
      <c r="AR223" s="3">
        <f t="shared" si="271"/>
        <v>2594347.34</v>
      </c>
      <c r="AS223" s="3">
        <f t="shared" si="271"/>
        <v>5543.47</v>
      </c>
      <c r="AT223" s="3">
        <f t="shared" si="271"/>
        <v>2588803.87</v>
      </c>
      <c r="AU223" s="3">
        <f t="shared" si="271"/>
        <v>0</v>
      </c>
      <c r="AV223" s="3">
        <f t="shared" si="271"/>
        <v>2429244.7000000002</v>
      </c>
      <c r="AW223" s="3">
        <f t="shared" si="271"/>
        <v>2429244.7000000002</v>
      </c>
      <c r="AX223" s="3">
        <f t="shared" si="271"/>
        <v>0</v>
      </c>
      <c r="AY223" s="3">
        <f t="shared" si="271"/>
        <v>2429244.7000000002</v>
      </c>
      <c r="AZ223" s="3">
        <f t="shared" si="271"/>
        <v>0</v>
      </c>
      <c r="BA223" s="3">
        <f t="shared" si="271"/>
        <v>0</v>
      </c>
      <c r="BB223" s="3">
        <f t="shared" si="271"/>
        <v>0</v>
      </c>
      <c r="BC223" s="3">
        <f t="shared" si="271"/>
        <v>0</v>
      </c>
      <c r="BD223" s="3">
        <f t="shared" si="271"/>
        <v>0</v>
      </c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>
        <f>ROUND(SUMIF(AA162:AA221,"=70305038",FQ162:FQ221),2)</f>
        <v>0</v>
      </c>
      <c r="BY223" s="3">
        <f>ROUND(SUMIF(AA162:AA221,"=70305038",FR162:FR221),2)</f>
        <v>0</v>
      </c>
      <c r="BZ223" s="3">
        <f>ROUND(SUMIF(AA162:AA221,"=70305038",GL162:GL221),2)</f>
        <v>0</v>
      </c>
      <c r="CA223" s="3">
        <f>ROUND(SUMIF(AA162:AA221,"=70305038",GM162:GM221),2)</f>
        <v>2594347.34</v>
      </c>
      <c r="CB223" s="3">
        <f>ROUND(SUMIF(AA162:AA221,"=70305038",GN162:GN221),2)</f>
        <v>5543.47</v>
      </c>
      <c r="CC223" s="3">
        <f>ROUND(SUMIF(AA162:AA221,"=70305038",GO162:GO221),2)</f>
        <v>2588803.87</v>
      </c>
      <c r="CD223" s="3">
        <f>ROUND(SUMIF(AA162:AA221,"=70305038",GP162:GP221),2)</f>
        <v>0</v>
      </c>
      <c r="CE223" s="3">
        <f>AC223-BX223</f>
        <v>2429244.7000000002</v>
      </c>
      <c r="CF223" s="3">
        <f>AC223-BY223</f>
        <v>2429244.7000000002</v>
      </c>
      <c r="CG223" s="3">
        <f>BX223-BZ223</f>
        <v>0</v>
      </c>
      <c r="CH223" s="3">
        <f>AC223-BX223-BY223+BZ223</f>
        <v>2429244.7000000002</v>
      </c>
      <c r="CI223" s="3">
        <f>BY223-BZ223</f>
        <v>0</v>
      </c>
      <c r="CJ223" s="3">
        <f>ROUND(SUMIF(AA162:AA221,"=70305038",GX162:GX221),2)</f>
        <v>0</v>
      </c>
      <c r="CK223" s="3">
        <f>ROUND(SUMIF(AA162:AA221,"=70305038",GY162:GY221),2)</f>
        <v>0</v>
      </c>
      <c r="CL223" s="3">
        <f>ROUND(SUMIF(AA162:AA221,"=70305038",GZ162:GZ221),2)</f>
        <v>0</v>
      </c>
      <c r="CM223" s="3">
        <f>ROUND(SUMIF(AA162:AA221,"=70305038",HD162:HD221),2)</f>
        <v>0</v>
      </c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  <c r="DG223" s="4">
        <f t="shared" ref="DG223:DL223" si="272">ROUND(DT223,2)</f>
        <v>23202679.010000002</v>
      </c>
      <c r="DH223" s="4">
        <f t="shared" si="272"/>
        <v>20595645.219999999</v>
      </c>
      <c r="DI223" s="4">
        <f t="shared" si="272"/>
        <v>245283.5</v>
      </c>
      <c r="DJ223" s="4">
        <f t="shared" si="272"/>
        <v>91509.14</v>
      </c>
      <c r="DK223" s="4">
        <f t="shared" si="272"/>
        <v>2361750.29</v>
      </c>
      <c r="DL223" s="4">
        <f t="shared" si="272"/>
        <v>0</v>
      </c>
      <c r="DM223" s="4">
        <f>DZ223</f>
        <v>4119.6834743999998</v>
      </c>
      <c r="DN223" s="4">
        <f>EA223</f>
        <v>0</v>
      </c>
      <c r="DO223" s="4">
        <f>ROUND(EB223,2)</f>
        <v>0</v>
      </c>
      <c r="DP223" s="4">
        <f>ROUND(EC223,2)</f>
        <v>2172810.2599999998</v>
      </c>
      <c r="DQ223" s="4">
        <f>ROUND(ED223,2)</f>
        <v>1015552.62</v>
      </c>
      <c r="DR223" s="4"/>
      <c r="DS223" s="4"/>
      <c r="DT223" s="4">
        <f>ROUND(SUMIF(AA162:AA221,"=70305036",O162:O221),2)</f>
        <v>23202679.010000002</v>
      </c>
      <c r="DU223" s="4">
        <f>ROUND(SUMIF(AA162:AA221,"=70305036",P162:P221),2)</f>
        <v>20595645.219999999</v>
      </c>
      <c r="DV223" s="4">
        <f>ROUND(SUMIF(AA162:AA221,"=70305036",Q162:Q221),2)</f>
        <v>245283.5</v>
      </c>
      <c r="DW223" s="4">
        <f>ROUND(SUMIF(AA162:AA221,"=70305036",R162:R221),2)</f>
        <v>91509.14</v>
      </c>
      <c r="DX223" s="4">
        <f>ROUND(SUMIF(AA162:AA221,"=70305036",S162:S221),2)</f>
        <v>2361750.29</v>
      </c>
      <c r="DY223" s="4">
        <f>ROUND(SUMIF(AA162:AA221,"=70305036",T162:T221),2)</f>
        <v>0</v>
      </c>
      <c r="DZ223" s="4">
        <f>SUMIF(AA162:AA221,"=70305036",U162:U221)</f>
        <v>4119.6834743999998</v>
      </c>
      <c r="EA223" s="4">
        <f>SUMIF(AA162:AA221,"=70305036",V162:V221)</f>
        <v>0</v>
      </c>
      <c r="EB223" s="4">
        <f>ROUND(SUMIF(AA162:AA221,"=70305036",W162:W221),2)</f>
        <v>0</v>
      </c>
      <c r="EC223" s="4">
        <f>ROUND(SUMIF(AA162:AA221,"=70305036",X162:X221),2)</f>
        <v>2172810.2599999998</v>
      </c>
      <c r="ED223" s="4">
        <f>ROUND(SUMIF(AA162:AA221,"=70305036",Y162:Y221),2)</f>
        <v>1015552.62</v>
      </c>
      <c r="EE223" s="4"/>
      <c r="EF223" s="4"/>
      <c r="EG223" s="4">
        <f t="shared" ref="EG223:EV223" si="273">ROUND(FP223,2)</f>
        <v>0</v>
      </c>
      <c r="EH223" s="4">
        <f t="shared" si="273"/>
        <v>0</v>
      </c>
      <c r="EI223" s="4">
        <f t="shared" si="273"/>
        <v>0</v>
      </c>
      <c r="EJ223" s="4">
        <f t="shared" si="273"/>
        <v>26537456.530000001</v>
      </c>
      <c r="EK223" s="4">
        <f t="shared" si="273"/>
        <v>47452.1</v>
      </c>
      <c r="EL223" s="4">
        <f t="shared" si="273"/>
        <v>26490004.43</v>
      </c>
      <c r="EM223" s="4">
        <f t="shared" si="273"/>
        <v>0</v>
      </c>
      <c r="EN223" s="4">
        <f t="shared" si="273"/>
        <v>20595645.219999999</v>
      </c>
      <c r="EO223" s="4">
        <f t="shared" si="273"/>
        <v>20595645.219999999</v>
      </c>
      <c r="EP223" s="4">
        <f t="shared" si="273"/>
        <v>0</v>
      </c>
      <c r="EQ223" s="4">
        <f t="shared" si="273"/>
        <v>20595645.219999999</v>
      </c>
      <c r="ER223" s="4">
        <f t="shared" si="273"/>
        <v>0</v>
      </c>
      <c r="ES223" s="4">
        <f t="shared" si="273"/>
        <v>0</v>
      </c>
      <c r="ET223" s="4">
        <f t="shared" si="273"/>
        <v>0</v>
      </c>
      <c r="EU223" s="4">
        <f t="shared" si="273"/>
        <v>0</v>
      </c>
      <c r="EV223" s="4">
        <f t="shared" si="273"/>
        <v>0</v>
      </c>
      <c r="EW223" s="4"/>
      <c r="EX223" s="4"/>
      <c r="EY223" s="4"/>
      <c r="EZ223" s="4"/>
      <c r="FA223" s="4"/>
      <c r="FB223" s="4"/>
      <c r="FC223" s="4"/>
      <c r="FD223" s="4"/>
      <c r="FE223" s="4"/>
      <c r="FF223" s="4"/>
      <c r="FG223" s="4"/>
      <c r="FH223" s="4"/>
      <c r="FI223" s="4"/>
      <c r="FJ223" s="4"/>
      <c r="FK223" s="4"/>
      <c r="FL223" s="4"/>
      <c r="FM223" s="4"/>
      <c r="FN223" s="4"/>
      <c r="FO223" s="4"/>
      <c r="FP223" s="4">
        <f>ROUND(SUMIF(AA162:AA221,"=70305036",FQ162:FQ221),2)</f>
        <v>0</v>
      </c>
      <c r="FQ223" s="4">
        <f>ROUND(SUMIF(AA162:AA221,"=70305036",FR162:FR221),2)</f>
        <v>0</v>
      </c>
      <c r="FR223" s="4">
        <f>ROUND(SUMIF(AA162:AA221,"=70305036",GL162:GL221),2)</f>
        <v>0</v>
      </c>
      <c r="FS223" s="4">
        <f>ROUND(SUMIF(AA162:AA221,"=70305036",GM162:GM221),2)</f>
        <v>26537456.530000001</v>
      </c>
      <c r="FT223" s="4">
        <f>ROUND(SUMIF(AA162:AA221,"=70305036",GN162:GN221),2)</f>
        <v>47452.1</v>
      </c>
      <c r="FU223" s="4">
        <f>ROUND(SUMIF(AA162:AA221,"=70305036",GO162:GO221),2)</f>
        <v>26490004.43</v>
      </c>
      <c r="FV223" s="4">
        <f>ROUND(SUMIF(AA162:AA221,"=70305036",GP162:GP221),2)</f>
        <v>0</v>
      </c>
      <c r="FW223" s="4">
        <f>DU223-FP223</f>
        <v>20595645.219999999</v>
      </c>
      <c r="FX223" s="4">
        <f>DU223-FQ223</f>
        <v>20595645.219999999</v>
      </c>
      <c r="FY223" s="4">
        <f>FP223-FR223</f>
        <v>0</v>
      </c>
      <c r="FZ223" s="4">
        <f>DU223-FP223-FQ223+FR223</f>
        <v>20595645.219999999</v>
      </c>
      <c r="GA223" s="4">
        <f>FQ223-FR223</f>
        <v>0</v>
      </c>
      <c r="GB223" s="4">
        <f>ROUND(SUMIF(AA162:AA221,"=70305036",GX162:GX221),2)</f>
        <v>0</v>
      </c>
      <c r="GC223" s="4">
        <f>ROUND(SUMIF(AA162:AA221,"=70305036",GY162:GY221),2)</f>
        <v>0</v>
      </c>
      <c r="GD223" s="4">
        <f>ROUND(SUMIF(AA162:AA221,"=70305036",GZ162:GZ221),2)</f>
        <v>0</v>
      </c>
      <c r="GE223" s="4">
        <f>ROUND(SUMIF(AA162:AA221,"=70305036",HD162:HD221),2)</f>
        <v>0</v>
      </c>
      <c r="GF223" s="4"/>
      <c r="GG223" s="4"/>
      <c r="GH223" s="4"/>
      <c r="GI223" s="4"/>
      <c r="GJ223" s="4"/>
      <c r="GK223" s="4"/>
      <c r="GL223" s="4"/>
      <c r="GM223" s="4"/>
      <c r="GN223" s="4"/>
      <c r="GO223" s="4"/>
      <c r="GP223" s="4"/>
      <c r="GQ223" s="4"/>
      <c r="GR223" s="4"/>
      <c r="GS223" s="4"/>
      <c r="GT223" s="4"/>
      <c r="GU223" s="4"/>
      <c r="GV223" s="4"/>
      <c r="GW223" s="4"/>
      <c r="GX223" s="4">
        <v>0</v>
      </c>
    </row>
    <row r="225" spans="1:28">
      <c r="A225" s="5">
        <v>50</v>
      </c>
      <c r="B225" s="5">
        <v>0</v>
      </c>
      <c r="C225" s="5">
        <v>0</v>
      </c>
      <c r="D225" s="5">
        <v>1</v>
      </c>
      <c r="E225" s="5">
        <v>201</v>
      </c>
      <c r="F225" s="5">
        <f>ROUND(Source!O223,O225)</f>
        <v>2498814.2999999998</v>
      </c>
      <c r="G225" s="5" t="s">
        <v>64</v>
      </c>
      <c r="H225" s="5" t="s">
        <v>65</v>
      </c>
      <c r="I225" s="5"/>
      <c r="J225" s="5"/>
      <c r="K225" s="5">
        <v>201</v>
      </c>
      <c r="L225" s="5">
        <v>1</v>
      </c>
      <c r="M225" s="5">
        <v>3</v>
      </c>
      <c r="N225" s="5" t="s">
        <v>4</v>
      </c>
      <c r="O225" s="5">
        <v>2</v>
      </c>
      <c r="P225" s="5">
        <f>ROUND(Source!DG223,O225)</f>
        <v>23202679.010000002</v>
      </c>
      <c r="Q225" s="5"/>
      <c r="R225" s="5"/>
      <c r="S225" s="5"/>
      <c r="T225" s="5"/>
      <c r="U225" s="5"/>
      <c r="V225" s="5"/>
      <c r="W225" s="5">
        <v>2379426.2000000002</v>
      </c>
      <c r="X225" s="5">
        <v>1</v>
      </c>
      <c r="Y225" s="5">
        <v>2379426.2000000002</v>
      </c>
      <c r="Z225" s="5">
        <v>22335956.23</v>
      </c>
      <c r="AA225" s="5">
        <v>1</v>
      </c>
      <c r="AB225" s="5">
        <v>22335956.23</v>
      </c>
    </row>
    <row r="226" spans="1:28">
      <c r="A226" s="5">
        <v>50</v>
      </c>
      <c r="B226" s="5">
        <v>0</v>
      </c>
      <c r="C226" s="5">
        <v>0</v>
      </c>
      <c r="D226" s="5">
        <v>1</v>
      </c>
      <c r="E226" s="5">
        <v>202</v>
      </c>
      <c r="F226" s="5">
        <f>ROUND(Source!P223,O226)</f>
        <v>2429244.7000000002</v>
      </c>
      <c r="G226" s="5" t="s">
        <v>66</v>
      </c>
      <c r="H226" s="5" t="s">
        <v>67</v>
      </c>
      <c r="I226" s="5"/>
      <c r="J226" s="5"/>
      <c r="K226" s="5">
        <v>202</v>
      </c>
      <c r="L226" s="5">
        <v>2</v>
      </c>
      <c r="M226" s="5">
        <v>3</v>
      </c>
      <c r="N226" s="5" t="s">
        <v>4</v>
      </c>
      <c r="O226" s="5">
        <v>2</v>
      </c>
      <c r="P226" s="5">
        <f>ROUND(Source!DH223,O226)</f>
        <v>20595645.219999999</v>
      </c>
      <c r="Q226" s="5"/>
      <c r="R226" s="5"/>
      <c r="S226" s="5"/>
      <c r="T226" s="5"/>
      <c r="U226" s="5"/>
      <c r="V226" s="5"/>
      <c r="W226" s="5">
        <v>2313408.88</v>
      </c>
      <c r="X226" s="5">
        <v>1</v>
      </c>
      <c r="Y226" s="5">
        <v>2313408.88</v>
      </c>
      <c r="Z226" s="5">
        <v>19868805.989999998</v>
      </c>
      <c r="AA226" s="5">
        <v>1</v>
      </c>
      <c r="AB226" s="5">
        <v>19868805.989999998</v>
      </c>
    </row>
    <row r="227" spans="1:28">
      <c r="A227" s="5">
        <v>50</v>
      </c>
      <c r="B227" s="5">
        <v>0</v>
      </c>
      <c r="C227" s="5">
        <v>0</v>
      </c>
      <c r="D227" s="5">
        <v>1</v>
      </c>
      <c r="E227" s="5">
        <v>222</v>
      </c>
      <c r="F227" s="5">
        <f>ROUND(Source!AO223,O227)</f>
        <v>0</v>
      </c>
      <c r="G227" s="5" t="s">
        <v>68</v>
      </c>
      <c r="H227" s="5" t="s">
        <v>69</v>
      </c>
      <c r="I227" s="5"/>
      <c r="J227" s="5"/>
      <c r="K227" s="5">
        <v>222</v>
      </c>
      <c r="L227" s="5">
        <v>3</v>
      </c>
      <c r="M227" s="5">
        <v>3</v>
      </c>
      <c r="N227" s="5" t="s">
        <v>4</v>
      </c>
      <c r="O227" s="5">
        <v>2</v>
      </c>
      <c r="P227" s="5">
        <f>ROUND(Source!EG223,O227)</f>
        <v>0</v>
      </c>
      <c r="Q227" s="5"/>
      <c r="R227" s="5"/>
      <c r="S227" s="5"/>
      <c r="T227" s="5"/>
      <c r="U227" s="5"/>
      <c r="V227" s="5"/>
      <c r="W227" s="5">
        <v>0</v>
      </c>
      <c r="X227" s="5">
        <v>1</v>
      </c>
      <c r="Y227" s="5">
        <v>0</v>
      </c>
      <c r="Z227" s="5">
        <v>0</v>
      </c>
      <c r="AA227" s="5">
        <v>1</v>
      </c>
      <c r="AB227" s="5">
        <v>0</v>
      </c>
    </row>
    <row r="228" spans="1:28">
      <c r="A228" s="5">
        <v>50</v>
      </c>
      <c r="B228" s="5">
        <v>0</v>
      </c>
      <c r="C228" s="5">
        <v>0</v>
      </c>
      <c r="D228" s="5">
        <v>1</v>
      </c>
      <c r="E228" s="5">
        <v>225</v>
      </c>
      <c r="F228" s="5">
        <f>ROUND(Source!AV223,O228)</f>
        <v>2429244.7000000002</v>
      </c>
      <c r="G228" s="5" t="s">
        <v>70</v>
      </c>
      <c r="H228" s="5" t="s">
        <v>71</v>
      </c>
      <c r="I228" s="5"/>
      <c r="J228" s="5"/>
      <c r="K228" s="5">
        <v>225</v>
      </c>
      <c r="L228" s="5">
        <v>4</v>
      </c>
      <c r="M228" s="5">
        <v>3</v>
      </c>
      <c r="N228" s="5" t="s">
        <v>4</v>
      </c>
      <c r="O228" s="5">
        <v>2</v>
      </c>
      <c r="P228" s="5">
        <f>ROUND(Source!EN223,O228)</f>
        <v>20595645.219999999</v>
      </c>
      <c r="Q228" s="5"/>
      <c r="R228" s="5"/>
      <c r="S228" s="5"/>
      <c r="T228" s="5"/>
      <c r="U228" s="5"/>
      <c r="V228" s="5"/>
      <c r="W228" s="5">
        <v>2313408.88</v>
      </c>
      <c r="X228" s="5">
        <v>1</v>
      </c>
      <c r="Y228" s="5">
        <v>2313408.88</v>
      </c>
      <c r="Z228" s="5">
        <v>19868805.989999998</v>
      </c>
      <c r="AA228" s="5">
        <v>1</v>
      </c>
      <c r="AB228" s="5">
        <v>19868805.989999998</v>
      </c>
    </row>
    <row r="229" spans="1:28">
      <c r="A229" s="5">
        <v>50</v>
      </c>
      <c r="B229" s="5">
        <v>0</v>
      </c>
      <c r="C229" s="5">
        <v>0</v>
      </c>
      <c r="D229" s="5">
        <v>1</v>
      </c>
      <c r="E229" s="5">
        <v>226</v>
      </c>
      <c r="F229" s="5">
        <f>ROUND(Source!AW223,O229)</f>
        <v>2429244.7000000002</v>
      </c>
      <c r="G229" s="5" t="s">
        <v>72</v>
      </c>
      <c r="H229" s="5" t="s">
        <v>73</v>
      </c>
      <c r="I229" s="5"/>
      <c r="J229" s="5"/>
      <c r="K229" s="5">
        <v>226</v>
      </c>
      <c r="L229" s="5">
        <v>5</v>
      </c>
      <c r="M229" s="5">
        <v>3</v>
      </c>
      <c r="N229" s="5" t="s">
        <v>4</v>
      </c>
      <c r="O229" s="5">
        <v>2</v>
      </c>
      <c r="P229" s="5">
        <f>ROUND(Source!EO223,O229)</f>
        <v>20595645.219999999</v>
      </c>
      <c r="Q229" s="5"/>
      <c r="R229" s="5"/>
      <c r="S229" s="5"/>
      <c r="T229" s="5"/>
      <c r="U229" s="5"/>
      <c r="V229" s="5"/>
      <c r="W229" s="5">
        <v>2313408.88</v>
      </c>
      <c r="X229" s="5">
        <v>1</v>
      </c>
      <c r="Y229" s="5">
        <v>2313408.88</v>
      </c>
      <c r="Z229" s="5">
        <v>19868805.989999998</v>
      </c>
      <c r="AA229" s="5">
        <v>1</v>
      </c>
      <c r="AB229" s="5">
        <v>19868805.989999998</v>
      </c>
    </row>
    <row r="230" spans="1:28">
      <c r="A230" s="5">
        <v>50</v>
      </c>
      <c r="B230" s="5">
        <v>0</v>
      </c>
      <c r="C230" s="5">
        <v>0</v>
      </c>
      <c r="D230" s="5">
        <v>1</v>
      </c>
      <c r="E230" s="5">
        <v>227</v>
      </c>
      <c r="F230" s="5">
        <f>ROUND(Source!AX223,O230)</f>
        <v>0</v>
      </c>
      <c r="G230" s="5" t="s">
        <v>74</v>
      </c>
      <c r="H230" s="5" t="s">
        <v>75</v>
      </c>
      <c r="I230" s="5"/>
      <c r="J230" s="5"/>
      <c r="K230" s="5">
        <v>227</v>
      </c>
      <c r="L230" s="5">
        <v>6</v>
      </c>
      <c r="M230" s="5">
        <v>3</v>
      </c>
      <c r="N230" s="5" t="s">
        <v>4</v>
      </c>
      <c r="O230" s="5">
        <v>2</v>
      </c>
      <c r="P230" s="5">
        <f>ROUND(Source!EP223,O230)</f>
        <v>0</v>
      </c>
      <c r="Q230" s="5"/>
      <c r="R230" s="5"/>
      <c r="S230" s="5"/>
      <c r="T230" s="5"/>
      <c r="U230" s="5"/>
      <c r="V230" s="5"/>
      <c r="W230" s="5">
        <v>0</v>
      </c>
      <c r="X230" s="5">
        <v>1</v>
      </c>
      <c r="Y230" s="5">
        <v>0</v>
      </c>
      <c r="Z230" s="5">
        <v>0</v>
      </c>
      <c r="AA230" s="5">
        <v>1</v>
      </c>
      <c r="AB230" s="5">
        <v>0</v>
      </c>
    </row>
    <row r="231" spans="1:28">
      <c r="A231" s="5">
        <v>50</v>
      </c>
      <c r="B231" s="5">
        <v>0</v>
      </c>
      <c r="C231" s="5">
        <v>0</v>
      </c>
      <c r="D231" s="5">
        <v>1</v>
      </c>
      <c r="E231" s="5">
        <v>228</v>
      </c>
      <c r="F231" s="5">
        <f>ROUND(Source!AY223,O231)</f>
        <v>2429244.7000000002</v>
      </c>
      <c r="G231" s="5" t="s">
        <v>76</v>
      </c>
      <c r="H231" s="5" t="s">
        <v>77</v>
      </c>
      <c r="I231" s="5"/>
      <c r="J231" s="5"/>
      <c r="K231" s="5">
        <v>228</v>
      </c>
      <c r="L231" s="5">
        <v>7</v>
      </c>
      <c r="M231" s="5">
        <v>3</v>
      </c>
      <c r="N231" s="5" t="s">
        <v>4</v>
      </c>
      <c r="O231" s="5">
        <v>2</v>
      </c>
      <c r="P231" s="5">
        <f>ROUND(Source!EQ223,O231)</f>
        <v>20595645.219999999</v>
      </c>
      <c r="Q231" s="5"/>
      <c r="R231" s="5"/>
      <c r="S231" s="5"/>
      <c r="T231" s="5"/>
      <c r="U231" s="5"/>
      <c r="V231" s="5"/>
      <c r="W231" s="5">
        <v>2313408.88</v>
      </c>
      <c r="X231" s="5">
        <v>1</v>
      </c>
      <c r="Y231" s="5">
        <v>2313408.88</v>
      </c>
      <c r="Z231" s="5">
        <v>19868805.989999998</v>
      </c>
      <c r="AA231" s="5">
        <v>1</v>
      </c>
      <c r="AB231" s="5">
        <v>19868805.989999998</v>
      </c>
    </row>
    <row r="232" spans="1:28">
      <c r="A232" s="5">
        <v>50</v>
      </c>
      <c r="B232" s="5">
        <v>0</v>
      </c>
      <c r="C232" s="5">
        <v>0</v>
      </c>
      <c r="D232" s="5">
        <v>1</v>
      </c>
      <c r="E232" s="5">
        <v>216</v>
      </c>
      <c r="F232" s="5">
        <f>ROUND(Source!AP223,O232)</f>
        <v>0</v>
      </c>
      <c r="G232" s="5" t="s">
        <v>78</v>
      </c>
      <c r="H232" s="5" t="s">
        <v>79</v>
      </c>
      <c r="I232" s="5"/>
      <c r="J232" s="5"/>
      <c r="K232" s="5">
        <v>216</v>
      </c>
      <c r="L232" s="5">
        <v>8</v>
      </c>
      <c r="M232" s="5">
        <v>3</v>
      </c>
      <c r="N232" s="5" t="s">
        <v>4</v>
      </c>
      <c r="O232" s="5">
        <v>2</v>
      </c>
      <c r="P232" s="5">
        <f>ROUND(Source!EH223,O232)</f>
        <v>0</v>
      </c>
      <c r="Q232" s="5"/>
      <c r="R232" s="5"/>
      <c r="S232" s="5"/>
      <c r="T232" s="5"/>
      <c r="U232" s="5"/>
      <c r="V232" s="5"/>
      <c r="W232" s="5">
        <v>0</v>
      </c>
      <c r="X232" s="5">
        <v>1</v>
      </c>
      <c r="Y232" s="5">
        <v>0</v>
      </c>
      <c r="Z232" s="5">
        <v>0</v>
      </c>
      <c r="AA232" s="5">
        <v>1</v>
      </c>
      <c r="AB232" s="5">
        <v>0</v>
      </c>
    </row>
    <row r="233" spans="1:28">
      <c r="A233" s="5">
        <v>50</v>
      </c>
      <c r="B233" s="5">
        <v>0</v>
      </c>
      <c r="C233" s="5">
        <v>0</v>
      </c>
      <c r="D233" s="5">
        <v>1</v>
      </c>
      <c r="E233" s="5">
        <v>223</v>
      </c>
      <c r="F233" s="5">
        <f>ROUND(Source!AQ223,O233)</f>
        <v>0</v>
      </c>
      <c r="G233" s="5" t="s">
        <v>80</v>
      </c>
      <c r="H233" s="5" t="s">
        <v>81</v>
      </c>
      <c r="I233" s="5"/>
      <c r="J233" s="5"/>
      <c r="K233" s="5">
        <v>223</v>
      </c>
      <c r="L233" s="5">
        <v>9</v>
      </c>
      <c r="M233" s="5">
        <v>3</v>
      </c>
      <c r="N233" s="5" t="s">
        <v>4</v>
      </c>
      <c r="O233" s="5">
        <v>2</v>
      </c>
      <c r="P233" s="5">
        <f>ROUND(Source!EI223,O233)</f>
        <v>0</v>
      </c>
      <c r="Q233" s="5"/>
      <c r="R233" s="5"/>
      <c r="S233" s="5"/>
      <c r="T233" s="5"/>
      <c r="U233" s="5"/>
      <c r="V233" s="5"/>
      <c r="W233" s="5">
        <v>0</v>
      </c>
      <c r="X233" s="5">
        <v>1</v>
      </c>
      <c r="Y233" s="5">
        <v>0</v>
      </c>
      <c r="Z233" s="5">
        <v>0</v>
      </c>
      <c r="AA233" s="5">
        <v>1</v>
      </c>
      <c r="AB233" s="5">
        <v>0</v>
      </c>
    </row>
    <row r="234" spans="1:28">
      <c r="A234" s="5">
        <v>50</v>
      </c>
      <c r="B234" s="5">
        <v>0</v>
      </c>
      <c r="C234" s="5">
        <v>0</v>
      </c>
      <c r="D234" s="5">
        <v>1</v>
      </c>
      <c r="E234" s="5">
        <v>229</v>
      </c>
      <c r="F234" s="5">
        <f>ROUND(Source!AZ223,O234)</f>
        <v>0</v>
      </c>
      <c r="G234" s="5" t="s">
        <v>82</v>
      </c>
      <c r="H234" s="5" t="s">
        <v>83</v>
      </c>
      <c r="I234" s="5"/>
      <c r="J234" s="5"/>
      <c r="K234" s="5">
        <v>229</v>
      </c>
      <c r="L234" s="5">
        <v>10</v>
      </c>
      <c r="M234" s="5">
        <v>3</v>
      </c>
      <c r="N234" s="5" t="s">
        <v>4</v>
      </c>
      <c r="O234" s="5">
        <v>2</v>
      </c>
      <c r="P234" s="5">
        <f>ROUND(Source!ER223,O234)</f>
        <v>0</v>
      </c>
      <c r="Q234" s="5"/>
      <c r="R234" s="5"/>
      <c r="S234" s="5"/>
      <c r="T234" s="5"/>
      <c r="U234" s="5"/>
      <c r="V234" s="5"/>
      <c r="W234" s="5">
        <v>0</v>
      </c>
      <c r="X234" s="5">
        <v>1</v>
      </c>
      <c r="Y234" s="5">
        <v>0</v>
      </c>
      <c r="Z234" s="5">
        <v>0</v>
      </c>
      <c r="AA234" s="5">
        <v>1</v>
      </c>
      <c r="AB234" s="5">
        <v>0</v>
      </c>
    </row>
    <row r="235" spans="1:28">
      <c r="A235" s="5">
        <v>50</v>
      </c>
      <c r="B235" s="5">
        <v>0</v>
      </c>
      <c r="C235" s="5">
        <v>0</v>
      </c>
      <c r="D235" s="5">
        <v>1</v>
      </c>
      <c r="E235" s="5">
        <v>203</v>
      </c>
      <c r="F235" s="5">
        <f>ROUND(Source!Q223,O235)</f>
        <v>18964.28</v>
      </c>
      <c r="G235" s="5" t="s">
        <v>84</v>
      </c>
      <c r="H235" s="5" t="s">
        <v>85</v>
      </c>
      <c r="I235" s="5"/>
      <c r="J235" s="5"/>
      <c r="K235" s="5">
        <v>203</v>
      </c>
      <c r="L235" s="5">
        <v>11</v>
      </c>
      <c r="M235" s="5">
        <v>3</v>
      </c>
      <c r="N235" s="5" t="s">
        <v>4</v>
      </c>
      <c r="O235" s="5">
        <v>2</v>
      </c>
      <c r="P235" s="5">
        <f>ROUND(Source!DI223,O235)</f>
        <v>245283.5</v>
      </c>
      <c r="Q235" s="5"/>
      <c r="R235" s="5"/>
      <c r="S235" s="5"/>
      <c r="T235" s="5"/>
      <c r="U235" s="5"/>
      <c r="V235" s="5"/>
      <c r="W235" s="5">
        <v>18291.52</v>
      </c>
      <c r="X235" s="5">
        <v>1</v>
      </c>
      <c r="Y235" s="5">
        <v>18291.52</v>
      </c>
      <c r="Z235" s="5">
        <v>239787.15</v>
      </c>
      <c r="AA235" s="5">
        <v>1</v>
      </c>
      <c r="AB235" s="5">
        <v>239787.15</v>
      </c>
    </row>
    <row r="236" spans="1:28">
      <c r="A236" s="5">
        <v>50</v>
      </c>
      <c r="B236" s="5">
        <v>0</v>
      </c>
      <c r="C236" s="5">
        <v>0</v>
      </c>
      <c r="D236" s="5">
        <v>1</v>
      </c>
      <c r="E236" s="5">
        <v>231</v>
      </c>
      <c r="F236" s="5">
        <f>ROUND(Source!BB223,O236)</f>
        <v>0</v>
      </c>
      <c r="G236" s="5" t="s">
        <v>86</v>
      </c>
      <c r="H236" s="5" t="s">
        <v>87</v>
      </c>
      <c r="I236" s="5"/>
      <c r="J236" s="5"/>
      <c r="K236" s="5">
        <v>231</v>
      </c>
      <c r="L236" s="5">
        <v>12</v>
      </c>
      <c r="M236" s="5">
        <v>3</v>
      </c>
      <c r="N236" s="5" t="s">
        <v>4</v>
      </c>
      <c r="O236" s="5">
        <v>2</v>
      </c>
      <c r="P236" s="5">
        <f>ROUND(Source!ET223,O236)</f>
        <v>0</v>
      </c>
      <c r="Q236" s="5"/>
      <c r="R236" s="5"/>
      <c r="S236" s="5"/>
      <c r="T236" s="5"/>
      <c r="U236" s="5"/>
      <c r="V236" s="5"/>
      <c r="W236" s="5">
        <v>0</v>
      </c>
      <c r="X236" s="5">
        <v>1</v>
      </c>
      <c r="Y236" s="5">
        <v>0</v>
      </c>
      <c r="Z236" s="5">
        <v>0</v>
      </c>
      <c r="AA236" s="5">
        <v>1</v>
      </c>
      <c r="AB236" s="5">
        <v>0</v>
      </c>
    </row>
    <row r="237" spans="1:28">
      <c r="A237" s="5">
        <v>50</v>
      </c>
      <c r="B237" s="5">
        <v>0</v>
      </c>
      <c r="C237" s="5">
        <v>0</v>
      </c>
      <c r="D237" s="5">
        <v>1</v>
      </c>
      <c r="E237" s="5">
        <v>204</v>
      </c>
      <c r="F237" s="5">
        <f>ROUND(Source!R223,O237)</f>
        <v>1960.77</v>
      </c>
      <c r="G237" s="5" t="s">
        <v>88</v>
      </c>
      <c r="H237" s="5" t="s">
        <v>89</v>
      </c>
      <c r="I237" s="5"/>
      <c r="J237" s="5"/>
      <c r="K237" s="5">
        <v>204</v>
      </c>
      <c r="L237" s="5">
        <v>13</v>
      </c>
      <c r="M237" s="5">
        <v>3</v>
      </c>
      <c r="N237" s="5" t="s">
        <v>4</v>
      </c>
      <c r="O237" s="5">
        <v>2</v>
      </c>
      <c r="P237" s="5">
        <f>ROUND(Source!DJ223,O237)</f>
        <v>91509.14</v>
      </c>
      <c r="Q237" s="5"/>
      <c r="R237" s="5"/>
      <c r="S237" s="5"/>
      <c r="T237" s="5"/>
      <c r="U237" s="5"/>
      <c r="V237" s="5"/>
      <c r="W237" s="5">
        <v>1902.1</v>
      </c>
      <c r="X237" s="5">
        <v>1</v>
      </c>
      <c r="Y237" s="5">
        <v>1902.1</v>
      </c>
      <c r="Z237" s="5">
        <v>88771.01</v>
      </c>
      <c r="AA237" s="5">
        <v>1</v>
      </c>
      <c r="AB237" s="5">
        <v>88771.01</v>
      </c>
    </row>
    <row r="238" spans="1:28">
      <c r="A238" s="5">
        <v>50</v>
      </c>
      <c r="B238" s="5">
        <v>0</v>
      </c>
      <c r="C238" s="5">
        <v>0</v>
      </c>
      <c r="D238" s="5">
        <v>1</v>
      </c>
      <c r="E238" s="5">
        <v>205</v>
      </c>
      <c r="F238" s="5">
        <f>ROUND(Source!S223,O238)</f>
        <v>50605.32</v>
      </c>
      <c r="G238" s="5" t="s">
        <v>90</v>
      </c>
      <c r="H238" s="5" t="s">
        <v>91</v>
      </c>
      <c r="I238" s="5"/>
      <c r="J238" s="5"/>
      <c r="K238" s="5">
        <v>205</v>
      </c>
      <c r="L238" s="5">
        <v>14</v>
      </c>
      <c r="M238" s="5">
        <v>3</v>
      </c>
      <c r="N238" s="5" t="s">
        <v>4</v>
      </c>
      <c r="O238" s="5">
        <v>2</v>
      </c>
      <c r="P238" s="5">
        <f>ROUND(Source!DK223,O238)</f>
        <v>2361750.29</v>
      </c>
      <c r="Q238" s="5"/>
      <c r="R238" s="5"/>
      <c r="S238" s="5"/>
      <c r="T238" s="5"/>
      <c r="U238" s="5"/>
      <c r="V238" s="5"/>
      <c r="W238" s="5">
        <v>47725.8</v>
      </c>
      <c r="X238" s="5">
        <v>1</v>
      </c>
      <c r="Y238" s="5">
        <v>47725.8</v>
      </c>
      <c r="Z238" s="5">
        <v>2227363.09</v>
      </c>
      <c r="AA238" s="5">
        <v>1</v>
      </c>
      <c r="AB238" s="5">
        <v>2227363.09</v>
      </c>
    </row>
    <row r="239" spans="1:28">
      <c r="A239" s="5">
        <v>50</v>
      </c>
      <c r="B239" s="5">
        <v>0</v>
      </c>
      <c r="C239" s="5">
        <v>0</v>
      </c>
      <c r="D239" s="5">
        <v>1</v>
      </c>
      <c r="E239" s="5">
        <v>232</v>
      </c>
      <c r="F239" s="5">
        <f>ROUND(Source!BC223,O239)</f>
        <v>0</v>
      </c>
      <c r="G239" s="5" t="s">
        <v>92</v>
      </c>
      <c r="H239" s="5" t="s">
        <v>93</v>
      </c>
      <c r="I239" s="5"/>
      <c r="J239" s="5"/>
      <c r="K239" s="5">
        <v>232</v>
      </c>
      <c r="L239" s="5">
        <v>15</v>
      </c>
      <c r="M239" s="5">
        <v>3</v>
      </c>
      <c r="N239" s="5" t="s">
        <v>4</v>
      </c>
      <c r="O239" s="5">
        <v>2</v>
      </c>
      <c r="P239" s="5">
        <f>ROUND(Source!EU223,O239)</f>
        <v>0</v>
      </c>
      <c r="Q239" s="5"/>
      <c r="R239" s="5"/>
      <c r="S239" s="5"/>
      <c r="T239" s="5"/>
      <c r="U239" s="5"/>
      <c r="V239" s="5"/>
      <c r="W239" s="5">
        <v>0</v>
      </c>
      <c r="X239" s="5">
        <v>1</v>
      </c>
      <c r="Y239" s="5">
        <v>0</v>
      </c>
      <c r="Z239" s="5">
        <v>0</v>
      </c>
      <c r="AA239" s="5">
        <v>1</v>
      </c>
      <c r="AB239" s="5">
        <v>0</v>
      </c>
    </row>
    <row r="240" spans="1:28">
      <c r="A240" s="5">
        <v>50</v>
      </c>
      <c r="B240" s="5">
        <v>0</v>
      </c>
      <c r="C240" s="5">
        <v>0</v>
      </c>
      <c r="D240" s="5">
        <v>1</v>
      </c>
      <c r="E240" s="5">
        <v>214</v>
      </c>
      <c r="F240" s="5">
        <f>ROUND(Source!AS223,O240)</f>
        <v>5543.47</v>
      </c>
      <c r="G240" s="5" t="s">
        <v>94</v>
      </c>
      <c r="H240" s="5" t="s">
        <v>95</v>
      </c>
      <c r="I240" s="5"/>
      <c r="J240" s="5"/>
      <c r="K240" s="5">
        <v>214</v>
      </c>
      <c r="L240" s="5">
        <v>16</v>
      </c>
      <c r="M240" s="5">
        <v>3</v>
      </c>
      <c r="N240" s="5" t="s">
        <v>4</v>
      </c>
      <c r="O240" s="5">
        <v>2</v>
      </c>
      <c r="P240" s="5">
        <f>ROUND(Source!EK223,O240)</f>
        <v>47452.1</v>
      </c>
      <c r="Q240" s="5"/>
      <c r="R240" s="5"/>
      <c r="S240" s="5"/>
      <c r="T240" s="5"/>
      <c r="U240" s="5"/>
      <c r="V240" s="5"/>
      <c r="W240" s="5">
        <v>5543.47</v>
      </c>
      <c r="X240" s="5">
        <v>1</v>
      </c>
      <c r="Y240" s="5">
        <v>5543.47</v>
      </c>
      <c r="Z240" s="5">
        <v>47452.1</v>
      </c>
      <c r="AA240" s="5">
        <v>1</v>
      </c>
      <c r="AB240" s="5">
        <v>47452.1</v>
      </c>
    </row>
    <row r="241" spans="1:206">
      <c r="A241" s="5">
        <v>50</v>
      </c>
      <c r="B241" s="5">
        <v>0</v>
      </c>
      <c r="C241" s="5">
        <v>0</v>
      </c>
      <c r="D241" s="5">
        <v>1</v>
      </c>
      <c r="E241" s="5">
        <v>215</v>
      </c>
      <c r="F241" s="5">
        <f>ROUND(Source!AT223,O241)</f>
        <v>2588803.87</v>
      </c>
      <c r="G241" s="5" t="s">
        <v>96</v>
      </c>
      <c r="H241" s="5" t="s">
        <v>97</v>
      </c>
      <c r="I241" s="5"/>
      <c r="J241" s="5"/>
      <c r="K241" s="5">
        <v>215</v>
      </c>
      <c r="L241" s="5">
        <v>17</v>
      </c>
      <c r="M241" s="5">
        <v>3</v>
      </c>
      <c r="N241" s="5" t="s">
        <v>4</v>
      </c>
      <c r="O241" s="5">
        <v>2</v>
      </c>
      <c r="P241" s="5">
        <f>ROUND(Source!EL223,O241)</f>
        <v>26490004.43</v>
      </c>
      <c r="Q241" s="5"/>
      <c r="R241" s="5"/>
      <c r="S241" s="5"/>
      <c r="T241" s="5"/>
      <c r="U241" s="5"/>
      <c r="V241" s="5"/>
      <c r="W241" s="5">
        <v>2464072.38</v>
      </c>
      <c r="X241" s="5">
        <v>1</v>
      </c>
      <c r="Y241" s="5">
        <v>2464072.38</v>
      </c>
      <c r="Z241" s="5">
        <v>25437477.93</v>
      </c>
      <c r="AA241" s="5">
        <v>1</v>
      </c>
      <c r="AB241" s="5">
        <v>25437477.93</v>
      </c>
    </row>
    <row r="242" spans="1:206">
      <c r="A242" s="5">
        <v>50</v>
      </c>
      <c r="B242" s="5">
        <v>0</v>
      </c>
      <c r="C242" s="5">
        <v>0</v>
      </c>
      <c r="D242" s="5">
        <v>1</v>
      </c>
      <c r="E242" s="5">
        <v>217</v>
      </c>
      <c r="F242" s="5">
        <f>ROUND(Source!AU223,O242)</f>
        <v>0</v>
      </c>
      <c r="G242" s="5" t="s">
        <v>98</v>
      </c>
      <c r="H242" s="5" t="s">
        <v>99</v>
      </c>
      <c r="I242" s="5"/>
      <c r="J242" s="5"/>
      <c r="K242" s="5">
        <v>217</v>
      </c>
      <c r="L242" s="5">
        <v>18</v>
      </c>
      <c r="M242" s="5">
        <v>3</v>
      </c>
      <c r="N242" s="5" t="s">
        <v>4</v>
      </c>
      <c r="O242" s="5">
        <v>2</v>
      </c>
      <c r="P242" s="5">
        <f>ROUND(Source!EM223,O242)</f>
        <v>0</v>
      </c>
      <c r="Q242" s="5"/>
      <c r="R242" s="5"/>
      <c r="S242" s="5"/>
      <c r="T242" s="5"/>
      <c r="U242" s="5"/>
      <c r="V242" s="5"/>
      <c r="W242" s="5">
        <v>0</v>
      </c>
      <c r="X242" s="5">
        <v>1</v>
      </c>
      <c r="Y242" s="5">
        <v>0</v>
      </c>
      <c r="Z242" s="5">
        <v>0</v>
      </c>
      <c r="AA242" s="5">
        <v>1</v>
      </c>
      <c r="AB242" s="5">
        <v>0</v>
      </c>
    </row>
    <row r="243" spans="1:206">
      <c r="A243" s="5">
        <v>50</v>
      </c>
      <c r="B243" s="5">
        <v>0</v>
      </c>
      <c r="C243" s="5">
        <v>0</v>
      </c>
      <c r="D243" s="5">
        <v>1</v>
      </c>
      <c r="E243" s="5">
        <v>230</v>
      </c>
      <c r="F243" s="5">
        <f>ROUND(Source!BA223,O243)</f>
        <v>0</v>
      </c>
      <c r="G243" s="5" t="s">
        <v>100</v>
      </c>
      <c r="H243" s="5" t="s">
        <v>101</v>
      </c>
      <c r="I243" s="5"/>
      <c r="J243" s="5"/>
      <c r="K243" s="5">
        <v>230</v>
      </c>
      <c r="L243" s="5">
        <v>19</v>
      </c>
      <c r="M243" s="5">
        <v>3</v>
      </c>
      <c r="N243" s="5" t="s">
        <v>4</v>
      </c>
      <c r="O243" s="5">
        <v>2</v>
      </c>
      <c r="P243" s="5">
        <f>ROUND(Source!ES223,O243)</f>
        <v>0</v>
      </c>
      <c r="Q243" s="5"/>
      <c r="R243" s="5"/>
      <c r="S243" s="5"/>
      <c r="T243" s="5"/>
      <c r="U243" s="5"/>
      <c r="V243" s="5"/>
      <c r="W243" s="5">
        <v>0</v>
      </c>
      <c r="X243" s="5">
        <v>1</v>
      </c>
      <c r="Y243" s="5">
        <v>0</v>
      </c>
      <c r="Z243" s="5">
        <v>0</v>
      </c>
      <c r="AA243" s="5">
        <v>1</v>
      </c>
      <c r="AB243" s="5">
        <v>0</v>
      </c>
    </row>
    <row r="244" spans="1:206">
      <c r="A244" s="5">
        <v>50</v>
      </c>
      <c r="B244" s="5">
        <v>0</v>
      </c>
      <c r="C244" s="5">
        <v>0</v>
      </c>
      <c r="D244" s="5">
        <v>1</v>
      </c>
      <c r="E244" s="5">
        <v>206</v>
      </c>
      <c r="F244" s="5">
        <f>ROUND(Source!T223,O244)</f>
        <v>0</v>
      </c>
      <c r="G244" s="5" t="s">
        <v>102</v>
      </c>
      <c r="H244" s="5" t="s">
        <v>103</v>
      </c>
      <c r="I244" s="5"/>
      <c r="J244" s="5"/>
      <c r="K244" s="5">
        <v>206</v>
      </c>
      <c r="L244" s="5">
        <v>20</v>
      </c>
      <c r="M244" s="5">
        <v>3</v>
      </c>
      <c r="N244" s="5" t="s">
        <v>4</v>
      </c>
      <c r="O244" s="5">
        <v>2</v>
      </c>
      <c r="P244" s="5">
        <f>ROUND(Source!DL223,O244)</f>
        <v>0</v>
      </c>
      <c r="Q244" s="5"/>
      <c r="R244" s="5"/>
      <c r="S244" s="5"/>
      <c r="T244" s="5"/>
      <c r="U244" s="5"/>
      <c r="V244" s="5"/>
      <c r="W244" s="5">
        <v>0</v>
      </c>
      <c r="X244" s="5">
        <v>1</v>
      </c>
      <c r="Y244" s="5">
        <v>0</v>
      </c>
      <c r="Z244" s="5">
        <v>0</v>
      </c>
      <c r="AA244" s="5">
        <v>1</v>
      </c>
      <c r="AB244" s="5">
        <v>0</v>
      </c>
    </row>
    <row r="245" spans="1:206">
      <c r="A245" s="5">
        <v>50</v>
      </c>
      <c r="B245" s="5">
        <v>0</v>
      </c>
      <c r="C245" s="5">
        <v>0</v>
      </c>
      <c r="D245" s="5">
        <v>1</v>
      </c>
      <c r="E245" s="5">
        <v>207</v>
      </c>
      <c r="F245" s="5">
        <f>Source!U223</f>
        <v>4119.6834743999998</v>
      </c>
      <c r="G245" s="5" t="s">
        <v>104</v>
      </c>
      <c r="H245" s="5" t="s">
        <v>105</v>
      </c>
      <c r="I245" s="5"/>
      <c r="J245" s="5"/>
      <c r="K245" s="5">
        <v>207</v>
      </c>
      <c r="L245" s="5">
        <v>21</v>
      </c>
      <c r="M245" s="5">
        <v>3</v>
      </c>
      <c r="N245" s="5" t="s">
        <v>4</v>
      </c>
      <c r="O245" s="5">
        <v>-1</v>
      </c>
      <c r="P245" s="5">
        <f>Source!DM223</f>
        <v>4119.6834743999998</v>
      </c>
      <c r="Q245" s="5"/>
      <c r="R245" s="5"/>
      <c r="S245" s="5"/>
      <c r="T245" s="5"/>
      <c r="U245" s="5"/>
      <c r="V245" s="5"/>
      <c r="W245" s="5">
        <v>3902.2232495999997</v>
      </c>
      <c r="X245" s="5">
        <v>1</v>
      </c>
      <c r="Y245" s="5">
        <v>3902.2232495999997</v>
      </c>
      <c r="Z245" s="5">
        <v>3902.2232495999997</v>
      </c>
      <c r="AA245" s="5">
        <v>1</v>
      </c>
      <c r="AB245" s="5">
        <v>3902.2232495999997</v>
      </c>
    </row>
    <row r="246" spans="1:206">
      <c r="A246" s="5">
        <v>50</v>
      </c>
      <c r="B246" s="5">
        <v>0</v>
      </c>
      <c r="C246" s="5">
        <v>0</v>
      </c>
      <c r="D246" s="5">
        <v>1</v>
      </c>
      <c r="E246" s="5">
        <v>208</v>
      </c>
      <c r="F246" s="5">
        <f>Source!V223</f>
        <v>0</v>
      </c>
      <c r="G246" s="5" t="s">
        <v>106</v>
      </c>
      <c r="H246" s="5" t="s">
        <v>107</v>
      </c>
      <c r="I246" s="5"/>
      <c r="J246" s="5"/>
      <c r="K246" s="5">
        <v>208</v>
      </c>
      <c r="L246" s="5">
        <v>22</v>
      </c>
      <c r="M246" s="5">
        <v>3</v>
      </c>
      <c r="N246" s="5" t="s">
        <v>4</v>
      </c>
      <c r="O246" s="5">
        <v>-1</v>
      </c>
      <c r="P246" s="5">
        <f>Source!DN223</f>
        <v>0</v>
      </c>
      <c r="Q246" s="5"/>
      <c r="R246" s="5"/>
      <c r="S246" s="5"/>
      <c r="T246" s="5"/>
      <c r="U246" s="5"/>
      <c r="V246" s="5"/>
      <c r="W246" s="5">
        <v>0</v>
      </c>
      <c r="X246" s="5">
        <v>1</v>
      </c>
      <c r="Y246" s="5">
        <v>0</v>
      </c>
      <c r="Z246" s="5">
        <v>0</v>
      </c>
      <c r="AA246" s="5">
        <v>1</v>
      </c>
      <c r="AB246" s="5">
        <v>0</v>
      </c>
    </row>
    <row r="247" spans="1:206">
      <c r="A247" s="5">
        <v>50</v>
      </c>
      <c r="B247" s="5">
        <v>0</v>
      </c>
      <c r="C247" s="5">
        <v>0</v>
      </c>
      <c r="D247" s="5">
        <v>1</v>
      </c>
      <c r="E247" s="5">
        <v>209</v>
      </c>
      <c r="F247" s="5">
        <f>ROUND(Source!W223,O247)</f>
        <v>0</v>
      </c>
      <c r="G247" s="5" t="s">
        <v>108</v>
      </c>
      <c r="H247" s="5" t="s">
        <v>109</v>
      </c>
      <c r="I247" s="5"/>
      <c r="J247" s="5"/>
      <c r="K247" s="5">
        <v>209</v>
      </c>
      <c r="L247" s="5">
        <v>23</v>
      </c>
      <c r="M247" s="5">
        <v>3</v>
      </c>
      <c r="N247" s="5" t="s">
        <v>4</v>
      </c>
      <c r="O247" s="5">
        <v>2</v>
      </c>
      <c r="P247" s="5">
        <f>ROUND(Source!DO223,O247)</f>
        <v>0</v>
      </c>
      <c r="Q247" s="5"/>
      <c r="R247" s="5"/>
      <c r="S247" s="5"/>
      <c r="T247" s="5"/>
      <c r="U247" s="5"/>
      <c r="V247" s="5"/>
      <c r="W247" s="5">
        <v>0</v>
      </c>
      <c r="X247" s="5">
        <v>1</v>
      </c>
      <c r="Y247" s="5">
        <v>0</v>
      </c>
      <c r="Z247" s="5">
        <v>0</v>
      </c>
      <c r="AA247" s="5">
        <v>1</v>
      </c>
      <c r="AB247" s="5">
        <v>0</v>
      </c>
    </row>
    <row r="248" spans="1:206">
      <c r="A248" s="5">
        <v>50</v>
      </c>
      <c r="B248" s="5">
        <v>0</v>
      </c>
      <c r="C248" s="5">
        <v>0</v>
      </c>
      <c r="D248" s="5">
        <v>1</v>
      </c>
      <c r="E248" s="5">
        <v>233</v>
      </c>
      <c r="F248" s="5">
        <f>ROUND(Source!BD223,O248)</f>
        <v>0</v>
      </c>
      <c r="G248" s="5" t="s">
        <v>110</v>
      </c>
      <c r="H248" s="5" t="s">
        <v>111</v>
      </c>
      <c r="I248" s="5"/>
      <c r="J248" s="5"/>
      <c r="K248" s="5">
        <v>233</v>
      </c>
      <c r="L248" s="5">
        <v>24</v>
      </c>
      <c r="M248" s="5">
        <v>3</v>
      </c>
      <c r="N248" s="5" t="s">
        <v>4</v>
      </c>
      <c r="O248" s="5">
        <v>2</v>
      </c>
      <c r="P248" s="5">
        <f>ROUND(Source!EV223,O248)</f>
        <v>0</v>
      </c>
      <c r="Q248" s="5"/>
      <c r="R248" s="5"/>
      <c r="S248" s="5"/>
      <c r="T248" s="5"/>
      <c r="U248" s="5"/>
      <c r="V248" s="5"/>
      <c r="W248" s="5">
        <v>0</v>
      </c>
      <c r="X248" s="5">
        <v>1</v>
      </c>
      <c r="Y248" s="5">
        <v>0</v>
      </c>
      <c r="Z248" s="5">
        <v>0</v>
      </c>
      <c r="AA248" s="5">
        <v>1</v>
      </c>
      <c r="AB248" s="5">
        <v>0</v>
      </c>
    </row>
    <row r="249" spans="1:206">
      <c r="A249" s="5">
        <v>50</v>
      </c>
      <c r="B249" s="5">
        <v>0</v>
      </c>
      <c r="C249" s="5">
        <v>0</v>
      </c>
      <c r="D249" s="5">
        <v>1</v>
      </c>
      <c r="E249" s="5">
        <v>210</v>
      </c>
      <c r="F249" s="5">
        <f>ROUND(Source!X223,O249)</f>
        <v>56677.95</v>
      </c>
      <c r="G249" s="5" t="s">
        <v>112</v>
      </c>
      <c r="H249" s="5" t="s">
        <v>113</v>
      </c>
      <c r="I249" s="5"/>
      <c r="J249" s="5"/>
      <c r="K249" s="5">
        <v>210</v>
      </c>
      <c r="L249" s="5">
        <v>25</v>
      </c>
      <c r="M249" s="5">
        <v>3</v>
      </c>
      <c r="N249" s="5" t="s">
        <v>4</v>
      </c>
      <c r="O249" s="5">
        <v>2</v>
      </c>
      <c r="P249" s="5">
        <f>ROUND(Source!DP223,O249)</f>
        <v>2172810.2599999998</v>
      </c>
      <c r="Q249" s="5"/>
      <c r="R249" s="5"/>
      <c r="S249" s="5"/>
      <c r="T249" s="5"/>
      <c r="U249" s="5"/>
      <c r="V249" s="5"/>
      <c r="W249" s="5">
        <v>53452.89</v>
      </c>
      <c r="X249" s="5">
        <v>1</v>
      </c>
      <c r="Y249" s="5">
        <v>53452.89</v>
      </c>
      <c r="Z249" s="5">
        <v>2049174.04</v>
      </c>
      <c r="AA249" s="5">
        <v>1</v>
      </c>
      <c r="AB249" s="5">
        <v>2049174.04</v>
      </c>
    </row>
    <row r="250" spans="1:206">
      <c r="A250" s="5">
        <v>50</v>
      </c>
      <c r="B250" s="5">
        <v>0</v>
      </c>
      <c r="C250" s="5">
        <v>0</v>
      </c>
      <c r="D250" s="5">
        <v>1</v>
      </c>
      <c r="E250" s="5">
        <v>211</v>
      </c>
      <c r="F250" s="5">
        <f>ROUND(Source!Y223,O250)</f>
        <v>35423.730000000003</v>
      </c>
      <c r="G250" s="5" t="s">
        <v>114</v>
      </c>
      <c r="H250" s="5" t="s">
        <v>115</v>
      </c>
      <c r="I250" s="5"/>
      <c r="J250" s="5"/>
      <c r="K250" s="5">
        <v>211</v>
      </c>
      <c r="L250" s="5">
        <v>26</v>
      </c>
      <c r="M250" s="5">
        <v>3</v>
      </c>
      <c r="N250" s="5" t="s">
        <v>4</v>
      </c>
      <c r="O250" s="5">
        <v>2</v>
      </c>
      <c r="P250" s="5">
        <f>ROUND(Source!DQ223,O250)</f>
        <v>1015552.62</v>
      </c>
      <c r="Q250" s="5"/>
      <c r="R250" s="5"/>
      <c r="S250" s="5"/>
      <c r="T250" s="5"/>
      <c r="U250" s="5"/>
      <c r="V250" s="5"/>
      <c r="W250" s="5">
        <v>33408.07</v>
      </c>
      <c r="X250" s="5">
        <v>1</v>
      </c>
      <c r="Y250" s="5">
        <v>33408.07</v>
      </c>
      <c r="Z250" s="5">
        <v>957766.13</v>
      </c>
      <c r="AA250" s="5">
        <v>1</v>
      </c>
      <c r="AB250" s="5">
        <v>957766.13</v>
      </c>
    </row>
    <row r="251" spans="1:206">
      <c r="A251" s="5">
        <v>50</v>
      </c>
      <c r="B251" s="5">
        <v>0</v>
      </c>
      <c r="C251" s="5">
        <v>0</v>
      </c>
      <c r="D251" s="5">
        <v>1</v>
      </c>
      <c r="E251" s="5">
        <v>224</v>
      </c>
      <c r="F251" s="5">
        <f>ROUND(Source!AR223,O251)</f>
        <v>2594347.34</v>
      </c>
      <c r="G251" s="5" t="s">
        <v>116</v>
      </c>
      <c r="H251" s="5" t="s">
        <v>117</v>
      </c>
      <c r="I251" s="5"/>
      <c r="J251" s="5"/>
      <c r="K251" s="5">
        <v>224</v>
      </c>
      <c r="L251" s="5">
        <v>27</v>
      </c>
      <c r="M251" s="5">
        <v>3</v>
      </c>
      <c r="N251" s="5" t="s">
        <v>4</v>
      </c>
      <c r="O251" s="5">
        <v>2</v>
      </c>
      <c r="P251" s="5">
        <f>ROUND(Source!EJ223,O251)</f>
        <v>26537456.530000001</v>
      </c>
      <c r="Q251" s="5"/>
      <c r="R251" s="5"/>
      <c r="S251" s="5"/>
      <c r="T251" s="5"/>
      <c r="U251" s="5"/>
      <c r="V251" s="5"/>
      <c r="W251" s="5">
        <v>2469615.85</v>
      </c>
      <c r="X251" s="5">
        <v>1</v>
      </c>
      <c r="Y251" s="5">
        <v>2469615.85</v>
      </c>
      <c r="Z251" s="5">
        <v>25484930.030000001</v>
      </c>
      <c r="AA251" s="5">
        <v>1</v>
      </c>
      <c r="AB251" s="5">
        <v>25484930.030000001</v>
      </c>
    </row>
    <row r="253" spans="1:206">
      <c r="A253" s="3">
        <v>51</v>
      </c>
      <c r="B253" s="3">
        <f>B151</f>
        <v>1</v>
      </c>
      <c r="C253" s="3">
        <f>A151</f>
        <v>4</v>
      </c>
      <c r="D253" s="3">
        <f>ROW(A151)</f>
        <v>151</v>
      </c>
      <c r="E253" s="3"/>
      <c r="F253" s="3" t="str">
        <f>IF(F151&lt;&gt;"",F151,"")</f>
        <v>Новый раздел</v>
      </c>
      <c r="G253" s="3" t="str">
        <f>IF(G151&lt;&gt;"",G151,"")</f>
        <v>Монтажные работы</v>
      </c>
      <c r="H253" s="3">
        <v>0</v>
      </c>
      <c r="I253" s="3"/>
      <c r="J253" s="3"/>
      <c r="K253" s="3"/>
      <c r="L253" s="3"/>
      <c r="M253" s="3"/>
      <c r="N253" s="3"/>
      <c r="O253" s="3">
        <f t="shared" ref="O253:T253" si="274">ROUND(O223+AB253,2)</f>
        <v>2498814.2999999998</v>
      </c>
      <c r="P253" s="3">
        <f t="shared" si="274"/>
        <v>2429244.7000000002</v>
      </c>
      <c r="Q253" s="3">
        <f t="shared" si="274"/>
        <v>18964.28</v>
      </c>
      <c r="R253" s="3">
        <f t="shared" si="274"/>
        <v>1960.77</v>
      </c>
      <c r="S253" s="3">
        <f t="shared" si="274"/>
        <v>50605.32</v>
      </c>
      <c r="T253" s="3">
        <f t="shared" si="274"/>
        <v>0</v>
      </c>
      <c r="U253" s="3">
        <f>U223+AH253</f>
        <v>4119.6834743999998</v>
      </c>
      <c r="V253" s="3">
        <f>V223+AI253</f>
        <v>0</v>
      </c>
      <c r="W253" s="3">
        <f>ROUND(W223+AJ253,2)</f>
        <v>0</v>
      </c>
      <c r="X253" s="3">
        <f>ROUND(X223+AK253,2)</f>
        <v>56677.95</v>
      </c>
      <c r="Y253" s="3">
        <f>ROUND(Y223+AL253,2)</f>
        <v>35423.730000000003</v>
      </c>
      <c r="Z253" s="3"/>
      <c r="AA253" s="3"/>
      <c r="AB253" s="3">
        <f>ROUND(SUMIF(AA155:AA156,"=70305038",O155:O156),2)</f>
        <v>0</v>
      </c>
      <c r="AC253" s="3">
        <f>ROUND(SUMIF(AA155:AA156,"=70305038",P155:P156),2)</f>
        <v>0</v>
      </c>
      <c r="AD253" s="3">
        <f>ROUND(SUMIF(AA155:AA156,"=70305038",Q155:Q156),2)</f>
        <v>0</v>
      </c>
      <c r="AE253" s="3">
        <f>ROUND(SUMIF(AA155:AA156,"=70305038",R155:R156),2)</f>
        <v>0</v>
      </c>
      <c r="AF253" s="3">
        <f>ROUND(SUMIF(AA155:AA156,"=70305038",S155:S156),2)</f>
        <v>0</v>
      </c>
      <c r="AG253" s="3">
        <f>ROUND(SUMIF(AA155:AA156,"=70305038",T155:T156),2)</f>
        <v>0</v>
      </c>
      <c r="AH253" s="3">
        <f>SUMIF(AA155:AA156,"=70305038",U155:U156)</f>
        <v>0</v>
      </c>
      <c r="AI253" s="3">
        <f>SUMIF(AA155:AA156,"=70305038",V155:V156)</f>
        <v>0</v>
      </c>
      <c r="AJ253" s="3">
        <f>ROUND(SUMIF(AA155:AA156,"=70305038",W155:W156),2)</f>
        <v>0</v>
      </c>
      <c r="AK253" s="3">
        <f>ROUND(SUMIF(AA155:AA156,"=70305038",X155:X156),2)</f>
        <v>0</v>
      </c>
      <c r="AL253" s="3">
        <f>ROUND(SUMIF(AA155:AA156,"=70305038",Y155:Y156),2)</f>
        <v>0</v>
      </c>
      <c r="AM253" s="3"/>
      <c r="AN253" s="3"/>
      <c r="AO253" s="3">
        <f t="shared" ref="AO253:BD253" si="275">ROUND(AO223+BX253,2)</f>
        <v>0</v>
      </c>
      <c r="AP253" s="3">
        <f t="shared" si="275"/>
        <v>0</v>
      </c>
      <c r="AQ253" s="3">
        <f t="shared" si="275"/>
        <v>0</v>
      </c>
      <c r="AR253" s="3">
        <f t="shared" si="275"/>
        <v>2594347.34</v>
      </c>
      <c r="AS253" s="3">
        <f t="shared" si="275"/>
        <v>5543.47</v>
      </c>
      <c r="AT253" s="3">
        <f t="shared" si="275"/>
        <v>2588803.87</v>
      </c>
      <c r="AU253" s="3">
        <f t="shared" si="275"/>
        <v>0</v>
      </c>
      <c r="AV253" s="3">
        <f t="shared" si="275"/>
        <v>2429244.7000000002</v>
      </c>
      <c r="AW253" s="3">
        <f t="shared" si="275"/>
        <v>2429244.7000000002</v>
      </c>
      <c r="AX253" s="3">
        <f t="shared" si="275"/>
        <v>0</v>
      </c>
      <c r="AY253" s="3">
        <f t="shared" si="275"/>
        <v>2429244.7000000002</v>
      </c>
      <c r="AZ253" s="3">
        <f t="shared" si="275"/>
        <v>0</v>
      </c>
      <c r="BA253" s="3">
        <f t="shared" si="275"/>
        <v>0</v>
      </c>
      <c r="BB253" s="3">
        <f t="shared" si="275"/>
        <v>0</v>
      </c>
      <c r="BC253" s="3">
        <f t="shared" si="275"/>
        <v>0</v>
      </c>
      <c r="BD253" s="3">
        <f t="shared" si="275"/>
        <v>0</v>
      </c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>
        <f>ROUND(SUMIF(AA155:AA156,"=70305038",FQ155:FQ156),2)</f>
        <v>0</v>
      </c>
      <c r="BY253" s="3">
        <f>ROUND(SUMIF(AA155:AA156,"=70305038",FR155:FR156),2)</f>
        <v>0</v>
      </c>
      <c r="BZ253" s="3">
        <f>ROUND(SUMIF(AA155:AA156,"=70305038",GL155:GL156),2)</f>
        <v>0</v>
      </c>
      <c r="CA253" s="3">
        <f>ROUND(SUMIF(AA155:AA156,"=70305038",GM155:GM156),2)</f>
        <v>0</v>
      </c>
      <c r="CB253" s="3">
        <f>ROUND(SUMIF(AA155:AA156,"=70305038",GN155:GN156),2)</f>
        <v>0</v>
      </c>
      <c r="CC253" s="3">
        <f>ROUND(SUMIF(AA155:AA156,"=70305038",GO155:GO156),2)</f>
        <v>0</v>
      </c>
      <c r="CD253" s="3">
        <f>ROUND(SUMIF(AA155:AA156,"=70305038",GP155:GP156),2)</f>
        <v>0</v>
      </c>
      <c r="CE253" s="3">
        <f>AC253-BX253</f>
        <v>0</v>
      </c>
      <c r="CF253" s="3">
        <f>AC253-BY253</f>
        <v>0</v>
      </c>
      <c r="CG253" s="3">
        <f>BX253-BZ253</f>
        <v>0</v>
      </c>
      <c r="CH253" s="3">
        <f>AC253-BX253-BY253+BZ253</f>
        <v>0</v>
      </c>
      <c r="CI253" s="3">
        <f>BY253-BZ253</f>
        <v>0</v>
      </c>
      <c r="CJ253" s="3">
        <f>ROUND(SUMIF(AA155:AA156,"=70305038",GX155:GX156),2)</f>
        <v>0</v>
      </c>
      <c r="CK253" s="3">
        <f>ROUND(SUMIF(AA155:AA156,"=70305038",GY155:GY156),2)</f>
        <v>0</v>
      </c>
      <c r="CL253" s="3">
        <f>ROUND(SUMIF(AA155:AA156,"=70305038",GZ155:GZ156),2)</f>
        <v>0</v>
      </c>
      <c r="CM253" s="3">
        <f>ROUND(SUMIF(AA155:AA156,"=70305038",HD155:HD156),2)</f>
        <v>0</v>
      </c>
      <c r="CN253" s="3"/>
      <c r="CO253" s="3"/>
      <c r="CP253" s="3"/>
      <c r="CQ253" s="3"/>
      <c r="CR253" s="3"/>
      <c r="CS253" s="3"/>
      <c r="CT253" s="3"/>
      <c r="CU253" s="3"/>
      <c r="CV253" s="3"/>
      <c r="CW253" s="3"/>
      <c r="CX253" s="3"/>
      <c r="CY253" s="3"/>
      <c r="CZ253" s="3"/>
      <c r="DA253" s="3"/>
      <c r="DB253" s="3"/>
      <c r="DC253" s="3"/>
      <c r="DD253" s="3"/>
      <c r="DE253" s="3"/>
      <c r="DF253" s="3"/>
      <c r="DG253" s="4">
        <f t="shared" ref="DG253:DL253" si="276">ROUND(DG223+DT253,2)</f>
        <v>23202679.010000002</v>
      </c>
      <c r="DH253" s="4">
        <f t="shared" si="276"/>
        <v>20595645.219999999</v>
      </c>
      <c r="DI253" s="4">
        <f t="shared" si="276"/>
        <v>245283.5</v>
      </c>
      <c r="DJ253" s="4">
        <f t="shared" si="276"/>
        <v>91509.14</v>
      </c>
      <c r="DK253" s="4">
        <f t="shared" si="276"/>
        <v>2361750.29</v>
      </c>
      <c r="DL253" s="4">
        <f t="shared" si="276"/>
        <v>0</v>
      </c>
      <c r="DM253" s="4">
        <f>DM223+DZ253</f>
        <v>4119.6834743999998</v>
      </c>
      <c r="DN253" s="4">
        <f>DN223+EA253</f>
        <v>0</v>
      </c>
      <c r="DO253" s="4">
        <f>ROUND(DO223+EB253,2)</f>
        <v>0</v>
      </c>
      <c r="DP253" s="4">
        <f>ROUND(DP223+EC253,2)</f>
        <v>2172810.2599999998</v>
      </c>
      <c r="DQ253" s="4">
        <f>ROUND(DQ223+ED253,2)</f>
        <v>1015552.62</v>
      </c>
      <c r="DR253" s="4"/>
      <c r="DS253" s="4"/>
      <c r="DT253" s="4">
        <f>ROUND(SUMIF(AA155:AA156,"=70305036",O155:O156),2)</f>
        <v>0</v>
      </c>
      <c r="DU253" s="4">
        <f>ROUND(SUMIF(AA155:AA156,"=70305036",P155:P156),2)</f>
        <v>0</v>
      </c>
      <c r="DV253" s="4">
        <f>ROUND(SUMIF(AA155:AA156,"=70305036",Q155:Q156),2)</f>
        <v>0</v>
      </c>
      <c r="DW253" s="4">
        <f>ROUND(SUMIF(AA155:AA156,"=70305036",R155:R156),2)</f>
        <v>0</v>
      </c>
      <c r="DX253" s="4">
        <f>ROUND(SUMIF(AA155:AA156,"=70305036",S155:S156),2)</f>
        <v>0</v>
      </c>
      <c r="DY253" s="4">
        <f>ROUND(SUMIF(AA155:AA156,"=70305036",T155:T156),2)</f>
        <v>0</v>
      </c>
      <c r="DZ253" s="4">
        <f>SUMIF(AA155:AA156,"=70305036",U155:U156)</f>
        <v>0</v>
      </c>
      <c r="EA253" s="4">
        <f>SUMIF(AA155:AA156,"=70305036",V155:V156)</f>
        <v>0</v>
      </c>
      <c r="EB253" s="4">
        <f>ROUND(SUMIF(AA155:AA156,"=70305036",W155:W156),2)</f>
        <v>0</v>
      </c>
      <c r="EC253" s="4">
        <f>ROUND(SUMIF(AA155:AA156,"=70305036",X155:X156),2)</f>
        <v>0</v>
      </c>
      <c r="ED253" s="4">
        <f>ROUND(SUMIF(AA155:AA156,"=70305036",Y155:Y156),2)</f>
        <v>0</v>
      </c>
      <c r="EE253" s="4"/>
      <c r="EF253" s="4"/>
      <c r="EG253" s="4">
        <f t="shared" ref="EG253:EV253" si="277">ROUND(EG223+FP253,2)</f>
        <v>0</v>
      </c>
      <c r="EH253" s="4">
        <f t="shared" si="277"/>
        <v>0</v>
      </c>
      <c r="EI253" s="4">
        <f t="shared" si="277"/>
        <v>0</v>
      </c>
      <c r="EJ253" s="4">
        <f t="shared" si="277"/>
        <v>26537456.530000001</v>
      </c>
      <c r="EK253" s="4">
        <f t="shared" si="277"/>
        <v>47452.1</v>
      </c>
      <c r="EL253" s="4">
        <f t="shared" si="277"/>
        <v>26490004.43</v>
      </c>
      <c r="EM253" s="4">
        <f t="shared" si="277"/>
        <v>0</v>
      </c>
      <c r="EN253" s="4">
        <f t="shared" si="277"/>
        <v>20595645.219999999</v>
      </c>
      <c r="EO253" s="4">
        <f t="shared" si="277"/>
        <v>20595645.219999999</v>
      </c>
      <c r="EP253" s="4">
        <f t="shared" si="277"/>
        <v>0</v>
      </c>
      <c r="EQ253" s="4">
        <f t="shared" si="277"/>
        <v>20595645.219999999</v>
      </c>
      <c r="ER253" s="4">
        <f t="shared" si="277"/>
        <v>0</v>
      </c>
      <c r="ES253" s="4">
        <f t="shared" si="277"/>
        <v>0</v>
      </c>
      <c r="ET253" s="4">
        <f t="shared" si="277"/>
        <v>0</v>
      </c>
      <c r="EU253" s="4">
        <f t="shared" si="277"/>
        <v>0</v>
      </c>
      <c r="EV253" s="4">
        <f t="shared" si="277"/>
        <v>0</v>
      </c>
      <c r="EW253" s="4"/>
      <c r="EX253" s="4"/>
      <c r="EY253" s="4"/>
      <c r="EZ253" s="4"/>
      <c r="FA253" s="4"/>
      <c r="FB253" s="4"/>
      <c r="FC253" s="4"/>
      <c r="FD253" s="4"/>
      <c r="FE253" s="4"/>
      <c r="FF253" s="4"/>
      <c r="FG253" s="4"/>
      <c r="FH253" s="4"/>
      <c r="FI253" s="4"/>
      <c r="FJ253" s="4"/>
      <c r="FK253" s="4"/>
      <c r="FL253" s="4"/>
      <c r="FM253" s="4"/>
      <c r="FN253" s="4"/>
      <c r="FO253" s="4"/>
      <c r="FP253" s="4">
        <f>ROUND(SUMIF(AA155:AA156,"=70305036",FQ155:FQ156),2)</f>
        <v>0</v>
      </c>
      <c r="FQ253" s="4">
        <f>ROUND(SUMIF(AA155:AA156,"=70305036",FR155:FR156),2)</f>
        <v>0</v>
      </c>
      <c r="FR253" s="4">
        <f>ROUND(SUMIF(AA155:AA156,"=70305036",GL155:GL156),2)</f>
        <v>0</v>
      </c>
      <c r="FS253" s="4">
        <f>ROUND(SUMIF(AA155:AA156,"=70305036",GM155:GM156),2)</f>
        <v>0</v>
      </c>
      <c r="FT253" s="4">
        <f>ROUND(SUMIF(AA155:AA156,"=70305036",GN155:GN156),2)</f>
        <v>0</v>
      </c>
      <c r="FU253" s="4">
        <f>ROUND(SUMIF(AA155:AA156,"=70305036",GO155:GO156),2)</f>
        <v>0</v>
      </c>
      <c r="FV253" s="4">
        <f>ROUND(SUMIF(AA155:AA156,"=70305036",GP155:GP156),2)</f>
        <v>0</v>
      </c>
      <c r="FW253" s="4">
        <f>DU253-FP253</f>
        <v>0</v>
      </c>
      <c r="FX253" s="4">
        <f>DU253-FQ253</f>
        <v>0</v>
      </c>
      <c r="FY253" s="4">
        <f>FP253-FR253</f>
        <v>0</v>
      </c>
      <c r="FZ253" s="4">
        <f>DU253-FP253-FQ253+FR253</f>
        <v>0</v>
      </c>
      <c r="GA253" s="4">
        <f>FQ253-FR253</f>
        <v>0</v>
      </c>
      <c r="GB253" s="4">
        <f>ROUND(SUMIF(AA155:AA156,"=70305036",GX155:GX156),2)</f>
        <v>0</v>
      </c>
      <c r="GC253" s="4">
        <f>ROUND(SUMIF(AA155:AA156,"=70305036",GY155:GY156),2)</f>
        <v>0</v>
      </c>
      <c r="GD253" s="4">
        <f>ROUND(SUMIF(AA155:AA156,"=70305036",GZ155:GZ156),2)</f>
        <v>0</v>
      </c>
      <c r="GE253" s="4">
        <f>ROUND(SUMIF(AA155:AA156,"=70305036",HD155:HD156),2)</f>
        <v>0</v>
      </c>
      <c r="GF253" s="4"/>
      <c r="GG253" s="4"/>
      <c r="GH253" s="4"/>
      <c r="GI253" s="4"/>
      <c r="GJ253" s="4"/>
      <c r="GK253" s="4"/>
      <c r="GL253" s="4"/>
      <c r="GM253" s="4"/>
      <c r="GN253" s="4"/>
      <c r="GO253" s="4"/>
      <c r="GP253" s="4"/>
      <c r="GQ253" s="4"/>
      <c r="GR253" s="4"/>
      <c r="GS253" s="4"/>
      <c r="GT253" s="4"/>
      <c r="GU253" s="4"/>
      <c r="GV253" s="4"/>
      <c r="GW253" s="4"/>
      <c r="GX253" s="4">
        <v>0</v>
      </c>
    </row>
    <row r="255" spans="1:206">
      <c r="A255" s="5">
        <v>50</v>
      </c>
      <c r="B255" s="5">
        <v>0</v>
      </c>
      <c r="C255" s="5">
        <v>0</v>
      </c>
      <c r="D255" s="5">
        <v>1</v>
      </c>
      <c r="E255" s="5">
        <v>201</v>
      </c>
      <c r="F255" s="5">
        <f>ROUND(Source!O253,O255)</f>
        <v>2498814.2999999998</v>
      </c>
      <c r="G255" s="5" t="s">
        <v>64</v>
      </c>
      <c r="H255" s="5" t="s">
        <v>65</v>
      </c>
      <c r="I255" s="5"/>
      <c r="J255" s="5"/>
      <c r="K255" s="5">
        <v>201</v>
      </c>
      <c r="L255" s="5">
        <v>1</v>
      </c>
      <c r="M255" s="5">
        <v>3</v>
      </c>
      <c r="N255" s="5" t="s">
        <v>4</v>
      </c>
      <c r="O255" s="5">
        <v>2</v>
      </c>
      <c r="P255" s="5">
        <f>ROUND(Source!DG253,O255)</f>
        <v>23202679.010000002</v>
      </c>
      <c r="Q255" s="5"/>
      <c r="R255" s="5"/>
      <c r="S255" s="5"/>
      <c r="T255" s="5"/>
      <c r="U255" s="5"/>
      <c r="V255" s="5"/>
      <c r="W255" s="5">
        <v>2379426.2000000002</v>
      </c>
      <c r="X255" s="5">
        <v>1</v>
      </c>
      <c r="Y255" s="5">
        <v>2379426.2000000002</v>
      </c>
      <c r="Z255" s="5">
        <v>22335956.23</v>
      </c>
      <c r="AA255" s="5">
        <v>1</v>
      </c>
      <c r="AB255" s="5">
        <v>22335956.23</v>
      </c>
    </row>
    <row r="256" spans="1:206">
      <c r="A256" s="5">
        <v>50</v>
      </c>
      <c r="B256" s="5">
        <v>0</v>
      </c>
      <c r="C256" s="5">
        <v>0</v>
      </c>
      <c r="D256" s="5">
        <v>1</v>
      </c>
      <c r="E256" s="5">
        <v>202</v>
      </c>
      <c r="F256" s="5">
        <f>ROUND(Source!P253,O256)</f>
        <v>2429244.7000000002</v>
      </c>
      <c r="G256" s="5" t="s">
        <v>66</v>
      </c>
      <c r="H256" s="5" t="s">
        <v>67</v>
      </c>
      <c r="I256" s="5"/>
      <c r="J256" s="5"/>
      <c r="K256" s="5">
        <v>202</v>
      </c>
      <c r="L256" s="5">
        <v>2</v>
      </c>
      <c r="M256" s="5">
        <v>3</v>
      </c>
      <c r="N256" s="5" t="s">
        <v>4</v>
      </c>
      <c r="O256" s="5">
        <v>2</v>
      </c>
      <c r="P256" s="5">
        <f>ROUND(Source!DH253,O256)</f>
        <v>20595645.219999999</v>
      </c>
      <c r="Q256" s="5"/>
      <c r="R256" s="5"/>
      <c r="S256" s="5"/>
      <c r="T256" s="5"/>
      <c r="U256" s="5"/>
      <c r="V256" s="5"/>
      <c r="W256" s="5">
        <v>2313408.88</v>
      </c>
      <c r="X256" s="5">
        <v>1</v>
      </c>
      <c r="Y256" s="5">
        <v>2313408.88</v>
      </c>
      <c r="Z256" s="5">
        <v>19868805.989999998</v>
      </c>
      <c r="AA256" s="5">
        <v>1</v>
      </c>
      <c r="AB256" s="5">
        <v>19868805.989999998</v>
      </c>
    </row>
    <row r="257" spans="1:28">
      <c r="A257" s="5">
        <v>50</v>
      </c>
      <c r="B257" s="5">
        <v>0</v>
      </c>
      <c r="C257" s="5">
        <v>0</v>
      </c>
      <c r="D257" s="5">
        <v>1</v>
      </c>
      <c r="E257" s="5">
        <v>222</v>
      </c>
      <c r="F257" s="5">
        <f>ROUND(Source!AO253,O257)</f>
        <v>0</v>
      </c>
      <c r="G257" s="5" t="s">
        <v>68</v>
      </c>
      <c r="H257" s="5" t="s">
        <v>69</v>
      </c>
      <c r="I257" s="5"/>
      <c r="J257" s="5"/>
      <c r="K257" s="5">
        <v>222</v>
      </c>
      <c r="L257" s="5">
        <v>3</v>
      </c>
      <c r="M257" s="5">
        <v>3</v>
      </c>
      <c r="N257" s="5" t="s">
        <v>4</v>
      </c>
      <c r="O257" s="5">
        <v>2</v>
      </c>
      <c r="P257" s="5">
        <f>ROUND(Source!EG253,O257)</f>
        <v>0</v>
      </c>
      <c r="Q257" s="5"/>
      <c r="R257" s="5"/>
      <c r="S257" s="5"/>
      <c r="T257" s="5"/>
      <c r="U257" s="5"/>
      <c r="V257" s="5"/>
      <c r="W257" s="5">
        <v>0</v>
      </c>
      <c r="X257" s="5">
        <v>1</v>
      </c>
      <c r="Y257" s="5">
        <v>0</v>
      </c>
      <c r="Z257" s="5">
        <v>0</v>
      </c>
      <c r="AA257" s="5">
        <v>1</v>
      </c>
      <c r="AB257" s="5">
        <v>0</v>
      </c>
    </row>
    <row r="258" spans="1:28">
      <c r="A258" s="5">
        <v>50</v>
      </c>
      <c r="B258" s="5">
        <v>0</v>
      </c>
      <c r="C258" s="5">
        <v>0</v>
      </c>
      <c r="D258" s="5">
        <v>1</v>
      </c>
      <c r="E258" s="5">
        <v>225</v>
      </c>
      <c r="F258" s="5">
        <f>ROUND(Source!AV253,O258)</f>
        <v>2429244.7000000002</v>
      </c>
      <c r="G258" s="5" t="s">
        <v>70</v>
      </c>
      <c r="H258" s="5" t="s">
        <v>71</v>
      </c>
      <c r="I258" s="5"/>
      <c r="J258" s="5"/>
      <c r="K258" s="5">
        <v>225</v>
      </c>
      <c r="L258" s="5">
        <v>4</v>
      </c>
      <c r="M258" s="5">
        <v>3</v>
      </c>
      <c r="N258" s="5" t="s">
        <v>4</v>
      </c>
      <c r="O258" s="5">
        <v>2</v>
      </c>
      <c r="P258" s="5">
        <f>ROUND(Source!EN253,O258)</f>
        <v>20595645.219999999</v>
      </c>
      <c r="Q258" s="5"/>
      <c r="R258" s="5"/>
      <c r="S258" s="5"/>
      <c r="T258" s="5"/>
      <c r="U258" s="5"/>
      <c r="V258" s="5"/>
      <c r="W258" s="5">
        <v>2313408.88</v>
      </c>
      <c r="X258" s="5">
        <v>1</v>
      </c>
      <c r="Y258" s="5">
        <v>2313408.88</v>
      </c>
      <c r="Z258" s="5">
        <v>19868805.989999998</v>
      </c>
      <c r="AA258" s="5">
        <v>1</v>
      </c>
      <c r="AB258" s="5">
        <v>19868805.989999998</v>
      </c>
    </row>
    <row r="259" spans="1:28">
      <c r="A259" s="5">
        <v>50</v>
      </c>
      <c r="B259" s="5">
        <v>0</v>
      </c>
      <c r="C259" s="5">
        <v>0</v>
      </c>
      <c r="D259" s="5">
        <v>1</v>
      </c>
      <c r="E259" s="5">
        <v>226</v>
      </c>
      <c r="F259" s="5">
        <f>ROUND(Source!AW253,O259)</f>
        <v>2429244.7000000002</v>
      </c>
      <c r="G259" s="5" t="s">
        <v>72</v>
      </c>
      <c r="H259" s="5" t="s">
        <v>73</v>
      </c>
      <c r="I259" s="5"/>
      <c r="J259" s="5"/>
      <c r="K259" s="5">
        <v>226</v>
      </c>
      <c r="L259" s="5">
        <v>5</v>
      </c>
      <c r="M259" s="5">
        <v>3</v>
      </c>
      <c r="N259" s="5" t="s">
        <v>4</v>
      </c>
      <c r="O259" s="5">
        <v>2</v>
      </c>
      <c r="P259" s="5">
        <f>ROUND(Source!EO253,O259)</f>
        <v>20595645.219999999</v>
      </c>
      <c r="Q259" s="5"/>
      <c r="R259" s="5"/>
      <c r="S259" s="5"/>
      <c r="T259" s="5"/>
      <c r="U259" s="5"/>
      <c r="V259" s="5"/>
      <c r="W259" s="5">
        <v>2313408.88</v>
      </c>
      <c r="X259" s="5">
        <v>1</v>
      </c>
      <c r="Y259" s="5">
        <v>2313408.88</v>
      </c>
      <c r="Z259" s="5">
        <v>19868805.989999998</v>
      </c>
      <c r="AA259" s="5">
        <v>1</v>
      </c>
      <c r="AB259" s="5">
        <v>19868805.989999998</v>
      </c>
    </row>
    <row r="260" spans="1:28">
      <c r="A260" s="5">
        <v>50</v>
      </c>
      <c r="B260" s="5">
        <v>0</v>
      </c>
      <c r="C260" s="5">
        <v>0</v>
      </c>
      <c r="D260" s="5">
        <v>1</v>
      </c>
      <c r="E260" s="5">
        <v>227</v>
      </c>
      <c r="F260" s="5">
        <f>ROUND(Source!AX253,O260)</f>
        <v>0</v>
      </c>
      <c r="G260" s="5" t="s">
        <v>74</v>
      </c>
      <c r="H260" s="5" t="s">
        <v>75</v>
      </c>
      <c r="I260" s="5"/>
      <c r="J260" s="5"/>
      <c r="K260" s="5">
        <v>227</v>
      </c>
      <c r="L260" s="5">
        <v>6</v>
      </c>
      <c r="M260" s="5">
        <v>3</v>
      </c>
      <c r="N260" s="5" t="s">
        <v>4</v>
      </c>
      <c r="O260" s="5">
        <v>2</v>
      </c>
      <c r="P260" s="5">
        <f>ROUND(Source!EP253,O260)</f>
        <v>0</v>
      </c>
      <c r="Q260" s="5"/>
      <c r="R260" s="5"/>
      <c r="S260" s="5"/>
      <c r="T260" s="5"/>
      <c r="U260" s="5"/>
      <c r="V260" s="5"/>
      <c r="W260" s="5">
        <v>0</v>
      </c>
      <c r="X260" s="5">
        <v>1</v>
      </c>
      <c r="Y260" s="5">
        <v>0</v>
      </c>
      <c r="Z260" s="5">
        <v>0</v>
      </c>
      <c r="AA260" s="5">
        <v>1</v>
      </c>
      <c r="AB260" s="5">
        <v>0</v>
      </c>
    </row>
    <row r="261" spans="1:28">
      <c r="A261" s="5">
        <v>50</v>
      </c>
      <c r="B261" s="5">
        <v>0</v>
      </c>
      <c r="C261" s="5">
        <v>0</v>
      </c>
      <c r="D261" s="5">
        <v>1</v>
      </c>
      <c r="E261" s="5">
        <v>228</v>
      </c>
      <c r="F261" s="5">
        <f>ROUND(Source!AY253,O261)</f>
        <v>2429244.7000000002</v>
      </c>
      <c r="G261" s="5" t="s">
        <v>76</v>
      </c>
      <c r="H261" s="5" t="s">
        <v>77</v>
      </c>
      <c r="I261" s="5"/>
      <c r="J261" s="5"/>
      <c r="K261" s="5">
        <v>228</v>
      </c>
      <c r="L261" s="5">
        <v>7</v>
      </c>
      <c r="M261" s="5">
        <v>3</v>
      </c>
      <c r="N261" s="5" t="s">
        <v>4</v>
      </c>
      <c r="O261" s="5">
        <v>2</v>
      </c>
      <c r="P261" s="5">
        <f>ROUND(Source!EQ253,O261)</f>
        <v>20595645.219999999</v>
      </c>
      <c r="Q261" s="5"/>
      <c r="R261" s="5"/>
      <c r="S261" s="5"/>
      <c r="T261" s="5"/>
      <c r="U261" s="5"/>
      <c r="V261" s="5"/>
      <c r="W261" s="5">
        <v>2313408.88</v>
      </c>
      <c r="X261" s="5">
        <v>1</v>
      </c>
      <c r="Y261" s="5">
        <v>2313408.88</v>
      </c>
      <c r="Z261" s="5">
        <v>19868805.989999998</v>
      </c>
      <c r="AA261" s="5">
        <v>1</v>
      </c>
      <c r="AB261" s="5">
        <v>19868805.989999998</v>
      </c>
    </row>
    <row r="262" spans="1:28">
      <c r="A262" s="5">
        <v>50</v>
      </c>
      <c r="B262" s="5">
        <v>0</v>
      </c>
      <c r="C262" s="5">
        <v>0</v>
      </c>
      <c r="D262" s="5">
        <v>1</v>
      </c>
      <c r="E262" s="5">
        <v>216</v>
      </c>
      <c r="F262" s="5">
        <f>ROUND(Source!AP253,O262)</f>
        <v>0</v>
      </c>
      <c r="G262" s="5" t="s">
        <v>78</v>
      </c>
      <c r="H262" s="5" t="s">
        <v>79</v>
      </c>
      <c r="I262" s="5"/>
      <c r="J262" s="5"/>
      <c r="K262" s="5">
        <v>216</v>
      </c>
      <c r="L262" s="5">
        <v>8</v>
      </c>
      <c r="M262" s="5">
        <v>3</v>
      </c>
      <c r="N262" s="5" t="s">
        <v>4</v>
      </c>
      <c r="O262" s="5">
        <v>2</v>
      </c>
      <c r="P262" s="5">
        <f>ROUND(Source!EH253,O262)</f>
        <v>0</v>
      </c>
      <c r="Q262" s="5"/>
      <c r="R262" s="5"/>
      <c r="S262" s="5"/>
      <c r="T262" s="5"/>
      <c r="U262" s="5"/>
      <c r="V262" s="5"/>
      <c r="W262" s="5">
        <v>0</v>
      </c>
      <c r="X262" s="5">
        <v>1</v>
      </c>
      <c r="Y262" s="5">
        <v>0</v>
      </c>
      <c r="Z262" s="5">
        <v>0</v>
      </c>
      <c r="AA262" s="5">
        <v>1</v>
      </c>
      <c r="AB262" s="5">
        <v>0</v>
      </c>
    </row>
    <row r="263" spans="1:28">
      <c r="A263" s="5">
        <v>50</v>
      </c>
      <c r="B263" s="5">
        <v>0</v>
      </c>
      <c r="C263" s="5">
        <v>0</v>
      </c>
      <c r="D263" s="5">
        <v>1</v>
      </c>
      <c r="E263" s="5">
        <v>223</v>
      </c>
      <c r="F263" s="5">
        <f>ROUND(Source!AQ253,O263)</f>
        <v>0</v>
      </c>
      <c r="G263" s="5" t="s">
        <v>80</v>
      </c>
      <c r="H263" s="5" t="s">
        <v>81</v>
      </c>
      <c r="I263" s="5"/>
      <c r="J263" s="5"/>
      <c r="K263" s="5">
        <v>223</v>
      </c>
      <c r="L263" s="5">
        <v>9</v>
      </c>
      <c r="M263" s="5">
        <v>3</v>
      </c>
      <c r="N263" s="5" t="s">
        <v>4</v>
      </c>
      <c r="O263" s="5">
        <v>2</v>
      </c>
      <c r="P263" s="5">
        <f>ROUND(Source!EI253,O263)</f>
        <v>0</v>
      </c>
      <c r="Q263" s="5"/>
      <c r="R263" s="5"/>
      <c r="S263" s="5"/>
      <c r="T263" s="5"/>
      <c r="U263" s="5"/>
      <c r="V263" s="5"/>
      <c r="W263" s="5">
        <v>0</v>
      </c>
      <c r="X263" s="5">
        <v>1</v>
      </c>
      <c r="Y263" s="5">
        <v>0</v>
      </c>
      <c r="Z263" s="5">
        <v>0</v>
      </c>
      <c r="AA263" s="5">
        <v>1</v>
      </c>
      <c r="AB263" s="5">
        <v>0</v>
      </c>
    </row>
    <row r="264" spans="1:28">
      <c r="A264" s="5">
        <v>50</v>
      </c>
      <c r="B264" s="5">
        <v>0</v>
      </c>
      <c r="C264" s="5">
        <v>0</v>
      </c>
      <c r="D264" s="5">
        <v>1</v>
      </c>
      <c r="E264" s="5">
        <v>229</v>
      </c>
      <c r="F264" s="5">
        <f>ROUND(Source!AZ253,O264)</f>
        <v>0</v>
      </c>
      <c r="G264" s="5" t="s">
        <v>82</v>
      </c>
      <c r="H264" s="5" t="s">
        <v>83</v>
      </c>
      <c r="I264" s="5"/>
      <c r="J264" s="5"/>
      <c r="K264" s="5">
        <v>229</v>
      </c>
      <c r="L264" s="5">
        <v>10</v>
      </c>
      <c r="M264" s="5">
        <v>3</v>
      </c>
      <c r="N264" s="5" t="s">
        <v>4</v>
      </c>
      <c r="O264" s="5">
        <v>2</v>
      </c>
      <c r="P264" s="5">
        <f>ROUND(Source!ER253,O264)</f>
        <v>0</v>
      </c>
      <c r="Q264" s="5"/>
      <c r="R264" s="5"/>
      <c r="S264" s="5"/>
      <c r="T264" s="5"/>
      <c r="U264" s="5"/>
      <c r="V264" s="5"/>
      <c r="W264" s="5">
        <v>0</v>
      </c>
      <c r="X264" s="5">
        <v>1</v>
      </c>
      <c r="Y264" s="5">
        <v>0</v>
      </c>
      <c r="Z264" s="5">
        <v>0</v>
      </c>
      <c r="AA264" s="5">
        <v>1</v>
      </c>
      <c r="AB264" s="5">
        <v>0</v>
      </c>
    </row>
    <row r="265" spans="1:28">
      <c r="A265" s="5">
        <v>50</v>
      </c>
      <c r="B265" s="5">
        <v>0</v>
      </c>
      <c r="C265" s="5">
        <v>0</v>
      </c>
      <c r="D265" s="5">
        <v>1</v>
      </c>
      <c r="E265" s="5">
        <v>203</v>
      </c>
      <c r="F265" s="5">
        <f>ROUND(Source!Q253,O265)</f>
        <v>18964.28</v>
      </c>
      <c r="G265" s="5" t="s">
        <v>84</v>
      </c>
      <c r="H265" s="5" t="s">
        <v>85</v>
      </c>
      <c r="I265" s="5"/>
      <c r="J265" s="5"/>
      <c r="K265" s="5">
        <v>203</v>
      </c>
      <c r="L265" s="5">
        <v>11</v>
      </c>
      <c r="M265" s="5">
        <v>3</v>
      </c>
      <c r="N265" s="5" t="s">
        <v>4</v>
      </c>
      <c r="O265" s="5">
        <v>2</v>
      </c>
      <c r="P265" s="5">
        <f>ROUND(Source!DI253,O265)</f>
        <v>245283.5</v>
      </c>
      <c r="Q265" s="5"/>
      <c r="R265" s="5"/>
      <c r="S265" s="5"/>
      <c r="T265" s="5"/>
      <c r="U265" s="5"/>
      <c r="V265" s="5"/>
      <c r="W265" s="5">
        <v>18291.52</v>
      </c>
      <c r="X265" s="5">
        <v>1</v>
      </c>
      <c r="Y265" s="5">
        <v>18291.52</v>
      </c>
      <c r="Z265" s="5">
        <v>239787.15</v>
      </c>
      <c r="AA265" s="5">
        <v>1</v>
      </c>
      <c r="AB265" s="5">
        <v>239787.15</v>
      </c>
    </row>
    <row r="266" spans="1:28">
      <c r="A266" s="5">
        <v>50</v>
      </c>
      <c r="B266" s="5">
        <v>0</v>
      </c>
      <c r="C266" s="5">
        <v>0</v>
      </c>
      <c r="D266" s="5">
        <v>1</v>
      </c>
      <c r="E266" s="5">
        <v>231</v>
      </c>
      <c r="F266" s="5">
        <f>ROUND(Source!BB253,O266)</f>
        <v>0</v>
      </c>
      <c r="G266" s="5" t="s">
        <v>86</v>
      </c>
      <c r="H266" s="5" t="s">
        <v>87</v>
      </c>
      <c r="I266" s="5"/>
      <c r="J266" s="5"/>
      <c r="K266" s="5">
        <v>231</v>
      </c>
      <c r="L266" s="5">
        <v>12</v>
      </c>
      <c r="M266" s="5">
        <v>3</v>
      </c>
      <c r="N266" s="5" t="s">
        <v>4</v>
      </c>
      <c r="O266" s="5">
        <v>2</v>
      </c>
      <c r="P266" s="5">
        <f>ROUND(Source!ET253,O266)</f>
        <v>0</v>
      </c>
      <c r="Q266" s="5"/>
      <c r="R266" s="5"/>
      <c r="S266" s="5"/>
      <c r="T266" s="5"/>
      <c r="U266" s="5"/>
      <c r="V266" s="5"/>
      <c r="W266" s="5">
        <v>0</v>
      </c>
      <c r="X266" s="5">
        <v>1</v>
      </c>
      <c r="Y266" s="5">
        <v>0</v>
      </c>
      <c r="Z266" s="5">
        <v>0</v>
      </c>
      <c r="AA266" s="5">
        <v>1</v>
      </c>
      <c r="AB266" s="5">
        <v>0</v>
      </c>
    </row>
    <row r="267" spans="1:28">
      <c r="A267" s="5">
        <v>50</v>
      </c>
      <c r="B267" s="5">
        <v>0</v>
      </c>
      <c r="C267" s="5">
        <v>0</v>
      </c>
      <c r="D267" s="5">
        <v>1</v>
      </c>
      <c r="E267" s="5">
        <v>204</v>
      </c>
      <c r="F267" s="5">
        <f>ROUND(Source!R253,O267)</f>
        <v>1960.77</v>
      </c>
      <c r="G267" s="5" t="s">
        <v>88</v>
      </c>
      <c r="H267" s="5" t="s">
        <v>89</v>
      </c>
      <c r="I267" s="5"/>
      <c r="J267" s="5"/>
      <c r="K267" s="5">
        <v>204</v>
      </c>
      <c r="L267" s="5">
        <v>13</v>
      </c>
      <c r="M267" s="5">
        <v>3</v>
      </c>
      <c r="N267" s="5" t="s">
        <v>4</v>
      </c>
      <c r="O267" s="5">
        <v>2</v>
      </c>
      <c r="P267" s="5">
        <f>ROUND(Source!DJ253,O267)</f>
        <v>91509.14</v>
      </c>
      <c r="Q267" s="5"/>
      <c r="R267" s="5"/>
      <c r="S267" s="5"/>
      <c r="T267" s="5"/>
      <c r="U267" s="5"/>
      <c r="V267" s="5"/>
      <c r="W267" s="5">
        <v>1902.1</v>
      </c>
      <c r="X267" s="5">
        <v>1</v>
      </c>
      <c r="Y267" s="5">
        <v>1902.1</v>
      </c>
      <c r="Z267" s="5">
        <v>88771.01</v>
      </c>
      <c r="AA267" s="5">
        <v>1</v>
      </c>
      <c r="AB267" s="5">
        <v>88771.01</v>
      </c>
    </row>
    <row r="268" spans="1:28">
      <c r="A268" s="5">
        <v>50</v>
      </c>
      <c r="B268" s="5">
        <v>0</v>
      </c>
      <c r="C268" s="5">
        <v>0</v>
      </c>
      <c r="D268" s="5">
        <v>1</v>
      </c>
      <c r="E268" s="5">
        <v>205</v>
      </c>
      <c r="F268" s="5">
        <f>ROUND(Source!S253,O268)</f>
        <v>50605.32</v>
      </c>
      <c r="G268" s="5" t="s">
        <v>90</v>
      </c>
      <c r="H268" s="5" t="s">
        <v>91</v>
      </c>
      <c r="I268" s="5"/>
      <c r="J268" s="5"/>
      <c r="K268" s="5">
        <v>205</v>
      </c>
      <c r="L268" s="5">
        <v>14</v>
      </c>
      <c r="M268" s="5">
        <v>3</v>
      </c>
      <c r="N268" s="5" t="s">
        <v>4</v>
      </c>
      <c r="O268" s="5">
        <v>2</v>
      </c>
      <c r="P268" s="5">
        <f>ROUND(Source!DK253,O268)</f>
        <v>2361750.29</v>
      </c>
      <c r="Q268" s="5"/>
      <c r="R268" s="5"/>
      <c r="S268" s="5"/>
      <c r="T268" s="5"/>
      <c r="U268" s="5"/>
      <c r="V268" s="5"/>
      <c r="W268" s="5">
        <v>47725.8</v>
      </c>
      <c r="X268" s="5">
        <v>1</v>
      </c>
      <c r="Y268" s="5">
        <v>47725.8</v>
      </c>
      <c r="Z268" s="5">
        <v>2227363.09</v>
      </c>
      <c r="AA268" s="5">
        <v>1</v>
      </c>
      <c r="AB268" s="5">
        <v>2227363.09</v>
      </c>
    </row>
    <row r="269" spans="1:28">
      <c r="A269" s="5">
        <v>50</v>
      </c>
      <c r="B269" s="5">
        <v>0</v>
      </c>
      <c r="C269" s="5">
        <v>0</v>
      </c>
      <c r="D269" s="5">
        <v>1</v>
      </c>
      <c r="E269" s="5">
        <v>232</v>
      </c>
      <c r="F269" s="5">
        <f>ROUND(Source!BC253,O269)</f>
        <v>0</v>
      </c>
      <c r="G269" s="5" t="s">
        <v>92</v>
      </c>
      <c r="H269" s="5" t="s">
        <v>93</v>
      </c>
      <c r="I269" s="5"/>
      <c r="J269" s="5"/>
      <c r="K269" s="5">
        <v>232</v>
      </c>
      <c r="L269" s="5">
        <v>15</v>
      </c>
      <c r="M269" s="5">
        <v>3</v>
      </c>
      <c r="N269" s="5" t="s">
        <v>4</v>
      </c>
      <c r="O269" s="5">
        <v>2</v>
      </c>
      <c r="P269" s="5">
        <f>ROUND(Source!EU253,O269)</f>
        <v>0</v>
      </c>
      <c r="Q269" s="5"/>
      <c r="R269" s="5"/>
      <c r="S269" s="5"/>
      <c r="T269" s="5"/>
      <c r="U269" s="5"/>
      <c r="V269" s="5"/>
      <c r="W269" s="5">
        <v>0</v>
      </c>
      <c r="X269" s="5">
        <v>1</v>
      </c>
      <c r="Y269" s="5">
        <v>0</v>
      </c>
      <c r="Z269" s="5">
        <v>0</v>
      </c>
      <c r="AA269" s="5">
        <v>1</v>
      </c>
      <c r="AB269" s="5">
        <v>0</v>
      </c>
    </row>
    <row r="270" spans="1:28">
      <c r="A270" s="5">
        <v>50</v>
      </c>
      <c r="B270" s="5">
        <v>0</v>
      </c>
      <c r="C270" s="5">
        <v>0</v>
      </c>
      <c r="D270" s="5">
        <v>1</v>
      </c>
      <c r="E270" s="5">
        <v>214</v>
      </c>
      <c r="F270" s="5">
        <f>ROUND(Source!AS253,O270)</f>
        <v>5543.47</v>
      </c>
      <c r="G270" s="5" t="s">
        <v>94</v>
      </c>
      <c r="H270" s="5" t="s">
        <v>95</v>
      </c>
      <c r="I270" s="5"/>
      <c r="J270" s="5"/>
      <c r="K270" s="5">
        <v>214</v>
      </c>
      <c r="L270" s="5">
        <v>16</v>
      </c>
      <c r="M270" s="5">
        <v>3</v>
      </c>
      <c r="N270" s="5" t="s">
        <v>4</v>
      </c>
      <c r="O270" s="5">
        <v>2</v>
      </c>
      <c r="P270" s="5">
        <f>ROUND(Source!EK253,O270)</f>
        <v>47452.1</v>
      </c>
      <c r="Q270" s="5"/>
      <c r="R270" s="5"/>
      <c r="S270" s="5"/>
      <c r="T270" s="5"/>
      <c r="U270" s="5"/>
      <c r="V270" s="5"/>
      <c r="W270" s="5">
        <v>5543.47</v>
      </c>
      <c r="X270" s="5">
        <v>1</v>
      </c>
      <c r="Y270" s="5">
        <v>5543.47</v>
      </c>
      <c r="Z270" s="5">
        <v>47452.1</v>
      </c>
      <c r="AA270" s="5">
        <v>1</v>
      </c>
      <c r="AB270" s="5">
        <v>47452.1</v>
      </c>
    </row>
    <row r="271" spans="1:28">
      <c r="A271" s="5">
        <v>50</v>
      </c>
      <c r="B271" s="5">
        <v>0</v>
      </c>
      <c r="C271" s="5">
        <v>0</v>
      </c>
      <c r="D271" s="5">
        <v>1</v>
      </c>
      <c r="E271" s="5">
        <v>215</v>
      </c>
      <c r="F271" s="5">
        <f>ROUND(Source!AT253,O271)</f>
        <v>2588803.87</v>
      </c>
      <c r="G271" s="5" t="s">
        <v>96</v>
      </c>
      <c r="H271" s="5" t="s">
        <v>97</v>
      </c>
      <c r="I271" s="5"/>
      <c r="J271" s="5"/>
      <c r="K271" s="5">
        <v>215</v>
      </c>
      <c r="L271" s="5">
        <v>17</v>
      </c>
      <c r="M271" s="5">
        <v>3</v>
      </c>
      <c r="N271" s="5" t="s">
        <v>4</v>
      </c>
      <c r="O271" s="5">
        <v>2</v>
      </c>
      <c r="P271" s="5">
        <f>ROUND(Source!EL253,O271)</f>
        <v>26490004.43</v>
      </c>
      <c r="Q271" s="5"/>
      <c r="R271" s="5"/>
      <c r="S271" s="5"/>
      <c r="T271" s="5"/>
      <c r="U271" s="5"/>
      <c r="V271" s="5"/>
      <c r="W271" s="5">
        <v>2464072.38</v>
      </c>
      <c r="X271" s="5">
        <v>1</v>
      </c>
      <c r="Y271" s="5">
        <v>2464072.38</v>
      </c>
      <c r="Z271" s="5">
        <v>25437477.93</v>
      </c>
      <c r="AA271" s="5">
        <v>1</v>
      </c>
      <c r="AB271" s="5">
        <v>25437477.93</v>
      </c>
    </row>
    <row r="272" spans="1:28">
      <c r="A272" s="5">
        <v>50</v>
      </c>
      <c r="B272" s="5">
        <v>0</v>
      </c>
      <c r="C272" s="5">
        <v>0</v>
      </c>
      <c r="D272" s="5">
        <v>1</v>
      </c>
      <c r="E272" s="5">
        <v>217</v>
      </c>
      <c r="F272" s="5">
        <f>ROUND(Source!AU253,O272)</f>
        <v>0</v>
      </c>
      <c r="G272" s="5" t="s">
        <v>98</v>
      </c>
      <c r="H272" s="5" t="s">
        <v>99</v>
      </c>
      <c r="I272" s="5"/>
      <c r="J272" s="5"/>
      <c r="K272" s="5">
        <v>217</v>
      </c>
      <c r="L272" s="5">
        <v>18</v>
      </c>
      <c r="M272" s="5">
        <v>3</v>
      </c>
      <c r="N272" s="5" t="s">
        <v>4</v>
      </c>
      <c r="O272" s="5">
        <v>2</v>
      </c>
      <c r="P272" s="5">
        <f>ROUND(Source!EM253,O272)</f>
        <v>0</v>
      </c>
      <c r="Q272" s="5"/>
      <c r="R272" s="5"/>
      <c r="S272" s="5"/>
      <c r="T272" s="5"/>
      <c r="U272" s="5"/>
      <c r="V272" s="5"/>
      <c r="W272" s="5">
        <v>0</v>
      </c>
      <c r="X272" s="5">
        <v>1</v>
      </c>
      <c r="Y272" s="5">
        <v>0</v>
      </c>
      <c r="Z272" s="5">
        <v>0</v>
      </c>
      <c r="AA272" s="5">
        <v>1</v>
      </c>
      <c r="AB272" s="5">
        <v>0</v>
      </c>
    </row>
    <row r="273" spans="1:206">
      <c r="A273" s="5">
        <v>50</v>
      </c>
      <c r="B273" s="5">
        <v>0</v>
      </c>
      <c r="C273" s="5">
        <v>0</v>
      </c>
      <c r="D273" s="5">
        <v>1</v>
      </c>
      <c r="E273" s="5">
        <v>230</v>
      </c>
      <c r="F273" s="5">
        <f>ROUND(Source!BA253,O273)</f>
        <v>0</v>
      </c>
      <c r="G273" s="5" t="s">
        <v>100</v>
      </c>
      <c r="H273" s="5" t="s">
        <v>101</v>
      </c>
      <c r="I273" s="5"/>
      <c r="J273" s="5"/>
      <c r="K273" s="5">
        <v>230</v>
      </c>
      <c r="L273" s="5">
        <v>19</v>
      </c>
      <c r="M273" s="5">
        <v>3</v>
      </c>
      <c r="N273" s="5" t="s">
        <v>4</v>
      </c>
      <c r="O273" s="5">
        <v>2</v>
      </c>
      <c r="P273" s="5">
        <f>ROUND(Source!ES253,O273)</f>
        <v>0</v>
      </c>
      <c r="Q273" s="5"/>
      <c r="R273" s="5"/>
      <c r="S273" s="5"/>
      <c r="T273" s="5"/>
      <c r="U273" s="5"/>
      <c r="V273" s="5"/>
      <c r="W273" s="5">
        <v>0</v>
      </c>
      <c r="X273" s="5">
        <v>1</v>
      </c>
      <c r="Y273" s="5">
        <v>0</v>
      </c>
      <c r="Z273" s="5">
        <v>0</v>
      </c>
      <c r="AA273" s="5">
        <v>1</v>
      </c>
      <c r="AB273" s="5">
        <v>0</v>
      </c>
    </row>
    <row r="274" spans="1:206">
      <c r="A274" s="5">
        <v>50</v>
      </c>
      <c r="B274" s="5">
        <v>0</v>
      </c>
      <c r="C274" s="5">
        <v>0</v>
      </c>
      <c r="D274" s="5">
        <v>1</v>
      </c>
      <c r="E274" s="5">
        <v>206</v>
      </c>
      <c r="F274" s="5">
        <f>ROUND(Source!T253,O274)</f>
        <v>0</v>
      </c>
      <c r="G274" s="5" t="s">
        <v>102</v>
      </c>
      <c r="H274" s="5" t="s">
        <v>103</v>
      </c>
      <c r="I274" s="5"/>
      <c r="J274" s="5"/>
      <c r="K274" s="5">
        <v>206</v>
      </c>
      <c r="L274" s="5">
        <v>20</v>
      </c>
      <c r="M274" s="5">
        <v>3</v>
      </c>
      <c r="N274" s="5" t="s">
        <v>4</v>
      </c>
      <c r="O274" s="5">
        <v>2</v>
      </c>
      <c r="P274" s="5">
        <f>ROUND(Source!DL253,O274)</f>
        <v>0</v>
      </c>
      <c r="Q274" s="5"/>
      <c r="R274" s="5"/>
      <c r="S274" s="5"/>
      <c r="T274" s="5"/>
      <c r="U274" s="5"/>
      <c r="V274" s="5"/>
      <c r="W274" s="5">
        <v>0</v>
      </c>
      <c r="X274" s="5">
        <v>1</v>
      </c>
      <c r="Y274" s="5">
        <v>0</v>
      </c>
      <c r="Z274" s="5">
        <v>0</v>
      </c>
      <c r="AA274" s="5">
        <v>1</v>
      </c>
      <c r="AB274" s="5">
        <v>0</v>
      </c>
    </row>
    <row r="275" spans="1:206">
      <c r="A275" s="5">
        <v>50</v>
      </c>
      <c r="B275" s="5">
        <v>0</v>
      </c>
      <c r="C275" s="5">
        <v>0</v>
      </c>
      <c r="D275" s="5">
        <v>1</v>
      </c>
      <c r="E275" s="5">
        <v>207</v>
      </c>
      <c r="F275" s="5">
        <f>Source!U253</f>
        <v>4119.6834743999998</v>
      </c>
      <c r="G275" s="5" t="s">
        <v>104</v>
      </c>
      <c r="H275" s="5" t="s">
        <v>105</v>
      </c>
      <c r="I275" s="5"/>
      <c r="J275" s="5"/>
      <c r="K275" s="5">
        <v>207</v>
      </c>
      <c r="L275" s="5">
        <v>21</v>
      </c>
      <c r="M275" s="5">
        <v>3</v>
      </c>
      <c r="N275" s="5" t="s">
        <v>4</v>
      </c>
      <c r="O275" s="5">
        <v>-1</v>
      </c>
      <c r="P275" s="5">
        <f>Source!DM253</f>
        <v>4119.6834743999998</v>
      </c>
      <c r="Q275" s="5"/>
      <c r="R275" s="5"/>
      <c r="S275" s="5"/>
      <c r="T275" s="5"/>
      <c r="U275" s="5"/>
      <c r="V275" s="5"/>
      <c r="W275" s="5">
        <v>3902.2232495999997</v>
      </c>
      <c r="X275" s="5">
        <v>1</v>
      </c>
      <c r="Y275" s="5">
        <v>3902.2232495999997</v>
      </c>
      <c r="Z275" s="5">
        <v>3902.2232495999997</v>
      </c>
      <c r="AA275" s="5">
        <v>1</v>
      </c>
      <c r="AB275" s="5">
        <v>3902.2232495999997</v>
      </c>
    </row>
    <row r="276" spans="1:206">
      <c r="A276" s="5">
        <v>50</v>
      </c>
      <c r="B276" s="5">
        <v>0</v>
      </c>
      <c r="C276" s="5">
        <v>0</v>
      </c>
      <c r="D276" s="5">
        <v>1</v>
      </c>
      <c r="E276" s="5">
        <v>208</v>
      </c>
      <c r="F276" s="5">
        <f>Source!V253</f>
        <v>0</v>
      </c>
      <c r="G276" s="5" t="s">
        <v>106</v>
      </c>
      <c r="H276" s="5" t="s">
        <v>107</v>
      </c>
      <c r="I276" s="5"/>
      <c r="J276" s="5"/>
      <c r="K276" s="5">
        <v>208</v>
      </c>
      <c r="L276" s="5">
        <v>22</v>
      </c>
      <c r="M276" s="5">
        <v>3</v>
      </c>
      <c r="N276" s="5" t="s">
        <v>4</v>
      </c>
      <c r="O276" s="5">
        <v>-1</v>
      </c>
      <c r="P276" s="5">
        <f>Source!DN253</f>
        <v>0</v>
      </c>
      <c r="Q276" s="5"/>
      <c r="R276" s="5"/>
      <c r="S276" s="5"/>
      <c r="T276" s="5"/>
      <c r="U276" s="5"/>
      <c r="V276" s="5"/>
      <c r="W276" s="5">
        <v>0</v>
      </c>
      <c r="X276" s="5">
        <v>1</v>
      </c>
      <c r="Y276" s="5">
        <v>0</v>
      </c>
      <c r="Z276" s="5">
        <v>0</v>
      </c>
      <c r="AA276" s="5">
        <v>1</v>
      </c>
      <c r="AB276" s="5">
        <v>0</v>
      </c>
    </row>
    <row r="277" spans="1:206">
      <c r="A277" s="5">
        <v>50</v>
      </c>
      <c r="B277" s="5">
        <v>0</v>
      </c>
      <c r="C277" s="5">
        <v>0</v>
      </c>
      <c r="D277" s="5">
        <v>1</v>
      </c>
      <c r="E277" s="5">
        <v>209</v>
      </c>
      <c r="F277" s="5">
        <f>ROUND(Source!W253,O277)</f>
        <v>0</v>
      </c>
      <c r="G277" s="5" t="s">
        <v>108</v>
      </c>
      <c r="H277" s="5" t="s">
        <v>109</v>
      </c>
      <c r="I277" s="5"/>
      <c r="J277" s="5"/>
      <c r="K277" s="5">
        <v>209</v>
      </c>
      <c r="L277" s="5">
        <v>23</v>
      </c>
      <c r="M277" s="5">
        <v>3</v>
      </c>
      <c r="N277" s="5" t="s">
        <v>4</v>
      </c>
      <c r="O277" s="5">
        <v>2</v>
      </c>
      <c r="P277" s="5">
        <f>ROUND(Source!DO253,O277)</f>
        <v>0</v>
      </c>
      <c r="Q277" s="5"/>
      <c r="R277" s="5"/>
      <c r="S277" s="5"/>
      <c r="T277" s="5"/>
      <c r="U277" s="5"/>
      <c r="V277" s="5"/>
      <c r="W277" s="5">
        <v>0</v>
      </c>
      <c r="X277" s="5">
        <v>1</v>
      </c>
      <c r="Y277" s="5">
        <v>0</v>
      </c>
      <c r="Z277" s="5">
        <v>0</v>
      </c>
      <c r="AA277" s="5">
        <v>1</v>
      </c>
      <c r="AB277" s="5">
        <v>0</v>
      </c>
    </row>
    <row r="278" spans="1:206">
      <c r="A278" s="5">
        <v>50</v>
      </c>
      <c r="B278" s="5">
        <v>0</v>
      </c>
      <c r="C278" s="5">
        <v>0</v>
      </c>
      <c r="D278" s="5">
        <v>1</v>
      </c>
      <c r="E278" s="5">
        <v>233</v>
      </c>
      <c r="F278" s="5">
        <f>ROUND(Source!BD253,O278)</f>
        <v>0</v>
      </c>
      <c r="G278" s="5" t="s">
        <v>110</v>
      </c>
      <c r="H278" s="5" t="s">
        <v>111</v>
      </c>
      <c r="I278" s="5"/>
      <c r="J278" s="5"/>
      <c r="K278" s="5">
        <v>233</v>
      </c>
      <c r="L278" s="5">
        <v>24</v>
      </c>
      <c r="M278" s="5">
        <v>3</v>
      </c>
      <c r="N278" s="5" t="s">
        <v>4</v>
      </c>
      <c r="O278" s="5">
        <v>2</v>
      </c>
      <c r="P278" s="5">
        <f>ROUND(Source!EV253,O278)</f>
        <v>0</v>
      </c>
      <c r="Q278" s="5"/>
      <c r="R278" s="5"/>
      <c r="S278" s="5"/>
      <c r="T278" s="5"/>
      <c r="U278" s="5"/>
      <c r="V278" s="5"/>
      <c r="W278" s="5">
        <v>0</v>
      </c>
      <c r="X278" s="5">
        <v>1</v>
      </c>
      <c r="Y278" s="5">
        <v>0</v>
      </c>
      <c r="Z278" s="5">
        <v>0</v>
      </c>
      <c r="AA278" s="5">
        <v>1</v>
      </c>
      <c r="AB278" s="5">
        <v>0</v>
      </c>
    </row>
    <row r="279" spans="1:206">
      <c r="A279" s="5">
        <v>50</v>
      </c>
      <c r="B279" s="5">
        <v>0</v>
      </c>
      <c r="C279" s="5">
        <v>0</v>
      </c>
      <c r="D279" s="5">
        <v>1</v>
      </c>
      <c r="E279" s="5">
        <v>210</v>
      </c>
      <c r="F279" s="5">
        <f>ROUND(Source!X253,O279)</f>
        <v>56677.95</v>
      </c>
      <c r="G279" s="5" t="s">
        <v>112</v>
      </c>
      <c r="H279" s="5" t="s">
        <v>113</v>
      </c>
      <c r="I279" s="5"/>
      <c r="J279" s="5"/>
      <c r="K279" s="5">
        <v>210</v>
      </c>
      <c r="L279" s="5">
        <v>25</v>
      </c>
      <c r="M279" s="5">
        <v>3</v>
      </c>
      <c r="N279" s="5" t="s">
        <v>4</v>
      </c>
      <c r="O279" s="5">
        <v>2</v>
      </c>
      <c r="P279" s="5">
        <f>ROUND(Source!DP253,O279)</f>
        <v>2172810.2599999998</v>
      </c>
      <c r="Q279" s="5"/>
      <c r="R279" s="5"/>
      <c r="S279" s="5"/>
      <c r="T279" s="5"/>
      <c r="U279" s="5"/>
      <c r="V279" s="5"/>
      <c r="W279" s="5">
        <v>53452.89</v>
      </c>
      <c r="X279" s="5">
        <v>1</v>
      </c>
      <c r="Y279" s="5">
        <v>53452.89</v>
      </c>
      <c r="Z279" s="5">
        <v>2049174.04</v>
      </c>
      <c r="AA279" s="5">
        <v>1</v>
      </c>
      <c r="AB279" s="5">
        <v>2049174.04</v>
      </c>
    </row>
    <row r="280" spans="1:206">
      <c r="A280" s="5">
        <v>50</v>
      </c>
      <c r="B280" s="5">
        <v>0</v>
      </c>
      <c r="C280" s="5">
        <v>0</v>
      </c>
      <c r="D280" s="5">
        <v>1</v>
      </c>
      <c r="E280" s="5">
        <v>211</v>
      </c>
      <c r="F280" s="5">
        <f>ROUND(Source!Y253,O280)</f>
        <v>35423.730000000003</v>
      </c>
      <c r="G280" s="5" t="s">
        <v>114</v>
      </c>
      <c r="H280" s="5" t="s">
        <v>115</v>
      </c>
      <c r="I280" s="5"/>
      <c r="J280" s="5"/>
      <c r="K280" s="5">
        <v>211</v>
      </c>
      <c r="L280" s="5">
        <v>26</v>
      </c>
      <c r="M280" s="5">
        <v>3</v>
      </c>
      <c r="N280" s="5" t="s">
        <v>4</v>
      </c>
      <c r="O280" s="5">
        <v>2</v>
      </c>
      <c r="P280" s="5">
        <f>ROUND(Source!DQ253,O280)</f>
        <v>1015552.62</v>
      </c>
      <c r="Q280" s="5"/>
      <c r="R280" s="5"/>
      <c r="S280" s="5"/>
      <c r="T280" s="5"/>
      <c r="U280" s="5"/>
      <c r="V280" s="5"/>
      <c r="W280" s="5">
        <v>33408.07</v>
      </c>
      <c r="X280" s="5">
        <v>1</v>
      </c>
      <c r="Y280" s="5">
        <v>33408.07</v>
      </c>
      <c r="Z280" s="5">
        <v>957766.13</v>
      </c>
      <c r="AA280" s="5">
        <v>1</v>
      </c>
      <c r="AB280" s="5">
        <v>957766.13</v>
      </c>
    </row>
    <row r="281" spans="1:206">
      <c r="A281" s="5">
        <v>50</v>
      </c>
      <c r="B281" s="5">
        <v>0</v>
      </c>
      <c r="C281" s="5">
        <v>0</v>
      </c>
      <c r="D281" s="5">
        <v>1</v>
      </c>
      <c r="E281" s="5">
        <v>224</v>
      </c>
      <c r="F281" s="5">
        <f>ROUND(Source!AR253,O281)</f>
        <v>2594347.34</v>
      </c>
      <c r="G281" s="5" t="s">
        <v>116</v>
      </c>
      <c r="H281" s="5" t="s">
        <v>117</v>
      </c>
      <c r="I281" s="5"/>
      <c r="J281" s="5"/>
      <c r="K281" s="5">
        <v>224</v>
      </c>
      <c r="L281" s="5">
        <v>27</v>
      </c>
      <c r="M281" s="5">
        <v>3</v>
      </c>
      <c r="N281" s="5" t="s">
        <v>4</v>
      </c>
      <c r="O281" s="5">
        <v>2</v>
      </c>
      <c r="P281" s="5">
        <f>ROUND(Source!EJ253,O281)</f>
        <v>26537456.530000001</v>
      </c>
      <c r="Q281" s="5"/>
      <c r="R281" s="5"/>
      <c r="S281" s="5"/>
      <c r="T281" s="5"/>
      <c r="U281" s="5"/>
      <c r="V281" s="5"/>
      <c r="W281" s="5">
        <v>2469615.85</v>
      </c>
      <c r="X281" s="5">
        <v>1</v>
      </c>
      <c r="Y281" s="5">
        <v>2469615.85</v>
      </c>
      <c r="Z281" s="5">
        <v>25484930.030000001</v>
      </c>
      <c r="AA281" s="5">
        <v>1</v>
      </c>
      <c r="AB281" s="5">
        <v>25484930.030000001</v>
      </c>
    </row>
    <row r="283" spans="1:206">
      <c r="A283" s="3">
        <v>51</v>
      </c>
      <c r="B283" s="3">
        <f>B20</f>
        <v>1</v>
      </c>
      <c r="C283" s="3">
        <f>A20</f>
        <v>3</v>
      </c>
      <c r="D283" s="3">
        <f>ROW(A20)</f>
        <v>20</v>
      </c>
      <c r="E283" s="3"/>
      <c r="F283" s="3" t="str">
        <f>IF(F20&lt;&gt;"",F20,"")</f>
        <v>02-002-03</v>
      </c>
      <c r="G283" s="3" t="str">
        <f>IF(G20&lt;&gt;"",G20,"")</f>
        <v>Кабельная линия 10 кВ.</v>
      </c>
      <c r="H283" s="3">
        <v>0</v>
      </c>
      <c r="I283" s="3"/>
      <c r="J283" s="3"/>
      <c r="K283" s="3"/>
      <c r="L283" s="3"/>
      <c r="M283" s="3"/>
      <c r="N283" s="3"/>
      <c r="O283" s="3">
        <f t="shared" ref="O283:T283" si="278">ROUND(O43+O121+O253+AB283,2)</f>
        <v>2808073.99</v>
      </c>
      <c r="P283" s="3">
        <f t="shared" si="278"/>
        <v>2727857.94</v>
      </c>
      <c r="Q283" s="3">
        <f t="shared" si="278"/>
        <v>24315.88</v>
      </c>
      <c r="R283" s="3">
        <f t="shared" si="278"/>
        <v>2737.91</v>
      </c>
      <c r="S283" s="3">
        <f t="shared" si="278"/>
        <v>55900.17</v>
      </c>
      <c r="T283" s="3">
        <f t="shared" si="278"/>
        <v>0</v>
      </c>
      <c r="U283" s="3">
        <f>U43+U121+U253+AH283</f>
        <v>4589.0448486999994</v>
      </c>
      <c r="V283" s="3">
        <f>V43+V121+V253+AI283</f>
        <v>0</v>
      </c>
      <c r="W283" s="3">
        <f>ROUND(W43+W121+W253+AJ283,2)</f>
        <v>0</v>
      </c>
      <c r="X283" s="3">
        <f>ROUND(X43+X121+X253+AK283,2)</f>
        <v>62626.74</v>
      </c>
      <c r="Y283" s="3">
        <f>ROUND(Y43+Y121+Y253+AL283,2)</f>
        <v>39845.019999999997</v>
      </c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>
        <f t="shared" ref="AO283:BD283" si="279">ROUND(AO43+AO121+AO253+BX283,2)</f>
        <v>0</v>
      </c>
      <c r="AP283" s="3">
        <f t="shared" si="279"/>
        <v>0</v>
      </c>
      <c r="AQ283" s="3">
        <f t="shared" si="279"/>
        <v>0</v>
      </c>
      <c r="AR283" s="3">
        <f t="shared" si="279"/>
        <v>2915337.11</v>
      </c>
      <c r="AS283" s="3">
        <f t="shared" si="279"/>
        <v>326533.24</v>
      </c>
      <c r="AT283" s="3">
        <f t="shared" si="279"/>
        <v>2588803.87</v>
      </c>
      <c r="AU283" s="3">
        <f t="shared" si="279"/>
        <v>0</v>
      </c>
      <c r="AV283" s="3">
        <f t="shared" si="279"/>
        <v>2727857.94</v>
      </c>
      <c r="AW283" s="3">
        <f t="shared" si="279"/>
        <v>2727857.94</v>
      </c>
      <c r="AX283" s="3">
        <f t="shared" si="279"/>
        <v>0</v>
      </c>
      <c r="AY283" s="3">
        <f t="shared" si="279"/>
        <v>2727857.94</v>
      </c>
      <c r="AZ283" s="3">
        <f t="shared" si="279"/>
        <v>0</v>
      </c>
      <c r="BA283" s="3">
        <f t="shared" si="279"/>
        <v>0</v>
      </c>
      <c r="BB283" s="3">
        <f t="shared" si="279"/>
        <v>0</v>
      </c>
      <c r="BC283" s="3">
        <f t="shared" si="279"/>
        <v>0</v>
      </c>
      <c r="BD283" s="3">
        <f t="shared" si="279"/>
        <v>0</v>
      </c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  <c r="BY283" s="3"/>
      <c r="BZ283" s="3"/>
      <c r="CA283" s="3"/>
      <c r="CB283" s="3"/>
      <c r="CC283" s="3"/>
      <c r="CD283" s="3"/>
      <c r="CE283" s="3"/>
      <c r="CF283" s="3"/>
      <c r="CG283" s="3"/>
      <c r="CH283" s="3"/>
      <c r="CI283" s="3"/>
      <c r="CJ283" s="3"/>
      <c r="CK283" s="3"/>
      <c r="CL283" s="3"/>
      <c r="CM283" s="3"/>
      <c r="CN283" s="3"/>
      <c r="CO283" s="3"/>
      <c r="CP283" s="3"/>
      <c r="CQ283" s="3"/>
      <c r="CR283" s="3"/>
      <c r="CS283" s="3"/>
      <c r="CT283" s="3"/>
      <c r="CU283" s="3"/>
      <c r="CV283" s="3"/>
      <c r="CW283" s="3"/>
      <c r="CX283" s="3"/>
      <c r="CY283" s="3"/>
      <c r="CZ283" s="3"/>
      <c r="DA283" s="3"/>
      <c r="DB283" s="3"/>
      <c r="DC283" s="3"/>
      <c r="DD283" s="3"/>
      <c r="DE283" s="3"/>
      <c r="DF283" s="3"/>
      <c r="DG283" s="4">
        <f t="shared" ref="DG283:DL283" si="280">ROUND(DG43+DG121+DG253+DT283,2)</f>
        <v>25479459.16</v>
      </c>
      <c r="DH283" s="4">
        <f t="shared" si="280"/>
        <v>22542098.629999999</v>
      </c>
      <c r="DI283" s="4">
        <f t="shared" si="280"/>
        <v>328499.59999999998</v>
      </c>
      <c r="DJ283" s="4">
        <f t="shared" si="280"/>
        <v>127778.27</v>
      </c>
      <c r="DK283" s="4">
        <f t="shared" si="280"/>
        <v>2608860.9300000002</v>
      </c>
      <c r="DL283" s="4">
        <f t="shared" si="280"/>
        <v>0</v>
      </c>
      <c r="DM283" s="4">
        <f>DM43+DM121+DM253+DZ283</f>
        <v>4589.0448486999994</v>
      </c>
      <c r="DN283" s="4">
        <f>DN43+DN121+DN253+EA283</f>
        <v>0</v>
      </c>
      <c r="DO283" s="4">
        <f>ROUND(DO43+DO121+DO253+EB283,2)</f>
        <v>0</v>
      </c>
      <c r="DP283" s="4">
        <f>ROUND(DP43+DP121+DP253+EC283,2)</f>
        <v>2404126.79</v>
      </c>
      <c r="DQ283" s="4">
        <f>ROUND(DQ43+DQ121+DQ253+ED283,2)</f>
        <v>1126174.3799999999</v>
      </c>
      <c r="DR283" s="4"/>
      <c r="DS283" s="4"/>
      <c r="DT283" s="4"/>
      <c r="DU283" s="4"/>
      <c r="DV283" s="4"/>
      <c r="DW283" s="4"/>
      <c r="DX283" s="4"/>
      <c r="DY283" s="4"/>
      <c r="DZ283" s="4"/>
      <c r="EA283" s="4"/>
      <c r="EB283" s="4"/>
      <c r="EC283" s="4"/>
      <c r="ED283" s="4"/>
      <c r="EE283" s="4"/>
      <c r="EF283" s="4"/>
      <c r="EG283" s="4">
        <f t="shared" ref="EG283:EV283" si="281">ROUND(EG43+EG121+EG253+FP283,2)</f>
        <v>0</v>
      </c>
      <c r="EH283" s="4">
        <f t="shared" si="281"/>
        <v>0</v>
      </c>
      <c r="EI283" s="4">
        <f t="shared" si="281"/>
        <v>0</v>
      </c>
      <c r="EJ283" s="4">
        <f t="shared" si="281"/>
        <v>29214205.579999998</v>
      </c>
      <c r="EK283" s="4">
        <f t="shared" si="281"/>
        <v>2724201.15</v>
      </c>
      <c r="EL283" s="4">
        <f t="shared" si="281"/>
        <v>26490004.43</v>
      </c>
      <c r="EM283" s="4">
        <f t="shared" si="281"/>
        <v>0</v>
      </c>
      <c r="EN283" s="4">
        <f t="shared" si="281"/>
        <v>22542098.629999999</v>
      </c>
      <c r="EO283" s="4">
        <f t="shared" si="281"/>
        <v>22542098.629999999</v>
      </c>
      <c r="EP283" s="4">
        <f t="shared" si="281"/>
        <v>0</v>
      </c>
      <c r="EQ283" s="4">
        <f t="shared" si="281"/>
        <v>22542098.629999999</v>
      </c>
      <c r="ER283" s="4">
        <f t="shared" si="281"/>
        <v>0</v>
      </c>
      <c r="ES283" s="4">
        <f t="shared" si="281"/>
        <v>0</v>
      </c>
      <c r="ET283" s="4">
        <f t="shared" si="281"/>
        <v>0</v>
      </c>
      <c r="EU283" s="4">
        <f t="shared" si="281"/>
        <v>0</v>
      </c>
      <c r="EV283" s="4">
        <f t="shared" si="281"/>
        <v>0</v>
      </c>
      <c r="EW283" s="4"/>
      <c r="EX283" s="4"/>
      <c r="EY283" s="4"/>
      <c r="EZ283" s="4"/>
      <c r="FA283" s="4"/>
      <c r="FB283" s="4"/>
      <c r="FC283" s="4"/>
      <c r="FD283" s="4"/>
      <c r="FE283" s="4"/>
      <c r="FF283" s="4"/>
      <c r="FG283" s="4"/>
      <c r="FH283" s="4"/>
      <c r="FI283" s="4"/>
      <c r="FJ283" s="4"/>
      <c r="FK283" s="4"/>
      <c r="FL283" s="4"/>
      <c r="FM283" s="4"/>
      <c r="FN283" s="4"/>
      <c r="FO283" s="4"/>
      <c r="FP283" s="4"/>
      <c r="FQ283" s="4"/>
      <c r="FR283" s="4"/>
      <c r="FS283" s="4"/>
      <c r="FT283" s="4"/>
      <c r="FU283" s="4"/>
      <c r="FV283" s="4"/>
      <c r="FW283" s="4"/>
      <c r="FX283" s="4"/>
      <c r="FY283" s="4"/>
      <c r="FZ283" s="4"/>
      <c r="GA283" s="4"/>
      <c r="GB283" s="4"/>
      <c r="GC283" s="4"/>
      <c r="GD283" s="4"/>
      <c r="GE283" s="4"/>
      <c r="GF283" s="4"/>
      <c r="GG283" s="4"/>
      <c r="GH283" s="4"/>
      <c r="GI283" s="4"/>
      <c r="GJ283" s="4"/>
      <c r="GK283" s="4"/>
      <c r="GL283" s="4"/>
      <c r="GM283" s="4"/>
      <c r="GN283" s="4"/>
      <c r="GO283" s="4"/>
      <c r="GP283" s="4"/>
      <c r="GQ283" s="4"/>
      <c r="GR283" s="4"/>
      <c r="GS283" s="4"/>
      <c r="GT283" s="4"/>
      <c r="GU283" s="4"/>
      <c r="GV283" s="4"/>
      <c r="GW283" s="4"/>
      <c r="GX283" s="4">
        <v>0</v>
      </c>
    </row>
    <row r="285" spans="1:206">
      <c r="A285" s="5">
        <v>50</v>
      </c>
      <c r="B285" s="5">
        <v>0</v>
      </c>
      <c r="C285" s="5">
        <v>0</v>
      </c>
      <c r="D285" s="5">
        <v>1</v>
      </c>
      <c r="E285" s="5">
        <v>201</v>
      </c>
      <c r="F285" s="5">
        <f>ROUND(Source!O283,O285)</f>
        <v>2808073.99</v>
      </c>
      <c r="G285" s="5" t="s">
        <v>64</v>
      </c>
      <c r="H285" s="5" t="s">
        <v>65</v>
      </c>
      <c r="I285" s="5"/>
      <c r="J285" s="5"/>
      <c r="K285" s="5">
        <v>201</v>
      </c>
      <c r="L285" s="5">
        <v>1</v>
      </c>
      <c r="M285" s="5">
        <v>3</v>
      </c>
      <c r="N285" s="5" t="s">
        <v>4</v>
      </c>
      <c r="O285" s="5">
        <v>2</v>
      </c>
      <c r="P285" s="5">
        <f>ROUND(Source!DG283,O285)</f>
        <v>25479459.16</v>
      </c>
      <c r="Q285" s="5"/>
      <c r="R285" s="5"/>
      <c r="S285" s="5"/>
      <c r="T285" s="5"/>
      <c r="U285" s="5"/>
      <c r="V285" s="5"/>
      <c r="W285" s="5">
        <v>2688685.89</v>
      </c>
      <c r="X285" s="5">
        <v>1</v>
      </c>
      <c r="Y285" s="5">
        <v>2688685.89</v>
      </c>
      <c r="Z285" s="5">
        <v>24612736.379999999</v>
      </c>
      <c r="AA285" s="5">
        <v>1</v>
      </c>
      <c r="AB285" s="5">
        <v>24612736.379999999</v>
      </c>
    </row>
    <row r="286" spans="1:206">
      <c r="A286" s="5">
        <v>50</v>
      </c>
      <c r="B286" s="5">
        <v>0</v>
      </c>
      <c r="C286" s="5">
        <v>0</v>
      </c>
      <c r="D286" s="5">
        <v>1</v>
      </c>
      <c r="E286" s="5">
        <v>202</v>
      </c>
      <c r="F286" s="5">
        <f>ROUND(Source!P283,O286)</f>
        <v>2727857.94</v>
      </c>
      <c r="G286" s="5" t="s">
        <v>66</v>
      </c>
      <c r="H286" s="5" t="s">
        <v>67</v>
      </c>
      <c r="I286" s="5"/>
      <c r="J286" s="5"/>
      <c r="K286" s="5">
        <v>202</v>
      </c>
      <c r="L286" s="5">
        <v>2</v>
      </c>
      <c r="M286" s="5">
        <v>3</v>
      </c>
      <c r="N286" s="5" t="s">
        <v>4</v>
      </c>
      <c r="O286" s="5">
        <v>2</v>
      </c>
      <c r="P286" s="5">
        <f>ROUND(Source!DH283,O286)</f>
        <v>22542098.629999999</v>
      </c>
      <c r="Q286" s="5"/>
      <c r="R286" s="5"/>
      <c r="S286" s="5"/>
      <c r="T286" s="5"/>
      <c r="U286" s="5"/>
      <c r="V286" s="5"/>
      <c r="W286" s="5">
        <v>2612022.12</v>
      </c>
      <c r="X286" s="5">
        <v>1</v>
      </c>
      <c r="Y286" s="5">
        <v>2612022.12</v>
      </c>
      <c r="Z286" s="5">
        <v>21815259.399999999</v>
      </c>
      <c r="AA286" s="5">
        <v>1</v>
      </c>
      <c r="AB286" s="5">
        <v>21815259.399999999</v>
      </c>
    </row>
    <row r="287" spans="1:206">
      <c r="A287" s="5">
        <v>50</v>
      </c>
      <c r="B287" s="5">
        <v>0</v>
      </c>
      <c r="C287" s="5">
        <v>0</v>
      </c>
      <c r="D287" s="5">
        <v>1</v>
      </c>
      <c r="E287" s="5">
        <v>222</v>
      </c>
      <c r="F287" s="5">
        <f>ROUND(Source!AO283,O287)</f>
        <v>0</v>
      </c>
      <c r="G287" s="5" t="s">
        <v>68</v>
      </c>
      <c r="H287" s="5" t="s">
        <v>69</v>
      </c>
      <c r="I287" s="5"/>
      <c r="J287" s="5"/>
      <c r="K287" s="5">
        <v>222</v>
      </c>
      <c r="L287" s="5">
        <v>3</v>
      </c>
      <c r="M287" s="5">
        <v>3</v>
      </c>
      <c r="N287" s="5" t="s">
        <v>4</v>
      </c>
      <c r="O287" s="5">
        <v>2</v>
      </c>
      <c r="P287" s="5">
        <f>ROUND(Source!EG283,O287)</f>
        <v>0</v>
      </c>
      <c r="Q287" s="5"/>
      <c r="R287" s="5"/>
      <c r="S287" s="5"/>
      <c r="T287" s="5"/>
      <c r="U287" s="5"/>
      <c r="V287" s="5"/>
      <c r="W287" s="5">
        <v>0</v>
      </c>
      <c r="X287" s="5">
        <v>1</v>
      </c>
      <c r="Y287" s="5">
        <v>0</v>
      </c>
      <c r="Z287" s="5">
        <v>0</v>
      </c>
      <c r="AA287" s="5">
        <v>1</v>
      </c>
      <c r="AB287" s="5">
        <v>0</v>
      </c>
    </row>
    <row r="288" spans="1:206">
      <c r="A288" s="5">
        <v>50</v>
      </c>
      <c r="B288" s="5">
        <v>0</v>
      </c>
      <c r="C288" s="5">
        <v>0</v>
      </c>
      <c r="D288" s="5">
        <v>1</v>
      </c>
      <c r="E288" s="5">
        <v>225</v>
      </c>
      <c r="F288" s="5">
        <f>ROUND(Source!AV283,O288)</f>
        <v>2727857.94</v>
      </c>
      <c r="G288" s="5" t="s">
        <v>70</v>
      </c>
      <c r="H288" s="5" t="s">
        <v>71</v>
      </c>
      <c r="I288" s="5"/>
      <c r="J288" s="5"/>
      <c r="K288" s="5">
        <v>225</v>
      </c>
      <c r="L288" s="5">
        <v>4</v>
      </c>
      <c r="M288" s="5">
        <v>3</v>
      </c>
      <c r="N288" s="5" t="s">
        <v>4</v>
      </c>
      <c r="O288" s="5">
        <v>2</v>
      </c>
      <c r="P288" s="5">
        <f>ROUND(Source!EN283,O288)</f>
        <v>22542098.629999999</v>
      </c>
      <c r="Q288" s="5"/>
      <c r="R288" s="5"/>
      <c r="S288" s="5"/>
      <c r="T288" s="5"/>
      <c r="U288" s="5"/>
      <c r="V288" s="5"/>
      <c r="W288" s="5">
        <v>2612022.12</v>
      </c>
      <c r="X288" s="5">
        <v>1</v>
      </c>
      <c r="Y288" s="5">
        <v>2612022.12</v>
      </c>
      <c r="Z288" s="5">
        <v>21815259.399999999</v>
      </c>
      <c r="AA288" s="5">
        <v>1</v>
      </c>
      <c r="AB288" s="5">
        <v>21815259.399999999</v>
      </c>
    </row>
    <row r="289" spans="1:28">
      <c r="A289" s="5">
        <v>50</v>
      </c>
      <c r="B289" s="5">
        <v>0</v>
      </c>
      <c r="C289" s="5">
        <v>0</v>
      </c>
      <c r="D289" s="5">
        <v>1</v>
      </c>
      <c r="E289" s="5">
        <v>226</v>
      </c>
      <c r="F289" s="5">
        <f>ROUND(Source!AW283,O289)</f>
        <v>2727857.94</v>
      </c>
      <c r="G289" s="5" t="s">
        <v>72</v>
      </c>
      <c r="H289" s="5" t="s">
        <v>73</v>
      </c>
      <c r="I289" s="5"/>
      <c r="J289" s="5"/>
      <c r="K289" s="5">
        <v>226</v>
      </c>
      <c r="L289" s="5">
        <v>5</v>
      </c>
      <c r="M289" s="5">
        <v>3</v>
      </c>
      <c r="N289" s="5" t="s">
        <v>4</v>
      </c>
      <c r="O289" s="5">
        <v>2</v>
      </c>
      <c r="P289" s="5">
        <f>ROUND(Source!EO283,O289)</f>
        <v>22542098.629999999</v>
      </c>
      <c r="Q289" s="5"/>
      <c r="R289" s="5"/>
      <c r="S289" s="5"/>
      <c r="T289" s="5"/>
      <c r="U289" s="5"/>
      <c r="V289" s="5"/>
      <c r="W289" s="5">
        <v>2612022.12</v>
      </c>
      <c r="X289" s="5">
        <v>1</v>
      </c>
      <c r="Y289" s="5">
        <v>2612022.12</v>
      </c>
      <c r="Z289" s="5">
        <v>21815259.399999999</v>
      </c>
      <c r="AA289" s="5">
        <v>1</v>
      </c>
      <c r="AB289" s="5">
        <v>21815259.399999999</v>
      </c>
    </row>
    <row r="290" spans="1:28">
      <c r="A290" s="5">
        <v>50</v>
      </c>
      <c r="B290" s="5">
        <v>0</v>
      </c>
      <c r="C290" s="5">
        <v>0</v>
      </c>
      <c r="D290" s="5">
        <v>1</v>
      </c>
      <c r="E290" s="5">
        <v>227</v>
      </c>
      <c r="F290" s="5">
        <f>ROUND(Source!AX283,O290)</f>
        <v>0</v>
      </c>
      <c r="G290" s="5" t="s">
        <v>74</v>
      </c>
      <c r="H290" s="5" t="s">
        <v>75</v>
      </c>
      <c r="I290" s="5"/>
      <c r="J290" s="5"/>
      <c r="K290" s="5">
        <v>227</v>
      </c>
      <c r="L290" s="5">
        <v>6</v>
      </c>
      <c r="M290" s="5">
        <v>3</v>
      </c>
      <c r="N290" s="5" t="s">
        <v>4</v>
      </c>
      <c r="O290" s="5">
        <v>2</v>
      </c>
      <c r="P290" s="5">
        <f>ROUND(Source!EP283,O290)</f>
        <v>0</v>
      </c>
      <c r="Q290" s="5"/>
      <c r="R290" s="5"/>
      <c r="S290" s="5"/>
      <c r="T290" s="5"/>
      <c r="U290" s="5"/>
      <c r="V290" s="5"/>
      <c r="W290" s="5">
        <v>0</v>
      </c>
      <c r="X290" s="5">
        <v>1</v>
      </c>
      <c r="Y290" s="5">
        <v>0</v>
      </c>
      <c r="Z290" s="5">
        <v>0</v>
      </c>
      <c r="AA290" s="5">
        <v>1</v>
      </c>
      <c r="AB290" s="5">
        <v>0</v>
      </c>
    </row>
    <row r="291" spans="1:28">
      <c r="A291" s="5">
        <v>50</v>
      </c>
      <c r="B291" s="5">
        <v>0</v>
      </c>
      <c r="C291" s="5">
        <v>0</v>
      </c>
      <c r="D291" s="5">
        <v>1</v>
      </c>
      <c r="E291" s="5">
        <v>228</v>
      </c>
      <c r="F291" s="5">
        <f>ROUND(Source!AY283,O291)</f>
        <v>2727857.94</v>
      </c>
      <c r="G291" s="5" t="s">
        <v>76</v>
      </c>
      <c r="H291" s="5" t="s">
        <v>77</v>
      </c>
      <c r="I291" s="5"/>
      <c r="J291" s="5"/>
      <c r="K291" s="5">
        <v>228</v>
      </c>
      <c r="L291" s="5">
        <v>7</v>
      </c>
      <c r="M291" s="5">
        <v>3</v>
      </c>
      <c r="N291" s="5" t="s">
        <v>4</v>
      </c>
      <c r="O291" s="5">
        <v>2</v>
      </c>
      <c r="P291" s="5">
        <f>ROUND(Source!EQ283,O291)</f>
        <v>22542098.629999999</v>
      </c>
      <c r="Q291" s="5"/>
      <c r="R291" s="5"/>
      <c r="S291" s="5"/>
      <c r="T291" s="5"/>
      <c r="U291" s="5"/>
      <c r="V291" s="5"/>
      <c r="W291" s="5">
        <v>2612022.12</v>
      </c>
      <c r="X291" s="5">
        <v>1</v>
      </c>
      <c r="Y291" s="5">
        <v>2612022.12</v>
      </c>
      <c r="Z291" s="5">
        <v>21815259.399999999</v>
      </c>
      <c r="AA291" s="5">
        <v>1</v>
      </c>
      <c r="AB291" s="5">
        <v>21815259.399999999</v>
      </c>
    </row>
    <row r="292" spans="1:28">
      <c r="A292" s="5">
        <v>50</v>
      </c>
      <c r="B292" s="5">
        <v>0</v>
      </c>
      <c r="C292" s="5">
        <v>0</v>
      </c>
      <c r="D292" s="5">
        <v>1</v>
      </c>
      <c r="E292" s="5">
        <v>216</v>
      </c>
      <c r="F292" s="5">
        <f>ROUND(Source!AP283,O292)</f>
        <v>0</v>
      </c>
      <c r="G292" s="5" t="s">
        <v>78</v>
      </c>
      <c r="H292" s="5" t="s">
        <v>79</v>
      </c>
      <c r="I292" s="5"/>
      <c r="J292" s="5"/>
      <c r="K292" s="5">
        <v>216</v>
      </c>
      <c r="L292" s="5">
        <v>8</v>
      </c>
      <c r="M292" s="5">
        <v>3</v>
      </c>
      <c r="N292" s="5" t="s">
        <v>4</v>
      </c>
      <c r="O292" s="5">
        <v>2</v>
      </c>
      <c r="P292" s="5">
        <f>ROUND(Source!EH283,O292)</f>
        <v>0</v>
      </c>
      <c r="Q292" s="5"/>
      <c r="R292" s="5"/>
      <c r="S292" s="5"/>
      <c r="T292" s="5"/>
      <c r="U292" s="5"/>
      <c r="V292" s="5"/>
      <c r="W292" s="5">
        <v>0</v>
      </c>
      <c r="X292" s="5">
        <v>1</v>
      </c>
      <c r="Y292" s="5">
        <v>0</v>
      </c>
      <c r="Z292" s="5">
        <v>0</v>
      </c>
      <c r="AA292" s="5">
        <v>1</v>
      </c>
      <c r="AB292" s="5">
        <v>0</v>
      </c>
    </row>
    <row r="293" spans="1:28">
      <c r="A293" s="5">
        <v>50</v>
      </c>
      <c r="B293" s="5">
        <v>0</v>
      </c>
      <c r="C293" s="5">
        <v>0</v>
      </c>
      <c r="D293" s="5">
        <v>1</v>
      </c>
      <c r="E293" s="5">
        <v>223</v>
      </c>
      <c r="F293" s="5">
        <f>ROUND(Source!AQ283,O293)</f>
        <v>0</v>
      </c>
      <c r="G293" s="5" t="s">
        <v>80</v>
      </c>
      <c r="H293" s="5" t="s">
        <v>81</v>
      </c>
      <c r="I293" s="5"/>
      <c r="J293" s="5"/>
      <c r="K293" s="5">
        <v>223</v>
      </c>
      <c r="L293" s="5">
        <v>9</v>
      </c>
      <c r="M293" s="5">
        <v>3</v>
      </c>
      <c r="N293" s="5" t="s">
        <v>4</v>
      </c>
      <c r="O293" s="5">
        <v>2</v>
      </c>
      <c r="P293" s="5">
        <f>ROUND(Source!EI283,O293)</f>
        <v>0</v>
      </c>
      <c r="Q293" s="5"/>
      <c r="R293" s="5"/>
      <c r="S293" s="5"/>
      <c r="T293" s="5"/>
      <c r="U293" s="5"/>
      <c r="V293" s="5"/>
      <c r="W293" s="5">
        <v>0</v>
      </c>
      <c r="X293" s="5">
        <v>1</v>
      </c>
      <c r="Y293" s="5">
        <v>0</v>
      </c>
      <c r="Z293" s="5">
        <v>0</v>
      </c>
      <c r="AA293" s="5">
        <v>1</v>
      </c>
      <c r="AB293" s="5">
        <v>0</v>
      </c>
    </row>
    <row r="294" spans="1:28">
      <c r="A294" s="5">
        <v>50</v>
      </c>
      <c r="B294" s="5">
        <v>0</v>
      </c>
      <c r="C294" s="5">
        <v>0</v>
      </c>
      <c r="D294" s="5">
        <v>1</v>
      </c>
      <c r="E294" s="5">
        <v>229</v>
      </c>
      <c r="F294" s="5">
        <f>ROUND(Source!AZ283,O294)</f>
        <v>0</v>
      </c>
      <c r="G294" s="5" t="s">
        <v>82</v>
      </c>
      <c r="H294" s="5" t="s">
        <v>83</v>
      </c>
      <c r="I294" s="5"/>
      <c r="J294" s="5"/>
      <c r="K294" s="5">
        <v>229</v>
      </c>
      <c r="L294" s="5">
        <v>10</v>
      </c>
      <c r="M294" s="5">
        <v>3</v>
      </c>
      <c r="N294" s="5" t="s">
        <v>4</v>
      </c>
      <c r="O294" s="5">
        <v>2</v>
      </c>
      <c r="P294" s="5">
        <f>ROUND(Source!ER283,O294)</f>
        <v>0</v>
      </c>
      <c r="Q294" s="5"/>
      <c r="R294" s="5"/>
      <c r="S294" s="5"/>
      <c r="T294" s="5"/>
      <c r="U294" s="5"/>
      <c r="V294" s="5"/>
      <c r="W294" s="5">
        <v>0</v>
      </c>
      <c r="X294" s="5">
        <v>1</v>
      </c>
      <c r="Y294" s="5">
        <v>0</v>
      </c>
      <c r="Z294" s="5">
        <v>0</v>
      </c>
      <c r="AA294" s="5">
        <v>1</v>
      </c>
      <c r="AB294" s="5">
        <v>0</v>
      </c>
    </row>
    <row r="295" spans="1:28">
      <c r="A295" s="5">
        <v>50</v>
      </c>
      <c r="B295" s="5">
        <v>0</v>
      </c>
      <c r="C295" s="5">
        <v>0</v>
      </c>
      <c r="D295" s="5">
        <v>1</v>
      </c>
      <c r="E295" s="5">
        <v>203</v>
      </c>
      <c r="F295" s="5">
        <f>ROUND(Source!Q283,O295)</f>
        <v>24315.88</v>
      </c>
      <c r="G295" s="5" t="s">
        <v>84</v>
      </c>
      <c r="H295" s="5" t="s">
        <v>85</v>
      </c>
      <c r="I295" s="5"/>
      <c r="J295" s="5"/>
      <c r="K295" s="5">
        <v>203</v>
      </c>
      <c r="L295" s="5">
        <v>11</v>
      </c>
      <c r="M295" s="5">
        <v>3</v>
      </c>
      <c r="N295" s="5" t="s">
        <v>4</v>
      </c>
      <c r="O295" s="5">
        <v>2</v>
      </c>
      <c r="P295" s="5">
        <f>ROUND(Source!DI283,O295)</f>
        <v>328499.59999999998</v>
      </c>
      <c r="Q295" s="5"/>
      <c r="R295" s="5"/>
      <c r="S295" s="5"/>
      <c r="T295" s="5"/>
      <c r="U295" s="5"/>
      <c r="V295" s="5"/>
      <c r="W295" s="5">
        <v>23643.119999999999</v>
      </c>
      <c r="X295" s="5">
        <v>1</v>
      </c>
      <c r="Y295" s="5">
        <v>23643.119999999999</v>
      </c>
      <c r="Z295" s="5">
        <v>323003.25</v>
      </c>
      <c r="AA295" s="5">
        <v>1</v>
      </c>
      <c r="AB295" s="5">
        <v>323003.25</v>
      </c>
    </row>
    <row r="296" spans="1:28">
      <c r="A296" s="5">
        <v>50</v>
      </c>
      <c r="B296" s="5">
        <v>0</v>
      </c>
      <c r="C296" s="5">
        <v>0</v>
      </c>
      <c r="D296" s="5">
        <v>1</v>
      </c>
      <c r="E296" s="5">
        <v>231</v>
      </c>
      <c r="F296" s="5">
        <f>ROUND(Source!BB283,O296)</f>
        <v>0</v>
      </c>
      <c r="G296" s="5" t="s">
        <v>86</v>
      </c>
      <c r="H296" s="5" t="s">
        <v>87</v>
      </c>
      <c r="I296" s="5"/>
      <c r="J296" s="5"/>
      <c r="K296" s="5">
        <v>231</v>
      </c>
      <c r="L296" s="5">
        <v>12</v>
      </c>
      <c r="M296" s="5">
        <v>3</v>
      </c>
      <c r="N296" s="5" t="s">
        <v>4</v>
      </c>
      <c r="O296" s="5">
        <v>2</v>
      </c>
      <c r="P296" s="5">
        <f>ROUND(Source!ET283,O296)</f>
        <v>0</v>
      </c>
      <c r="Q296" s="5"/>
      <c r="R296" s="5"/>
      <c r="S296" s="5"/>
      <c r="T296" s="5"/>
      <c r="U296" s="5"/>
      <c r="V296" s="5"/>
      <c r="W296" s="5">
        <v>0</v>
      </c>
      <c r="X296" s="5">
        <v>1</v>
      </c>
      <c r="Y296" s="5">
        <v>0</v>
      </c>
      <c r="Z296" s="5">
        <v>0</v>
      </c>
      <c r="AA296" s="5">
        <v>1</v>
      </c>
      <c r="AB296" s="5">
        <v>0</v>
      </c>
    </row>
    <row r="297" spans="1:28">
      <c r="A297" s="5">
        <v>50</v>
      </c>
      <c r="B297" s="5">
        <v>0</v>
      </c>
      <c r="C297" s="5">
        <v>0</v>
      </c>
      <c r="D297" s="5">
        <v>1</v>
      </c>
      <c r="E297" s="5">
        <v>204</v>
      </c>
      <c r="F297" s="5">
        <f>ROUND(Source!R283,O297)</f>
        <v>2737.91</v>
      </c>
      <c r="G297" s="5" t="s">
        <v>88</v>
      </c>
      <c r="H297" s="5" t="s">
        <v>89</v>
      </c>
      <c r="I297" s="5"/>
      <c r="J297" s="5"/>
      <c r="K297" s="5">
        <v>204</v>
      </c>
      <c r="L297" s="5">
        <v>13</v>
      </c>
      <c r="M297" s="5">
        <v>3</v>
      </c>
      <c r="N297" s="5" t="s">
        <v>4</v>
      </c>
      <c r="O297" s="5">
        <v>2</v>
      </c>
      <c r="P297" s="5">
        <f>ROUND(Source!DJ283,O297)</f>
        <v>127778.27</v>
      </c>
      <c r="Q297" s="5"/>
      <c r="R297" s="5"/>
      <c r="S297" s="5"/>
      <c r="T297" s="5"/>
      <c r="U297" s="5"/>
      <c r="V297" s="5"/>
      <c r="W297" s="5">
        <v>2679.24</v>
      </c>
      <c r="X297" s="5">
        <v>1</v>
      </c>
      <c r="Y297" s="5">
        <v>2679.24</v>
      </c>
      <c r="Z297" s="5">
        <v>125040.14</v>
      </c>
      <c r="AA297" s="5">
        <v>1</v>
      </c>
      <c r="AB297" s="5">
        <v>125040.14</v>
      </c>
    </row>
    <row r="298" spans="1:28">
      <c r="A298" s="5">
        <v>50</v>
      </c>
      <c r="B298" s="5">
        <v>0</v>
      </c>
      <c r="C298" s="5">
        <v>0</v>
      </c>
      <c r="D298" s="5">
        <v>1</v>
      </c>
      <c r="E298" s="5">
        <v>205</v>
      </c>
      <c r="F298" s="5">
        <f>ROUND(Source!S283,O298)</f>
        <v>55900.17</v>
      </c>
      <c r="G298" s="5" t="s">
        <v>90</v>
      </c>
      <c r="H298" s="5" t="s">
        <v>91</v>
      </c>
      <c r="I298" s="5"/>
      <c r="J298" s="5"/>
      <c r="K298" s="5">
        <v>205</v>
      </c>
      <c r="L298" s="5">
        <v>14</v>
      </c>
      <c r="M298" s="5">
        <v>3</v>
      </c>
      <c r="N298" s="5" t="s">
        <v>4</v>
      </c>
      <c r="O298" s="5">
        <v>2</v>
      </c>
      <c r="P298" s="5">
        <f>ROUND(Source!DK283,O298)</f>
        <v>2608860.9300000002</v>
      </c>
      <c r="Q298" s="5"/>
      <c r="R298" s="5"/>
      <c r="S298" s="5"/>
      <c r="T298" s="5"/>
      <c r="U298" s="5"/>
      <c r="V298" s="5"/>
      <c r="W298" s="5">
        <v>53020.65</v>
      </c>
      <c r="X298" s="5">
        <v>1</v>
      </c>
      <c r="Y298" s="5">
        <v>53020.65</v>
      </c>
      <c r="Z298" s="5">
        <v>2474473.73</v>
      </c>
      <c r="AA298" s="5">
        <v>1</v>
      </c>
      <c r="AB298" s="5">
        <v>2474473.73</v>
      </c>
    </row>
    <row r="299" spans="1:28">
      <c r="A299" s="5">
        <v>50</v>
      </c>
      <c r="B299" s="5">
        <v>0</v>
      </c>
      <c r="C299" s="5">
        <v>0</v>
      </c>
      <c r="D299" s="5">
        <v>1</v>
      </c>
      <c r="E299" s="5">
        <v>232</v>
      </c>
      <c r="F299" s="5">
        <f>ROUND(Source!BC283,O299)</f>
        <v>0</v>
      </c>
      <c r="G299" s="5" t="s">
        <v>92</v>
      </c>
      <c r="H299" s="5" t="s">
        <v>93</v>
      </c>
      <c r="I299" s="5"/>
      <c r="J299" s="5"/>
      <c r="K299" s="5">
        <v>232</v>
      </c>
      <c r="L299" s="5">
        <v>15</v>
      </c>
      <c r="M299" s="5">
        <v>3</v>
      </c>
      <c r="N299" s="5" t="s">
        <v>4</v>
      </c>
      <c r="O299" s="5">
        <v>2</v>
      </c>
      <c r="P299" s="5">
        <f>ROUND(Source!EU283,O299)</f>
        <v>0</v>
      </c>
      <c r="Q299" s="5"/>
      <c r="R299" s="5"/>
      <c r="S299" s="5"/>
      <c r="T299" s="5"/>
      <c r="U299" s="5"/>
      <c r="V299" s="5"/>
      <c r="W299" s="5">
        <v>0</v>
      </c>
      <c r="X299" s="5">
        <v>1</v>
      </c>
      <c r="Y299" s="5">
        <v>0</v>
      </c>
      <c r="Z299" s="5">
        <v>0</v>
      </c>
      <c r="AA299" s="5">
        <v>1</v>
      </c>
      <c r="AB299" s="5">
        <v>0</v>
      </c>
    </row>
    <row r="300" spans="1:28">
      <c r="A300" s="5">
        <v>50</v>
      </c>
      <c r="B300" s="5">
        <v>0</v>
      </c>
      <c r="C300" s="5">
        <v>0</v>
      </c>
      <c r="D300" s="5">
        <v>1</v>
      </c>
      <c r="E300" s="5">
        <v>214</v>
      </c>
      <c r="F300" s="5">
        <f>ROUND(Source!AS283,O300)</f>
        <v>326533.24</v>
      </c>
      <c r="G300" s="5" t="s">
        <v>94</v>
      </c>
      <c r="H300" s="5" t="s">
        <v>95</v>
      </c>
      <c r="I300" s="5"/>
      <c r="J300" s="5"/>
      <c r="K300" s="5">
        <v>214</v>
      </c>
      <c r="L300" s="5">
        <v>16</v>
      </c>
      <c r="M300" s="5">
        <v>3</v>
      </c>
      <c r="N300" s="5" t="s">
        <v>4</v>
      </c>
      <c r="O300" s="5">
        <v>2</v>
      </c>
      <c r="P300" s="5">
        <f>ROUND(Source!EK283,O300)</f>
        <v>2724201.15</v>
      </c>
      <c r="Q300" s="5"/>
      <c r="R300" s="5"/>
      <c r="S300" s="5"/>
      <c r="T300" s="5"/>
      <c r="U300" s="5"/>
      <c r="V300" s="5"/>
      <c r="W300" s="5">
        <v>326533.24</v>
      </c>
      <c r="X300" s="5">
        <v>1</v>
      </c>
      <c r="Y300" s="5">
        <v>326533.24</v>
      </c>
      <c r="Z300" s="5">
        <v>2724201.15</v>
      </c>
      <c r="AA300" s="5">
        <v>1</v>
      </c>
      <c r="AB300" s="5">
        <v>2724201.15</v>
      </c>
    </row>
    <row r="301" spans="1:28">
      <c r="A301" s="5">
        <v>50</v>
      </c>
      <c r="B301" s="5">
        <v>0</v>
      </c>
      <c r="C301" s="5">
        <v>0</v>
      </c>
      <c r="D301" s="5">
        <v>1</v>
      </c>
      <c r="E301" s="5">
        <v>215</v>
      </c>
      <c r="F301" s="5">
        <f>ROUND(Source!AT283,O301)</f>
        <v>2588803.87</v>
      </c>
      <c r="G301" s="5" t="s">
        <v>96</v>
      </c>
      <c r="H301" s="5" t="s">
        <v>97</v>
      </c>
      <c r="I301" s="5"/>
      <c r="J301" s="5"/>
      <c r="K301" s="5">
        <v>215</v>
      </c>
      <c r="L301" s="5">
        <v>17</v>
      </c>
      <c r="M301" s="5">
        <v>3</v>
      </c>
      <c r="N301" s="5" t="s">
        <v>4</v>
      </c>
      <c r="O301" s="5">
        <v>2</v>
      </c>
      <c r="P301" s="5">
        <f>ROUND(Source!EL283,O301)</f>
        <v>26490004.43</v>
      </c>
      <c r="Q301" s="5"/>
      <c r="R301" s="5"/>
      <c r="S301" s="5"/>
      <c r="T301" s="5"/>
      <c r="U301" s="5"/>
      <c r="V301" s="5"/>
      <c r="W301" s="5">
        <v>2464072.38</v>
      </c>
      <c r="X301" s="5">
        <v>1</v>
      </c>
      <c r="Y301" s="5">
        <v>2464072.38</v>
      </c>
      <c r="Z301" s="5">
        <v>25437477.93</v>
      </c>
      <c r="AA301" s="5">
        <v>1</v>
      </c>
      <c r="AB301" s="5">
        <v>25437477.93</v>
      </c>
    </row>
    <row r="302" spans="1:28">
      <c r="A302" s="5">
        <v>50</v>
      </c>
      <c r="B302" s="5">
        <v>0</v>
      </c>
      <c r="C302" s="5">
        <v>0</v>
      </c>
      <c r="D302" s="5">
        <v>1</v>
      </c>
      <c r="E302" s="5">
        <v>217</v>
      </c>
      <c r="F302" s="5">
        <f>ROUND(Source!AU283,O302)</f>
        <v>0</v>
      </c>
      <c r="G302" s="5" t="s">
        <v>98</v>
      </c>
      <c r="H302" s="5" t="s">
        <v>99</v>
      </c>
      <c r="I302" s="5"/>
      <c r="J302" s="5"/>
      <c r="K302" s="5">
        <v>217</v>
      </c>
      <c r="L302" s="5">
        <v>18</v>
      </c>
      <c r="M302" s="5">
        <v>3</v>
      </c>
      <c r="N302" s="5" t="s">
        <v>4</v>
      </c>
      <c r="O302" s="5">
        <v>2</v>
      </c>
      <c r="P302" s="5">
        <f>ROUND(Source!EM283,O302)</f>
        <v>0</v>
      </c>
      <c r="Q302" s="5"/>
      <c r="R302" s="5"/>
      <c r="S302" s="5"/>
      <c r="T302" s="5"/>
      <c r="U302" s="5"/>
      <c r="V302" s="5"/>
      <c r="W302" s="5">
        <v>0</v>
      </c>
      <c r="X302" s="5">
        <v>1</v>
      </c>
      <c r="Y302" s="5">
        <v>0</v>
      </c>
      <c r="Z302" s="5">
        <v>0</v>
      </c>
      <c r="AA302" s="5">
        <v>1</v>
      </c>
      <c r="AB302" s="5">
        <v>0</v>
      </c>
    </row>
    <row r="303" spans="1:28">
      <c r="A303" s="5">
        <v>50</v>
      </c>
      <c r="B303" s="5">
        <v>0</v>
      </c>
      <c r="C303" s="5">
        <v>0</v>
      </c>
      <c r="D303" s="5">
        <v>1</v>
      </c>
      <c r="E303" s="5">
        <v>230</v>
      </c>
      <c r="F303" s="5">
        <f>ROUND(Source!BA283,O303)</f>
        <v>0</v>
      </c>
      <c r="G303" s="5" t="s">
        <v>100</v>
      </c>
      <c r="H303" s="5" t="s">
        <v>101</v>
      </c>
      <c r="I303" s="5"/>
      <c r="J303" s="5"/>
      <c r="K303" s="5">
        <v>230</v>
      </c>
      <c r="L303" s="5">
        <v>19</v>
      </c>
      <c r="M303" s="5">
        <v>3</v>
      </c>
      <c r="N303" s="5" t="s">
        <v>4</v>
      </c>
      <c r="O303" s="5">
        <v>2</v>
      </c>
      <c r="P303" s="5">
        <f>ROUND(Source!ES283,O303)</f>
        <v>0</v>
      </c>
      <c r="Q303" s="5"/>
      <c r="R303" s="5"/>
      <c r="S303" s="5"/>
      <c r="T303" s="5"/>
      <c r="U303" s="5"/>
      <c r="V303" s="5"/>
      <c r="W303" s="5">
        <v>0</v>
      </c>
      <c r="X303" s="5">
        <v>1</v>
      </c>
      <c r="Y303" s="5">
        <v>0</v>
      </c>
      <c r="Z303" s="5">
        <v>0</v>
      </c>
      <c r="AA303" s="5">
        <v>1</v>
      </c>
      <c r="AB303" s="5">
        <v>0</v>
      </c>
    </row>
    <row r="304" spans="1:28">
      <c r="A304" s="5">
        <v>50</v>
      </c>
      <c r="B304" s="5">
        <v>0</v>
      </c>
      <c r="C304" s="5">
        <v>0</v>
      </c>
      <c r="D304" s="5">
        <v>1</v>
      </c>
      <c r="E304" s="5">
        <v>206</v>
      </c>
      <c r="F304" s="5">
        <f>ROUND(Source!T283,O304)</f>
        <v>0</v>
      </c>
      <c r="G304" s="5" t="s">
        <v>102</v>
      </c>
      <c r="H304" s="5" t="s">
        <v>103</v>
      </c>
      <c r="I304" s="5"/>
      <c r="J304" s="5"/>
      <c r="K304" s="5">
        <v>206</v>
      </c>
      <c r="L304" s="5">
        <v>20</v>
      </c>
      <c r="M304" s="5">
        <v>3</v>
      </c>
      <c r="N304" s="5" t="s">
        <v>4</v>
      </c>
      <c r="O304" s="5">
        <v>2</v>
      </c>
      <c r="P304" s="5">
        <f>ROUND(Source!DL283,O304)</f>
        <v>0</v>
      </c>
      <c r="Q304" s="5"/>
      <c r="R304" s="5"/>
      <c r="S304" s="5"/>
      <c r="T304" s="5"/>
      <c r="U304" s="5"/>
      <c r="V304" s="5"/>
      <c r="W304" s="5">
        <v>0</v>
      </c>
      <c r="X304" s="5">
        <v>1</v>
      </c>
      <c r="Y304" s="5">
        <v>0</v>
      </c>
      <c r="Z304" s="5">
        <v>0</v>
      </c>
      <c r="AA304" s="5">
        <v>1</v>
      </c>
      <c r="AB304" s="5">
        <v>0</v>
      </c>
    </row>
    <row r="305" spans="1:206">
      <c r="A305" s="5">
        <v>50</v>
      </c>
      <c r="B305" s="5">
        <v>0</v>
      </c>
      <c r="C305" s="5">
        <v>0</v>
      </c>
      <c r="D305" s="5">
        <v>1</v>
      </c>
      <c r="E305" s="5">
        <v>207</v>
      </c>
      <c r="F305" s="5">
        <f>Source!U283</f>
        <v>4589.0448486999994</v>
      </c>
      <c r="G305" s="5" t="s">
        <v>104</v>
      </c>
      <c r="H305" s="5" t="s">
        <v>105</v>
      </c>
      <c r="I305" s="5"/>
      <c r="J305" s="5"/>
      <c r="K305" s="5">
        <v>207</v>
      </c>
      <c r="L305" s="5">
        <v>21</v>
      </c>
      <c r="M305" s="5">
        <v>3</v>
      </c>
      <c r="N305" s="5" t="s">
        <v>4</v>
      </c>
      <c r="O305" s="5">
        <v>-1</v>
      </c>
      <c r="P305" s="5">
        <f>Source!DM283</f>
        <v>4589.0448486999994</v>
      </c>
      <c r="Q305" s="5"/>
      <c r="R305" s="5"/>
      <c r="S305" s="5"/>
      <c r="T305" s="5"/>
      <c r="U305" s="5"/>
      <c r="V305" s="5"/>
      <c r="W305" s="5">
        <v>4371.5846238999993</v>
      </c>
      <c r="X305" s="5">
        <v>1</v>
      </c>
      <c r="Y305" s="5">
        <v>4371.5846238999993</v>
      </c>
      <c r="Z305" s="5">
        <v>4371.5846238999993</v>
      </c>
      <c r="AA305" s="5">
        <v>1</v>
      </c>
      <c r="AB305" s="5">
        <v>4371.5846238999993</v>
      </c>
    </row>
    <row r="306" spans="1:206">
      <c r="A306" s="5">
        <v>50</v>
      </c>
      <c r="B306" s="5">
        <v>0</v>
      </c>
      <c r="C306" s="5">
        <v>0</v>
      </c>
      <c r="D306" s="5">
        <v>1</v>
      </c>
      <c r="E306" s="5">
        <v>208</v>
      </c>
      <c r="F306" s="5">
        <f>Source!V283</f>
        <v>0</v>
      </c>
      <c r="G306" s="5" t="s">
        <v>106</v>
      </c>
      <c r="H306" s="5" t="s">
        <v>107</v>
      </c>
      <c r="I306" s="5"/>
      <c r="J306" s="5"/>
      <c r="K306" s="5">
        <v>208</v>
      </c>
      <c r="L306" s="5">
        <v>22</v>
      </c>
      <c r="M306" s="5">
        <v>3</v>
      </c>
      <c r="N306" s="5" t="s">
        <v>4</v>
      </c>
      <c r="O306" s="5">
        <v>-1</v>
      </c>
      <c r="P306" s="5">
        <f>Source!DN283</f>
        <v>0</v>
      </c>
      <c r="Q306" s="5"/>
      <c r="R306" s="5"/>
      <c r="S306" s="5"/>
      <c r="T306" s="5"/>
      <c r="U306" s="5"/>
      <c r="V306" s="5"/>
      <c r="W306" s="5">
        <v>0</v>
      </c>
      <c r="X306" s="5">
        <v>1</v>
      </c>
      <c r="Y306" s="5">
        <v>0</v>
      </c>
      <c r="Z306" s="5">
        <v>0</v>
      </c>
      <c r="AA306" s="5">
        <v>1</v>
      </c>
      <c r="AB306" s="5">
        <v>0</v>
      </c>
    </row>
    <row r="307" spans="1:206">
      <c r="A307" s="5">
        <v>50</v>
      </c>
      <c r="B307" s="5">
        <v>0</v>
      </c>
      <c r="C307" s="5">
        <v>0</v>
      </c>
      <c r="D307" s="5">
        <v>1</v>
      </c>
      <c r="E307" s="5">
        <v>209</v>
      </c>
      <c r="F307" s="5">
        <f>ROUND(Source!W283,O307)</f>
        <v>0</v>
      </c>
      <c r="G307" s="5" t="s">
        <v>108</v>
      </c>
      <c r="H307" s="5" t="s">
        <v>109</v>
      </c>
      <c r="I307" s="5"/>
      <c r="J307" s="5"/>
      <c r="K307" s="5">
        <v>209</v>
      </c>
      <c r="L307" s="5">
        <v>23</v>
      </c>
      <c r="M307" s="5">
        <v>3</v>
      </c>
      <c r="N307" s="5" t="s">
        <v>4</v>
      </c>
      <c r="O307" s="5">
        <v>2</v>
      </c>
      <c r="P307" s="5">
        <f>ROUND(Source!DO283,O307)</f>
        <v>0</v>
      </c>
      <c r="Q307" s="5"/>
      <c r="R307" s="5"/>
      <c r="S307" s="5"/>
      <c r="T307" s="5"/>
      <c r="U307" s="5"/>
      <c r="V307" s="5"/>
      <c r="W307" s="5">
        <v>0</v>
      </c>
      <c r="X307" s="5">
        <v>1</v>
      </c>
      <c r="Y307" s="5">
        <v>0</v>
      </c>
      <c r="Z307" s="5">
        <v>0</v>
      </c>
      <c r="AA307" s="5">
        <v>1</v>
      </c>
      <c r="AB307" s="5">
        <v>0</v>
      </c>
    </row>
    <row r="308" spans="1:206">
      <c r="A308" s="5">
        <v>50</v>
      </c>
      <c r="B308" s="5">
        <v>0</v>
      </c>
      <c r="C308" s="5">
        <v>0</v>
      </c>
      <c r="D308" s="5">
        <v>1</v>
      </c>
      <c r="E308" s="5">
        <v>233</v>
      </c>
      <c r="F308" s="5">
        <f>ROUND(Source!BD283,O308)</f>
        <v>0</v>
      </c>
      <c r="G308" s="5" t="s">
        <v>110</v>
      </c>
      <c r="H308" s="5" t="s">
        <v>111</v>
      </c>
      <c r="I308" s="5"/>
      <c r="J308" s="5"/>
      <c r="K308" s="5">
        <v>233</v>
      </c>
      <c r="L308" s="5">
        <v>24</v>
      </c>
      <c r="M308" s="5">
        <v>3</v>
      </c>
      <c r="N308" s="5" t="s">
        <v>4</v>
      </c>
      <c r="O308" s="5">
        <v>2</v>
      </c>
      <c r="P308" s="5">
        <f>ROUND(Source!EV283,O308)</f>
        <v>0</v>
      </c>
      <c r="Q308" s="5"/>
      <c r="R308" s="5"/>
      <c r="S308" s="5"/>
      <c r="T308" s="5"/>
      <c r="U308" s="5"/>
      <c r="V308" s="5"/>
      <c r="W308" s="5">
        <v>0</v>
      </c>
      <c r="X308" s="5">
        <v>1</v>
      </c>
      <c r="Y308" s="5">
        <v>0</v>
      </c>
      <c r="Z308" s="5">
        <v>0</v>
      </c>
      <c r="AA308" s="5">
        <v>1</v>
      </c>
      <c r="AB308" s="5">
        <v>0</v>
      </c>
    </row>
    <row r="309" spans="1:206">
      <c r="A309" s="5">
        <v>50</v>
      </c>
      <c r="B309" s="5">
        <v>0</v>
      </c>
      <c r="C309" s="5">
        <v>0</v>
      </c>
      <c r="D309" s="5">
        <v>1</v>
      </c>
      <c r="E309" s="5">
        <v>210</v>
      </c>
      <c r="F309" s="5">
        <f>ROUND(Source!X283,O309)</f>
        <v>62626.74</v>
      </c>
      <c r="G309" s="5" t="s">
        <v>112</v>
      </c>
      <c r="H309" s="5" t="s">
        <v>113</v>
      </c>
      <c r="I309" s="5"/>
      <c r="J309" s="5"/>
      <c r="K309" s="5">
        <v>210</v>
      </c>
      <c r="L309" s="5">
        <v>25</v>
      </c>
      <c r="M309" s="5">
        <v>3</v>
      </c>
      <c r="N309" s="5" t="s">
        <v>4</v>
      </c>
      <c r="O309" s="5">
        <v>2</v>
      </c>
      <c r="P309" s="5">
        <f>ROUND(Source!DP283,O309)</f>
        <v>2404126.79</v>
      </c>
      <c r="Q309" s="5"/>
      <c r="R309" s="5"/>
      <c r="S309" s="5"/>
      <c r="T309" s="5"/>
      <c r="U309" s="5"/>
      <c r="V309" s="5"/>
      <c r="W309" s="5">
        <v>59401.68</v>
      </c>
      <c r="X309" s="5">
        <v>1</v>
      </c>
      <c r="Y309" s="5">
        <v>59401.68</v>
      </c>
      <c r="Z309" s="5">
        <v>2280490.5699999998</v>
      </c>
      <c r="AA309" s="5">
        <v>1</v>
      </c>
      <c r="AB309" s="5">
        <v>2280490.5699999998</v>
      </c>
    </row>
    <row r="310" spans="1:206">
      <c r="A310" s="5">
        <v>50</v>
      </c>
      <c r="B310" s="5">
        <v>0</v>
      </c>
      <c r="C310" s="5">
        <v>0</v>
      </c>
      <c r="D310" s="5">
        <v>1</v>
      </c>
      <c r="E310" s="5">
        <v>211</v>
      </c>
      <c r="F310" s="5">
        <f>ROUND(Source!Y283,O310)</f>
        <v>39845.019999999997</v>
      </c>
      <c r="G310" s="5" t="s">
        <v>114</v>
      </c>
      <c r="H310" s="5" t="s">
        <v>115</v>
      </c>
      <c r="I310" s="5"/>
      <c r="J310" s="5"/>
      <c r="K310" s="5">
        <v>211</v>
      </c>
      <c r="L310" s="5">
        <v>26</v>
      </c>
      <c r="M310" s="5">
        <v>3</v>
      </c>
      <c r="N310" s="5" t="s">
        <v>4</v>
      </c>
      <c r="O310" s="5">
        <v>2</v>
      </c>
      <c r="P310" s="5">
        <f>ROUND(Source!DQ283,O310)</f>
        <v>1126174.3799999999</v>
      </c>
      <c r="Q310" s="5"/>
      <c r="R310" s="5"/>
      <c r="S310" s="5"/>
      <c r="T310" s="5"/>
      <c r="U310" s="5"/>
      <c r="V310" s="5"/>
      <c r="W310" s="5">
        <v>37829.360000000001</v>
      </c>
      <c r="X310" s="5">
        <v>1</v>
      </c>
      <c r="Y310" s="5">
        <v>37829.360000000001</v>
      </c>
      <c r="Z310" s="5">
        <v>1068387.8899999999</v>
      </c>
      <c r="AA310" s="5">
        <v>1</v>
      </c>
      <c r="AB310" s="5">
        <v>1068387.8899999999</v>
      </c>
    </row>
    <row r="311" spans="1:206">
      <c r="A311" s="5">
        <v>50</v>
      </c>
      <c r="B311" s="5">
        <v>0</v>
      </c>
      <c r="C311" s="5">
        <v>0</v>
      </c>
      <c r="D311" s="5">
        <v>1</v>
      </c>
      <c r="E311" s="5">
        <v>224</v>
      </c>
      <c r="F311" s="5">
        <f>ROUND(Source!AR283,O311)</f>
        <v>2915337.11</v>
      </c>
      <c r="G311" s="5" t="s">
        <v>116</v>
      </c>
      <c r="H311" s="5" t="s">
        <v>117</v>
      </c>
      <c r="I311" s="5"/>
      <c r="J311" s="5"/>
      <c r="K311" s="5">
        <v>224</v>
      </c>
      <c r="L311" s="5">
        <v>27</v>
      </c>
      <c r="M311" s="5">
        <v>3</v>
      </c>
      <c r="N311" s="5" t="s">
        <v>4</v>
      </c>
      <c r="O311" s="5">
        <v>2</v>
      </c>
      <c r="P311" s="5">
        <f>ROUND(Source!EJ283,O311)</f>
        <v>29214205.579999998</v>
      </c>
      <c r="Q311" s="5"/>
      <c r="R311" s="5"/>
      <c r="S311" s="5"/>
      <c r="T311" s="5"/>
      <c r="U311" s="5"/>
      <c r="V311" s="5"/>
      <c r="W311" s="5">
        <v>2790605.62</v>
      </c>
      <c r="X311" s="5">
        <v>1</v>
      </c>
      <c r="Y311" s="5">
        <v>2790605.62</v>
      </c>
      <c r="Z311" s="5">
        <v>28161679.079999998</v>
      </c>
      <c r="AA311" s="5">
        <v>1</v>
      </c>
      <c r="AB311" s="5">
        <v>28161679.079999998</v>
      </c>
    </row>
    <row r="313" spans="1:206">
      <c r="A313" s="3">
        <v>51</v>
      </c>
      <c r="B313" s="3">
        <f>B12</f>
        <v>352</v>
      </c>
      <c r="C313" s="3">
        <f>A12</f>
        <v>1</v>
      </c>
      <c r="D313" s="3">
        <f>ROW(A12)</f>
        <v>12</v>
      </c>
      <c r="E313" s="3"/>
      <c r="F313" s="3" t="str">
        <f>IF(F12&lt;&gt;"",F12,"")</f>
        <v/>
      </c>
      <c r="G313" s="3" t="str">
        <f>IF(G12&lt;&gt;"",G12,"")</f>
        <v>02-01-01  2  КЛ 10 кВ _24.04.25.</v>
      </c>
      <c r="H313" s="3">
        <v>0</v>
      </c>
      <c r="I313" s="3"/>
      <c r="J313" s="3"/>
      <c r="K313" s="3"/>
      <c r="L313" s="3"/>
      <c r="M313" s="3"/>
      <c r="N313" s="3"/>
      <c r="O313" s="3">
        <f t="shared" ref="O313:T313" si="282">ROUND(O283,2)</f>
        <v>2808073.99</v>
      </c>
      <c r="P313" s="3">
        <f t="shared" si="282"/>
        <v>2727857.94</v>
      </c>
      <c r="Q313" s="3">
        <f t="shared" si="282"/>
        <v>24315.88</v>
      </c>
      <c r="R313" s="3">
        <f t="shared" si="282"/>
        <v>2737.91</v>
      </c>
      <c r="S313" s="3">
        <f t="shared" si="282"/>
        <v>55900.17</v>
      </c>
      <c r="T313" s="3">
        <f t="shared" si="282"/>
        <v>0</v>
      </c>
      <c r="U313" s="3">
        <f>U283</f>
        <v>4589.0448486999994</v>
      </c>
      <c r="V313" s="3">
        <f>V283</f>
        <v>0</v>
      </c>
      <c r="W313" s="3">
        <f>ROUND(W283,2)</f>
        <v>0</v>
      </c>
      <c r="X313" s="3">
        <f>ROUND(X283,2)</f>
        <v>62626.74</v>
      </c>
      <c r="Y313" s="3">
        <f>ROUND(Y283,2)</f>
        <v>39845.019999999997</v>
      </c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>
        <f t="shared" ref="AO313:BD313" si="283">ROUND(AO283,2)</f>
        <v>0</v>
      </c>
      <c r="AP313" s="3">
        <f t="shared" si="283"/>
        <v>0</v>
      </c>
      <c r="AQ313" s="3">
        <f t="shared" si="283"/>
        <v>0</v>
      </c>
      <c r="AR313" s="3">
        <f t="shared" si="283"/>
        <v>2915337.11</v>
      </c>
      <c r="AS313" s="3">
        <f t="shared" si="283"/>
        <v>326533.24</v>
      </c>
      <c r="AT313" s="3">
        <f t="shared" si="283"/>
        <v>2588803.87</v>
      </c>
      <c r="AU313" s="3">
        <f t="shared" si="283"/>
        <v>0</v>
      </c>
      <c r="AV313" s="3">
        <f t="shared" si="283"/>
        <v>2727857.94</v>
      </c>
      <c r="AW313" s="3">
        <f t="shared" si="283"/>
        <v>2727857.94</v>
      </c>
      <c r="AX313" s="3">
        <f t="shared" si="283"/>
        <v>0</v>
      </c>
      <c r="AY313" s="3">
        <f t="shared" si="283"/>
        <v>2727857.94</v>
      </c>
      <c r="AZ313" s="3">
        <f t="shared" si="283"/>
        <v>0</v>
      </c>
      <c r="BA313" s="3">
        <f t="shared" si="283"/>
        <v>0</v>
      </c>
      <c r="BB313" s="3">
        <f t="shared" si="283"/>
        <v>0</v>
      </c>
      <c r="BC313" s="3">
        <f t="shared" si="283"/>
        <v>0</v>
      </c>
      <c r="BD313" s="3">
        <f t="shared" si="283"/>
        <v>0</v>
      </c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  <c r="BU313" s="3"/>
      <c r="BV313" s="3"/>
      <c r="BW313" s="3"/>
      <c r="BX313" s="3"/>
      <c r="BY313" s="3"/>
      <c r="BZ313" s="3"/>
      <c r="CA313" s="3"/>
      <c r="CB313" s="3"/>
      <c r="CC313" s="3"/>
      <c r="CD313" s="3"/>
      <c r="CE313" s="3"/>
      <c r="CF313" s="3"/>
      <c r="CG313" s="3"/>
      <c r="CH313" s="3"/>
      <c r="CI313" s="3"/>
      <c r="CJ313" s="3"/>
      <c r="CK313" s="3"/>
      <c r="CL313" s="3"/>
      <c r="CM313" s="3"/>
      <c r="CN313" s="3"/>
      <c r="CO313" s="3"/>
      <c r="CP313" s="3"/>
      <c r="CQ313" s="3"/>
      <c r="CR313" s="3"/>
      <c r="CS313" s="3"/>
      <c r="CT313" s="3"/>
      <c r="CU313" s="3"/>
      <c r="CV313" s="3"/>
      <c r="CW313" s="3"/>
      <c r="CX313" s="3"/>
      <c r="CY313" s="3"/>
      <c r="CZ313" s="3"/>
      <c r="DA313" s="3"/>
      <c r="DB313" s="3"/>
      <c r="DC313" s="3"/>
      <c r="DD313" s="3"/>
      <c r="DE313" s="3"/>
      <c r="DF313" s="3"/>
      <c r="DG313" s="4">
        <f t="shared" ref="DG313:DL313" si="284">ROUND(DG283,2)</f>
        <v>25479459.16</v>
      </c>
      <c r="DH313" s="4">
        <f t="shared" si="284"/>
        <v>22542098.629999999</v>
      </c>
      <c r="DI313" s="4">
        <f t="shared" si="284"/>
        <v>328499.59999999998</v>
      </c>
      <c r="DJ313" s="4">
        <f t="shared" si="284"/>
        <v>127778.27</v>
      </c>
      <c r="DK313" s="4">
        <f t="shared" si="284"/>
        <v>2608860.9300000002</v>
      </c>
      <c r="DL313" s="4">
        <f t="shared" si="284"/>
        <v>0</v>
      </c>
      <c r="DM313" s="4">
        <f>DM283</f>
        <v>4589.0448486999994</v>
      </c>
      <c r="DN313" s="4">
        <f>DN283</f>
        <v>0</v>
      </c>
      <c r="DO313" s="4">
        <f>ROUND(DO283,2)</f>
        <v>0</v>
      </c>
      <c r="DP313" s="4">
        <f>ROUND(DP283,2)</f>
        <v>2404126.79</v>
      </c>
      <c r="DQ313" s="4">
        <f>ROUND(DQ283,2)</f>
        <v>1126174.3799999999</v>
      </c>
      <c r="DR313" s="4"/>
      <c r="DS313" s="4"/>
      <c r="DT313" s="4"/>
      <c r="DU313" s="4"/>
      <c r="DV313" s="4"/>
      <c r="DW313" s="4"/>
      <c r="DX313" s="4"/>
      <c r="DY313" s="4"/>
      <c r="DZ313" s="4"/>
      <c r="EA313" s="4"/>
      <c r="EB313" s="4"/>
      <c r="EC313" s="4"/>
      <c r="ED313" s="4"/>
      <c r="EE313" s="4"/>
      <c r="EF313" s="4"/>
      <c r="EG313" s="4">
        <f t="shared" ref="EG313:EV313" si="285">ROUND(EG283,2)</f>
        <v>0</v>
      </c>
      <c r="EH313" s="4">
        <f t="shared" si="285"/>
        <v>0</v>
      </c>
      <c r="EI313" s="4">
        <f t="shared" si="285"/>
        <v>0</v>
      </c>
      <c r="EJ313" s="4">
        <f t="shared" si="285"/>
        <v>29214205.579999998</v>
      </c>
      <c r="EK313" s="4">
        <f t="shared" si="285"/>
        <v>2724201.15</v>
      </c>
      <c r="EL313" s="4">
        <f t="shared" si="285"/>
        <v>26490004.43</v>
      </c>
      <c r="EM313" s="4">
        <f t="shared" si="285"/>
        <v>0</v>
      </c>
      <c r="EN313" s="4">
        <f t="shared" si="285"/>
        <v>22542098.629999999</v>
      </c>
      <c r="EO313" s="4">
        <f t="shared" si="285"/>
        <v>22542098.629999999</v>
      </c>
      <c r="EP313" s="4">
        <f t="shared" si="285"/>
        <v>0</v>
      </c>
      <c r="EQ313" s="4">
        <f t="shared" si="285"/>
        <v>22542098.629999999</v>
      </c>
      <c r="ER313" s="4">
        <f t="shared" si="285"/>
        <v>0</v>
      </c>
      <c r="ES313" s="4">
        <f t="shared" si="285"/>
        <v>0</v>
      </c>
      <c r="ET313" s="4">
        <f t="shared" si="285"/>
        <v>0</v>
      </c>
      <c r="EU313" s="4">
        <f t="shared" si="285"/>
        <v>0</v>
      </c>
      <c r="EV313" s="4">
        <f t="shared" si="285"/>
        <v>0</v>
      </c>
      <c r="EW313" s="4"/>
      <c r="EX313" s="4"/>
      <c r="EY313" s="4"/>
      <c r="EZ313" s="4"/>
      <c r="FA313" s="4"/>
      <c r="FB313" s="4"/>
      <c r="FC313" s="4"/>
      <c r="FD313" s="4"/>
      <c r="FE313" s="4"/>
      <c r="FF313" s="4"/>
      <c r="FG313" s="4"/>
      <c r="FH313" s="4"/>
      <c r="FI313" s="4"/>
      <c r="FJ313" s="4"/>
      <c r="FK313" s="4"/>
      <c r="FL313" s="4"/>
      <c r="FM313" s="4"/>
      <c r="FN313" s="4"/>
      <c r="FO313" s="4"/>
      <c r="FP313" s="4"/>
      <c r="FQ313" s="4"/>
      <c r="FR313" s="4"/>
      <c r="FS313" s="4"/>
      <c r="FT313" s="4"/>
      <c r="FU313" s="4"/>
      <c r="FV313" s="4"/>
      <c r="FW313" s="4"/>
      <c r="FX313" s="4"/>
      <c r="FY313" s="4"/>
      <c r="FZ313" s="4"/>
      <c r="GA313" s="4"/>
      <c r="GB313" s="4"/>
      <c r="GC313" s="4"/>
      <c r="GD313" s="4"/>
      <c r="GE313" s="4"/>
      <c r="GF313" s="4"/>
      <c r="GG313" s="4"/>
      <c r="GH313" s="4"/>
      <c r="GI313" s="4"/>
      <c r="GJ313" s="4"/>
      <c r="GK313" s="4"/>
      <c r="GL313" s="4"/>
      <c r="GM313" s="4"/>
      <c r="GN313" s="4"/>
      <c r="GO313" s="4"/>
      <c r="GP313" s="4"/>
      <c r="GQ313" s="4"/>
      <c r="GR313" s="4"/>
      <c r="GS313" s="4"/>
      <c r="GT313" s="4"/>
      <c r="GU313" s="4"/>
      <c r="GV313" s="4"/>
      <c r="GW313" s="4"/>
      <c r="GX313" s="4">
        <v>0</v>
      </c>
    </row>
    <row r="315" spans="1:206">
      <c r="A315" s="5">
        <v>50</v>
      </c>
      <c r="B315" s="5">
        <v>0</v>
      </c>
      <c r="C315" s="5">
        <v>0</v>
      </c>
      <c r="D315" s="5">
        <v>1</v>
      </c>
      <c r="E315" s="5">
        <v>201</v>
      </c>
      <c r="F315" s="5">
        <f>ROUND(Source!O313,O315)</f>
        <v>2808073.99</v>
      </c>
      <c r="G315" s="5" t="s">
        <v>64</v>
      </c>
      <c r="H315" s="5" t="s">
        <v>65</v>
      </c>
      <c r="I315" s="5"/>
      <c r="J315" s="5"/>
      <c r="K315" s="5">
        <v>201</v>
      </c>
      <c r="L315" s="5">
        <v>1</v>
      </c>
      <c r="M315" s="5">
        <v>3</v>
      </c>
      <c r="N315" s="5" t="s">
        <v>4</v>
      </c>
      <c r="O315" s="5">
        <v>2</v>
      </c>
      <c r="P315" s="5">
        <f>ROUND(Source!DG313,O315)</f>
        <v>25479459.16</v>
      </c>
      <c r="Q315" s="5"/>
      <c r="R315" s="5"/>
      <c r="S315" s="5"/>
      <c r="T315" s="5"/>
      <c r="U315" s="5"/>
      <c r="V315" s="5"/>
      <c r="W315" s="5">
        <v>2688685.89</v>
      </c>
      <c r="X315" s="5">
        <v>1</v>
      </c>
      <c r="Y315" s="5">
        <v>2688685.89</v>
      </c>
      <c r="Z315" s="5">
        <v>24612736.379999999</v>
      </c>
      <c r="AA315" s="5">
        <v>1</v>
      </c>
      <c r="AB315" s="5">
        <v>24612736.379999999</v>
      </c>
    </row>
    <row r="316" spans="1:206">
      <c r="A316" s="5">
        <v>50</v>
      </c>
      <c r="B316" s="5">
        <v>0</v>
      </c>
      <c r="C316" s="5">
        <v>0</v>
      </c>
      <c r="D316" s="5">
        <v>1</v>
      </c>
      <c r="E316" s="5">
        <v>202</v>
      </c>
      <c r="F316" s="5">
        <f>ROUND(Source!P313,O316)</f>
        <v>2727857.94</v>
      </c>
      <c r="G316" s="5" t="s">
        <v>66</v>
      </c>
      <c r="H316" s="5" t="s">
        <v>67</v>
      </c>
      <c r="I316" s="5"/>
      <c r="J316" s="5"/>
      <c r="K316" s="5">
        <v>202</v>
      </c>
      <c r="L316" s="5">
        <v>2</v>
      </c>
      <c r="M316" s="5">
        <v>3</v>
      </c>
      <c r="N316" s="5" t="s">
        <v>4</v>
      </c>
      <c r="O316" s="5">
        <v>2</v>
      </c>
      <c r="P316" s="5">
        <f>ROUND(Source!DH313,O316)</f>
        <v>22542098.629999999</v>
      </c>
      <c r="Q316" s="5"/>
      <c r="R316" s="5"/>
      <c r="S316" s="5"/>
      <c r="T316" s="5"/>
      <c r="U316" s="5"/>
      <c r="V316" s="5"/>
      <c r="W316" s="5">
        <v>2612022.12</v>
      </c>
      <c r="X316" s="5">
        <v>1</v>
      </c>
      <c r="Y316" s="5">
        <v>2612022.12</v>
      </c>
      <c r="Z316" s="5">
        <v>21815259.399999999</v>
      </c>
      <c r="AA316" s="5">
        <v>1</v>
      </c>
      <c r="AB316" s="5">
        <v>21815259.399999999</v>
      </c>
    </row>
    <row r="317" spans="1:206">
      <c r="A317" s="5">
        <v>50</v>
      </c>
      <c r="B317" s="5">
        <v>0</v>
      </c>
      <c r="C317" s="5">
        <v>0</v>
      </c>
      <c r="D317" s="5">
        <v>1</v>
      </c>
      <c r="E317" s="5">
        <v>222</v>
      </c>
      <c r="F317" s="5">
        <f>ROUND(Source!AO313,O317)</f>
        <v>0</v>
      </c>
      <c r="G317" s="5" t="s">
        <v>68</v>
      </c>
      <c r="H317" s="5" t="s">
        <v>69</v>
      </c>
      <c r="I317" s="5"/>
      <c r="J317" s="5"/>
      <c r="K317" s="5">
        <v>222</v>
      </c>
      <c r="L317" s="5">
        <v>3</v>
      </c>
      <c r="M317" s="5">
        <v>3</v>
      </c>
      <c r="N317" s="5" t="s">
        <v>4</v>
      </c>
      <c r="O317" s="5">
        <v>2</v>
      </c>
      <c r="P317" s="5">
        <f>ROUND(Source!EG313,O317)</f>
        <v>0</v>
      </c>
      <c r="Q317" s="5"/>
      <c r="R317" s="5"/>
      <c r="S317" s="5"/>
      <c r="T317" s="5"/>
      <c r="U317" s="5"/>
      <c r="V317" s="5"/>
      <c r="W317" s="5">
        <v>0</v>
      </c>
      <c r="X317" s="5">
        <v>1</v>
      </c>
      <c r="Y317" s="5">
        <v>0</v>
      </c>
      <c r="Z317" s="5">
        <v>0</v>
      </c>
      <c r="AA317" s="5">
        <v>1</v>
      </c>
      <c r="AB317" s="5">
        <v>0</v>
      </c>
    </row>
    <row r="318" spans="1:206">
      <c r="A318" s="5">
        <v>50</v>
      </c>
      <c r="B318" s="5">
        <v>0</v>
      </c>
      <c r="C318" s="5">
        <v>0</v>
      </c>
      <c r="D318" s="5">
        <v>1</v>
      </c>
      <c r="E318" s="5">
        <v>225</v>
      </c>
      <c r="F318" s="5">
        <f>ROUND(Source!AV313,O318)</f>
        <v>2727857.94</v>
      </c>
      <c r="G318" s="5" t="s">
        <v>70</v>
      </c>
      <c r="H318" s="5" t="s">
        <v>71</v>
      </c>
      <c r="I318" s="5"/>
      <c r="J318" s="5"/>
      <c r="K318" s="5">
        <v>225</v>
      </c>
      <c r="L318" s="5">
        <v>4</v>
      </c>
      <c r="M318" s="5">
        <v>3</v>
      </c>
      <c r="N318" s="5" t="s">
        <v>4</v>
      </c>
      <c r="O318" s="5">
        <v>2</v>
      </c>
      <c r="P318" s="5">
        <f>ROUND(Source!EN313,O318)</f>
        <v>22542098.629999999</v>
      </c>
      <c r="Q318" s="5"/>
      <c r="R318" s="5"/>
      <c r="S318" s="5"/>
      <c r="T318" s="5"/>
      <c r="U318" s="5"/>
      <c r="V318" s="5"/>
      <c r="W318" s="5">
        <v>2612022.12</v>
      </c>
      <c r="X318" s="5">
        <v>1</v>
      </c>
      <c r="Y318" s="5">
        <v>2612022.12</v>
      </c>
      <c r="Z318" s="5">
        <v>21815259.399999999</v>
      </c>
      <c r="AA318" s="5">
        <v>1</v>
      </c>
      <c r="AB318" s="5">
        <v>21815259.399999999</v>
      </c>
    </row>
    <row r="319" spans="1:206">
      <c r="A319" s="5">
        <v>50</v>
      </c>
      <c r="B319" s="5">
        <v>0</v>
      </c>
      <c r="C319" s="5">
        <v>0</v>
      </c>
      <c r="D319" s="5">
        <v>1</v>
      </c>
      <c r="E319" s="5">
        <v>226</v>
      </c>
      <c r="F319" s="5">
        <f>ROUND(Source!AW313,O319)</f>
        <v>2727857.94</v>
      </c>
      <c r="G319" s="5" t="s">
        <v>72</v>
      </c>
      <c r="H319" s="5" t="s">
        <v>73</v>
      </c>
      <c r="I319" s="5"/>
      <c r="J319" s="5"/>
      <c r="K319" s="5">
        <v>226</v>
      </c>
      <c r="L319" s="5">
        <v>5</v>
      </c>
      <c r="M319" s="5">
        <v>3</v>
      </c>
      <c r="N319" s="5" t="s">
        <v>4</v>
      </c>
      <c r="O319" s="5">
        <v>2</v>
      </c>
      <c r="P319" s="5">
        <f>ROUND(Source!EO313,O319)</f>
        <v>22542098.629999999</v>
      </c>
      <c r="Q319" s="5"/>
      <c r="R319" s="5"/>
      <c r="S319" s="5"/>
      <c r="T319" s="5"/>
      <c r="U319" s="5"/>
      <c r="V319" s="5"/>
      <c r="W319" s="5">
        <v>2612022.12</v>
      </c>
      <c r="X319" s="5">
        <v>1</v>
      </c>
      <c r="Y319" s="5">
        <v>2612022.12</v>
      </c>
      <c r="Z319" s="5">
        <v>21815259.399999999</v>
      </c>
      <c r="AA319" s="5">
        <v>1</v>
      </c>
      <c r="AB319" s="5">
        <v>21815259.399999999</v>
      </c>
    </row>
    <row r="320" spans="1:206">
      <c r="A320" s="5">
        <v>50</v>
      </c>
      <c r="B320" s="5">
        <v>0</v>
      </c>
      <c r="C320" s="5">
        <v>0</v>
      </c>
      <c r="D320" s="5">
        <v>1</v>
      </c>
      <c r="E320" s="5">
        <v>227</v>
      </c>
      <c r="F320" s="5">
        <f>ROUND(Source!AX313,O320)</f>
        <v>0</v>
      </c>
      <c r="G320" s="5" t="s">
        <v>74</v>
      </c>
      <c r="H320" s="5" t="s">
        <v>75</v>
      </c>
      <c r="I320" s="5"/>
      <c r="J320" s="5"/>
      <c r="K320" s="5">
        <v>227</v>
      </c>
      <c r="L320" s="5">
        <v>6</v>
      </c>
      <c r="M320" s="5">
        <v>3</v>
      </c>
      <c r="N320" s="5" t="s">
        <v>4</v>
      </c>
      <c r="O320" s="5">
        <v>2</v>
      </c>
      <c r="P320" s="5">
        <f>ROUND(Source!EP313,O320)</f>
        <v>0</v>
      </c>
      <c r="Q320" s="5"/>
      <c r="R320" s="5"/>
      <c r="S320" s="5"/>
      <c r="T320" s="5"/>
      <c r="U320" s="5"/>
      <c r="V320" s="5"/>
      <c r="W320" s="5">
        <v>0</v>
      </c>
      <c r="X320" s="5">
        <v>1</v>
      </c>
      <c r="Y320" s="5">
        <v>0</v>
      </c>
      <c r="Z320" s="5">
        <v>0</v>
      </c>
      <c r="AA320" s="5">
        <v>1</v>
      </c>
      <c r="AB320" s="5">
        <v>0</v>
      </c>
    </row>
    <row r="321" spans="1:28">
      <c r="A321" s="5">
        <v>50</v>
      </c>
      <c r="B321" s="5">
        <v>0</v>
      </c>
      <c r="C321" s="5">
        <v>0</v>
      </c>
      <c r="D321" s="5">
        <v>1</v>
      </c>
      <c r="E321" s="5">
        <v>228</v>
      </c>
      <c r="F321" s="5">
        <f>ROUND(Source!AY313,O321)</f>
        <v>2727857.94</v>
      </c>
      <c r="G321" s="5" t="s">
        <v>76</v>
      </c>
      <c r="H321" s="5" t="s">
        <v>77</v>
      </c>
      <c r="I321" s="5"/>
      <c r="J321" s="5"/>
      <c r="K321" s="5">
        <v>228</v>
      </c>
      <c r="L321" s="5">
        <v>7</v>
      </c>
      <c r="M321" s="5">
        <v>3</v>
      </c>
      <c r="N321" s="5" t="s">
        <v>4</v>
      </c>
      <c r="O321" s="5">
        <v>2</v>
      </c>
      <c r="P321" s="5">
        <f>ROUND(Source!EQ313,O321)</f>
        <v>22542098.629999999</v>
      </c>
      <c r="Q321" s="5"/>
      <c r="R321" s="5"/>
      <c r="S321" s="5"/>
      <c r="T321" s="5"/>
      <c r="U321" s="5"/>
      <c r="V321" s="5"/>
      <c r="W321" s="5">
        <v>2612022.12</v>
      </c>
      <c r="X321" s="5">
        <v>1</v>
      </c>
      <c r="Y321" s="5">
        <v>2612022.12</v>
      </c>
      <c r="Z321" s="5">
        <v>21815259.399999999</v>
      </c>
      <c r="AA321" s="5">
        <v>1</v>
      </c>
      <c r="AB321" s="5">
        <v>21815259.399999999</v>
      </c>
    </row>
    <row r="322" spans="1:28">
      <c r="A322" s="5">
        <v>50</v>
      </c>
      <c r="B322" s="5">
        <v>0</v>
      </c>
      <c r="C322" s="5">
        <v>0</v>
      </c>
      <c r="D322" s="5">
        <v>1</v>
      </c>
      <c r="E322" s="5">
        <v>216</v>
      </c>
      <c r="F322" s="5">
        <f>ROUND(Source!AP313,O322)</f>
        <v>0</v>
      </c>
      <c r="G322" s="5" t="s">
        <v>78</v>
      </c>
      <c r="H322" s="5" t="s">
        <v>79</v>
      </c>
      <c r="I322" s="5"/>
      <c r="J322" s="5"/>
      <c r="K322" s="5">
        <v>216</v>
      </c>
      <c r="L322" s="5">
        <v>8</v>
      </c>
      <c r="M322" s="5">
        <v>3</v>
      </c>
      <c r="N322" s="5" t="s">
        <v>4</v>
      </c>
      <c r="O322" s="5">
        <v>2</v>
      </c>
      <c r="P322" s="5">
        <f>ROUND(Source!EH313,O322)</f>
        <v>0</v>
      </c>
      <c r="Q322" s="5"/>
      <c r="R322" s="5"/>
      <c r="S322" s="5"/>
      <c r="T322" s="5"/>
      <c r="U322" s="5"/>
      <c r="V322" s="5"/>
      <c r="W322" s="5">
        <v>0</v>
      </c>
      <c r="X322" s="5">
        <v>1</v>
      </c>
      <c r="Y322" s="5">
        <v>0</v>
      </c>
      <c r="Z322" s="5">
        <v>0</v>
      </c>
      <c r="AA322" s="5">
        <v>1</v>
      </c>
      <c r="AB322" s="5">
        <v>0</v>
      </c>
    </row>
    <row r="323" spans="1:28">
      <c r="A323" s="5">
        <v>50</v>
      </c>
      <c r="B323" s="5">
        <v>0</v>
      </c>
      <c r="C323" s="5">
        <v>0</v>
      </c>
      <c r="D323" s="5">
        <v>1</v>
      </c>
      <c r="E323" s="5">
        <v>223</v>
      </c>
      <c r="F323" s="5">
        <f>ROUND(Source!AQ313,O323)</f>
        <v>0</v>
      </c>
      <c r="G323" s="5" t="s">
        <v>80</v>
      </c>
      <c r="H323" s="5" t="s">
        <v>81</v>
      </c>
      <c r="I323" s="5"/>
      <c r="J323" s="5"/>
      <c r="K323" s="5">
        <v>223</v>
      </c>
      <c r="L323" s="5">
        <v>9</v>
      </c>
      <c r="M323" s="5">
        <v>3</v>
      </c>
      <c r="N323" s="5" t="s">
        <v>4</v>
      </c>
      <c r="O323" s="5">
        <v>2</v>
      </c>
      <c r="P323" s="5">
        <f>ROUND(Source!EI313,O323)</f>
        <v>0</v>
      </c>
      <c r="Q323" s="5"/>
      <c r="R323" s="5"/>
      <c r="S323" s="5"/>
      <c r="T323" s="5"/>
      <c r="U323" s="5"/>
      <c r="V323" s="5"/>
      <c r="W323" s="5">
        <v>0</v>
      </c>
      <c r="X323" s="5">
        <v>1</v>
      </c>
      <c r="Y323" s="5">
        <v>0</v>
      </c>
      <c r="Z323" s="5">
        <v>0</v>
      </c>
      <c r="AA323" s="5">
        <v>1</v>
      </c>
      <c r="AB323" s="5">
        <v>0</v>
      </c>
    </row>
    <row r="324" spans="1:28">
      <c r="A324" s="5">
        <v>50</v>
      </c>
      <c r="B324" s="5">
        <v>0</v>
      </c>
      <c r="C324" s="5">
        <v>0</v>
      </c>
      <c r="D324" s="5">
        <v>1</v>
      </c>
      <c r="E324" s="5">
        <v>229</v>
      </c>
      <c r="F324" s="5">
        <f>ROUND(Source!AZ313,O324)</f>
        <v>0</v>
      </c>
      <c r="G324" s="5" t="s">
        <v>82</v>
      </c>
      <c r="H324" s="5" t="s">
        <v>83</v>
      </c>
      <c r="I324" s="5"/>
      <c r="J324" s="5"/>
      <c r="K324" s="5">
        <v>229</v>
      </c>
      <c r="L324" s="5">
        <v>10</v>
      </c>
      <c r="M324" s="5">
        <v>3</v>
      </c>
      <c r="N324" s="5" t="s">
        <v>4</v>
      </c>
      <c r="O324" s="5">
        <v>2</v>
      </c>
      <c r="P324" s="5">
        <f>ROUND(Source!ER313,O324)</f>
        <v>0</v>
      </c>
      <c r="Q324" s="5"/>
      <c r="R324" s="5"/>
      <c r="S324" s="5"/>
      <c r="T324" s="5"/>
      <c r="U324" s="5"/>
      <c r="V324" s="5"/>
      <c r="W324" s="5">
        <v>0</v>
      </c>
      <c r="X324" s="5">
        <v>1</v>
      </c>
      <c r="Y324" s="5">
        <v>0</v>
      </c>
      <c r="Z324" s="5">
        <v>0</v>
      </c>
      <c r="AA324" s="5">
        <v>1</v>
      </c>
      <c r="AB324" s="5">
        <v>0</v>
      </c>
    </row>
    <row r="325" spans="1:28">
      <c r="A325" s="5">
        <v>50</v>
      </c>
      <c r="B325" s="5">
        <v>0</v>
      </c>
      <c r="C325" s="5">
        <v>0</v>
      </c>
      <c r="D325" s="5">
        <v>1</v>
      </c>
      <c r="E325" s="5">
        <v>203</v>
      </c>
      <c r="F325" s="5">
        <f>ROUND(Source!Q313,O325)</f>
        <v>24315.88</v>
      </c>
      <c r="G325" s="5" t="s">
        <v>84</v>
      </c>
      <c r="H325" s="5" t="s">
        <v>85</v>
      </c>
      <c r="I325" s="5"/>
      <c r="J325" s="5"/>
      <c r="K325" s="5">
        <v>203</v>
      </c>
      <c r="L325" s="5">
        <v>11</v>
      </c>
      <c r="M325" s="5">
        <v>3</v>
      </c>
      <c r="N325" s="5" t="s">
        <v>4</v>
      </c>
      <c r="O325" s="5">
        <v>2</v>
      </c>
      <c r="P325" s="5">
        <f>ROUND(Source!DI313,O325)</f>
        <v>328499.59999999998</v>
      </c>
      <c r="Q325" s="5"/>
      <c r="R325" s="5"/>
      <c r="S325" s="5"/>
      <c r="T325" s="5"/>
      <c r="U325" s="5"/>
      <c r="V325" s="5"/>
      <c r="W325" s="5">
        <v>23643.119999999999</v>
      </c>
      <c r="X325" s="5">
        <v>1</v>
      </c>
      <c r="Y325" s="5">
        <v>23643.119999999999</v>
      </c>
      <c r="Z325" s="5">
        <v>323003.25</v>
      </c>
      <c r="AA325" s="5">
        <v>1</v>
      </c>
      <c r="AB325" s="5">
        <v>323003.25</v>
      </c>
    </row>
    <row r="326" spans="1:28">
      <c r="A326" s="5">
        <v>50</v>
      </c>
      <c r="B326" s="5">
        <v>0</v>
      </c>
      <c r="C326" s="5">
        <v>0</v>
      </c>
      <c r="D326" s="5">
        <v>1</v>
      </c>
      <c r="E326" s="5">
        <v>231</v>
      </c>
      <c r="F326" s="5">
        <f>ROUND(Source!BB313,O326)</f>
        <v>0</v>
      </c>
      <c r="G326" s="5" t="s">
        <v>86</v>
      </c>
      <c r="H326" s="5" t="s">
        <v>87</v>
      </c>
      <c r="I326" s="5"/>
      <c r="J326" s="5"/>
      <c r="K326" s="5">
        <v>231</v>
      </c>
      <c r="L326" s="5">
        <v>12</v>
      </c>
      <c r="M326" s="5">
        <v>3</v>
      </c>
      <c r="N326" s="5" t="s">
        <v>4</v>
      </c>
      <c r="O326" s="5">
        <v>2</v>
      </c>
      <c r="P326" s="5">
        <f>ROUND(Source!ET313,O326)</f>
        <v>0</v>
      </c>
      <c r="Q326" s="5"/>
      <c r="R326" s="5"/>
      <c r="S326" s="5"/>
      <c r="T326" s="5"/>
      <c r="U326" s="5"/>
      <c r="V326" s="5"/>
      <c r="W326" s="5">
        <v>0</v>
      </c>
      <c r="X326" s="5">
        <v>1</v>
      </c>
      <c r="Y326" s="5">
        <v>0</v>
      </c>
      <c r="Z326" s="5">
        <v>0</v>
      </c>
      <c r="AA326" s="5">
        <v>1</v>
      </c>
      <c r="AB326" s="5">
        <v>0</v>
      </c>
    </row>
    <row r="327" spans="1:28">
      <c r="A327" s="5">
        <v>50</v>
      </c>
      <c r="B327" s="5">
        <v>0</v>
      </c>
      <c r="C327" s="5">
        <v>0</v>
      </c>
      <c r="D327" s="5">
        <v>1</v>
      </c>
      <c r="E327" s="5">
        <v>204</v>
      </c>
      <c r="F327" s="5">
        <f>ROUND(Source!R313,O327)</f>
        <v>2737.91</v>
      </c>
      <c r="G327" s="5" t="s">
        <v>88</v>
      </c>
      <c r="H327" s="5" t="s">
        <v>89</v>
      </c>
      <c r="I327" s="5"/>
      <c r="J327" s="5"/>
      <c r="K327" s="5">
        <v>204</v>
      </c>
      <c r="L327" s="5">
        <v>13</v>
      </c>
      <c r="M327" s="5">
        <v>3</v>
      </c>
      <c r="N327" s="5" t="s">
        <v>4</v>
      </c>
      <c r="O327" s="5">
        <v>2</v>
      </c>
      <c r="P327" s="5">
        <f>ROUND(Source!DJ313,O327)</f>
        <v>127778.27</v>
      </c>
      <c r="Q327" s="5"/>
      <c r="R327" s="5"/>
      <c r="S327" s="5"/>
      <c r="T327" s="5"/>
      <c r="U327" s="5"/>
      <c r="V327" s="5"/>
      <c r="W327" s="5">
        <v>2679.24</v>
      </c>
      <c r="X327" s="5">
        <v>1</v>
      </c>
      <c r="Y327" s="5">
        <v>2679.24</v>
      </c>
      <c r="Z327" s="5">
        <v>125040.14</v>
      </c>
      <c r="AA327" s="5">
        <v>1</v>
      </c>
      <c r="AB327" s="5">
        <v>125040.14</v>
      </c>
    </row>
    <row r="328" spans="1:28">
      <c r="A328" s="5">
        <v>50</v>
      </c>
      <c r="B328" s="5">
        <v>0</v>
      </c>
      <c r="C328" s="5">
        <v>0</v>
      </c>
      <c r="D328" s="5">
        <v>1</v>
      </c>
      <c r="E328" s="5">
        <v>205</v>
      </c>
      <c r="F328" s="5">
        <f>ROUND(Source!S313,O328)</f>
        <v>55900.17</v>
      </c>
      <c r="G328" s="5" t="s">
        <v>90</v>
      </c>
      <c r="H328" s="5" t="s">
        <v>91</v>
      </c>
      <c r="I328" s="5"/>
      <c r="J328" s="5"/>
      <c r="K328" s="5">
        <v>205</v>
      </c>
      <c r="L328" s="5">
        <v>14</v>
      </c>
      <c r="M328" s="5">
        <v>3</v>
      </c>
      <c r="N328" s="5" t="s">
        <v>4</v>
      </c>
      <c r="O328" s="5">
        <v>2</v>
      </c>
      <c r="P328" s="5">
        <f>ROUND(Source!DK313,O328)</f>
        <v>2608860.9300000002</v>
      </c>
      <c r="Q328" s="5"/>
      <c r="R328" s="5"/>
      <c r="S328" s="5"/>
      <c r="T328" s="5"/>
      <c r="U328" s="5"/>
      <c r="V328" s="5"/>
      <c r="W328" s="5">
        <v>53020.65</v>
      </c>
      <c r="X328" s="5">
        <v>1</v>
      </c>
      <c r="Y328" s="5">
        <v>53020.65</v>
      </c>
      <c r="Z328" s="5">
        <v>2474473.73</v>
      </c>
      <c r="AA328" s="5">
        <v>1</v>
      </c>
      <c r="AB328" s="5">
        <v>2474473.73</v>
      </c>
    </row>
    <row r="329" spans="1:28">
      <c r="A329" s="5">
        <v>50</v>
      </c>
      <c r="B329" s="5">
        <v>0</v>
      </c>
      <c r="C329" s="5">
        <v>0</v>
      </c>
      <c r="D329" s="5">
        <v>1</v>
      </c>
      <c r="E329" s="5">
        <v>232</v>
      </c>
      <c r="F329" s="5">
        <f>ROUND(Source!BC313,O329)</f>
        <v>0</v>
      </c>
      <c r="G329" s="5" t="s">
        <v>92</v>
      </c>
      <c r="H329" s="5" t="s">
        <v>93</v>
      </c>
      <c r="I329" s="5"/>
      <c r="J329" s="5"/>
      <c r="K329" s="5">
        <v>232</v>
      </c>
      <c r="L329" s="5">
        <v>15</v>
      </c>
      <c r="M329" s="5">
        <v>3</v>
      </c>
      <c r="N329" s="5" t="s">
        <v>4</v>
      </c>
      <c r="O329" s="5">
        <v>2</v>
      </c>
      <c r="P329" s="5">
        <f>ROUND(Source!EU313,O329)</f>
        <v>0</v>
      </c>
      <c r="Q329" s="5"/>
      <c r="R329" s="5"/>
      <c r="S329" s="5"/>
      <c r="T329" s="5"/>
      <c r="U329" s="5"/>
      <c r="V329" s="5"/>
      <c r="W329" s="5">
        <v>0</v>
      </c>
      <c r="X329" s="5">
        <v>1</v>
      </c>
      <c r="Y329" s="5">
        <v>0</v>
      </c>
      <c r="Z329" s="5">
        <v>0</v>
      </c>
      <c r="AA329" s="5">
        <v>1</v>
      </c>
      <c r="AB329" s="5">
        <v>0</v>
      </c>
    </row>
    <row r="330" spans="1:28">
      <c r="A330" s="5">
        <v>50</v>
      </c>
      <c r="B330" s="5">
        <v>0</v>
      </c>
      <c r="C330" s="5">
        <v>0</v>
      </c>
      <c r="D330" s="5">
        <v>1</v>
      </c>
      <c r="E330" s="5">
        <v>214</v>
      </c>
      <c r="F330" s="5">
        <f>ROUND(Source!AS313,O330)</f>
        <v>326533.24</v>
      </c>
      <c r="G330" s="5" t="s">
        <v>94</v>
      </c>
      <c r="H330" s="5" t="s">
        <v>95</v>
      </c>
      <c r="I330" s="5"/>
      <c r="J330" s="5"/>
      <c r="K330" s="5">
        <v>214</v>
      </c>
      <c r="L330" s="5">
        <v>16</v>
      </c>
      <c r="M330" s="5">
        <v>3</v>
      </c>
      <c r="N330" s="5" t="s">
        <v>4</v>
      </c>
      <c r="O330" s="5">
        <v>2</v>
      </c>
      <c r="P330" s="5">
        <f>ROUND(Source!EK313,O330)</f>
        <v>2724201.15</v>
      </c>
      <c r="Q330" s="5"/>
      <c r="R330" s="5"/>
      <c r="S330" s="5"/>
      <c r="T330" s="5"/>
      <c r="U330" s="5"/>
      <c r="V330" s="5"/>
      <c r="W330" s="5">
        <v>326533.24</v>
      </c>
      <c r="X330" s="5">
        <v>1</v>
      </c>
      <c r="Y330" s="5">
        <v>326533.24</v>
      </c>
      <c r="Z330" s="5">
        <v>2724201.15</v>
      </c>
      <c r="AA330" s="5">
        <v>1</v>
      </c>
      <c r="AB330" s="5">
        <v>2724201.15</v>
      </c>
    </row>
    <row r="331" spans="1:28">
      <c r="A331" s="5">
        <v>50</v>
      </c>
      <c r="B331" s="5">
        <v>0</v>
      </c>
      <c r="C331" s="5">
        <v>0</v>
      </c>
      <c r="D331" s="5">
        <v>1</v>
      </c>
      <c r="E331" s="5">
        <v>215</v>
      </c>
      <c r="F331" s="5">
        <f>ROUND(Source!AT313,O331)</f>
        <v>2588803.87</v>
      </c>
      <c r="G331" s="5" t="s">
        <v>96</v>
      </c>
      <c r="H331" s="5" t="s">
        <v>97</v>
      </c>
      <c r="I331" s="5"/>
      <c r="J331" s="5"/>
      <c r="K331" s="5">
        <v>215</v>
      </c>
      <c r="L331" s="5">
        <v>17</v>
      </c>
      <c r="M331" s="5">
        <v>3</v>
      </c>
      <c r="N331" s="5" t="s">
        <v>4</v>
      </c>
      <c r="O331" s="5">
        <v>2</v>
      </c>
      <c r="P331" s="5">
        <f>ROUND(Source!EL313,O331)</f>
        <v>26490004.43</v>
      </c>
      <c r="Q331" s="5"/>
      <c r="R331" s="5"/>
      <c r="S331" s="5"/>
      <c r="T331" s="5"/>
      <c r="U331" s="5"/>
      <c r="V331" s="5"/>
      <c r="W331" s="5">
        <v>2464072.38</v>
      </c>
      <c r="X331" s="5">
        <v>1</v>
      </c>
      <c r="Y331" s="5">
        <v>2464072.38</v>
      </c>
      <c r="Z331" s="5">
        <v>25437477.93</v>
      </c>
      <c r="AA331" s="5">
        <v>1</v>
      </c>
      <c r="AB331" s="5">
        <v>25437477.93</v>
      </c>
    </row>
    <row r="332" spans="1:28">
      <c r="A332" s="5">
        <v>50</v>
      </c>
      <c r="B332" s="5">
        <v>0</v>
      </c>
      <c r="C332" s="5">
        <v>0</v>
      </c>
      <c r="D332" s="5">
        <v>1</v>
      </c>
      <c r="E332" s="5">
        <v>217</v>
      </c>
      <c r="F332" s="5">
        <f>ROUND(Source!AU313,O332)</f>
        <v>0</v>
      </c>
      <c r="G332" s="5" t="s">
        <v>98</v>
      </c>
      <c r="H332" s="5" t="s">
        <v>99</v>
      </c>
      <c r="I332" s="5"/>
      <c r="J332" s="5"/>
      <c r="K332" s="5">
        <v>217</v>
      </c>
      <c r="L332" s="5">
        <v>18</v>
      </c>
      <c r="M332" s="5">
        <v>3</v>
      </c>
      <c r="N332" s="5" t="s">
        <v>4</v>
      </c>
      <c r="O332" s="5">
        <v>2</v>
      </c>
      <c r="P332" s="5">
        <f>ROUND(Source!EM313,O332)</f>
        <v>0</v>
      </c>
      <c r="Q332" s="5"/>
      <c r="R332" s="5"/>
      <c r="S332" s="5"/>
      <c r="T332" s="5"/>
      <c r="U332" s="5"/>
      <c r="V332" s="5"/>
      <c r="W332" s="5">
        <v>0</v>
      </c>
      <c r="X332" s="5">
        <v>1</v>
      </c>
      <c r="Y332" s="5">
        <v>0</v>
      </c>
      <c r="Z332" s="5">
        <v>0</v>
      </c>
      <c r="AA332" s="5">
        <v>1</v>
      </c>
      <c r="AB332" s="5">
        <v>0</v>
      </c>
    </row>
    <row r="333" spans="1:28">
      <c r="A333" s="5">
        <v>50</v>
      </c>
      <c r="B333" s="5">
        <v>0</v>
      </c>
      <c r="C333" s="5">
        <v>0</v>
      </c>
      <c r="D333" s="5">
        <v>1</v>
      </c>
      <c r="E333" s="5">
        <v>230</v>
      </c>
      <c r="F333" s="5">
        <f>ROUND(Source!BA313,O333)</f>
        <v>0</v>
      </c>
      <c r="G333" s="5" t="s">
        <v>100</v>
      </c>
      <c r="H333" s="5" t="s">
        <v>101</v>
      </c>
      <c r="I333" s="5"/>
      <c r="J333" s="5"/>
      <c r="K333" s="5">
        <v>230</v>
      </c>
      <c r="L333" s="5">
        <v>19</v>
      </c>
      <c r="M333" s="5">
        <v>3</v>
      </c>
      <c r="N333" s="5" t="s">
        <v>4</v>
      </c>
      <c r="O333" s="5">
        <v>2</v>
      </c>
      <c r="P333" s="5">
        <f>ROUND(Source!ES313,O333)</f>
        <v>0</v>
      </c>
      <c r="Q333" s="5"/>
      <c r="R333" s="5"/>
      <c r="S333" s="5"/>
      <c r="T333" s="5"/>
      <c r="U333" s="5"/>
      <c r="V333" s="5"/>
      <c r="W333" s="5">
        <v>0</v>
      </c>
      <c r="X333" s="5">
        <v>1</v>
      </c>
      <c r="Y333" s="5">
        <v>0</v>
      </c>
      <c r="Z333" s="5">
        <v>0</v>
      </c>
      <c r="AA333" s="5">
        <v>1</v>
      </c>
      <c r="AB333" s="5">
        <v>0</v>
      </c>
    </row>
    <row r="334" spans="1:28">
      <c r="A334" s="5">
        <v>50</v>
      </c>
      <c r="B334" s="5">
        <v>0</v>
      </c>
      <c r="C334" s="5">
        <v>0</v>
      </c>
      <c r="D334" s="5">
        <v>1</v>
      </c>
      <c r="E334" s="5">
        <v>206</v>
      </c>
      <c r="F334" s="5">
        <f>ROUND(Source!T313,O334)</f>
        <v>0</v>
      </c>
      <c r="G334" s="5" t="s">
        <v>102</v>
      </c>
      <c r="H334" s="5" t="s">
        <v>103</v>
      </c>
      <c r="I334" s="5"/>
      <c r="J334" s="5"/>
      <c r="K334" s="5">
        <v>206</v>
      </c>
      <c r="L334" s="5">
        <v>20</v>
      </c>
      <c r="M334" s="5">
        <v>3</v>
      </c>
      <c r="N334" s="5" t="s">
        <v>4</v>
      </c>
      <c r="O334" s="5">
        <v>2</v>
      </c>
      <c r="P334" s="5">
        <f>ROUND(Source!DL313,O334)</f>
        <v>0</v>
      </c>
      <c r="Q334" s="5"/>
      <c r="R334" s="5"/>
      <c r="S334" s="5"/>
      <c r="T334" s="5"/>
      <c r="U334" s="5"/>
      <c r="V334" s="5"/>
      <c r="W334" s="5">
        <v>0</v>
      </c>
      <c r="X334" s="5">
        <v>1</v>
      </c>
      <c r="Y334" s="5">
        <v>0</v>
      </c>
      <c r="Z334" s="5">
        <v>0</v>
      </c>
      <c r="AA334" s="5">
        <v>1</v>
      </c>
      <c r="AB334" s="5">
        <v>0</v>
      </c>
    </row>
    <row r="335" spans="1:28">
      <c r="A335" s="5">
        <v>50</v>
      </c>
      <c r="B335" s="5">
        <v>0</v>
      </c>
      <c r="C335" s="5">
        <v>0</v>
      </c>
      <c r="D335" s="5">
        <v>1</v>
      </c>
      <c r="E335" s="5">
        <v>207</v>
      </c>
      <c r="F335" s="5">
        <f>Source!U313</f>
        <v>4589.0448486999994</v>
      </c>
      <c r="G335" s="5" t="s">
        <v>104</v>
      </c>
      <c r="H335" s="5" t="s">
        <v>105</v>
      </c>
      <c r="I335" s="5"/>
      <c r="J335" s="5"/>
      <c r="K335" s="5">
        <v>207</v>
      </c>
      <c r="L335" s="5">
        <v>21</v>
      </c>
      <c r="M335" s="5">
        <v>3</v>
      </c>
      <c r="N335" s="5" t="s">
        <v>4</v>
      </c>
      <c r="O335" s="5">
        <v>-1</v>
      </c>
      <c r="P335" s="5">
        <f>Source!DM313</f>
        <v>4589.0448486999994</v>
      </c>
      <c r="Q335" s="5"/>
      <c r="R335" s="5"/>
      <c r="S335" s="5"/>
      <c r="T335" s="5"/>
      <c r="U335" s="5"/>
      <c r="V335" s="5"/>
      <c r="W335" s="5">
        <v>4371.5846238999993</v>
      </c>
      <c r="X335" s="5">
        <v>1</v>
      </c>
      <c r="Y335" s="5">
        <v>4371.5846238999993</v>
      </c>
      <c r="Z335" s="5">
        <v>4371.5846238999993</v>
      </c>
      <c r="AA335" s="5">
        <v>1</v>
      </c>
      <c r="AB335" s="5">
        <v>4371.5846238999993</v>
      </c>
    </row>
    <row r="336" spans="1:28">
      <c r="A336" s="5">
        <v>50</v>
      </c>
      <c r="B336" s="5">
        <v>0</v>
      </c>
      <c r="C336" s="5">
        <v>0</v>
      </c>
      <c r="D336" s="5">
        <v>1</v>
      </c>
      <c r="E336" s="5">
        <v>208</v>
      </c>
      <c r="F336" s="5">
        <f>Source!V313</f>
        <v>0</v>
      </c>
      <c r="G336" s="5" t="s">
        <v>106</v>
      </c>
      <c r="H336" s="5" t="s">
        <v>107</v>
      </c>
      <c r="I336" s="5"/>
      <c r="J336" s="5"/>
      <c r="K336" s="5">
        <v>208</v>
      </c>
      <c r="L336" s="5">
        <v>22</v>
      </c>
      <c r="M336" s="5">
        <v>3</v>
      </c>
      <c r="N336" s="5" t="s">
        <v>4</v>
      </c>
      <c r="O336" s="5">
        <v>-1</v>
      </c>
      <c r="P336" s="5">
        <f>Source!DN313</f>
        <v>0</v>
      </c>
      <c r="Q336" s="5"/>
      <c r="R336" s="5"/>
      <c r="S336" s="5"/>
      <c r="T336" s="5"/>
      <c r="U336" s="5"/>
      <c r="V336" s="5"/>
      <c r="W336" s="5">
        <v>0</v>
      </c>
      <c r="X336" s="5">
        <v>1</v>
      </c>
      <c r="Y336" s="5">
        <v>0</v>
      </c>
      <c r="Z336" s="5">
        <v>0</v>
      </c>
      <c r="AA336" s="5">
        <v>1</v>
      </c>
      <c r="AB336" s="5">
        <v>0</v>
      </c>
    </row>
    <row r="337" spans="1:28">
      <c r="A337" s="5">
        <v>50</v>
      </c>
      <c r="B337" s="5">
        <v>0</v>
      </c>
      <c r="C337" s="5">
        <v>0</v>
      </c>
      <c r="D337" s="5">
        <v>1</v>
      </c>
      <c r="E337" s="5">
        <v>209</v>
      </c>
      <c r="F337" s="5">
        <f>ROUND(Source!W313,O337)</f>
        <v>0</v>
      </c>
      <c r="G337" s="5" t="s">
        <v>108</v>
      </c>
      <c r="H337" s="5" t="s">
        <v>109</v>
      </c>
      <c r="I337" s="5"/>
      <c r="J337" s="5"/>
      <c r="K337" s="5">
        <v>209</v>
      </c>
      <c r="L337" s="5">
        <v>23</v>
      </c>
      <c r="M337" s="5">
        <v>3</v>
      </c>
      <c r="N337" s="5" t="s">
        <v>4</v>
      </c>
      <c r="O337" s="5">
        <v>2</v>
      </c>
      <c r="P337" s="5">
        <f>ROUND(Source!DO313,O337)</f>
        <v>0</v>
      </c>
      <c r="Q337" s="5"/>
      <c r="R337" s="5"/>
      <c r="S337" s="5"/>
      <c r="T337" s="5"/>
      <c r="U337" s="5"/>
      <c r="V337" s="5"/>
      <c r="W337" s="5">
        <v>0</v>
      </c>
      <c r="X337" s="5">
        <v>1</v>
      </c>
      <c r="Y337" s="5">
        <v>0</v>
      </c>
      <c r="Z337" s="5">
        <v>0</v>
      </c>
      <c r="AA337" s="5">
        <v>1</v>
      </c>
      <c r="AB337" s="5">
        <v>0</v>
      </c>
    </row>
    <row r="338" spans="1:28">
      <c r="A338" s="5">
        <v>50</v>
      </c>
      <c r="B338" s="5">
        <v>0</v>
      </c>
      <c r="C338" s="5">
        <v>0</v>
      </c>
      <c r="D338" s="5">
        <v>1</v>
      </c>
      <c r="E338" s="5">
        <v>233</v>
      </c>
      <c r="F338" s="5">
        <f>ROUND(Source!BD313,O338)</f>
        <v>0</v>
      </c>
      <c r="G338" s="5" t="s">
        <v>110</v>
      </c>
      <c r="H338" s="5" t="s">
        <v>111</v>
      </c>
      <c r="I338" s="5"/>
      <c r="J338" s="5"/>
      <c r="K338" s="5">
        <v>233</v>
      </c>
      <c r="L338" s="5">
        <v>24</v>
      </c>
      <c r="M338" s="5">
        <v>3</v>
      </c>
      <c r="N338" s="5" t="s">
        <v>4</v>
      </c>
      <c r="O338" s="5">
        <v>2</v>
      </c>
      <c r="P338" s="5">
        <f>ROUND(Source!EV313,O338)</f>
        <v>0</v>
      </c>
      <c r="Q338" s="5"/>
      <c r="R338" s="5"/>
      <c r="S338" s="5"/>
      <c r="T338" s="5"/>
      <c r="U338" s="5"/>
      <c r="V338" s="5"/>
      <c r="W338" s="5">
        <v>0</v>
      </c>
      <c r="X338" s="5">
        <v>1</v>
      </c>
      <c r="Y338" s="5">
        <v>0</v>
      </c>
      <c r="Z338" s="5">
        <v>0</v>
      </c>
      <c r="AA338" s="5">
        <v>1</v>
      </c>
      <c r="AB338" s="5">
        <v>0</v>
      </c>
    </row>
    <row r="339" spans="1:28">
      <c r="A339" s="5">
        <v>50</v>
      </c>
      <c r="B339" s="5">
        <v>0</v>
      </c>
      <c r="C339" s="5">
        <v>0</v>
      </c>
      <c r="D339" s="5">
        <v>1</v>
      </c>
      <c r="E339" s="5">
        <v>210</v>
      </c>
      <c r="F339" s="5">
        <f>ROUND(Source!X313,O339)</f>
        <v>62626.74</v>
      </c>
      <c r="G339" s="5" t="s">
        <v>112</v>
      </c>
      <c r="H339" s="5" t="s">
        <v>113</v>
      </c>
      <c r="I339" s="5"/>
      <c r="J339" s="5"/>
      <c r="K339" s="5">
        <v>210</v>
      </c>
      <c r="L339" s="5">
        <v>25</v>
      </c>
      <c r="M339" s="5">
        <v>3</v>
      </c>
      <c r="N339" s="5" t="s">
        <v>4</v>
      </c>
      <c r="O339" s="5">
        <v>2</v>
      </c>
      <c r="P339" s="5">
        <f>ROUND(Source!DP313,O339)</f>
        <v>2404126.79</v>
      </c>
      <c r="Q339" s="5"/>
      <c r="R339" s="5"/>
      <c r="S339" s="5"/>
      <c r="T339" s="5"/>
      <c r="U339" s="5"/>
      <c r="V339" s="5"/>
      <c r="W339" s="5">
        <v>59401.68</v>
      </c>
      <c r="X339" s="5">
        <v>1</v>
      </c>
      <c r="Y339" s="5">
        <v>59401.68</v>
      </c>
      <c r="Z339" s="5">
        <v>2280490.5699999998</v>
      </c>
      <c r="AA339" s="5">
        <v>1</v>
      </c>
      <c r="AB339" s="5">
        <v>2280490.5699999998</v>
      </c>
    </row>
    <row r="340" spans="1:28">
      <c r="A340" s="5">
        <v>50</v>
      </c>
      <c r="B340" s="5">
        <v>0</v>
      </c>
      <c r="C340" s="5">
        <v>0</v>
      </c>
      <c r="D340" s="5">
        <v>1</v>
      </c>
      <c r="E340" s="5">
        <v>211</v>
      </c>
      <c r="F340" s="5">
        <f>ROUND(Source!Y313,O340)</f>
        <v>39845.019999999997</v>
      </c>
      <c r="G340" s="5" t="s">
        <v>114</v>
      </c>
      <c r="H340" s="5" t="s">
        <v>115</v>
      </c>
      <c r="I340" s="5"/>
      <c r="J340" s="5"/>
      <c r="K340" s="5">
        <v>211</v>
      </c>
      <c r="L340" s="5">
        <v>26</v>
      </c>
      <c r="M340" s="5">
        <v>3</v>
      </c>
      <c r="N340" s="5" t="s">
        <v>4</v>
      </c>
      <c r="O340" s="5">
        <v>2</v>
      </c>
      <c r="P340" s="5">
        <f>ROUND(Source!DQ313,O340)</f>
        <v>1126174.3799999999</v>
      </c>
      <c r="Q340" s="5"/>
      <c r="R340" s="5"/>
      <c r="S340" s="5"/>
      <c r="T340" s="5"/>
      <c r="U340" s="5"/>
      <c r="V340" s="5"/>
      <c r="W340" s="5">
        <v>37829.360000000001</v>
      </c>
      <c r="X340" s="5">
        <v>1</v>
      </c>
      <c r="Y340" s="5">
        <v>37829.360000000001</v>
      </c>
      <c r="Z340" s="5">
        <v>1068387.8899999999</v>
      </c>
      <c r="AA340" s="5">
        <v>1</v>
      </c>
      <c r="AB340" s="5">
        <v>1068387.8899999999</v>
      </c>
    </row>
    <row r="341" spans="1:28">
      <c r="A341" s="5">
        <v>50</v>
      </c>
      <c r="B341" s="5">
        <v>0</v>
      </c>
      <c r="C341" s="5">
        <v>0</v>
      </c>
      <c r="D341" s="5">
        <v>1</v>
      </c>
      <c r="E341" s="5">
        <v>224</v>
      </c>
      <c r="F341" s="5">
        <f>ROUND(Source!AR313,O341)</f>
        <v>2915337.11</v>
      </c>
      <c r="G341" s="5" t="s">
        <v>116</v>
      </c>
      <c r="H341" s="5" t="s">
        <v>117</v>
      </c>
      <c r="I341" s="5"/>
      <c r="J341" s="5"/>
      <c r="K341" s="5">
        <v>224</v>
      </c>
      <c r="L341" s="5">
        <v>27</v>
      </c>
      <c r="M341" s="5">
        <v>3</v>
      </c>
      <c r="N341" s="5" t="s">
        <v>4</v>
      </c>
      <c r="O341" s="5">
        <v>2</v>
      </c>
      <c r="P341" s="5">
        <f>ROUND(Source!EJ313,O341)</f>
        <v>29214205.579999998</v>
      </c>
      <c r="Q341" s="5"/>
      <c r="R341" s="5"/>
      <c r="S341" s="5"/>
      <c r="T341" s="5"/>
      <c r="U341" s="5"/>
      <c r="V341" s="5"/>
      <c r="W341" s="5">
        <v>2790605.62</v>
      </c>
      <c r="X341" s="5">
        <v>1</v>
      </c>
      <c r="Y341" s="5">
        <v>2790605.62</v>
      </c>
      <c r="Z341" s="5">
        <v>28161679.079999998</v>
      </c>
      <c r="AA341" s="5">
        <v>1</v>
      </c>
      <c r="AB341" s="5">
        <v>28161679.079999998</v>
      </c>
    </row>
    <row r="342" spans="1:28">
      <c r="A342" s="5">
        <v>50</v>
      </c>
      <c r="B342" s="5">
        <v>1</v>
      </c>
      <c r="C342" s="5">
        <v>0</v>
      </c>
      <c r="D342" s="5">
        <v>2</v>
      </c>
      <c r="E342" s="5">
        <v>0</v>
      </c>
      <c r="F342" s="5">
        <f>F341-F343-F344</f>
        <v>326533.23999999976</v>
      </c>
      <c r="G342" s="5" t="s">
        <v>316</v>
      </c>
      <c r="H342" s="5" t="s">
        <v>24</v>
      </c>
      <c r="I342" s="5"/>
      <c r="J342" s="5"/>
      <c r="K342" s="5">
        <v>212</v>
      </c>
      <c r="L342" s="5">
        <v>28</v>
      </c>
      <c r="M342" s="5">
        <v>0</v>
      </c>
      <c r="N342" s="5" t="s">
        <v>4</v>
      </c>
      <c r="O342" s="5">
        <v>-1</v>
      </c>
      <c r="P342" s="5">
        <f>P341-P343-P344</f>
        <v>2724201.1499999985</v>
      </c>
      <c r="Q342" s="5"/>
      <c r="R342" s="5"/>
      <c r="S342" s="5"/>
      <c r="T342" s="5"/>
      <c r="U342" s="5"/>
      <c r="V342" s="5"/>
      <c r="W342" s="5">
        <v>326533.24</v>
      </c>
      <c r="X342" s="5">
        <v>1</v>
      </c>
      <c r="Y342" s="5">
        <v>326533.24</v>
      </c>
      <c r="Z342" s="5">
        <v>2724201.15</v>
      </c>
      <c r="AA342" s="5">
        <v>1</v>
      </c>
      <c r="AB342" s="5">
        <v>2724201.15</v>
      </c>
    </row>
    <row r="343" spans="1:28">
      <c r="A343" s="5">
        <v>50</v>
      </c>
      <c r="B343" s="5">
        <v>1</v>
      </c>
      <c r="C343" s="5">
        <v>0</v>
      </c>
      <c r="D343" s="5">
        <v>2</v>
      </c>
      <c r="E343" s="5">
        <v>0</v>
      </c>
      <c r="F343" s="5">
        <f>ROUND(F301,O343)</f>
        <v>2588803.87</v>
      </c>
      <c r="G343" s="5" t="s">
        <v>317</v>
      </c>
      <c r="H343" s="5" t="s">
        <v>207</v>
      </c>
      <c r="I343" s="5"/>
      <c r="J343" s="5"/>
      <c r="K343" s="5">
        <v>212</v>
      </c>
      <c r="L343" s="5">
        <v>29</v>
      </c>
      <c r="M343" s="5">
        <v>0</v>
      </c>
      <c r="N343" s="5" t="s">
        <v>4</v>
      </c>
      <c r="O343" s="5">
        <v>2</v>
      </c>
      <c r="P343" s="5">
        <f>ROUND(P301,O343)</f>
        <v>26490004.43</v>
      </c>
      <c r="Q343" s="5"/>
      <c r="R343" s="5"/>
      <c r="S343" s="5"/>
      <c r="T343" s="5"/>
      <c r="U343" s="5"/>
      <c r="V343" s="5"/>
      <c r="W343" s="5">
        <v>2464072.38</v>
      </c>
      <c r="X343" s="5">
        <v>1</v>
      </c>
      <c r="Y343" s="5">
        <v>2464072.38</v>
      </c>
      <c r="Z343" s="5">
        <v>25437477.93</v>
      </c>
      <c r="AA343" s="5">
        <v>1</v>
      </c>
      <c r="AB343" s="5">
        <v>25437477.93</v>
      </c>
    </row>
    <row r="344" spans="1:28">
      <c r="A344" s="5">
        <v>50</v>
      </c>
      <c r="B344" s="5">
        <v>1</v>
      </c>
      <c r="C344" s="5">
        <v>0</v>
      </c>
      <c r="D344" s="5">
        <v>2</v>
      </c>
      <c r="E344" s="5">
        <v>0</v>
      </c>
      <c r="F344" s="5">
        <f>ROUND(F302,O344)</f>
        <v>0</v>
      </c>
      <c r="G344" s="5" t="s">
        <v>318</v>
      </c>
      <c r="H344" s="5" t="s">
        <v>319</v>
      </c>
      <c r="I344" s="5"/>
      <c r="J344" s="5"/>
      <c r="K344" s="5">
        <v>212</v>
      </c>
      <c r="L344" s="5">
        <v>30</v>
      </c>
      <c r="M344" s="5">
        <v>0</v>
      </c>
      <c r="N344" s="5" t="s">
        <v>4</v>
      </c>
      <c r="O344" s="5">
        <v>2</v>
      </c>
      <c r="P344" s="5">
        <f>ROUND(P302,O344)</f>
        <v>0</v>
      </c>
      <c r="Q344" s="5"/>
      <c r="R344" s="5"/>
      <c r="S344" s="5"/>
      <c r="T344" s="5"/>
      <c r="U344" s="5"/>
      <c r="V344" s="5"/>
      <c r="W344" s="5">
        <v>0</v>
      </c>
      <c r="X344" s="5">
        <v>1</v>
      </c>
      <c r="Y344" s="5">
        <v>0</v>
      </c>
      <c r="Z344" s="5">
        <v>0</v>
      </c>
      <c r="AA344" s="5">
        <v>1</v>
      </c>
      <c r="AB344" s="5">
        <v>0</v>
      </c>
    </row>
    <row r="347" spans="1:28">
      <c r="A347">
        <v>70</v>
      </c>
      <c r="B347">
        <v>1</v>
      </c>
      <c r="D347">
        <v>1</v>
      </c>
      <c r="E347" t="s">
        <v>320</v>
      </c>
      <c r="F347" t="s">
        <v>321</v>
      </c>
      <c r="G347">
        <v>0</v>
      </c>
      <c r="H347">
        <v>0</v>
      </c>
      <c r="I347" t="s">
        <v>4</v>
      </c>
      <c r="J347">
        <v>1</v>
      </c>
      <c r="K347">
        <v>0</v>
      </c>
      <c r="L347" t="s">
        <v>4</v>
      </c>
      <c r="M347" t="s">
        <v>4</v>
      </c>
      <c r="N347">
        <v>0</v>
      </c>
      <c r="O347">
        <v>0</v>
      </c>
      <c r="P347" t="s">
        <v>4</v>
      </c>
    </row>
    <row r="348" spans="1:28">
      <c r="A348">
        <v>70</v>
      </c>
      <c r="B348">
        <v>1</v>
      </c>
      <c r="D348">
        <v>2</v>
      </c>
      <c r="E348" t="s">
        <v>322</v>
      </c>
      <c r="F348" t="s">
        <v>323</v>
      </c>
      <c r="G348">
        <v>1</v>
      </c>
      <c r="H348">
        <v>0</v>
      </c>
      <c r="I348" t="s">
        <v>4</v>
      </c>
      <c r="J348">
        <v>1</v>
      </c>
      <c r="K348">
        <v>0</v>
      </c>
      <c r="L348" t="s">
        <v>4</v>
      </c>
      <c r="M348" t="s">
        <v>4</v>
      </c>
      <c r="N348">
        <v>0</v>
      </c>
      <c r="O348">
        <v>1</v>
      </c>
      <c r="P348" t="s">
        <v>4</v>
      </c>
    </row>
    <row r="350" spans="1:28">
      <c r="A350">
        <v>-1</v>
      </c>
    </row>
    <row r="352" spans="1:28">
      <c r="A352" s="4">
        <v>75</v>
      </c>
      <c r="B352" s="4" t="s">
        <v>324</v>
      </c>
      <c r="C352" s="4">
        <v>2025</v>
      </c>
      <c r="D352" s="4">
        <v>0</v>
      </c>
      <c r="E352" s="4">
        <v>1</v>
      </c>
      <c r="F352" s="4"/>
      <c r="G352" s="4">
        <v>0</v>
      </c>
      <c r="H352" s="4">
        <v>2</v>
      </c>
      <c r="I352" s="4">
        <v>1</v>
      </c>
      <c r="J352" s="4">
        <v>1</v>
      </c>
      <c r="K352" s="4">
        <v>95</v>
      </c>
      <c r="L352" s="4">
        <v>65</v>
      </c>
      <c r="M352" s="4">
        <v>1</v>
      </c>
      <c r="N352" s="4">
        <v>70305036</v>
      </c>
      <c r="O352" s="4">
        <v>1</v>
      </c>
    </row>
    <row r="353" spans="1:50">
      <c r="A353" s="6">
        <v>1</v>
      </c>
      <c r="B353" s="6" t="s">
        <v>325</v>
      </c>
      <c r="C353" s="6" t="s">
        <v>326</v>
      </c>
      <c r="D353" s="6">
        <v>2025</v>
      </c>
      <c r="E353" s="6">
        <v>1</v>
      </c>
      <c r="F353" s="6">
        <v>1</v>
      </c>
      <c r="G353" s="6">
        <v>1</v>
      </c>
      <c r="H353" s="6">
        <v>0</v>
      </c>
      <c r="I353" s="6">
        <v>2</v>
      </c>
      <c r="J353" s="6">
        <v>1</v>
      </c>
      <c r="K353" s="6">
        <v>1</v>
      </c>
      <c r="L353" s="6">
        <v>1</v>
      </c>
      <c r="M353" s="6">
        <v>1</v>
      </c>
      <c r="N353" s="6">
        <v>1</v>
      </c>
      <c r="O353" s="6">
        <v>1</v>
      </c>
      <c r="P353" s="6">
        <v>1</v>
      </c>
      <c r="Q353" s="6">
        <v>1</v>
      </c>
      <c r="R353" s="6" t="s">
        <v>4</v>
      </c>
      <c r="S353" s="6" t="s">
        <v>4</v>
      </c>
      <c r="T353" s="6" t="s">
        <v>4</v>
      </c>
      <c r="U353" s="6" t="s">
        <v>4</v>
      </c>
      <c r="V353" s="6" t="s">
        <v>4</v>
      </c>
      <c r="W353" s="6" t="s">
        <v>4</v>
      </c>
      <c r="X353" s="6" t="s">
        <v>4</v>
      </c>
      <c r="Y353" s="6" t="s">
        <v>4</v>
      </c>
      <c r="Z353" s="6" t="s">
        <v>4</v>
      </c>
      <c r="AA353" s="6" t="s">
        <v>327</v>
      </c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>
        <v>70310502</v>
      </c>
      <c r="AO353" s="6"/>
      <c r="AP353" s="6"/>
      <c r="AQ353" s="6"/>
      <c r="AR353" s="6"/>
      <c r="AS353" s="6"/>
      <c r="AT353" s="6"/>
      <c r="AU353" s="6"/>
      <c r="AV353" s="6"/>
      <c r="AW353" s="6"/>
      <c r="AX353" s="6"/>
    </row>
    <row r="354" spans="1:50">
      <c r="A354" s="6">
        <v>1</v>
      </c>
      <c r="B354" s="6" t="s">
        <v>325</v>
      </c>
      <c r="C354" s="6" t="s">
        <v>328</v>
      </c>
      <c r="D354" s="6">
        <v>2025</v>
      </c>
      <c r="E354" s="6">
        <v>1</v>
      </c>
      <c r="F354" s="6">
        <v>1</v>
      </c>
      <c r="G354" s="6">
        <v>1</v>
      </c>
      <c r="H354" s="6">
        <v>0</v>
      </c>
      <c r="I354" s="6">
        <v>2</v>
      </c>
      <c r="J354" s="6">
        <v>1</v>
      </c>
      <c r="K354" s="6">
        <v>1</v>
      </c>
      <c r="L354" s="6">
        <v>1</v>
      </c>
      <c r="M354" s="6">
        <v>1</v>
      </c>
      <c r="N354" s="6">
        <v>1</v>
      </c>
      <c r="O354" s="6">
        <v>1</v>
      </c>
      <c r="P354" s="6">
        <v>1</v>
      </c>
      <c r="Q354" s="6">
        <v>1</v>
      </c>
      <c r="R354" s="6" t="s">
        <v>4</v>
      </c>
      <c r="S354" s="6" t="s">
        <v>4</v>
      </c>
      <c r="T354" s="6" t="s">
        <v>4</v>
      </c>
      <c r="U354" s="6" t="s">
        <v>4</v>
      </c>
      <c r="V354" s="6" t="s">
        <v>4</v>
      </c>
      <c r="W354" s="6" t="s">
        <v>4</v>
      </c>
      <c r="X354" s="6" t="s">
        <v>4</v>
      </c>
      <c r="Y354" s="6" t="s">
        <v>4</v>
      </c>
      <c r="Z354" s="6" t="s">
        <v>4</v>
      </c>
      <c r="AA354" s="6" t="s">
        <v>329</v>
      </c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>
        <v>70310503</v>
      </c>
      <c r="AO354" s="6"/>
      <c r="AP354" s="6"/>
      <c r="AQ354" s="6"/>
      <c r="AR354" s="6"/>
      <c r="AS354" s="6"/>
      <c r="AT354" s="6"/>
      <c r="AU354" s="6"/>
      <c r="AV354" s="6"/>
      <c r="AW354" s="6"/>
      <c r="AX354" s="6"/>
    </row>
    <row r="355" spans="1:50">
      <c r="A355" s="4">
        <v>75</v>
      </c>
      <c r="B355" s="4" t="s">
        <v>330</v>
      </c>
      <c r="C355" s="4">
        <v>2000</v>
      </c>
      <c r="D355" s="4">
        <v>0</v>
      </c>
      <c r="E355" s="4">
        <v>1</v>
      </c>
      <c r="F355" s="4">
        <v>0</v>
      </c>
      <c r="G355" s="4">
        <v>0</v>
      </c>
      <c r="H355" s="4">
        <v>1</v>
      </c>
      <c r="I355" s="4">
        <v>0</v>
      </c>
      <c r="J355" s="4">
        <v>1</v>
      </c>
      <c r="K355" s="4">
        <v>98</v>
      </c>
      <c r="L355" s="4">
        <v>77</v>
      </c>
      <c r="M355" s="4">
        <v>0</v>
      </c>
      <c r="N355" s="4">
        <v>70305038</v>
      </c>
      <c r="O355" s="4">
        <v>2</v>
      </c>
    </row>
    <row r="359" spans="1:50">
      <c r="A359">
        <v>65</v>
      </c>
      <c r="C359">
        <v>1</v>
      </c>
      <c r="D359">
        <v>0</v>
      </c>
      <c r="E359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C57"/>
  <sheetViews>
    <sheetView workbookViewId="0"/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331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4</v>
      </c>
      <c r="I12" s="1">
        <v>0</v>
      </c>
      <c r="J12" s="1" t="s">
        <v>4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4</v>
      </c>
      <c r="V12" s="1">
        <v>0</v>
      </c>
      <c r="W12" s="1" t="s">
        <v>4</v>
      </c>
      <c r="X12" s="1" t="s">
        <v>4</v>
      </c>
      <c r="Y12" s="1" t="s">
        <v>4</v>
      </c>
      <c r="Z12" s="1" t="s">
        <v>4</v>
      </c>
      <c r="AA12" s="1" t="s">
        <v>4</v>
      </c>
      <c r="AB12" s="1" t="s">
        <v>4</v>
      </c>
      <c r="AC12" s="1" t="s">
        <v>4</v>
      </c>
      <c r="AD12" s="1" t="s">
        <v>4</v>
      </c>
      <c r="AE12" s="1" t="s">
        <v>4</v>
      </c>
      <c r="AF12" s="1" t="s">
        <v>4</v>
      </c>
      <c r="AG12" s="1" t="s">
        <v>4</v>
      </c>
      <c r="AH12" s="1" t="s">
        <v>4</v>
      </c>
      <c r="AI12" s="1" t="s">
        <v>4</v>
      </c>
      <c r="AJ12" s="1" t="s">
        <v>4</v>
      </c>
      <c r="AK12" s="1"/>
      <c r="AL12" s="1" t="s">
        <v>4</v>
      </c>
      <c r="AM12" s="1" t="s">
        <v>4</v>
      </c>
      <c r="AN12" s="1" t="s">
        <v>4</v>
      </c>
      <c r="AO12" s="1"/>
      <c r="AP12" s="1" t="s">
        <v>4</v>
      </c>
      <c r="AQ12" s="1" t="s">
        <v>4</v>
      </c>
      <c r="AR12" s="1" t="s">
        <v>4</v>
      </c>
      <c r="AS12" s="1"/>
      <c r="AT12" s="1"/>
      <c r="AU12" s="1"/>
      <c r="AV12" s="1"/>
      <c r="AW12" s="1"/>
      <c r="AX12" s="1" t="s">
        <v>4</v>
      </c>
      <c r="AY12" s="1" t="s">
        <v>4</v>
      </c>
      <c r="AZ12" s="1" t="s">
        <v>4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4</v>
      </c>
      <c r="CJ12" s="1" t="s">
        <v>4</v>
      </c>
      <c r="CK12" s="1">
        <v>75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4</v>
      </c>
      <c r="DA12" s="1" t="s">
        <v>4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>
      <c r="A14" s="1">
        <v>22</v>
      </c>
      <c r="B14" s="1">
        <v>1</v>
      </c>
      <c r="C14" s="1">
        <v>0</v>
      </c>
      <c r="D14" s="1">
        <v>70305036</v>
      </c>
      <c r="E14" s="1">
        <v>70305038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>
      <c r="A16" s="7">
        <v>3</v>
      </c>
      <c r="B16" s="7">
        <v>0</v>
      </c>
      <c r="C16" s="7" t="s">
        <v>14</v>
      </c>
      <c r="D16" s="7" t="s">
        <v>15</v>
      </c>
      <c r="E16" s="8">
        <f>ROUND((Source!P300)/1000,2)</f>
        <v>2724.2</v>
      </c>
      <c r="F16" s="8">
        <f>ROUND((Source!P301)/1000,2)</f>
        <v>26490</v>
      </c>
      <c r="G16" s="8">
        <f>ROUND((Source!P292)/1000,2)</f>
        <v>0</v>
      </c>
      <c r="H16" s="8">
        <f>ROUND((Source!P302)/1000+(Source!P303)/1000,2)</f>
        <v>0</v>
      </c>
      <c r="I16" s="8">
        <f>E16+F16+G16+H16</f>
        <v>29214.2</v>
      </c>
      <c r="J16" s="8">
        <f>ROUND((Source!P298+Source!P297)/1000,2)</f>
        <v>2736.64</v>
      </c>
      <c r="T16" s="9">
        <f>ROUND((Source!F300)/1000,2)</f>
        <v>326.52999999999997</v>
      </c>
      <c r="U16" s="9">
        <f>ROUND((Source!F301)/1000,2)</f>
        <v>2588.8000000000002</v>
      </c>
      <c r="V16" s="9">
        <f>ROUND((Source!F292)/1000,2)</f>
        <v>0</v>
      </c>
      <c r="W16" s="9">
        <f>ROUND((Source!F302)/1000+(Source!F303)/1000,2)</f>
        <v>0</v>
      </c>
      <c r="X16" s="9">
        <f>T16+U16+V16+W16</f>
        <v>2915.33</v>
      </c>
      <c r="Y16" s="9">
        <f>ROUND((Source!F298+Source!F297)/1000,2)</f>
        <v>58.64</v>
      </c>
      <c r="AI16" s="7">
        <v>0</v>
      </c>
      <c r="AJ16" s="7">
        <v>-1</v>
      </c>
      <c r="AK16" s="7" t="s">
        <v>520</v>
      </c>
      <c r="AL16" s="7" t="s">
        <v>4</v>
      </c>
      <c r="AM16" s="7" t="s">
        <v>4</v>
      </c>
      <c r="AN16" s="7">
        <v>0</v>
      </c>
      <c r="AO16" s="7" t="s">
        <v>4</v>
      </c>
      <c r="AP16" s="7" t="s">
        <v>4</v>
      </c>
      <c r="AT16" s="8">
        <v>24612736.379999999</v>
      </c>
      <c r="AU16" s="8">
        <v>21815259.399999999</v>
      </c>
      <c r="AV16" s="8">
        <v>0</v>
      </c>
      <c r="AW16" s="8">
        <v>0</v>
      </c>
      <c r="AX16" s="8">
        <v>0</v>
      </c>
      <c r="AY16" s="8">
        <v>323003.25</v>
      </c>
      <c r="AZ16" s="8">
        <v>125040.14</v>
      </c>
      <c r="BA16" s="8">
        <v>2474473.73</v>
      </c>
      <c r="BB16" s="8">
        <v>2724201.15</v>
      </c>
      <c r="BC16" s="8">
        <v>25437477.93</v>
      </c>
      <c r="BD16" s="8">
        <v>0</v>
      </c>
      <c r="BE16" s="8">
        <v>0</v>
      </c>
      <c r="BF16" s="8">
        <v>4371.5846238999993</v>
      </c>
      <c r="BG16" s="8">
        <v>0</v>
      </c>
      <c r="BH16" s="8">
        <v>0</v>
      </c>
      <c r="BI16" s="8">
        <v>2280490.5699999998</v>
      </c>
      <c r="BJ16" s="8">
        <v>1068387.8899999999</v>
      </c>
      <c r="BK16" s="8">
        <v>28161679.079999998</v>
      </c>
      <c r="BR16" s="9">
        <v>2688685.89</v>
      </c>
      <c r="BS16" s="9">
        <v>2612022.12</v>
      </c>
      <c r="BT16" s="9">
        <v>0</v>
      </c>
      <c r="BU16" s="9">
        <v>0</v>
      </c>
      <c r="BV16" s="9">
        <v>0</v>
      </c>
      <c r="BW16" s="9">
        <v>23643.119999999999</v>
      </c>
      <c r="BX16" s="9">
        <v>2679.24</v>
      </c>
      <c r="BY16" s="9">
        <v>53020.65</v>
      </c>
      <c r="BZ16" s="9">
        <v>326533.24</v>
      </c>
      <c r="CA16" s="9">
        <v>2464072.38</v>
      </c>
      <c r="CB16" s="9">
        <v>0</v>
      </c>
      <c r="CC16" s="9">
        <v>0</v>
      </c>
      <c r="CD16" s="9">
        <v>4371.5846238999993</v>
      </c>
      <c r="CE16" s="9">
        <v>0</v>
      </c>
      <c r="CF16" s="9">
        <v>0</v>
      </c>
      <c r="CG16" s="9">
        <v>59401.68</v>
      </c>
      <c r="CH16" s="9">
        <v>37829.360000000001</v>
      </c>
      <c r="CI16" s="9">
        <v>2790605.62</v>
      </c>
    </row>
    <row r="18" spans="1:40">
      <c r="A18">
        <v>51</v>
      </c>
      <c r="E18" s="10">
        <f>SUMIF(A16:A17,3,E16:E17)</f>
        <v>2724.2</v>
      </c>
      <c r="F18" s="10">
        <f>SUMIF(A16:A17,3,F16:F17)</f>
        <v>26490</v>
      </c>
      <c r="G18" s="10">
        <f>SUMIF(A16:A17,3,G16:G17)</f>
        <v>0</v>
      </c>
      <c r="H18" s="10">
        <f>SUMIF(A16:A17,3,H16:H17)</f>
        <v>0</v>
      </c>
      <c r="I18" s="10">
        <f>SUMIF(A16:A17,3,I16:I17)</f>
        <v>29214.2</v>
      </c>
      <c r="J18" s="10">
        <f>SUMIF(A16:A17,3,J16:J17)</f>
        <v>2736.64</v>
      </c>
      <c r="K18" s="10"/>
      <c r="L18" s="10"/>
      <c r="M18" s="10"/>
      <c r="N18" s="10"/>
      <c r="O18" s="10"/>
      <c r="P18" s="10"/>
      <c r="Q18" s="10"/>
      <c r="R18" s="10"/>
      <c r="S18" s="10"/>
      <c r="T18" s="3">
        <f>SUMIF(A16:A17,3,T16:T17)</f>
        <v>326.52999999999997</v>
      </c>
      <c r="U18" s="3">
        <f>SUMIF(A16:A17,3,U16:U17)</f>
        <v>2588.8000000000002</v>
      </c>
      <c r="V18" s="3">
        <f>SUMIF(A16:A17,3,V16:V17)</f>
        <v>0</v>
      </c>
      <c r="W18" s="3">
        <f>SUMIF(A16:A17,3,W16:W17)</f>
        <v>0</v>
      </c>
      <c r="X18" s="3">
        <f>SUMIF(A16:A17,3,X16:X17)</f>
        <v>2915.33</v>
      </c>
      <c r="Y18" s="3">
        <f>SUMIF(A16:A17,3,Y16:Y17)</f>
        <v>58.64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20" spans="1:40">
      <c r="A20" s="5">
        <v>50</v>
      </c>
      <c r="B20" s="5">
        <v>0</v>
      </c>
      <c r="C20" s="5">
        <v>0</v>
      </c>
      <c r="D20" s="5">
        <v>1</v>
      </c>
      <c r="E20" s="5">
        <v>201</v>
      </c>
      <c r="F20" s="5">
        <v>24612736.379999999</v>
      </c>
      <c r="G20" s="5" t="s">
        <v>64</v>
      </c>
      <c r="H20" s="5" t="s">
        <v>65</v>
      </c>
      <c r="I20" s="5"/>
      <c r="J20" s="5"/>
      <c r="K20" s="5">
        <v>201</v>
      </c>
      <c r="L20" s="5">
        <v>1</v>
      </c>
      <c r="M20" s="5">
        <v>3</v>
      </c>
      <c r="N20" s="5" t="s">
        <v>4</v>
      </c>
      <c r="O20" s="5">
        <v>2</v>
      </c>
      <c r="P20" s="5">
        <v>2688685.89</v>
      </c>
    </row>
    <row r="21" spans="1:40">
      <c r="A21" s="5">
        <v>50</v>
      </c>
      <c r="B21" s="5">
        <v>0</v>
      </c>
      <c r="C21" s="5">
        <v>0</v>
      </c>
      <c r="D21" s="5">
        <v>1</v>
      </c>
      <c r="E21" s="5">
        <v>202</v>
      </c>
      <c r="F21" s="5">
        <v>21815259.399999999</v>
      </c>
      <c r="G21" s="5" t="s">
        <v>66</v>
      </c>
      <c r="H21" s="5" t="s">
        <v>67</v>
      </c>
      <c r="I21" s="5"/>
      <c r="J21" s="5"/>
      <c r="K21" s="5">
        <v>202</v>
      </c>
      <c r="L21" s="5">
        <v>2</v>
      </c>
      <c r="M21" s="5">
        <v>3</v>
      </c>
      <c r="N21" s="5" t="s">
        <v>4</v>
      </c>
      <c r="O21" s="5">
        <v>2</v>
      </c>
      <c r="P21" s="5">
        <v>2612022.12</v>
      </c>
    </row>
    <row r="22" spans="1:40">
      <c r="A22" s="5">
        <v>50</v>
      </c>
      <c r="B22" s="5">
        <v>0</v>
      </c>
      <c r="C22" s="5">
        <v>0</v>
      </c>
      <c r="D22" s="5">
        <v>1</v>
      </c>
      <c r="E22" s="5">
        <v>222</v>
      </c>
      <c r="F22" s="5">
        <v>0</v>
      </c>
      <c r="G22" s="5" t="s">
        <v>68</v>
      </c>
      <c r="H22" s="5" t="s">
        <v>69</v>
      </c>
      <c r="I22" s="5"/>
      <c r="J22" s="5"/>
      <c r="K22" s="5">
        <v>222</v>
      </c>
      <c r="L22" s="5">
        <v>3</v>
      </c>
      <c r="M22" s="5">
        <v>3</v>
      </c>
      <c r="N22" s="5" t="s">
        <v>4</v>
      </c>
      <c r="O22" s="5">
        <v>2</v>
      </c>
      <c r="P22" s="5">
        <v>0</v>
      </c>
    </row>
    <row r="23" spans="1:40">
      <c r="A23" s="5">
        <v>50</v>
      </c>
      <c r="B23" s="5">
        <v>0</v>
      </c>
      <c r="C23" s="5">
        <v>0</v>
      </c>
      <c r="D23" s="5">
        <v>1</v>
      </c>
      <c r="E23" s="5">
        <v>225</v>
      </c>
      <c r="F23" s="5">
        <v>21815259.399999999</v>
      </c>
      <c r="G23" s="5" t="s">
        <v>70</v>
      </c>
      <c r="H23" s="5" t="s">
        <v>71</v>
      </c>
      <c r="I23" s="5"/>
      <c r="J23" s="5"/>
      <c r="K23" s="5">
        <v>225</v>
      </c>
      <c r="L23" s="5">
        <v>4</v>
      </c>
      <c r="M23" s="5">
        <v>3</v>
      </c>
      <c r="N23" s="5" t="s">
        <v>4</v>
      </c>
      <c r="O23" s="5">
        <v>2</v>
      </c>
      <c r="P23" s="5">
        <v>2612022.12</v>
      </c>
    </row>
    <row r="24" spans="1:40">
      <c r="A24" s="5">
        <v>50</v>
      </c>
      <c r="B24" s="5">
        <v>0</v>
      </c>
      <c r="C24" s="5">
        <v>0</v>
      </c>
      <c r="D24" s="5">
        <v>1</v>
      </c>
      <c r="E24" s="5">
        <v>226</v>
      </c>
      <c r="F24" s="5">
        <v>21815259.399999999</v>
      </c>
      <c r="G24" s="5" t="s">
        <v>72</v>
      </c>
      <c r="H24" s="5" t="s">
        <v>73</v>
      </c>
      <c r="I24" s="5"/>
      <c r="J24" s="5"/>
      <c r="K24" s="5">
        <v>226</v>
      </c>
      <c r="L24" s="5">
        <v>5</v>
      </c>
      <c r="M24" s="5">
        <v>3</v>
      </c>
      <c r="N24" s="5" t="s">
        <v>4</v>
      </c>
      <c r="O24" s="5">
        <v>2</v>
      </c>
      <c r="P24" s="5">
        <v>2612022.12</v>
      </c>
    </row>
    <row r="25" spans="1:40">
      <c r="A25" s="5">
        <v>50</v>
      </c>
      <c r="B25" s="5">
        <v>0</v>
      </c>
      <c r="C25" s="5">
        <v>0</v>
      </c>
      <c r="D25" s="5">
        <v>1</v>
      </c>
      <c r="E25" s="5">
        <v>227</v>
      </c>
      <c r="F25" s="5">
        <v>0</v>
      </c>
      <c r="G25" s="5" t="s">
        <v>74</v>
      </c>
      <c r="H25" s="5" t="s">
        <v>75</v>
      </c>
      <c r="I25" s="5"/>
      <c r="J25" s="5"/>
      <c r="K25" s="5">
        <v>227</v>
      </c>
      <c r="L25" s="5">
        <v>6</v>
      </c>
      <c r="M25" s="5">
        <v>3</v>
      </c>
      <c r="N25" s="5" t="s">
        <v>4</v>
      </c>
      <c r="O25" s="5">
        <v>2</v>
      </c>
      <c r="P25" s="5">
        <v>0</v>
      </c>
    </row>
    <row r="26" spans="1:40">
      <c r="A26" s="5">
        <v>50</v>
      </c>
      <c r="B26" s="5">
        <v>0</v>
      </c>
      <c r="C26" s="5">
        <v>0</v>
      </c>
      <c r="D26" s="5">
        <v>1</v>
      </c>
      <c r="E26" s="5">
        <v>228</v>
      </c>
      <c r="F26" s="5">
        <v>21815259.399999999</v>
      </c>
      <c r="G26" s="5" t="s">
        <v>76</v>
      </c>
      <c r="H26" s="5" t="s">
        <v>77</v>
      </c>
      <c r="I26" s="5"/>
      <c r="J26" s="5"/>
      <c r="K26" s="5">
        <v>228</v>
      </c>
      <c r="L26" s="5">
        <v>7</v>
      </c>
      <c r="M26" s="5">
        <v>3</v>
      </c>
      <c r="N26" s="5" t="s">
        <v>4</v>
      </c>
      <c r="O26" s="5">
        <v>2</v>
      </c>
      <c r="P26" s="5">
        <v>2612022.12</v>
      </c>
    </row>
    <row r="27" spans="1:40">
      <c r="A27" s="5">
        <v>50</v>
      </c>
      <c r="B27" s="5">
        <v>0</v>
      </c>
      <c r="C27" s="5">
        <v>0</v>
      </c>
      <c r="D27" s="5">
        <v>1</v>
      </c>
      <c r="E27" s="5">
        <v>216</v>
      </c>
      <c r="F27" s="5">
        <v>0</v>
      </c>
      <c r="G27" s="5" t="s">
        <v>78</v>
      </c>
      <c r="H27" s="5" t="s">
        <v>79</v>
      </c>
      <c r="I27" s="5"/>
      <c r="J27" s="5"/>
      <c r="K27" s="5">
        <v>216</v>
      </c>
      <c r="L27" s="5">
        <v>8</v>
      </c>
      <c r="M27" s="5">
        <v>3</v>
      </c>
      <c r="N27" s="5" t="s">
        <v>4</v>
      </c>
      <c r="O27" s="5">
        <v>2</v>
      </c>
      <c r="P27" s="5">
        <v>0</v>
      </c>
    </row>
    <row r="28" spans="1:40">
      <c r="A28" s="5">
        <v>50</v>
      </c>
      <c r="B28" s="5">
        <v>0</v>
      </c>
      <c r="C28" s="5">
        <v>0</v>
      </c>
      <c r="D28" s="5">
        <v>1</v>
      </c>
      <c r="E28" s="5">
        <v>223</v>
      </c>
      <c r="F28" s="5">
        <v>0</v>
      </c>
      <c r="G28" s="5" t="s">
        <v>80</v>
      </c>
      <c r="H28" s="5" t="s">
        <v>81</v>
      </c>
      <c r="I28" s="5"/>
      <c r="J28" s="5"/>
      <c r="K28" s="5">
        <v>223</v>
      </c>
      <c r="L28" s="5">
        <v>9</v>
      </c>
      <c r="M28" s="5">
        <v>3</v>
      </c>
      <c r="N28" s="5" t="s">
        <v>4</v>
      </c>
      <c r="O28" s="5">
        <v>2</v>
      </c>
      <c r="P28" s="5">
        <v>0</v>
      </c>
    </row>
    <row r="29" spans="1:40">
      <c r="A29" s="5">
        <v>50</v>
      </c>
      <c r="B29" s="5">
        <v>0</v>
      </c>
      <c r="C29" s="5">
        <v>0</v>
      </c>
      <c r="D29" s="5">
        <v>1</v>
      </c>
      <c r="E29" s="5">
        <v>229</v>
      </c>
      <c r="F29" s="5">
        <v>0</v>
      </c>
      <c r="G29" s="5" t="s">
        <v>82</v>
      </c>
      <c r="H29" s="5" t="s">
        <v>83</v>
      </c>
      <c r="I29" s="5"/>
      <c r="J29" s="5"/>
      <c r="K29" s="5">
        <v>229</v>
      </c>
      <c r="L29" s="5">
        <v>10</v>
      </c>
      <c r="M29" s="5">
        <v>3</v>
      </c>
      <c r="N29" s="5" t="s">
        <v>4</v>
      </c>
      <c r="O29" s="5">
        <v>2</v>
      </c>
      <c r="P29" s="5">
        <v>0</v>
      </c>
    </row>
    <row r="30" spans="1:40">
      <c r="A30" s="5">
        <v>50</v>
      </c>
      <c r="B30" s="5">
        <v>0</v>
      </c>
      <c r="C30" s="5">
        <v>0</v>
      </c>
      <c r="D30" s="5">
        <v>1</v>
      </c>
      <c r="E30" s="5">
        <v>203</v>
      </c>
      <c r="F30" s="5">
        <v>323003.25</v>
      </c>
      <c r="G30" s="5" t="s">
        <v>84</v>
      </c>
      <c r="H30" s="5" t="s">
        <v>85</v>
      </c>
      <c r="I30" s="5"/>
      <c r="J30" s="5"/>
      <c r="K30" s="5">
        <v>203</v>
      </c>
      <c r="L30" s="5">
        <v>11</v>
      </c>
      <c r="M30" s="5">
        <v>3</v>
      </c>
      <c r="N30" s="5" t="s">
        <v>4</v>
      </c>
      <c r="O30" s="5">
        <v>2</v>
      </c>
      <c r="P30" s="5">
        <v>23643.119999999999</v>
      </c>
    </row>
    <row r="31" spans="1:40">
      <c r="A31" s="5">
        <v>50</v>
      </c>
      <c r="B31" s="5">
        <v>0</v>
      </c>
      <c r="C31" s="5">
        <v>0</v>
      </c>
      <c r="D31" s="5">
        <v>1</v>
      </c>
      <c r="E31" s="5">
        <v>231</v>
      </c>
      <c r="F31" s="5">
        <v>0</v>
      </c>
      <c r="G31" s="5" t="s">
        <v>86</v>
      </c>
      <c r="H31" s="5" t="s">
        <v>87</v>
      </c>
      <c r="I31" s="5"/>
      <c r="J31" s="5"/>
      <c r="K31" s="5">
        <v>231</v>
      </c>
      <c r="L31" s="5">
        <v>12</v>
      </c>
      <c r="M31" s="5">
        <v>3</v>
      </c>
      <c r="N31" s="5" t="s">
        <v>4</v>
      </c>
      <c r="O31" s="5">
        <v>2</v>
      </c>
      <c r="P31" s="5">
        <v>0</v>
      </c>
    </row>
    <row r="32" spans="1:40">
      <c r="A32" s="5">
        <v>50</v>
      </c>
      <c r="B32" s="5">
        <v>0</v>
      </c>
      <c r="C32" s="5">
        <v>0</v>
      </c>
      <c r="D32" s="5">
        <v>1</v>
      </c>
      <c r="E32" s="5">
        <v>204</v>
      </c>
      <c r="F32" s="5">
        <v>125040.14</v>
      </c>
      <c r="G32" s="5" t="s">
        <v>88</v>
      </c>
      <c r="H32" s="5" t="s">
        <v>89</v>
      </c>
      <c r="I32" s="5"/>
      <c r="J32" s="5"/>
      <c r="K32" s="5">
        <v>204</v>
      </c>
      <c r="L32" s="5">
        <v>13</v>
      </c>
      <c r="M32" s="5">
        <v>3</v>
      </c>
      <c r="N32" s="5" t="s">
        <v>4</v>
      </c>
      <c r="O32" s="5">
        <v>2</v>
      </c>
      <c r="P32" s="5">
        <v>2679.24</v>
      </c>
    </row>
    <row r="33" spans="1:16">
      <c r="A33" s="5">
        <v>50</v>
      </c>
      <c r="B33" s="5">
        <v>0</v>
      </c>
      <c r="C33" s="5">
        <v>0</v>
      </c>
      <c r="D33" s="5">
        <v>1</v>
      </c>
      <c r="E33" s="5">
        <v>205</v>
      </c>
      <c r="F33" s="5">
        <v>2474473.73</v>
      </c>
      <c r="G33" s="5" t="s">
        <v>90</v>
      </c>
      <c r="H33" s="5" t="s">
        <v>91</v>
      </c>
      <c r="I33" s="5"/>
      <c r="J33" s="5"/>
      <c r="K33" s="5">
        <v>205</v>
      </c>
      <c r="L33" s="5">
        <v>14</v>
      </c>
      <c r="M33" s="5">
        <v>3</v>
      </c>
      <c r="N33" s="5" t="s">
        <v>4</v>
      </c>
      <c r="O33" s="5">
        <v>2</v>
      </c>
      <c r="P33" s="5">
        <v>53020.65</v>
      </c>
    </row>
    <row r="34" spans="1:16">
      <c r="A34" s="5">
        <v>50</v>
      </c>
      <c r="B34" s="5">
        <v>0</v>
      </c>
      <c r="C34" s="5">
        <v>0</v>
      </c>
      <c r="D34" s="5">
        <v>1</v>
      </c>
      <c r="E34" s="5">
        <v>232</v>
      </c>
      <c r="F34" s="5">
        <v>0</v>
      </c>
      <c r="G34" s="5" t="s">
        <v>92</v>
      </c>
      <c r="H34" s="5" t="s">
        <v>93</v>
      </c>
      <c r="I34" s="5"/>
      <c r="J34" s="5"/>
      <c r="K34" s="5">
        <v>232</v>
      </c>
      <c r="L34" s="5">
        <v>15</v>
      </c>
      <c r="M34" s="5">
        <v>3</v>
      </c>
      <c r="N34" s="5" t="s">
        <v>4</v>
      </c>
      <c r="O34" s="5">
        <v>2</v>
      </c>
      <c r="P34" s="5">
        <v>0</v>
      </c>
    </row>
    <row r="35" spans="1:16">
      <c r="A35" s="5">
        <v>50</v>
      </c>
      <c r="B35" s="5">
        <v>0</v>
      </c>
      <c r="C35" s="5">
        <v>0</v>
      </c>
      <c r="D35" s="5">
        <v>1</v>
      </c>
      <c r="E35" s="5">
        <v>214</v>
      </c>
      <c r="F35" s="5">
        <v>2724201.15</v>
      </c>
      <c r="G35" s="5" t="s">
        <v>94</v>
      </c>
      <c r="H35" s="5" t="s">
        <v>95</v>
      </c>
      <c r="I35" s="5"/>
      <c r="J35" s="5"/>
      <c r="K35" s="5">
        <v>214</v>
      </c>
      <c r="L35" s="5">
        <v>16</v>
      </c>
      <c r="M35" s="5">
        <v>3</v>
      </c>
      <c r="N35" s="5" t="s">
        <v>4</v>
      </c>
      <c r="O35" s="5">
        <v>2</v>
      </c>
      <c r="P35" s="5">
        <v>326533.24</v>
      </c>
    </row>
    <row r="36" spans="1:16">
      <c r="A36" s="5">
        <v>50</v>
      </c>
      <c r="B36" s="5">
        <v>0</v>
      </c>
      <c r="C36" s="5">
        <v>0</v>
      </c>
      <c r="D36" s="5">
        <v>1</v>
      </c>
      <c r="E36" s="5">
        <v>215</v>
      </c>
      <c r="F36" s="5">
        <v>25437477.93</v>
      </c>
      <c r="G36" s="5" t="s">
        <v>96</v>
      </c>
      <c r="H36" s="5" t="s">
        <v>97</v>
      </c>
      <c r="I36" s="5"/>
      <c r="J36" s="5"/>
      <c r="K36" s="5">
        <v>215</v>
      </c>
      <c r="L36" s="5">
        <v>17</v>
      </c>
      <c r="M36" s="5">
        <v>3</v>
      </c>
      <c r="N36" s="5" t="s">
        <v>4</v>
      </c>
      <c r="O36" s="5">
        <v>2</v>
      </c>
      <c r="P36" s="5">
        <v>2464072.38</v>
      </c>
    </row>
    <row r="37" spans="1:16">
      <c r="A37" s="5">
        <v>50</v>
      </c>
      <c r="B37" s="5">
        <v>0</v>
      </c>
      <c r="C37" s="5">
        <v>0</v>
      </c>
      <c r="D37" s="5">
        <v>1</v>
      </c>
      <c r="E37" s="5">
        <v>217</v>
      </c>
      <c r="F37" s="5">
        <v>0</v>
      </c>
      <c r="G37" s="5" t="s">
        <v>98</v>
      </c>
      <c r="H37" s="5" t="s">
        <v>99</v>
      </c>
      <c r="I37" s="5"/>
      <c r="J37" s="5"/>
      <c r="K37" s="5">
        <v>217</v>
      </c>
      <c r="L37" s="5">
        <v>18</v>
      </c>
      <c r="M37" s="5">
        <v>3</v>
      </c>
      <c r="N37" s="5" t="s">
        <v>4</v>
      </c>
      <c r="O37" s="5">
        <v>2</v>
      </c>
      <c r="P37" s="5">
        <v>0</v>
      </c>
    </row>
    <row r="38" spans="1:16">
      <c r="A38" s="5">
        <v>50</v>
      </c>
      <c r="B38" s="5">
        <v>0</v>
      </c>
      <c r="C38" s="5">
        <v>0</v>
      </c>
      <c r="D38" s="5">
        <v>1</v>
      </c>
      <c r="E38" s="5">
        <v>230</v>
      </c>
      <c r="F38" s="5">
        <v>0</v>
      </c>
      <c r="G38" s="5" t="s">
        <v>100</v>
      </c>
      <c r="H38" s="5" t="s">
        <v>101</v>
      </c>
      <c r="I38" s="5"/>
      <c r="J38" s="5"/>
      <c r="K38" s="5">
        <v>230</v>
      </c>
      <c r="L38" s="5">
        <v>19</v>
      </c>
      <c r="M38" s="5">
        <v>3</v>
      </c>
      <c r="N38" s="5" t="s">
        <v>4</v>
      </c>
      <c r="O38" s="5">
        <v>2</v>
      </c>
      <c r="P38" s="5">
        <v>0</v>
      </c>
    </row>
    <row r="39" spans="1:16">
      <c r="A39" s="5">
        <v>50</v>
      </c>
      <c r="B39" s="5">
        <v>0</v>
      </c>
      <c r="C39" s="5">
        <v>0</v>
      </c>
      <c r="D39" s="5">
        <v>1</v>
      </c>
      <c r="E39" s="5">
        <v>206</v>
      </c>
      <c r="F39" s="5">
        <v>0</v>
      </c>
      <c r="G39" s="5" t="s">
        <v>102</v>
      </c>
      <c r="H39" s="5" t="s">
        <v>103</v>
      </c>
      <c r="I39" s="5"/>
      <c r="J39" s="5"/>
      <c r="K39" s="5">
        <v>206</v>
      </c>
      <c r="L39" s="5">
        <v>20</v>
      </c>
      <c r="M39" s="5">
        <v>3</v>
      </c>
      <c r="N39" s="5" t="s">
        <v>4</v>
      </c>
      <c r="O39" s="5">
        <v>2</v>
      </c>
      <c r="P39" s="5">
        <v>0</v>
      </c>
    </row>
    <row r="40" spans="1:16">
      <c r="A40" s="5">
        <v>50</v>
      </c>
      <c r="B40" s="5">
        <v>0</v>
      </c>
      <c r="C40" s="5">
        <v>0</v>
      </c>
      <c r="D40" s="5">
        <v>1</v>
      </c>
      <c r="E40" s="5">
        <v>207</v>
      </c>
      <c r="F40" s="5">
        <v>4371.5846238999993</v>
      </c>
      <c r="G40" s="5" t="s">
        <v>104</v>
      </c>
      <c r="H40" s="5" t="s">
        <v>105</v>
      </c>
      <c r="I40" s="5"/>
      <c r="J40" s="5"/>
      <c r="K40" s="5">
        <v>207</v>
      </c>
      <c r="L40" s="5">
        <v>21</v>
      </c>
      <c r="M40" s="5">
        <v>3</v>
      </c>
      <c r="N40" s="5" t="s">
        <v>4</v>
      </c>
      <c r="O40" s="5">
        <v>-1</v>
      </c>
      <c r="P40" s="5">
        <v>4371.5846238999993</v>
      </c>
    </row>
    <row r="41" spans="1:16">
      <c r="A41" s="5">
        <v>50</v>
      </c>
      <c r="B41" s="5">
        <v>0</v>
      </c>
      <c r="C41" s="5">
        <v>0</v>
      </c>
      <c r="D41" s="5">
        <v>1</v>
      </c>
      <c r="E41" s="5">
        <v>208</v>
      </c>
      <c r="F41" s="5">
        <v>0</v>
      </c>
      <c r="G41" s="5" t="s">
        <v>106</v>
      </c>
      <c r="H41" s="5" t="s">
        <v>107</v>
      </c>
      <c r="I41" s="5"/>
      <c r="J41" s="5"/>
      <c r="K41" s="5">
        <v>208</v>
      </c>
      <c r="L41" s="5">
        <v>22</v>
      </c>
      <c r="M41" s="5">
        <v>3</v>
      </c>
      <c r="N41" s="5" t="s">
        <v>4</v>
      </c>
      <c r="O41" s="5">
        <v>-1</v>
      </c>
      <c r="P41" s="5">
        <v>0</v>
      </c>
    </row>
    <row r="42" spans="1:16">
      <c r="A42" s="5">
        <v>50</v>
      </c>
      <c r="B42" s="5">
        <v>0</v>
      </c>
      <c r="C42" s="5">
        <v>0</v>
      </c>
      <c r="D42" s="5">
        <v>1</v>
      </c>
      <c r="E42" s="5">
        <v>209</v>
      </c>
      <c r="F42" s="5">
        <v>0</v>
      </c>
      <c r="G42" s="5" t="s">
        <v>108</v>
      </c>
      <c r="H42" s="5" t="s">
        <v>109</v>
      </c>
      <c r="I42" s="5"/>
      <c r="J42" s="5"/>
      <c r="K42" s="5">
        <v>209</v>
      </c>
      <c r="L42" s="5">
        <v>23</v>
      </c>
      <c r="M42" s="5">
        <v>3</v>
      </c>
      <c r="N42" s="5" t="s">
        <v>4</v>
      </c>
      <c r="O42" s="5">
        <v>2</v>
      </c>
      <c r="P42" s="5">
        <v>0</v>
      </c>
    </row>
    <row r="43" spans="1:16">
      <c r="A43" s="5">
        <v>50</v>
      </c>
      <c r="B43" s="5">
        <v>0</v>
      </c>
      <c r="C43" s="5">
        <v>0</v>
      </c>
      <c r="D43" s="5">
        <v>1</v>
      </c>
      <c r="E43" s="5">
        <v>233</v>
      </c>
      <c r="F43" s="5">
        <v>0</v>
      </c>
      <c r="G43" s="5" t="s">
        <v>110</v>
      </c>
      <c r="H43" s="5" t="s">
        <v>111</v>
      </c>
      <c r="I43" s="5"/>
      <c r="J43" s="5"/>
      <c r="K43" s="5">
        <v>233</v>
      </c>
      <c r="L43" s="5">
        <v>24</v>
      </c>
      <c r="M43" s="5">
        <v>3</v>
      </c>
      <c r="N43" s="5" t="s">
        <v>4</v>
      </c>
      <c r="O43" s="5">
        <v>2</v>
      </c>
      <c r="P43" s="5">
        <v>0</v>
      </c>
    </row>
    <row r="44" spans="1:16">
      <c r="A44" s="5">
        <v>50</v>
      </c>
      <c r="B44" s="5">
        <v>0</v>
      </c>
      <c r="C44" s="5">
        <v>0</v>
      </c>
      <c r="D44" s="5">
        <v>1</v>
      </c>
      <c r="E44" s="5">
        <v>210</v>
      </c>
      <c r="F44" s="5">
        <v>2280490.5699999998</v>
      </c>
      <c r="G44" s="5" t="s">
        <v>112</v>
      </c>
      <c r="H44" s="5" t="s">
        <v>113</v>
      </c>
      <c r="I44" s="5"/>
      <c r="J44" s="5"/>
      <c r="K44" s="5">
        <v>210</v>
      </c>
      <c r="L44" s="5">
        <v>25</v>
      </c>
      <c r="M44" s="5">
        <v>3</v>
      </c>
      <c r="N44" s="5" t="s">
        <v>4</v>
      </c>
      <c r="O44" s="5">
        <v>2</v>
      </c>
      <c r="P44" s="5">
        <v>59401.68</v>
      </c>
    </row>
    <row r="45" spans="1:16">
      <c r="A45" s="5">
        <v>50</v>
      </c>
      <c r="B45" s="5">
        <v>0</v>
      </c>
      <c r="C45" s="5">
        <v>0</v>
      </c>
      <c r="D45" s="5">
        <v>1</v>
      </c>
      <c r="E45" s="5">
        <v>211</v>
      </c>
      <c r="F45" s="5">
        <v>1068387.8899999999</v>
      </c>
      <c r="G45" s="5" t="s">
        <v>114</v>
      </c>
      <c r="H45" s="5" t="s">
        <v>115</v>
      </c>
      <c r="I45" s="5"/>
      <c r="J45" s="5"/>
      <c r="K45" s="5">
        <v>211</v>
      </c>
      <c r="L45" s="5">
        <v>26</v>
      </c>
      <c r="M45" s="5">
        <v>3</v>
      </c>
      <c r="N45" s="5" t="s">
        <v>4</v>
      </c>
      <c r="O45" s="5">
        <v>2</v>
      </c>
      <c r="P45" s="5">
        <v>37829.360000000001</v>
      </c>
    </row>
    <row r="46" spans="1:16">
      <c r="A46" s="5">
        <v>50</v>
      </c>
      <c r="B46" s="5">
        <v>0</v>
      </c>
      <c r="C46" s="5">
        <v>0</v>
      </c>
      <c r="D46" s="5">
        <v>1</v>
      </c>
      <c r="E46" s="5">
        <v>224</v>
      </c>
      <c r="F46" s="5">
        <v>28161679.079999998</v>
      </c>
      <c r="G46" s="5" t="s">
        <v>116</v>
      </c>
      <c r="H46" s="5" t="s">
        <v>117</v>
      </c>
      <c r="I46" s="5"/>
      <c r="J46" s="5"/>
      <c r="K46" s="5">
        <v>224</v>
      </c>
      <c r="L46" s="5">
        <v>27</v>
      </c>
      <c r="M46" s="5">
        <v>3</v>
      </c>
      <c r="N46" s="5" t="s">
        <v>4</v>
      </c>
      <c r="O46" s="5">
        <v>2</v>
      </c>
      <c r="P46" s="5">
        <v>2790605.62</v>
      </c>
    </row>
    <row r="47" spans="1:16">
      <c r="A47" s="5">
        <v>50</v>
      </c>
      <c r="B47" s="5">
        <v>1</v>
      </c>
      <c r="C47" s="5">
        <v>0</v>
      </c>
      <c r="D47" s="5">
        <v>2</v>
      </c>
      <c r="E47" s="5">
        <v>0</v>
      </c>
      <c r="F47" s="5">
        <v>2724201.15</v>
      </c>
      <c r="G47" s="5" t="s">
        <v>316</v>
      </c>
      <c r="H47" s="5" t="s">
        <v>24</v>
      </c>
      <c r="I47" s="5"/>
      <c r="J47" s="5"/>
      <c r="K47" s="5">
        <v>212</v>
      </c>
      <c r="L47" s="5">
        <v>28</v>
      </c>
      <c r="M47" s="5">
        <v>0</v>
      </c>
      <c r="N47" s="5" t="s">
        <v>4</v>
      </c>
      <c r="O47" s="5">
        <v>-1</v>
      </c>
      <c r="P47" s="5">
        <v>326533.24</v>
      </c>
    </row>
    <row r="48" spans="1:16">
      <c r="A48" s="5">
        <v>50</v>
      </c>
      <c r="B48" s="5">
        <v>1</v>
      </c>
      <c r="C48" s="5">
        <v>0</v>
      </c>
      <c r="D48" s="5">
        <v>2</v>
      </c>
      <c r="E48" s="5">
        <v>0</v>
      </c>
      <c r="F48" s="5">
        <v>25437477.93</v>
      </c>
      <c r="G48" s="5" t="s">
        <v>317</v>
      </c>
      <c r="H48" s="5" t="s">
        <v>207</v>
      </c>
      <c r="I48" s="5"/>
      <c r="J48" s="5"/>
      <c r="K48" s="5">
        <v>212</v>
      </c>
      <c r="L48" s="5">
        <v>29</v>
      </c>
      <c r="M48" s="5">
        <v>0</v>
      </c>
      <c r="N48" s="5" t="s">
        <v>4</v>
      </c>
      <c r="O48" s="5">
        <v>2</v>
      </c>
      <c r="P48" s="5">
        <v>2464072.38</v>
      </c>
    </row>
    <row r="49" spans="1:50">
      <c r="A49" s="5">
        <v>50</v>
      </c>
      <c r="B49" s="5">
        <v>1</v>
      </c>
      <c r="C49" s="5">
        <v>0</v>
      </c>
      <c r="D49" s="5">
        <v>2</v>
      </c>
      <c r="E49" s="5">
        <v>0</v>
      </c>
      <c r="F49" s="5">
        <v>0</v>
      </c>
      <c r="G49" s="5" t="s">
        <v>318</v>
      </c>
      <c r="H49" s="5" t="s">
        <v>319</v>
      </c>
      <c r="I49" s="5"/>
      <c r="J49" s="5"/>
      <c r="K49" s="5">
        <v>212</v>
      </c>
      <c r="L49" s="5">
        <v>30</v>
      </c>
      <c r="M49" s="5">
        <v>0</v>
      </c>
      <c r="N49" s="5" t="s">
        <v>4</v>
      </c>
      <c r="O49" s="5">
        <v>2</v>
      </c>
      <c r="P49" s="5">
        <v>0</v>
      </c>
    </row>
    <row r="51" spans="1:50">
      <c r="A51">
        <v>-1</v>
      </c>
    </row>
    <row r="54" spans="1:50">
      <c r="A54" s="4">
        <v>75</v>
      </c>
      <c r="B54" s="4" t="s">
        <v>324</v>
      </c>
      <c r="C54" s="4">
        <v>2025</v>
      </c>
      <c r="D54" s="4">
        <v>0</v>
      </c>
      <c r="E54" s="4">
        <v>1</v>
      </c>
      <c r="F54" s="4"/>
      <c r="G54" s="4">
        <v>0</v>
      </c>
      <c r="H54" s="4">
        <v>2</v>
      </c>
      <c r="I54" s="4">
        <v>1</v>
      </c>
      <c r="J54" s="4">
        <v>1</v>
      </c>
      <c r="K54" s="4">
        <v>95</v>
      </c>
      <c r="L54" s="4">
        <v>65</v>
      </c>
      <c r="M54" s="4">
        <v>1</v>
      </c>
      <c r="N54" s="4">
        <v>70305036</v>
      </c>
      <c r="O54" s="4">
        <v>1</v>
      </c>
    </row>
    <row r="55" spans="1:50">
      <c r="A55" s="6">
        <v>1</v>
      </c>
      <c r="B55" s="6" t="s">
        <v>325</v>
      </c>
      <c r="C55" s="6" t="s">
        <v>326</v>
      </c>
      <c r="D55" s="6">
        <v>2025</v>
      </c>
      <c r="E55" s="6">
        <v>1</v>
      </c>
      <c r="F55" s="6">
        <v>1</v>
      </c>
      <c r="G55" s="6">
        <v>1</v>
      </c>
      <c r="H55" s="6">
        <v>0</v>
      </c>
      <c r="I55" s="6">
        <v>2</v>
      </c>
      <c r="J55" s="6">
        <v>1</v>
      </c>
      <c r="K55" s="6">
        <v>1</v>
      </c>
      <c r="L55" s="6">
        <v>1</v>
      </c>
      <c r="M55" s="6">
        <v>1</v>
      </c>
      <c r="N55" s="6">
        <v>1</v>
      </c>
      <c r="O55" s="6">
        <v>1</v>
      </c>
      <c r="P55" s="6">
        <v>1</v>
      </c>
      <c r="Q55" s="6">
        <v>1</v>
      </c>
      <c r="R55" s="6" t="s">
        <v>4</v>
      </c>
      <c r="S55" s="6" t="s">
        <v>4</v>
      </c>
      <c r="T55" s="6" t="s">
        <v>4</v>
      </c>
      <c r="U55" s="6" t="s">
        <v>4</v>
      </c>
      <c r="V55" s="6" t="s">
        <v>4</v>
      </c>
      <c r="W55" s="6" t="s">
        <v>4</v>
      </c>
      <c r="X55" s="6" t="s">
        <v>4</v>
      </c>
      <c r="Y55" s="6" t="s">
        <v>4</v>
      </c>
      <c r="Z55" s="6" t="s">
        <v>4</v>
      </c>
      <c r="AA55" s="6" t="s">
        <v>327</v>
      </c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>
        <v>70310502</v>
      </c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1:50">
      <c r="A56" s="6">
        <v>1</v>
      </c>
      <c r="B56" s="6" t="s">
        <v>325</v>
      </c>
      <c r="C56" s="6" t="s">
        <v>328</v>
      </c>
      <c r="D56" s="6">
        <v>2025</v>
      </c>
      <c r="E56" s="6">
        <v>1</v>
      </c>
      <c r="F56" s="6">
        <v>1</v>
      </c>
      <c r="G56" s="6">
        <v>1</v>
      </c>
      <c r="H56" s="6">
        <v>0</v>
      </c>
      <c r="I56" s="6">
        <v>2</v>
      </c>
      <c r="J56" s="6">
        <v>1</v>
      </c>
      <c r="K56" s="6">
        <v>1</v>
      </c>
      <c r="L56" s="6">
        <v>1</v>
      </c>
      <c r="M56" s="6">
        <v>1</v>
      </c>
      <c r="N56" s="6">
        <v>1</v>
      </c>
      <c r="O56" s="6">
        <v>1</v>
      </c>
      <c r="P56" s="6">
        <v>1</v>
      </c>
      <c r="Q56" s="6">
        <v>1</v>
      </c>
      <c r="R56" s="6" t="s">
        <v>4</v>
      </c>
      <c r="S56" s="6" t="s">
        <v>4</v>
      </c>
      <c r="T56" s="6" t="s">
        <v>4</v>
      </c>
      <c r="U56" s="6" t="s">
        <v>4</v>
      </c>
      <c r="V56" s="6" t="s">
        <v>4</v>
      </c>
      <c r="W56" s="6" t="s">
        <v>4</v>
      </c>
      <c r="X56" s="6" t="s">
        <v>4</v>
      </c>
      <c r="Y56" s="6" t="s">
        <v>4</v>
      </c>
      <c r="Z56" s="6" t="s">
        <v>4</v>
      </c>
      <c r="AA56" s="6" t="s">
        <v>329</v>
      </c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>
        <v>70310503</v>
      </c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1:50">
      <c r="A57" s="4">
        <v>75</v>
      </c>
      <c r="B57" s="4" t="s">
        <v>330</v>
      </c>
      <c r="C57" s="4">
        <v>2000</v>
      </c>
      <c r="D57" s="4">
        <v>0</v>
      </c>
      <c r="E57" s="4">
        <v>1</v>
      </c>
      <c r="F57" s="4">
        <v>0</v>
      </c>
      <c r="G57" s="4">
        <v>0</v>
      </c>
      <c r="H57" s="4">
        <v>1</v>
      </c>
      <c r="I57" s="4">
        <v>0</v>
      </c>
      <c r="J57" s="4">
        <v>1</v>
      </c>
      <c r="K57" s="4">
        <v>98</v>
      </c>
      <c r="L57" s="4">
        <v>77</v>
      </c>
      <c r="M57" s="4">
        <v>0</v>
      </c>
      <c r="N57" s="4">
        <v>70305038</v>
      </c>
      <c r="O57" s="4">
        <v>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DO110"/>
  <sheetViews>
    <sheetView workbookViewId="0"/>
  </sheetViews>
  <sheetFormatPr defaultColWidth="9.140625" defaultRowHeight="12.75"/>
  <cols>
    <col min="1" max="256" width="9.140625" customWidth="1"/>
  </cols>
  <sheetData>
    <row r="1" spans="1:119">
      <c r="A1">
        <f>ROW(Source!A78)</f>
        <v>78</v>
      </c>
      <c r="B1">
        <v>70305038</v>
      </c>
      <c r="C1">
        <v>70310504</v>
      </c>
      <c r="D1">
        <v>69275358</v>
      </c>
      <c r="E1">
        <v>1075</v>
      </c>
      <c r="F1">
        <v>1</v>
      </c>
      <c r="G1">
        <v>1075</v>
      </c>
      <c r="H1">
        <v>1</v>
      </c>
      <c r="I1" t="s">
        <v>332</v>
      </c>
      <c r="J1" t="s">
        <v>4</v>
      </c>
      <c r="K1" t="s">
        <v>333</v>
      </c>
      <c r="L1">
        <v>1191</v>
      </c>
      <c r="N1">
        <v>1013</v>
      </c>
      <c r="O1" t="s">
        <v>334</v>
      </c>
      <c r="P1" t="s">
        <v>334</v>
      </c>
      <c r="Q1">
        <v>1</v>
      </c>
      <c r="W1">
        <v>0</v>
      </c>
      <c r="X1">
        <v>476480486</v>
      </c>
      <c r="Y1">
        <f t="shared" ref="Y1:Y32" si="0">AT1</f>
        <v>206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4</v>
      </c>
      <c r="AT1">
        <v>206</v>
      </c>
      <c r="AU1" t="s">
        <v>4</v>
      </c>
      <c r="AV1">
        <v>1</v>
      </c>
      <c r="AW1">
        <v>2</v>
      </c>
      <c r="AX1">
        <v>70310508</v>
      </c>
      <c r="AY1">
        <v>1</v>
      </c>
      <c r="AZ1">
        <v>0</v>
      </c>
      <c r="BA1">
        <v>23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ROUND(AT1*Source!I78*AH1*AL1,2)</f>
        <v>0</v>
      </c>
      <c r="CV1">
        <f>ROUND(Y1*Source!I78,9)</f>
        <v>4.12</v>
      </c>
      <c r="CW1">
        <v>0</v>
      </c>
      <c r="CX1">
        <f>ROUND(Y1*Source!I78,9)</f>
        <v>4.12</v>
      </c>
      <c r="CY1">
        <f>AD1</f>
        <v>0</v>
      </c>
      <c r="CZ1">
        <f>AH1</f>
        <v>0</v>
      </c>
      <c r="DA1">
        <f>AL1</f>
        <v>1</v>
      </c>
      <c r="DB1">
        <f t="shared" ref="DB1:DB32" si="1">ROUND(ROUND(AT1*CZ1,2),6)</f>
        <v>0</v>
      </c>
      <c r="DC1">
        <f t="shared" ref="DC1:DC32" si="2">ROUND(ROUND(AT1*AG1,2),6)</f>
        <v>0</v>
      </c>
      <c r="DD1" t="s">
        <v>4</v>
      </c>
      <c r="DE1" t="s">
        <v>4</v>
      </c>
      <c r="DF1">
        <f t="shared" ref="DF1:DF13" si="3">ROUND(ROUND(AE1,2)*CX1,2)</f>
        <v>0</v>
      </c>
      <c r="DG1">
        <f>ROUND(ROUND(AF1,2)*CX1,2)</f>
        <v>0</v>
      </c>
      <c r="DH1">
        <f>ROUND(ROUND(AG1,2)*CX1,2)</f>
        <v>0</v>
      </c>
      <c r="DI1">
        <f t="shared" ref="DI1:DI32" si="4">ROUND(ROUND(AH1,2)*CX1,2)</f>
        <v>0</v>
      </c>
      <c r="DJ1">
        <f>DI1</f>
        <v>0</v>
      </c>
      <c r="DK1">
        <v>0</v>
      </c>
      <c r="DL1" t="s">
        <v>4</v>
      </c>
      <c r="DM1">
        <v>0</v>
      </c>
      <c r="DN1" t="s">
        <v>4</v>
      </c>
      <c r="DO1">
        <v>0</v>
      </c>
    </row>
    <row r="2" spans="1:119">
      <c r="A2">
        <f>ROW(Source!A78)</f>
        <v>78</v>
      </c>
      <c r="B2">
        <v>70305038</v>
      </c>
      <c r="C2">
        <v>70310504</v>
      </c>
      <c r="D2">
        <v>69364109</v>
      </c>
      <c r="E2">
        <v>1</v>
      </c>
      <c r="F2">
        <v>1</v>
      </c>
      <c r="G2">
        <v>1075</v>
      </c>
      <c r="H2">
        <v>2</v>
      </c>
      <c r="I2" t="s">
        <v>335</v>
      </c>
      <c r="J2" t="s">
        <v>336</v>
      </c>
      <c r="K2" t="s">
        <v>337</v>
      </c>
      <c r="L2">
        <v>1368</v>
      </c>
      <c r="N2">
        <v>1011</v>
      </c>
      <c r="O2" t="s">
        <v>338</v>
      </c>
      <c r="P2" t="s">
        <v>338</v>
      </c>
      <c r="Q2">
        <v>1</v>
      </c>
      <c r="W2">
        <v>0</v>
      </c>
      <c r="X2">
        <v>-1684648454</v>
      </c>
      <c r="Y2">
        <f t="shared" si="0"/>
        <v>100</v>
      </c>
      <c r="AA2">
        <v>0</v>
      </c>
      <c r="AB2">
        <v>34.479999999999997</v>
      </c>
      <c r="AC2">
        <v>12.62</v>
      </c>
      <c r="AD2">
        <v>0</v>
      </c>
      <c r="AE2">
        <v>0</v>
      </c>
      <c r="AF2">
        <v>34.479999999999997</v>
      </c>
      <c r="AG2">
        <v>12.62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4</v>
      </c>
      <c r="AT2">
        <v>100</v>
      </c>
      <c r="AU2" t="s">
        <v>4</v>
      </c>
      <c r="AV2">
        <v>0</v>
      </c>
      <c r="AW2">
        <v>2</v>
      </c>
      <c r="AX2">
        <v>70310509</v>
      </c>
      <c r="AY2">
        <v>1</v>
      </c>
      <c r="AZ2">
        <v>0</v>
      </c>
      <c r="BA2">
        <v>24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ROUND(Y2*Source!I78*DO2,9)</f>
        <v>0</v>
      </c>
      <c r="CX2">
        <f>ROUND(Y2*Source!I78,9)</f>
        <v>2</v>
      </c>
      <c r="CY2">
        <f>AB2</f>
        <v>34.479999999999997</v>
      </c>
      <c r="CZ2">
        <f>AF2</f>
        <v>34.479999999999997</v>
      </c>
      <c r="DA2">
        <f>AJ2</f>
        <v>1</v>
      </c>
      <c r="DB2">
        <f t="shared" si="1"/>
        <v>3448</v>
      </c>
      <c r="DC2">
        <f t="shared" si="2"/>
        <v>1262</v>
      </c>
      <c r="DD2" t="s">
        <v>4</v>
      </c>
      <c r="DE2" t="s">
        <v>4</v>
      </c>
      <c r="DF2">
        <f t="shared" si="3"/>
        <v>0</v>
      </c>
      <c r="DG2">
        <f>ROUND(ROUND(AF2,2)*CX2,2)</f>
        <v>68.959999999999994</v>
      </c>
      <c r="DH2">
        <f>ROUND(ROUND(AG2,2)*CX2,2)</f>
        <v>25.24</v>
      </c>
      <c r="DI2">
        <f t="shared" si="4"/>
        <v>0</v>
      </c>
      <c r="DJ2">
        <f>DG2</f>
        <v>68.959999999999994</v>
      </c>
      <c r="DK2">
        <v>0</v>
      </c>
      <c r="DL2" t="s">
        <v>4</v>
      </c>
      <c r="DM2">
        <v>0</v>
      </c>
      <c r="DN2" t="s">
        <v>4</v>
      </c>
      <c r="DO2">
        <v>0</v>
      </c>
    </row>
    <row r="3" spans="1:119">
      <c r="A3">
        <f>ROW(Source!A78)</f>
        <v>78</v>
      </c>
      <c r="B3">
        <v>70305038</v>
      </c>
      <c r="C3">
        <v>70310504</v>
      </c>
      <c r="D3">
        <v>69364591</v>
      </c>
      <c r="E3">
        <v>1</v>
      </c>
      <c r="F3">
        <v>1</v>
      </c>
      <c r="G3">
        <v>1075</v>
      </c>
      <c r="H3">
        <v>2</v>
      </c>
      <c r="I3" t="s">
        <v>339</v>
      </c>
      <c r="J3" t="s">
        <v>340</v>
      </c>
      <c r="K3" t="s">
        <v>341</v>
      </c>
      <c r="L3">
        <v>1368</v>
      </c>
      <c r="N3">
        <v>1011</v>
      </c>
      <c r="O3" t="s">
        <v>338</v>
      </c>
      <c r="P3" t="s">
        <v>338</v>
      </c>
      <c r="Q3">
        <v>1</v>
      </c>
      <c r="W3">
        <v>0</v>
      </c>
      <c r="X3">
        <v>-710101739</v>
      </c>
      <c r="Y3">
        <f t="shared" si="0"/>
        <v>200</v>
      </c>
      <c r="AA3">
        <v>0</v>
      </c>
      <c r="AB3">
        <v>0.5</v>
      </c>
      <c r="AC3">
        <v>0</v>
      </c>
      <c r="AD3">
        <v>0</v>
      </c>
      <c r="AE3">
        <v>0</v>
      </c>
      <c r="AF3">
        <v>0.5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4</v>
      </c>
      <c r="AT3">
        <v>200</v>
      </c>
      <c r="AU3" t="s">
        <v>4</v>
      </c>
      <c r="AV3">
        <v>0</v>
      </c>
      <c r="AW3">
        <v>2</v>
      </c>
      <c r="AX3">
        <v>70310510</v>
      </c>
      <c r="AY3">
        <v>1</v>
      </c>
      <c r="AZ3">
        <v>0</v>
      </c>
      <c r="BA3">
        <v>25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ROUND(Y3*Source!I78*DO3,9)</f>
        <v>0</v>
      </c>
      <c r="CX3">
        <f>ROUND(Y3*Source!I78,9)</f>
        <v>4</v>
      </c>
      <c r="CY3">
        <f>AB3</f>
        <v>0.5</v>
      </c>
      <c r="CZ3">
        <f>AF3</f>
        <v>0.5</v>
      </c>
      <c r="DA3">
        <f>AJ3</f>
        <v>1</v>
      </c>
      <c r="DB3">
        <f t="shared" si="1"/>
        <v>100</v>
      </c>
      <c r="DC3">
        <f t="shared" si="2"/>
        <v>0</v>
      </c>
      <c r="DD3" t="s">
        <v>4</v>
      </c>
      <c r="DE3" t="s">
        <v>4</v>
      </c>
      <c r="DF3">
        <f t="shared" si="3"/>
        <v>0</v>
      </c>
      <c r="DG3">
        <f>ROUND(ROUND(AF3,2)*CX3,2)</f>
        <v>2</v>
      </c>
      <c r="DH3">
        <f>ROUND(ROUND(AG3,2)*CX3,2)</f>
        <v>0</v>
      </c>
      <c r="DI3">
        <f t="shared" si="4"/>
        <v>0</v>
      </c>
      <c r="DJ3">
        <f>DG3</f>
        <v>2</v>
      </c>
      <c r="DK3">
        <v>0</v>
      </c>
      <c r="DL3" t="s">
        <v>4</v>
      </c>
      <c r="DM3">
        <v>0</v>
      </c>
      <c r="DN3" t="s">
        <v>4</v>
      </c>
      <c r="DO3">
        <v>0</v>
      </c>
    </row>
    <row r="4" spans="1:119">
      <c r="A4">
        <f>ROW(Source!A79)</f>
        <v>79</v>
      </c>
      <c r="B4">
        <v>70305036</v>
      </c>
      <c r="C4">
        <v>70310504</v>
      </c>
      <c r="D4">
        <v>69275358</v>
      </c>
      <c r="E4">
        <v>1075</v>
      </c>
      <c r="F4">
        <v>1</v>
      </c>
      <c r="G4">
        <v>1075</v>
      </c>
      <c r="H4">
        <v>1</v>
      </c>
      <c r="I4" t="s">
        <v>332</v>
      </c>
      <c r="J4" t="s">
        <v>4</v>
      </c>
      <c r="K4" t="s">
        <v>333</v>
      </c>
      <c r="L4">
        <v>1191</v>
      </c>
      <c r="N4">
        <v>1013</v>
      </c>
      <c r="O4" t="s">
        <v>334</v>
      </c>
      <c r="P4" t="s">
        <v>334</v>
      </c>
      <c r="Q4">
        <v>1</v>
      </c>
      <c r="W4">
        <v>0</v>
      </c>
      <c r="X4">
        <v>476480486</v>
      </c>
      <c r="Y4">
        <f t="shared" si="0"/>
        <v>206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4</v>
      </c>
      <c r="AT4">
        <v>206</v>
      </c>
      <c r="AU4" t="s">
        <v>4</v>
      </c>
      <c r="AV4">
        <v>1</v>
      </c>
      <c r="AW4">
        <v>2</v>
      </c>
      <c r="AX4">
        <v>70310508</v>
      </c>
      <c r="AY4">
        <v>1</v>
      </c>
      <c r="AZ4">
        <v>0</v>
      </c>
      <c r="BA4">
        <v>26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U4">
        <f>ROUND(AT4*Source!I79*AH4*AL4,2)</f>
        <v>0</v>
      </c>
      <c r="CV4">
        <f>ROUND(Y4*Source!I79,9)</f>
        <v>4.12</v>
      </c>
      <c r="CW4">
        <v>0</v>
      </c>
      <c r="CX4">
        <f>ROUND(Y4*Source!I79,9)</f>
        <v>4.12</v>
      </c>
      <c r="CY4">
        <f>AD4</f>
        <v>0</v>
      </c>
      <c r="CZ4">
        <f>AH4</f>
        <v>0</v>
      </c>
      <c r="DA4">
        <f>AL4</f>
        <v>1</v>
      </c>
      <c r="DB4">
        <f t="shared" si="1"/>
        <v>0</v>
      </c>
      <c r="DC4">
        <f t="shared" si="2"/>
        <v>0</v>
      </c>
      <c r="DD4" t="s">
        <v>4</v>
      </c>
      <c r="DE4" t="s">
        <v>4</v>
      </c>
      <c r="DF4">
        <f t="shared" si="3"/>
        <v>0</v>
      </c>
      <c r="DG4">
        <f>ROUND(ROUND(AF4,2)*CX4,2)</f>
        <v>0</v>
      </c>
      <c r="DH4">
        <f>ROUND(ROUND(AG4,2)*CX4,2)</f>
        <v>0</v>
      </c>
      <c r="DI4">
        <f t="shared" si="4"/>
        <v>0</v>
      </c>
      <c r="DJ4">
        <f>DI4</f>
        <v>0</v>
      </c>
      <c r="DK4">
        <v>0</v>
      </c>
      <c r="DL4" t="s">
        <v>4</v>
      </c>
      <c r="DM4">
        <v>0</v>
      </c>
      <c r="DN4" t="s">
        <v>4</v>
      </c>
      <c r="DO4">
        <v>0</v>
      </c>
    </row>
    <row r="5" spans="1:119">
      <c r="A5">
        <f>ROW(Source!A79)</f>
        <v>79</v>
      </c>
      <c r="B5">
        <v>70305036</v>
      </c>
      <c r="C5">
        <v>70310504</v>
      </c>
      <c r="D5">
        <v>69364109</v>
      </c>
      <c r="E5">
        <v>1</v>
      </c>
      <c r="F5">
        <v>1</v>
      </c>
      <c r="G5">
        <v>1075</v>
      </c>
      <c r="H5">
        <v>2</v>
      </c>
      <c r="I5" t="s">
        <v>335</v>
      </c>
      <c r="J5" t="s">
        <v>336</v>
      </c>
      <c r="K5" t="s">
        <v>337</v>
      </c>
      <c r="L5">
        <v>1368</v>
      </c>
      <c r="N5">
        <v>1011</v>
      </c>
      <c r="O5" t="s">
        <v>338</v>
      </c>
      <c r="P5" t="s">
        <v>338</v>
      </c>
      <c r="Q5">
        <v>1</v>
      </c>
      <c r="W5">
        <v>0</v>
      </c>
      <c r="X5">
        <v>-1684648454</v>
      </c>
      <c r="Y5">
        <f t="shared" si="0"/>
        <v>100</v>
      </c>
      <c r="AA5">
        <v>0</v>
      </c>
      <c r="AB5">
        <v>870.75</v>
      </c>
      <c r="AC5">
        <v>616.66</v>
      </c>
      <c r="AD5">
        <v>0</v>
      </c>
      <c r="AE5">
        <v>0</v>
      </c>
      <c r="AF5">
        <v>34.479999999999997</v>
      </c>
      <c r="AG5">
        <v>12.62</v>
      </c>
      <c r="AH5">
        <v>0</v>
      </c>
      <c r="AI5">
        <v>1</v>
      </c>
      <c r="AJ5">
        <v>24.12</v>
      </c>
      <c r="AK5">
        <v>46.67</v>
      </c>
      <c r="AL5">
        <v>1</v>
      </c>
      <c r="AM5">
        <v>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4</v>
      </c>
      <c r="AT5">
        <v>100</v>
      </c>
      <c r="AU5" t="s">
        <v>4</v>
      </c>
      <c r="AV5">
        <v>0</v>
      </c>
      <c r="AW5">
        <v>2</v>
      </c>
      <c r="AX5">
        <v>70310509</v>
      </c>
      <c r="AY5">
        <v>1</v>
      </c>
      <c r="AZ5">
        <v>0</v>
      </c>
      <c r="BA5">
        <v>27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f>ROUND(Y5*Source!I79*DO5,9)</f>
        <v>0</v>
      </c>
      <c r="CX5">
        <f>ROUND(Y5*Source!I79,9)</f>
        <v>2</v>
      </c>
      <c r="CY5">
        <f>AB5</f>
        <v>870.75</v>
      </c>
      <c r="CZ5">
        <f>AF5</f>
        <v>34.479999999999997</v>
      </c>
      <c r="DA5">
        <f>AJ5</f>
        <v>24.12</v>
      </c>
      <c r="DB5">
        <f t="shared" si="1"/>
        <v>3448</v>
      </c>
      <c r="DC5">
        <f t="shared" si="2"/>
        <v>1262</v>
      </c>
      <c r="DD5" t="s">
        <v>4</v>
      </c>
      <c r="DE5" t="s">
        <v>4</v>
      </c>
      <c r="DF5">
        <f t="shared" si="3"/>
        <v>0</v>
      </c>
      <c r="DG5">
        <f>ROUND(ROUND(AF5*AJ5,2)*CX5,2)</f>
        <v>1663.32</v>
      </c>
      <c r="DH5">
        <f>ROUND(ROUND(AG5*AK5,2)*CX5,2)</f>
        <v>1177.96</v>
      </c>
      <c r="DI5">
        <f t="shared" si="4"/>
        <v>0</v>
      </c>
      <c r="DJ5">
        <f>DG5</f>
        <v>1663.32</v>
      </c>
      <c r="DK5">
        <v>0</v>
      </c>
      <c r="DL5" t="s">
        <v>4</v>
      </c>
      <c r="DM5">
        <v>0</v>
      </c>
      <c r="DN5" t="s">
        <v>4</v>
      </c>
      <c r="DO5">
        <v>0</v>
      </c>
    </row>
    <row r="6" spans="1:119">
      <c r="A6">
        <f>ROW(Source!A79)</f>
        <v>79</v>
      </c>
      <c r="B6">
        <v>70305036</v>
      </c>
      <c r="C6">
        <v>70310504</v>
      </c>
      <c r="D6">
        <v>69364591</v>
      </c>
      <c r="E6">
        <v>1</v>
      </c>
      <c r="F6">
        <v>1</v>
      </c>
      <c r="G6">
        <v>1075</v>
      </c>
      <c r="H6">
        <v>2</v>
      </c>
      <c r="I6" t="s">
        <v>339</v>
      </c>
      <c r="J6" t="s">
        <v>340</v>
      </c>
      <c r="K6" t="s">
        <v>341</v>
      </c>
      <c r="L6">
        <v>1368</v>
      </c>
      <c r="N6">
        <v>1011</v>
      </c>
      <c r="O6" t="s">
        <v>338</v>
      </c>
      <c r="P6" t="s">
        <v>338</v>
      </c>
      <c r="Q6">
        <v>1</v>
      </c>
      <c r="W6">
        <v>0</v>
      </c>
      <c r="X6">
        <v>-710101739</v>
      </c>
      <c r="Y6">
        <f t="shared" si="0"/>
        <v>200</v>
      </c>
      <c r="AA6">
        <v>0</v>
      </c>
      <c r="AB6">
        <v>4.58</v>
      </c>
      <c r="AC6">
        <v>0</v>
      </c>
      <c r="AD6">
        <v>0</v>
      </c>
      <c r="AE6">
        <v>0</v>
      </c>
      <c r="AF6">
        <v>0.5</v>
      </c>
      <c r="AG6">
        <v>0</v>
      </c>
      <c r="AH6">
        <v>0</v>
      </c>
      <c r="AI6">
        <v>1</v>
      </c>
      <c r="AJ6">
        <v>8.74</v>
      </c>
      <c r="AK6">
        <v>46.67</v>
      </c>
      <c r="AL6">
        <v>1</v>
      </c>
      <c r="AM6">
        <v>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4</v>
      </c>
      <c r="AT6">
        <v>200</v>
      </c>
      <c r="AU6" t="s">
        <v>4</v>
      </c>
      <c r="AV6">
        <v>0</v>
      </c>
      <c r="AW6">
        <v>2</v>
      </c>
      <c r="AX6">
        <v>70310510</v>
      </c>
      <c r="AY6">
        <v>1</v>
      </c>
      <c r="AZ6">
        <v>0</v>
      </c>
      <c r="BA6">
        <v>28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f>ROUND(Y6*Source!I79*DO6,9)</f>
        <v>0</v>
      </c>
      <c r="CX6">
        <f>ROUND(Y6*Source!I79,9)</f>
        <v>4</v>
      </c>
      <c r="CY6">
        <f>AB6</f>
        <v>4.58</v>
      </c>
      <c r="CZ6">
        <f>AF6</f>
        <v>0.5</v>
      </c>
      <c r="DA6">
        <f>AJ6</f>
        <v>8.74</v>
      </c>
      <c r="DB6">
        <f t="shared" si="1"/>
        <v>100</v>
      </c>
      <c r="DC6">
        <f t="shared" si="2"/>
        <v>0</v>
      </c>
      <c r="DD6" t="s">
        <v>4</v>
      </c>
      <c r="DE6" t="s">
        <v>4</v>
      </c>
      <c r="DF6">
        <f t="shared" si="3"/>
        <v>0</v>
      </c>
      <c r="DG6">
        <f>ROUND(ROUND(AF6*AJ6,2)*CX6,2)</f>
        <v>17.48</v>
      </c>
      <c r="DH6">
        <f>ROUND(ROUND(AG6*AK6,2)*CX6,2)</f>
        <v>0</v>
      </c>
      <c r="DI6">
        <f t="shared" si="4"/>
        <v>0</v>
      </c>
      <c r="DJ6">
        <f>DG6</f>
        <v>17.48</v>
      </c>
      <c r="DK6">
        <v>0</v>
      </c>
      <c r="DL6" t="s">
        <v>4</v>
      </c>
      <c r="DM6">
        <v>0</v>
      </c>
      <c r="DN6" t="s">
        <v>4</v>
      </c>
      <c r="DO6">
        <v>0</v>
      </c>
    </row>
    <row r="7" spans="1:119">
      <c r="A7">
        <f>ROW(Source!A80)</f>
        <v>80</v>
      </c>
      <c r="B7">
        <v>70305038</v>
      </c>
      <c r="C7">
        <v>70310511</v>
      </c>
      <c r="D7">
        <v>69275358</v>
      </c>
      <c r="E7">
        <v>1075</v>
      </c>
      <c r="F7">
        <v>1</v>
      </c>
      <c r="G7">
        <v>1075</v>
      </c>
      <c r="H7">
        <v>1</v>
      </c>
      <c r="I7" t="s">
        <v>332</v>
      </c>
      <c r="J7" t="s">
        <v>4</v>
      </c>
      <c r="K7" t="s">
        <v>333</v>
      </c>
      <c r="L7">
        <v>1191</v>
      </c>
      <c r="N7">
        <v>1013</v>
      </c>
      <c r="O7" t="s">
        <v>334</v>
      </c>
      <c r="P7" t="s">
        <v>334</v>
      </c>
      <c r="Q7">
        <v>1</v>
      </c>
      <c r="W7">
        <v>0</v>
      </c>
      <c r="X7">
        <v>476480486</v>
      </c>
      <c r="Y7">
        <f t="shared" si="0"/>
        <v>175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4</v>
      </c>
      <c r="AT7">
        <v>175</v>
      </c>
      <c r="AU7" t="s">
        <v>4</v>
      </c>
      <c r="AV7">
        <v>1</v>
      </c>
      <c r="AW7">
        <v>2</v>
      </c>
      <c r="AX7">
        <v>70310518</v>
      </c>
      <c r="AY7">
        <v>1</v>
      </c>
      <c r="AZ7">
        <v>0</v>
      </c>
      <c r="BA7">
        <v>29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U7">
        <f>ROUND(AT7*Source!I80*AH7*AL7,2)</f>
        <v>0</v>
      </c>
      <c r="CV7">
        <f>ROUND(Y7*Source!I80,9)</f>
        <v>0.35</v>
      </c>
      <c r="CW7">
        <v>0</v>
      </c>
      <c r="CX7">
        <f>ROUND(Y7*Source!I80,9)</f>
        <v>0.35</v>
      </c>
      <c r="CY7">
        <f>AD7</f>
        <v>0</v>
      </c>
      <c r="CZ7">
        <f>AH7</f>
        <v>0</v>
      </c>
      <c r="DA7">
        <f>AL7</f>
        <v>1</v>
      </c>
      <c r="DB7">
        <f t="shared" si="1"/>
        <v>0</v>
      </c>
      <c r="DC7">
        <f t="shared" si="2"/>
        <v>0</v>
      </c>
      <c r="DD7" t="s">
        <v>4</v>
      </c>
      <c r="DE7" t="s">
        <v>4</v>
      </c>
      <c r="DF7">
        <f t="shared" si="3"/>
        <v>0</v>
      </c>
      <c r="DG7">
        <f t="shared" ref="DG7:DG50" si="5">ROUND(ROUND(AF7,2)*CX7,2)</f>
        <v>0</v>
      </c>
      <c r="DH7">
        <f t="shared" ref="DH7:DH50" si="6">ROUND(ROUND(AG7,2)*CX7,2)</f>
        <v>0</v>
      </c>
      <c r="DI7">
        <f t="shared" si="4"/>
        <v>0</v>
      </c>
      <c r="DJ7">
        <f>DI7</f>
        <v>0</v>
      </c>
      <c r="DK7">
        <v>0</v>
      </c>
      <c r="DL7" t="s">
        <v>4</v>
      </c>
      <c r="DM7">
        <v>0</v>
      </c>
      <c r="DN7" t="s">
        <v>4</v>
      </c>
      <c r="DO7">
        <v>0</v>
      </c>
    </row>
    <row r="8" spans="1:119">
      <c r="A8">
        <f>ROW(Source!A80)</f>
        <v>80</v>
      </c>
      <c r="B8">
        <v>70305038</v>
      </c>
      <c r="C8">
        <v>70310511</v>
      </c>
      <c r="D8">
        <v>69333711</v>
      </c>
      <c r="E8">
        <v>1</v>
      </c>
      <c r="F8">
        <v>1</v>
      </c>
      <c r="G8">
        <v>1075</v>
      </c>
      <c r="H8">
        <v>3</v>
      </c>
      <c r="I8" t="s">
        <v>342</v>
      </c>
      <c r="J8" t="s">
        <v>343</v>
      </c>
      <c r="K8" t="s">
        <v>344</v>
      </c>
      <c r="L8">
        <v>1339</v>
      </c>
      <c r="N8">
        <v>1007</v>
      </c>
      <c r="O8" t="s">
        <v>52</v>
      </c>
      <c r="P8" t="s">
        <v>52</v>
      </c>
      <c r="Q8">
        <v>1</v>
      </c>
      <c r="W8">
        <v>0</v>
      </c>
      <c r="X8">
        <v>-2118185747</v>
      </c>
      <c r="Y8">
        <f t="shared" si="0"/>
        <v>0.08</v>
      </c>
      <c r="AA8">
        <v>2472.13</v>
      </c>
      <c r="AB8">
        <v>0</v>
      </c>
      <c r="AC8">
        <v>0</v>
      </c>
      <c r="AD8">
        <v>0</v>
      </c>
      <c r="AE8">
        <v>2472.13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4</v>
      </c>
      <c r="AT8">
        <v>0.08</v>
      </c>
      <c r="AU8" t="s">
        <v>4</v>
      </c>
      <c r="AV8">
        <v>0</v>
      </c>
      <c r="AW8">
        <v>2</v>
      </c>
      <c r="AX8">
        <v>70310519</v>
      </c>
      <c r="AY8">
        <v>1</v>
      </c>
      <c r="AZ8">
        <v>0</v>
      </c>
      <c r="BA8">
        <v>30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ROUND(Y8*Source!I80,9)</f>
        <v>1.6000000000000001E-4</v>
      </c>
      <c r="CY8">
        <f>AA8</f>
        <v>2472.13</v>
      </c>
      <c r="CZ8">
        <f>AE8</f>
        <v>2472.13</v>
      </c>
      <c r="DA8">
        <f>AI8</f>
        <v>1</v>
      </c>
      <c r="DB8">
        <f t="shared" si="1"/>
        <v>197.77</v>
      </c>
      <c r="DC8">
        <f t="shared" si="2"/>
        <v>0</v>
      </c>
      <c r="DD8" t="s">
        <v>4</v>
      </c>
      <c r="DE8" t="s">
        <v>4</v>
      </c>
      <c r="DF8">
        <f t="shared" si="3"/>
        <v>0.4</v>
      </c>
      <c r="DG8">
        <f t="shared" si="5"/>
        <v>0</v>
      </c>
      <c r="DH8">
        <f t="shared" si="6"/>
        <v>0</v>
      </c>
      <c r="DI8">
        <f t="shared" si="4"/>
        <v>0</v>
      </c>
      <c r="DJ8">
        <f>DF8</f>
        <v>0.4</v>
      </c>
      <c r="DK8">
        <v>0</v>
      </c>
      <c r="DL8" t="s">
        <v>4</v>
      </c>
      <c r="DM8">
        <v>0</v>
      </c>
      <c r="DN8" t="s">
        <v>4</v>
      </c>
      <c r="DO8">
        <v>0</v>
      </c>
    </row>
    <row r="9" spans="1:119">
      <c r="A9">
        <f>ROW(Source!A80)</f>
        <v>80</v>
      </c>
      <c r="B9">
        <v>70305038</v>
      </c>
      <c r="C9">
        <v>70310511</v>
      </c>
      <c r="D9">
        <v>69341947</v>
      </c>
      <c r="E9">
        <v>1</v>
      </c>
      <c r="F9">
        <v>1</v>
      </c>
      <c r="G9">
        <v>1075</v>
      </c>
      <c r="H9">
        <v>3</v>
      </c>
      <c r="I9" t="s">
        <v>133</v>
      </c>
      <c r="J9" t="s">
        <v>136</v>
      </c>
      <c r="K9" t="s">
        <v>134</v>
      </c>
      <c r="L9">
        <v>1301</v>
      </c>
      <c r="N9">
        <v>1003</v>
      </c>
      <c r="O9" t="s">
        <v>135</v>
      </c>
      <c r="P9" t="s">
        <v>135</v>
      </c>
      <c r="Q9">
        <v>1</v>
      </c>
      <c r="W9">
        <v>1</v>
      </c>
      <c r="X9">
        <v>-1582708316</v>
      </c>
      <c r="Y9">
        <f t="shared" si="0"/>
        <v>-1000</v>
      </c>
      <c r="AA9">
        <v>15.01</v>
      </c>
      <c r="AB9">
        <v>0</v>
      </c>
      <c r="AC9">
        <v>0</v>
      </c>
      <c r="AD9">
        <v>0</v>
      </c>
      <c r="AE9">
        <v>15.01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4</v>
      </c>
      <c r="AT9">
        <v>-1000</v>
      </c>
      <c r="AU9" t="s">
        <v>4</v>
      </c>
      <c r="AV9">
        <v>0</v>
      </c>
      <c r="AW9">
        <v>2</v>
      </c>
      <c r="AX9">
        <v>70310520</v>
      </c>
      <c r="AY9">
        <v>1</v>
      </c>
      <c r="AZ9">
        <v>6144</v>
      </c>
      <c r="BA9">
        <v>31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ROUND(Y9*Source!I80,9)</f>
        <v>-2</v>
      </c>
      <c r="CY9">
        <f>AA9</f>
        <v>15.01</v>
      </c>
      <c r="CZ9">
        <f>AE9</f>
        <v>15.01</v>
      </c>
      <c r="DA9">
        <f>AI9</f>
        <v>1</v>
      </c>
      <c r="DB9">
        <f t="shared" si="1"/>
        <v>-15010</v>
      </c>
      <c r="DC9">
        <f t="shared" si="2"/>
        <v>0</v>
      </c>
      <c r="DD9" t="s">
        <v>4</v>
      </c>
      <c r="DE9" t="s">
        <v>4</v>
      </c>
      <c r="DF9">
        <f t="shared" si="3"/>
        <v>-30.02</v>
      </c>
      <c r="DG9">
        <f t="shared" si="5"/>
        <v>0</v>
      </c>
      <c r="DH9">
        <f t="shared" si="6"/>
        <v>0</v>
      </c>
      <c r="DI9">
        <f t="shared" si="4"/>
        <v>0</v>
      </c>
      <c r="DJ9">
        <f>DF9</f>
        <v>-30.02</v>
      </c>
      <c r="DK9">
        <v>0</v>
      </c>
      <c r="DL9" t="s">
        <v>4</v>
      </c>
      <c r="DM9">
        <v>0</v>
      </c>
      <c r="DN9" t="s">
        <v>4</v>
      </c>
      <c r="DO9">
        <v>0</v>
      </c>
    </row>
    <row r="10" spans="1:119">
      <c r="A10">
        <f>ROW(Source!A80)</f>
        <v>80</v>
      </c>
      <c r="B10">
        <v>70305038</v>
      </c>
      <c r="C10">
        <v>70310511</v>
      </c>
      <c r="D10">
        <v>69341948</v>
      </c>
      <c r="E10">
        <v>1</v>
      </c>
      <c r="F10">
        <v>1</v>
      </c>
      <c r="G10">
        <v>1075</v>
      </c>
      <c r="H10">
        <v>3</v>
      </c>
      <c r="I10" t="s">
        <v>137</v>
      </c>
      <c r="J10" t="s">
        <v>139</v>
      </c>
      <c r="K10" t="s">
        <v>138</v>
      </c>
      <c r="L10">
        <v>1301</v>
      </c>
      <c r="N10">
        <v>1003</v>
      </c>
      <c r="O10" t="s">
        <v>135</v>
      </c>
      <c r="P10" t="s">
        <v>135</v>
      </c>
      <c r="Q10">
        <v>1</v>
      </c>
      <c r="W10">
        <v>0</v>
      </c>
      <c r="X10">
        <v>1329163801</v>
      </c>
      <c r="Y10">
        <f t="shared" si="0"/>
        <v>1000</v>
      </c>
      <c r="AA10">
        <v>24.4</v>
      </c>
      <c r="AB10">
        <v>0</v>
      </c>
      <c r="AC10">
        <v>0</v>
      </c>
      <c r="AD10">
        <v>0</v>
      </c>
      <c r="AE10">
        <v>24.4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0</v>
      </c>
      <c r="AP10">
        <v>1</v>
      </c>
      <c r="AQ10">
        <v>0</v>
      </c>
      <c r="AR10">
        <v>0</v>
      </c>
      <c r="AS10" t="s">
        <v>4</v>
      </c>
      <c r="AT10">
        <v>1000</v>
      </c>
      <c r="AU10" t="s">
        <v>4</v>
      </c>
      <c r="AV10">
        <v>0</v>
      </c>
      <c r="AW10">
        <v>1</v>
      </c>
      <c r="AX10">
        <v>-1</v>
      </c>
      <c r="AY10">
        <v>0</v>
      </c>
      <c r="AZ10">
        <v>0</v>
      </c>
      <c r="BA10" t="s">
        <v>4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ROUND(Y10*Source!I80,9)</f>
        <v>2</v>
      </c>
      <c r="CY10">
        <f>AA10</f>
        <v>24.4</v>
      </c>
      <c r="CZ10">
        <f>AE10</f>
        <v>24.4</v>
      </c>
      <c r="DA10">
        <f>AI10</f>
        <v>1</v>
      </c>
      <c r="DB10">
        <f t="shared" si="1"/>
        <v>24400</v>
      </c>
      <c r="DC10">
        <f t="shared" si="2"/>
        <v>0</v>
      </c>
      <c r="DD10" t="s">
        <v>4</v>
      </c>
      <c r="DE10" t="s">
        <v>4</v>
      </c>
      <c r="DF10">
        <f t="shared" si="3"/>
        <v>48.8</v>
      </c>
      <c r="DG10">
        <f t="shared" si="5"/>
        <v>0</v>
      </c>
      <c r="DH10">
        <f t="shared" si="6"/>
        <v>0</v>
      </c>
      <c r="DI10">
        <f t="shared" si="4"/>
        <v>0</v>
      </c>
      <c r="DJ10">
        <f>DF10</f>
        <v>48.8</v>
      </c>
      <c r="DK10">
        <v>0</v>
      </c>
      <c r="DL10" t="s">
        <v>4</v>
      </c>
      <c r="DM10">
        <v>0</v>
      </c>
      <c r="DN10" t="s">
        <v>4</v>
      </c>
      <c r="DO10">
        <v>0</v>
      </c>
    </row>
    <row r="11" spans="1:119">
      <c r="A11">
        <f>ROW(Source!A80)</f>
        <v>80</v>
      </c>
      <c r="B11">
        <v>70305038</v>
      </c>
      <c r="C11">
        <v>70310511</v>
      </c>
      <c r="D11">
        <v>69341979</v>
      </c>
      <c r="E11">
        <v>1</v>
      </c>
      <c r="F11">
        <v>1</v>
      </c>
      <c r="G11">
        <v>1075</v>
      </c>
      <c r="H11">
        <v>3</v>
      </c>
      <c r="I11" t="s">
        <v>345</v>
      </c>
      <c r="J11" t="s">
        <v>346</v>
      </c>
      <c r="K11" t="s">
        <v>347</v>
      </c>
      <c r="L11">
        <v>1358</v>
      </c>
      <c r="N11">
        <v>1010</v>
      </c>
      <c r="O11" t="s">
        <v>348</v>
      </c>
      <c r="P11" t="s">
        <v>348</v>
      </c>
      <c r="Q11">
        <v>10</v>
      </c>
      <c r="W11">
        <v>0</v>
      </c>
      <c r="X11">
        <v>-970742491</v>
      </c>
      <c r="Y11">
        <f t="shared" si="0"/>
        <v>32</v>
      </c>
      <c r="AA11">
        <v>159.69999999999999</v>
      </c>
      <c r="AB11">
        <v>0</v>
      </c>
      <c r="AC11">
        <v>0</v>
      </c>
      <c r="AD11">
        <v>0</v>
      </c>
      <c r="AE11">
        <v>159.69999999999999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4</v>
      </c>
      <c r="AT11">
        <v>32</v>
      </c>
      <c r="AU11" t="s">
        <v>4</v>
      </c>
      <c r="AV11">
        <v>0</v>
      </c>
      <c r="AW11">
        <v>2</v>
      </c>
      <c r="AX11">
        <v>70310521</v>
      </c>
      <c r="AY11">
        <v>1</v>
      </c>
      <c r="AZ11">
        <v>0</v>
      </c>
      <c r="BA11">
        <v>32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ROUND(Y11*Source!I80,9)</f>
        <v>6.4000000000000001E-2</v>
      </c>
      <c r="CY11">
        <f>AA11</f>
        <v>159.69999999999999</v>
      </c>
      <c r="CZ11">
        <f>AE11</f>
        <v>159.69999999999999</v>
      </c>
      <c r="DA11">
        <f>AI11</f>
        <v>1</v>
      </c>
      <c r="DB11">
        <f t="shared" si="1"/>
        <v>5110.3999999999996</v>
      </c>
      <c r="DC11">
        <f t="shared" si="2"/>
        <v>0</v>
      </c>
      <c r="DD11" t="s">
        <v>4</v>
      </c>
      <c r="DE11" t="s">
        <v>4</v>
      </c>
      <c r="DF11">
        <f t="shared" si="3"/>
        <v>10.220000000000001</v>
      </c>
      <c r="DG11">
        <f t="shared" si="5"/>
        <v>0</v>
      </c>
      <c r="DH11">
        <f t="shared" si="6"/>
        <v>0</v>
      </c>
      <c r="DI11">
        <f t="shared" si="4"/>
        <v>0</v>
      </c>
      <c r="DJ11">
        <f>DF11</f>
        <v>10.220000000000001</v>
      </c>
      <c r="DK11">
        <v>0</v>
      </c>
      <c r="DL11" t="s">
        <v>4</v>
      </c>
      <c r="DM11">
        <v>0</v>
      </c>
      <c r="DN11" t="s">
        <v>4</v>
      </c>
      <c r="DO11">
        <v>0</v>
      </c>
    </row>
    <row r="12" spans="1:119">
      <c r="A12">
        <f>ROW(Source!A80)</f>
        <v>80</v>
      </c>
      <c r="B12">
        <v>70305038</v>
      </c>
      <c r="C12">
        <v>70310511</v>
      </c>
      <c r="D12">
        <v>69358067</v>
      </c>
      <c r="E12">
        <v>1</v>
      </c>
      <c r="F12">
        <v>1</v>
      </c>
      <c r="G12">
        <v>1075</v>
      </c>
      <c r="H12">
        <v>3</v>
      </c>
      <c r="I12" t="s">
        <v>349</v>
      </c>
      <c r="J12" t="s">
        <v>350</v>
      </c>
      <c r="K12" t="s">
        <v>351</v>
      </c>
      <c r="L12">
        <v>1339</v>
      </c>
      <c r="N12">
        <v>1007</v>
      </c>
      <c r="O12" t="s">
        <v>52</v>
      </c>
      <c r="P12" t="s">
        <v>52</v>
      </c>
      <c r="Q12">
        <v>1</v>
      </c>
      <c r="W12">
        <v>0</v>
      </c>
      <c r="X12">
        <v>-453919024</v>
      </c>
      <c r="Y12">
        <f t="shared" si="0"/>
        <v>0.3</v>
      </c>
      <c r="AA12">
        <v>376.21</v>
      </c>
      <c r="AB12">
        <v>0</v>
      </c>
      <c r="AC12">
        <v>0</v>
      </c>
      <c r="AD12">
        <v>0</v>
      </c>
      <c r="AE12">
        <v>376.21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4</v>
      </c>
      <c r="AT12">
        <v>0.3</v>
      </c>
      <c r="AU12" t="s">
        <v>4</v>
      </c>
      <c r="AV12">
        <v>0</v>
      </c>
      <c r="AW12">
        <v>2</v>
      </c>
      <c r="AX12">
        <v>70310522</v>
      </c>
      <c r="AY12">
        <v>1</v>
      </c>
      <c r="AZ12">
        <v>0</v>
      </c>
      <c r="BA12">
        <v>33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ROUND(Y12*Source!I80,9)</f>
        <v>5.9999999999999995E-4</v>
      </c>
      <c r="CY12">
        <f>AA12</f>
        <v>376.21</v>
      </c>
      <c r="CZ12">
        <f>AE12</f>
        <v>376.21</v>
      </c>
      <c r="DA12">
        <f>AI12</f>
        <v>1</v>
      </c>
      <c r="DB12">
        <f t="shared" si="1"/>
        <v>112.86</v>
      </c>
      <c r="DC12">
        <f t="shared" si="2"/>
        <v>0</v>
      </c>
      <c r="DD12" t="s">
        <v>4</v>
      </c>
      <c r="DE12" t="s">
        <v>4</v>
      </c>
      <c r="DF12">
        <f t="shared" si="3"/>
        <v>0.23</v>
      </c>
      <c r="DG12">
        <f t="shared" si="5"/>
        <v>0</v>
      </c>
      <c r="DH12">
        <f t="shared" si="6"/>
        <v>0</v>
      </c>
      <c r="DI12">
        <f t="shared" si="4"/>
        <v>0</v>
      </c>
      <c r="DJ12">
        <f>DF12</f>
        <v>0.23</v>
      </c>
      <c r="DK12">
        <v>0</v>
      </c>
      <c r="DL12" t="s">
        <v>4</v>
      </c>
      <c r="DM12">
        <v>0</v>
      </c>
      <c r="DN12" t="s">
        <v>4</v>
      </c>
      <c r="DO12">
        <v>0</v>
      </c>
    </row>
    <row r="13" spans="1:119">
      <c r="A13">
        <f>ROW(Source!A81)</f>
        <v>81</v>
      </c>
      <c r="B13">
        <v>70305036</v>
      </c>
      <c r="C13">
        <v>70310511</v>
      </c>
      <c r="D13">
        <v>69275358</v>
      </c>
      <c r="E13">
        <v>1075</v>
      </c>
      <c r="F13">
        <v>1</v>
      </c>
      <c r="G13">
        <v>1075</v>
      </c>
      <c r="H13">
        <v>1</v>
      </c>
      <c r="I13" t="s">
        <v>332</v>
      </c>
      <c r="J13" t="s">
        <v>4</v>
      </c>
      <c r="K13" t="s">
        <v>333</v>
      </c>
      <c r="L13">
        <v>1191</v>
      </c>
      <c r="N13">
        <v>1013</v>
      </c>
      <c r="O13" t="s">
        <v>334</v>
      </c>
      <c r="P13" t="s">
        <v>334</v>
      </c>
      <c r="Q13">
        <v>1</v>
      </c>
      <c r="W13">
        <v>0</v>
      </c>
      <c r="X13">
        <v>476480486</v>
      </c>
      <c r="Y13">
        <f t="shared" si="0"/>
        <v>175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4</v>
      </c>
      <c r="AT13">
        <v>175</v>
      </c>
      <c r="AU13" t="s">
        <v>4</v>
      </c>
      <c r="AV13">
        <v>1</v>
      </c>
      <c r="AW13">
        <v>2</v>
      </c>
      <c r="AX13">
        <v>70310518</v>
      </c>
      <c r="AY13">
        <v>1</v>
      </c>
      <c r="AZ13">
        <v>0</v>
      </c>
      <c r="BA13">
        <v>35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U13">
        <f>ROUND(AT13*Source!I81*AH13*AL13,2)</f>
        <v>0</v>
      </c>
      <c r="CV13">
        <f>ROUND(Y13*Source!I81,9)</f>
        <v>0.35</v>
      </c>
      <c r="CW13">
        <v>0</v>
      </c>
      <c r="CX13">
        <f>ROUND(Y13*Source!I81,9)</f>
        <v>0.35</v>
      </c>
      <c r="CY13">
        <f>AD13</f>
        <v>0</v>
      </c>
      <c r="CZ13">
        <f>AH13</f>
        <v>0</v>
      </c>
      <c r="DA13">
        <f>AL13</f>
        <v>1</v>
      </c>
      <c r="DB13">
        <f t="shared" si="1"/>
        <v>0</v>
      </c>
      <c r="DC13">
        <f t="shared" si="2"/>
        <v>0</v>
      </c>
      <c r="DD13" t="s">
        <v>4</v>
      </c>
      <c r="DE13" t="s">
        <v>4</v>
      </c>
      <c r="DF13">
        <f t="shared" si="3"/>
        <v>0</v>
      </c>
      <c r="DG13">
        <f t="shared" si="5"/>
        <v>0</v>
      </c>
      <c r="DH13">
        <f t="shared" si="6"/>
        <v>0</v>
      </c>
      <c r="DI13">
        <f t="shared" si="4"/>
        <v>0</v>
      </c>
      <c r="DJ13">
        <f>DI13</f>
        <v>0</v>
      </c>
      <c r="DK13">
        <v>0</v>
      </c>
      <c r="DL13" t="s">
        <v>4</v>
      </c>
      <c r="DM13">
        <v>0</v>
      </c>
      <c r="DN13" t="s">
        <v>4</v>
      </c>
      <c r="DO13">
        <v>0</v>
      </c>
    </row>
    <row r="14" spans="1:119">
      <c r="A14">
        <f>ROW(Source!A81)</f>
        <v>81</v>
      </c>
      <c r="B14">
        <v>70305036</v>
      </c>
      <c r="C14">
        <v>70310511</v>
      </c>
      <c r="D14">
        <v>69333711</v>
      </c>
      <c r="E14">
        <v>1</v>
      </c>
      <c r="F14">
        <v>1</v>
      </c>
      <c r="G14">
        <v>1075</v>
      </c>
      <c r="H14">
        <v>3</v>
      </c>
      <c r="I14" t="s">
        <v>342</v>
      </c>
      <c r="J14" t="s">
        <v>343</v>
      </c>
      <c r="K14" t="s">
        <v>344</v>
      </c>
      <c r="L14">
        <v>1339</v>
      </c>
      <c r="N14">
        <v>1007</v>
      </c>
      <c r="O14" t="s">
        <v>52</v>
      </c>
      <c r="P14" t="s">
        <v>52</v>
      </c>
      <c r="Q14">
        <v>1</v>
      </c>
      <c r="W14">
        <v>0</v>
      </c>
      <c r="X14">
        <v>-2118185747</v>
      </c>
      <c r="Y14">
        <f t="shared" si="0"/>
        <v>0.08</v>
      </c>
      <c r="AA14">
        <v>8872.2800000000007</v>
      </c>
      <c r="AB14">
        <v>0</v>
      </c>
      <c r="AC14">
        <v>0</v>
      </c>
      <c r="AD14">
        <v>0</v>
      </c>
      <c r="AE14">
        <v>2472.13</v>
      </c>
      <c r="AF14">
        <v>0</v>
      </c>
      <c r="AG14">
        <v>0</v>
      </c>
      <c r="AH14">
        <v>0</v>
      </c>
      <c r="AI14">
        <v>3.32</v>
      </c>
      <c r="AJ14">
        <v>1</v>
      </c>
      <c r="AK14">
        <v>1</v>
      </c>
      <c r="AL14">
        <v>1</v>
      </c>
      <c r="AM14">
        <v>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4</v>
      </c>
      <c r="AT14">
        <v>0.08</v>
      </c>
      <c r="AU14" t="s">
        <v>4</v>
      </c>
      <c r="AV14">
        <v>0</v>
      </c>
      <c r="AW14">
        <v>2</v>
      </c>
      <c r="AX14">
        <v>70310519</v>
      </c>
      <c r="AY14">
        <v>1</v>
      </c>
      <c r="AZ14">
        <v>0</v>
      </c>
      <c r="BA14">
        <v>36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ROUND(Y14*Source!I81,9)</f>
        <v>1.6000000000000001E-4</v>
      </c>
      <c r="CY14">
        <f>AA14</f>
        <v>8872.2800000000007</v>
      </c>
      <c r="CZ14">
        <f>AE14</f>
        <v>2472.13</v>
      </c>
      <c r="DA14">
        <f>AI14</f>
        <v>3.32</v>
      </c>
      <c r="DB14">
        <f t="shared" si="1"/>
        <v>197.77</v>
      </c>
      <c r="DC14">
        <f t="shared" si="2"/>
        <v>0</v>
      </c>
      <c r="DD14" t="s">
        <v>4</v>
      </c>
      <c r="DE14" t="s">
        <v>4</v>
      </c>
      <c r="DF14">
        <f>ROUND(ROUND(AE14*AI14,2)*CX14,2)</f>
        <v>1.31</v>
      </c>
      <c r="DG14">
        <f t="shared" si="5"/>
        <v>0</v>
      </c>
      <c r="DH14">
        <f t="shared" si="6"/>
        <v>0</v>
      </c>
      <c r="DI14">
        <f t="shared" si="4"/>
        <v>0</v>
      </c>
      <c r="DJ14">
        <f>DF14</f>
        <v>1.31</v>
      </c>
      <c r="DK14">
        <v>0</v>
      </c>
      <c r="DL14" t="s">
        <v>4</v>
      </c>
      <c r="DM14">
        <v>0</v>
      </c>
      <c r="DN14" t="s">
        <v>4</v>
      </c>
      <c r="DO14">
        <v>0</v>
      </c>
    </row>
    <row r="15" spans="1:119">
      <c r="A15">
        <f>ROW(Source!A81)</f>
        <v>81</v>
      </c>
      <c r="B15">
        <v>70305036</v>
      </c>
      <c r="C15">
        <v>70310511</v>
      </c>
      <c r="D15">
        <v>69341947</v>
      </c>
      <c r="E15">
        <v>1</v>
      </c>
      <c r="F15">
        <v>1</v>
      </c>
      <c r="G15">
        <v>1075</v>
      </c>
      <c r="H15">
        <v>3</v>
      </c>
      <c r="I15" t="s">
        <v>133</v>
      </c>
      <c r="J15" t="s">
        <v>136</v>
      </c>
      <c r="K15" t="s">
        <v>134</v>
      </c>
      <c r="L15">
        <v>1301</v>
      </c>
      <c r="N15">
        <v>1003</v>
      </c>
      <c r="O15" t="s">
        <v>135</v>
      </c>
      <c r="P15" t="s">
        <v>135</v>
      </c>
      <c r="Q15">
        <v>1</v>
      </c>
      <c r="W15">
        <v>1</v>
      </c>
      <c r="X15">
        <v>-1582708316</v>
      </c>
      <c r="Y15">
        <f t="shared" si="0"/>
        <v>-1000</v>
      </c>
      <c r="AA15">
        <v>148.94999999999999</v>
      </c>
      <c r="AB15">
        <v>0</v>
      </c>
      <c r="AC15">
        <v>0</v>
      </c>
      <c r="AD15">
        <v>0</v>
      </c>
      <c r="AE15">
        <v>15.01</v>
      </c>
      <c r="AF15">
        <v>0</v>
      </c>
      <c r="AG15">
        <v>0</v>
      </c>
      <c r="AH15">
        <v>0</v>
      </c>
      <c r="AI15">
        <v>9.18</v>
      </c>
      <c r="AJ15">
        <v>1</v>
      </c>
      <c r="AK15">
        <v>1</v>
      </c>
      <c r="AL15">
        <v>1</v>
      </c>
      <c r="AM15">
        <v>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4</v>
      </c>
      <c r="AT15">
        <v>-1000</v>
      </c>
      <c r="AU15" t="s">
        <v>4</v>
      </c>
      <c r="AV15">
        <v>0</v>
      </c>
      <c r="AW15">
        <v>2</v>
      </c>
      <c r="AX15">
        <v>70310520</v>
      </c>
      <c r="AY15">
        <v>1</v>
      </c>
      <c r="AZ15">
        <v>6144</v>
      </c>
      <c r="BA15">
        <v>37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ROUND(Y15*Source!I81,9)</f>
        <v>-2</v>
      </c>
      <c r="CY15">
        <f>AA15</f>
        <v>148.94999999999999</v>
      </c>
      <c r="CZ15">
        <f>AE15</f>
        <v>15.01</v>
      </c>
      <c r="DA15">
        <f>AI15</f>
        <v>9.18</v>
      </c>
      <c r="DB15">
        <f t="shared" si="1"/>
        <v>-15010</v>
      </c>
      <c r="DC15">
        <f t="shared" si="2"/>
        <v>0</v>
      </c>
      <c r="DD15" t="s">
        <v>4</v>
      </c>
      <c r="DE15" t="s">
        <v>4</v>
      </c>
      <c r="DF15">
        <f>ROUND(ROUND(AE15*AI15,2)*CX15,2)</f>
        <v>-275.58</v>
      </c>
      <c r="DG15">
        <f t="shared" si="5"/>
        <v>0</v>
      </c>
      <c r="DH15">
        <f t="shared" si="6"/>
        <v>0</v>
      </c>
      <c r="DI15">
        <f t="shared" si="4"/>
        <v>0</v>
      </c>
      <c r="DJ15">
        <f>DF15</f>
        <v>-275.58</v>
      </c>
      <c r="DK15">
        <v>0</v>
      </c>
      <c r="DL15" t="s">
        <v>4</v>
      </c>
      <c r="DM15">
        <v>0</v>
      </c>
      <c r="DN15" t="s">
        <v>4</v>
      </c>
      <c r="DO15">
        <v>0</v>
      </c>
    </row>
    <row r="16" spans="1:119">
      <c r="A16">
        <f>ROW(Source!A81)</f>
        <v>81</v>
      </c>
      <c r="B16">
        <v>70305036</v>
      </c>
      <c r="C16">
        <v>70310511</v>
      </c>
      <c r="D16">
        <v>69341948</v>
      </c>
      <c r="E16">
        <v>1</v>
      </c>
      <c r="F16">
        <v>1</v>
      </c>
      <c r="G16">
        <v>1075</v>
      </c>
      <c r="H16">
        <v>3</v>
      </c>
      <c r="I16" t="s">
        <v>137</v>
      </c>
      <c r="J16" t="s">
        <v>139</v>
      </c>
      <c r="K16" t="s">
        <v>138</v>
      </c>
      <c r="L16">
        <v>1301</v>
      </c>
      <c r="N16">
        <v>1003</v>
      </c>
      <c r="O16" t="s">
        <v>135</v>
      </c>
      <c r="P16" t="s">
        <v>135</v>
      </c>
      <c r="Q16">
        <v>1</v>
      </c>
      <c r="W16">
        <v>0</v>
      </c>
      <c r="X16">
        <v>1329163801</v>
      </c>
      <c r="Y16">
        <f t="shared" si="0"/>
        <v>1000</v>
      </c>
      <c r="AA16">
        <v>226.43</v>
      </c>
      <c r="AB16">
        <v>0</v>
      </c>
      <c r="AC16">
        <v>0</v>
      </c>
      <c r="AD16">
        <v>0</v>
      </c>
      <c r="AE16">
        <v>24.4</v>
      </c>
      <c r="AF16">
        <v>0</v>
      </c>
      <c r="AG16">
        <v>0</v>
      </c>
      <c r="AH16">
        <v>0</v>
      </c>
      <c r="AI16">
        <v>9.2799999999999994</v>
      </c>
      <c r="AJ16">
        <v>1</v>
      </c>
      <c r="AK16">
        <v>1</v>
      </c>
      <c r="AL16">
        <v>1</v>
      </c>
      <c r="AM16">
        <v>0</v>
      </c>
      <c r="AN16">
        <v>0</v>
      </c>
      <c r="AO16">
        <v>0</v>
      </c>
      <c r="AP16">
        <v>1</v>
      </c>
      <c r="AQ16">
        <v>0</v>
      </c>
      <c r="AR16">
        <v>0</v>
      </c>
      <c r="AS16" t="s">
        <v>4</v>
      </c>
      <c r="AT16">
        <v>1000</v>
      </c>
      <c r="AU16" t="s">
        <v>4</v>
      </c>
      <c r="AV16">
        <v>0</v>
      </c>
      <c r="AW16">
        <v>1</v>
      </c>
      <c r="AX16">
        <v>-1</v>
      </c>
      <c r="AY16">
        <v>0</v>
      </c>
      <c r="AZ16">
        <v>0</v>
      </c>
      <c r="BA16" t="s">
        <v>4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ROUND(Y16*Source!I81,9)</f>
        <v>2</v>
      </c>
      <c r="CY16">
        <f>AA16</f>
        <v>226.43</v>
      </c>
      <c r="CZ16">
        <f>AE16</f>
        <v>24.4</v>
      </c>
      <c r="DA16">
        <f>AI16</f>
        <v>9.2799999999999994</v>
      </c>
      <c r="DB16">
        <f t="shared" si="1"/>
        <v>24400</v>
      </c>
      <c r="DC16">
        <f t="shared" si="2"/>
        <v>0</v>
      </c>
      <c r="DD16" t="s">
        <v>4</v>
      </c>
      <c r="DE16" t="s">
        <v>4</v>
      </c>
      <c r="DF16">
        <f>ROUND(ROUND(AE16*AI16,2)*CX16,2)</f>
        <v>452.86</v>
      </c>
      <c r="DG16">
        <f t="shared" si="5"/>
        <v>0</v>
      </c>
      <c r="DH16">
        <f t="shared" si="6"/>
        <v>0</v>
      </c>
      <c r="DI16">
        <f t="shared" si="4"/>
        <v>0</v>
      </c>
      <c r="DJ16">
        <f>DF16</f>
        <v>452.86</v>
      </c>
      <c r="DK16">
        <v>0</v>
      </c>
      <c r="DL16" t="s">
        <v>4</v>
      </c>
      <c r="DM16">
        <v>0</v>
      </c>
      <c r="DN16" t="s">
        <v>4</v>
      </c>
      <c r="DO16">
        <v>0</v>
      </c>
    </row>
    <row r="17" spans="1:119">
      <c r="A17">
        <f>ROW(Source!A81)</f>
        <v>81</v>
      </c>
      <c r="B17">
        <v>70305036</v>
      </c>
      <c r="C17">
        <v>70310511</v>
      </c>
      <c r="D17">
        <v>69341979</v>
      </c>
      <c r="E17">
        <v>1</v>
      </c>
      <c r="F17">
        <v>1</v>
      </c>
      <c r="G17">
        <v>1075</v>
      </c>
      <c r="H17">
        <v>3</v>
      </c>
      <c r="I17" t="s">
        <v>345</v>
      </c>
      <c r="J17" t="s">
        <v>346</v>
      </c>
      <c r="K17" t="s">
        <v>347</v>
      </c>
      <c r="L17">
        <v>1358</v>
      </c>
      <c r="N17">
        <v>1010</v>
      </c>
      <c r="O17" t="s">
        <v>348</v>
      </c>
      <c r="P17" t="s">
        <v>348</v>
      </c>
      <c r="Q17">
        <v>10</v>
      </c>
      <c r="W17">
        <v>0</v>
      </c>
      <c r="X17">
        <v>-970742491</v>
      </c>
      <c r="Y17">
        <f t="shared" si="0"/>
        <v>32</v>
      </c>
      <c r="AA17">
        <v>977.12</v>
      </c>
      <c r="AB17">
        <v>0</v>
      </c>
      <c r="AC17">
        <v>0</v>
      </c>
      <c r="AD17">
        <v>0</v>
      </c>
      <c r="AE17">
        <v>159.69999999999999</v>
      </c>
      <c r="AF17">
        <v>0</v>
      </c>
      <c r="AG17">
        <v>0</v>
      </c>
      <c r="AH17">
        <v>0</v>
      </c>
      <c r="AI17">
        <v>5.66</v>
      </c>
      <c r="AJ17">
        <v>1</v>
      </c>
      <c r="AK17">
        <v>1</v>
      </c>
      <c r="AL17">
        <v>1</v>
      </c>
      <c r="AM17">
        <v>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4</v>
      </c>
      <c r="AT17">
        <v>32</v>
      </c>
      <c r="AU17" t="s">
        <v>4</v>
      </c>
      <c r="AV17">
        <v>0</v>
      </c>
      <c r="AW17">
        <v>2</v>
      </c>
      <c r="AX17">
        <v>70310521</v>
      </c>
      <c r="AY17">
        <v>1</v>
      </c>
      <c r="AZ17">
        <v>0</v>
      </c>
      <c r="BA17">
        <v>38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ROUND(Y17*Source!I81,9)</f>
        <v>6.4000000000000001E-2</v>
      </c>
      <c r="CY17">
        <f>AA17</f>
        <v>977.12</v>
      </c>
      <c r="CZ17">
        <f>AE17</f>
        <v>159.69999999999999</v>
      </c>
      <c r="DA17">
        <f>AI17</f>
        <v>5.66</v>
      </c>
      <c r="DB17">
        <f t="shared" si="1"/>
        <v>5110.3999999999996</v>
      </c>
      <c r="DC17">
        <f t="shared" si="2"/>
        <v>0</v>
      </c>
      <c r="DD17" t="s">
        <v>4</v>
      </c>
      <c r="DE17" t="s">
        <v>4</v>
      </c>
      <c r="DF17">
        <f>ROUND(ROUND(AE17*AI17,2)*CX17,2)</f>
        <v>57.85</v>
      </c>
      <c r="DG17">
        <f t="shared" si="5"/>
        <v>0</v>
      </c>
      <c r="DH17">
        <f t="shared" si="6"/>
        <v>0</v>
      </c>
      <c r="DI17">
        <f t="shared" si="4"/>
        <v>0</v>
      </c>
      <c r="DJ17">
        <f>DF17</f>
        <v>57.85</v>
      </c>
      <c r="DK17">
        <v>0</v>
      </c>
      <c r="DL17" t="s">
        <v>4</v>
      </c>
      <c r="DM17">
        <v>0</v>
      </c>
      <c r="DN17" t="s">
        <v>4</v>
      </c>
      <c r="DO17">
        <v>0</v>
      </c>
    </row>
    <row r="18" spans="1:119">
      <c r="A18">
        <f>ROW(Source!A81)</f>
        <v>81</v>
      </c>
      <c r="B18">
        <v>70305036</v>
      </c>
      <c r="C18">
        <v>70310511</v>
      </c>
      <c r="D18">
        <v>69358067</v>
      </c>
      <c r="E18">
        <v>1</v>
      </c>
      <c r="F18">
        <v>1</v>
      </c>
      <c r="G18">
        <v>1075</v>
      </c>
      <c r="H18">
        <v>3</v>
      </c>
      <c r="I18" t="s">
        <v>349</v>
      </c>
      <c r="J18" t="s">
        <v>350</v>
      </c>
      <c r="K18" t="s">
        <v>351</v>
      </c>
      <c r="L18">
        <v>1339</v>
      </c>
      <c r="N18">
        <v>1007</v>
      </c>
      <c r="O18" t="s">
        <v>52</v>
      </c>
      <c r="P18" t="s">
        <v>52</v>
      </c>
      <c r="Q18">
        <v>1</v>
      </c>
      <c r="W18">
        <v>0</v>
      </c>
      <c r="X18">
        <v>-453919024</v>
      </c>
      <c r="Y18">
        <f t="shared" si="0"/>
        <v>0.3</v>
      </c>
      <c r="AA18">
        <v>5518.69</v>
      </c>
      <c r="AB18">
        <v>0</v>
      </c>
      <c r="AC18">
        <v>0</v>
      </c>
      <c r="AD18">
        <v>0</v>
      </c>
      <c r="AE18">
        <v>376.21</v>
      </c>
      <c r="AF18">
        <v>0</v>
      </c>
      <c r="AG18">
        <v>0</v>
      </c>
      <c r="AH18">
        <v>0</v>
      </c>
      <c r="AI18">
        <v>13.57</v>
      </c>
      <c r="AJ18">
        <v>1</v>
      </c>
      <c r="AK18">
        <v>1</v>
      </c>
      <c r="AL18">
        <v>1</v>
      </c>
      <c r="AM18">
        <v>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4</v>
      </c>
      <c r="AT18">
        <v>0.3</v>
      </c>
      <c r="AU18" t="s">
        <v>4</v>
      </c>
      <c r="AV18">
        <v>0</v>
      </c>
      <c r="AW18">
        <v>2</v>
      </c>
      <c r="AX18">
        <v>70310522</v>
      </c>
      <c r="AY18">
        <v>1</v>
      </c>
      <c r="AZ18">
        <v>0</v>
      </c>
      <c r="BA18">
        <v>39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ROUND(Y18*Source!I81,9)</f>
        <v>5.9999999999999995E-4</v>
      </c>
      <c r="CY18">
        <f>AA18</f>
        <v>5518.69</v>
      </c>
      <c r="CZ18">
        <f>AE18</f>
        <v>376.21</v>
      </c>
      <c r="DA18">
        <f>AI18</f>
        <v>13.57</v>
      </c>
      <c r="DB18">
        <f t="shared" si="1"/>
        <v>112.86</v>
      </c>
      <c r="DC18">
        <f t="shared" si="2"/>
        <v>0</v>
      </c>
      <c r="DD18" t="s">
        <v>4</v>
      </c>
      <c r="DE18" t="s">
        <v>4</v>
      </c>
      <c r="DF18">
        <f>ROUND(ROUND(AE18*AI18,2)*CX18,2)</f>
        <v>3.06</v>
      </c>
      <c r="DG18">
        <f t="shared" si="5"/>
        <v>0</v>
      </c>
      <c r="DH18">
        <f t="shared" si="6"/>
        <v>0</v>
      </c>
      <c r="DI18">
        <f t="shared" si="4"/>
        <v>0</v>
      </c>
      <c r="DJ18">
        <f>DF18</f>
        <v>3.06</v>
      </c>
      <c r="DK18">
        <v>0</v>
      </c>
      <c r="DL18" t="s">
        <v>4</v>
      </c>
      <c r="DM18">
        <v>0</v>
      </c>
      <c r="DN18" t="s">
        <v>4</v>
      </c>
      <c r="DO18">
        <v>0</v>
      </c>
    </row>
    <row r="19" spans="1:119">
      <c r="A19">
        <f>ROW(Source!A86)</f>
        <v>86</v>
      </c>
      <c r="B19">
        <v>70305038</v>
      </c>
      <c r="C19">
        <v>70310669</v>
      </c>
      <c r="D19">
        <v>69275358</v>
      </c>
      <c r="E19">
        <v>1075</v>
      </c>
      <c r="F19">
        <v>1</v>
      </c>
      <c r="G19">
        <v>1075</v>
      </c>
      <c r="H19">
        <v>1</v>
      </c>
      <c r="I19" t="s">
        <v>332</v>
      </c>
      <c r="J19" t="s">
        <v>4</v>
      </c>
      <c r="K19" t="s">
        <v>333</v>
      </c>
      <c r="L19">
        <v>1191</v>
      </c>
      <c r="N19">
        <v>1013</v>
      </c>
      <c r="O19" t="s">
        <v>334</v>
      </c>
      <c r="P19" t="s">
        <v>334</v>
      </c>
      <c r="Q19">
        <v>1</v>
      </c>
      <c r="W19">
        <v>0</v>
      </c>
      <c r="X19">
        <v>476480486</v>
      </c>
      <c r="Y19">
        <f t="shared" si="0"/>
        <v>163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4</v>
      </c>
      <c r="AT19">
        <v>163</v>
      </c>
      <c r="AU19" t="s">
        <v>4</v>
      </c>
      <c r="AV19">
        <v>1</v>
      </c>
      <c r="AW19">
        <v>2</v>
      </c>
      <c r="AX19">
        <v>70310684</v>
      </c>
      <c r="AY19">
        <v>1</v>
      </c>
      <c r="AZ19">
        <v>0</v>
      </c>
      <c r="BA19">
        <v>41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U19">
        <f>ROUND(AT19*Source!I86*AH19*AL19,2)</f>
        <v>0</v>
      </c>
      <c r="CV19">
        <f>ROUND(Y19*Source!I86,9)</f>
        <v>0.97799999999999998</v>
      </c>
      <c r="CW19">
        <v>0</v>
      </c>
      <c r="CX19">
        <f>ROUND(Y19*Source!I86,9)</f>
        <v>0.97799999999999998</v>
      </c>
      <c r="CY19">
        <f>AD19</f>
        <v>0</v>
      </c>
      <c r="CZ19">
        <f>AH19</f>
        <v>0</v>
      </c>
      <c r="DA19">
        <f>AL19</f>
        <v>1</v>
      </c>
      <c r="DB19">
        <f t="shared" si="1"/>
        <v>0</v>
      </c>
      <c r="DC19">
        <f t="shared" si="2"/>
        <v>0</v>
      </c>
      <c r="DD19" t="s">
        <v>4</v>
      </c>
      <c r="DE19" t="s">
        <v>4</v>
      </c>
      <c r="DF19">
        <f t="shared" ref="DF19:DF25" si="7">ROUND(ROUND(AE19,2)*CX19,2)</f>
        <v>0</v>
      </c>
      <c r="DG19">
        <f t="shared" si="5"/>
        <v>0</v>
      </c>
      <c r="DH19">
        <f t="shared" si="6"/>
        <v>0</v>
      </c>
      <c r="DI19">
        <f t="shared" si="4"/>
        <v>0</v>
      </c>
      <c r="DJ19">
        <f>DI19</f>
        <v>0</v>
      </c>
      <c r="DK19">
        <v>0</v>
      </c>
      <c r="DL19" t="s">
        <v>4</v>
      </c>
      <c r="DM19">
        <v>0</v>
      </c>
      <c r="DN19" t="s">
        <v>4</v>
      </c>
      <c r="DO19">
        <v>0</v>
      </c>
    </row>
    <row r="20" spans="1:119">
      <c r="A20">
        <f>ROW(Source!A86)</f>
        <v>86</v>
      </c>
      <c r="B20">
        <v>70305038</v>
      </c>
      <c r="C20">
        <v>70310669</v>
      </c>
      <c r="D20">
        <v>69333711</v>
      </c>
      <c r="E20">
        <v>1</v>
      </c>
      <c r="F20">
        <v>1</v>
      </c>
      <c r="G20">
        <v>1075</v>
      </c>
      <c r="H20">
        <v>3</v>
      </c>
      <c r="I20" t="s">
        <v>342</v>
      </c>
      <c r="J20" t="s">
        <v>343</v>
      </c>
      <c r="K20" t="s">
        <v>344</v>
      </c>
      <c r="L20">
        <v>1339</v>
      </c>
      <c r="N20">
        <v>1007</v>
      </c>
      <c r="O20" t="s">
        <v>52</v>
      </c>
      <c r="P20" t="s">
        <v>52</v>
      </c>
      <c r="Q20">
        <v>1</v>
      </c>
      <c r="W20">
        <v>0</v>
      </c>
      <c r="X20">
        <v>-2118185747</v>
      </c>
      <c r="Y20">
        <f t="shared" si="0"/>
        <v>0.08</v>
      </c>
      <c r="AA20">
        <v>2472.13</v>
      </c>
      <c r="AB20">
        <v>0</v>
      </c>
      <c r="AC20">
        <v>0</v>
      </c>
      <c r="AD20">
        <v>0</v>
      </c>
      <c r="AE20">
        <v>2472.13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4</v>
      </c>
      <c r="AT20">
        <v>0.08</v>
      </c>
      <c r="AU20" t="s">
        <v>4</v>
      </c>
      <c r="AV20">
        <v>0</v>
      </c>
      <c r="AW20">
        <v>2</v>
      </c>
      <c r="AX20">
        <v>70310685</v>
      </c>
      <c r="AY20">
        <v>1</v>
      </c>
      <c r="AZ20">
        <v>0</v>
      </c>
      <c r="BA20">
        <v>42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ROUND(Y20*Source!I86,9)</f>
        <v>4.8000000000000001E-4</v>
      </c>
      <c r="CY20">
        <f>AA20</f>
        <v>2472.13</v>
      </c>
      <c r="CZ20">
        <f>AE20</f>
        <v>2472.13</v>
      </c>
      <c r="DA20">
        <f>AI20</f>
        <v>1</v>
      </c>
      <c r="DB20">
        <f t="shared" si="1"/>
        <v>197.77</v>
      </c>
      <c r="DC20">
        <f t="shared" si="2"/>
        <v>0</v>
      </c>
      <c r="DD20" t="s">
        <v>4</v>
      </c>
      <c r="DE20" t="s">
        <v>4</v>
      </c>
      <c r="DF20">
        <f t="shared" si="7"/>
        <v>1.19</v>
      </c>
      <c r="DG20">
        <f t="shared" si="5"/>
        <v>0</v>
      </c>
      <c r="DH20">
        <f t="shared" si="6"/>
        <v>0</v>
      </c>
      <c r="DI20">
        <f t="shared" si="4"/>
        <v>0</v>
      </c>
      <c r="DJ20">
        <f>DF20</f>
        <v>1.19</v>
      </c>
      <c r="DK20">
        <v>0</v>
      </c>
      <c r="DL20" t="s">
        <v>4</v>
      </c>
      <c r="DM20">
        <v>0</v>
      </c>
      <c r="DN20" t="s">
        <v>4</v>
      </c>
      <c r="DO20">
        <v>0</v>
      </c>
    </row>
    <row r="21" spans="1:119">
      <c r="A21">
        <f>ROW(Source!A86)</f>
        <v>86</v>
      </c>
      <c r="B21">
        <v>70305038</v>
      </c>
      <c r="C21">
        <v>70310669</v>
      </c>
      <c r="D21">
        <v>69341947</v>
      </c>
      <c r="E21">
        <v>1</v>
      </c>
      <c r="F21">
        <v>1</v>
      </c>
      <c r="G21">
        <v>1075</v>
      </c>
      <c r="H21">
        <v>3</v>
      </c>
      <c r="I21" t="s">
        <v>133</v>
      </c>
      <c r="J21" t="s">
        <v>136</v>
      </c>
      <c r="K21" t="s">
        <v>134</v>
      </c>
      <c r="L21">
        <v>1301</v>
      </c>
      <c r="N21">
        <v>1003</v>
      </c>
      <c r="O21" t="s">
        <v>135</v>
      </c>
      <c r="P21" t="s">
        <v>135</v>
      </c>
      <c r="Q21">
        <v>1</v>
      </c>
      <c r="W21">
        <v>1</v>
      </c>
      <c r="X21">
        <v>-1582708316</v>
      </c>
      <c r="Y21">
        <f t="shared" si="0"/>
        <v>-1000</v>
      </c>
      <c r="AA21">
        <v>15.01</v>
      </c>
      <c r="AB21">
        <v>0</v>
      </c>
      <c r="AC21">
        <v>0</v>
      </c>
      <c r="AD21">
        <v>0</v>
      </c>
      <c r="AE21">
        <v>15.01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4</v>
      </c>
      <c r="AT21">
        <v>-1000</v>
      </c>
      <c r="AU21" t="s">
        <v>4</v>
      </c>
      <c r="AV21">
        <v>0</v>
      </c>
      <c r="AW21">
        <v>2</v>
      </c>
      <c r="AX21">
        <v>70310686</v>
      </c>
      <c r="AY21">
        <v>1</v>
      </c>
      <c r="AZ21">
        <v>6144</v>
      </c>
      <c r="BA21">
        <v>43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ROUND(Y21*Source!I86,9)</f>
        <v>-6</v>
      </c>
      <c r="CY21">
        <f>AA21</f>
        <v>15.01</v>
      </c>
      <c r="CZ21">
        <f>AE21</f>
        <v>15.01</v>
      </c>
      <c r="DA21">
        <f>AI21</f>
        <v>1</v>
      </c>
      <c r="DB21">
        <f t="shared" si="1"/>
        <v>-15010</v>
      </c>
      <c r="DC21">
        <f t="shared" si="2"/>
        <v>0</v>
      </c>
      <c r="DD21" t="s">
        <v>4</v>
      </c>
      <c r="DE21" t="s">
        <v>4</v>
      </c>
      <c r="DF21">
        <f t="shared" si="7"/>
        <v>-90.06</v>
      </c>
      <c r="DG21">
        <f t="shared" si="5"/>
        <v>0</v>
      </c>
      <c r="DH21">
        <f t="shared" si="6"/>
        <v>0</v>
      </c>
      <c r="DI21">
        <f t="shared" si="4"/>
        <v>0</v>
      </c>
      <c r="DJ21">
        <f>DF21</f>
        <v>-90.06</v>
      </c>
      <c r="DK21">
        <v>0</v>
      </c>
      <c r="DL21" t="s">
        <v>4</v>
      </c>
      <c r="DM21">
        <v>0</v>
      </c>
      <c r="DN21" t="s">
        <v>4</v>
      </c>
      <c r="DO21">
        <v>0</v>
      </c>
    </row>
    <row r="22" spans="1:119">
      <c r="A22">
        <f>ROW(Source!A86)</f>
        <v>86</v>
      </c>
      <c r="B22">
        <v>70305038</v>
      </c>
      <c r="C22">
        <v>70310669</v>
      </c>
      <c r="D22">
        <v>69341948</v>
      </c>
      <c r="E22">
        <v>1</v>
      </c>
      <c r="F22">
        <v>1</v>
      </c>
      <c r="G22">
        <v>1075</v>
      </c>
      <c r="H22">
        <v>3</v>
      </c>
      <c r="I22" t="s">
        <v>137</v>
      </c>
      <c r="J22" t="s">
        <v>139</v>
      </c>
      <c r="K22" t="s">
        <v>138</v>
      </c>
      <c r="L22">
        <v>1301</v>
      </c>
      <c r="N22">
        <v>1003</v>
      </c>
      <c r="O22" t="s">
        <v>135</v>
      </c>
      <c r="P22" t="s">
        <v>135</v>
      </c>
      <c r="Q22">
        <v>1</v>
      </c>
      <c r="W22">
        <v>0</v>
      </c>
      <c r="X22">
        <v>1329163801</v>
      </c>
      <c r="Y22">
        <f t="shared" si="0"/>
        <v>1000</v>
      </c>
      <c r="AA22">
        <v>24.4</v>
      </c>
      <c r="AB22">
        <v>0</v>
      </c>
      <c r="AC22">
        <v>0</v>
      </c>
      <c r="AD22">
        <v>0</v>
      </c>
      <c r="AE22">
        <v>24.4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 t="s">
        <v>4</v>
      </c>
      <c r="AT22">
        <v>1000</v>
      </c>
      <c r="AU22" t="s">
        <v>4</v>
      </c>
      <c r="AV22">
        <v>0</v>
      </c>
      <c r="AW22">
        <v>1</v>
      </c>
      <c r="AX22">
        <v>-1</v>
      </c>
      <c r="AY22">
        <v>0</v>
      </c>
      <c r="AZ22">
        <v>0</v>
      </c>
      <c r="BA22" t="s">
        <v>4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ROUND(Y22*Source!I86,9)</f>
        <v>6</v>
      </c>
      <c r="CY22">
        <f>AA22</f>
        <v>24.4</v>
      </c>
      <c r="CZ22">
        <f>AE22</f>
        <v>24.4</v>
      </c>
      <c r="DA22">
        <f>AI22</f>
        <v>1</v>
      </c>
      <c r="DB22">
        <f t="shared" si="1"/>
        <v>24400</v>
      </c>
      <c r="DC22">
        <f t="shared" si="2"/>
        <v>0</v>
      </c>
      <c r="DD22" t="s">
        <v>4</v>
      </c>
      <c r="DE22" t="s">
        <v>4</v>
      </c>
      <c r="DF22">
        <f t="shared" si="7"/>
        <v>146.4</v>
      </c>
      <c r="DG22">
        <f t="shared" si="5"/>
        <v>0</v>
      </c>
      <c r="DH22">
        <f t="shared" si="6"/>
        <v>0</v>
      </c>
      <c r="DI22">
        <f t="shared" si="4"/>
        <v>0</v>
      </c>
      <c r="DJ22">
        <f>DF22</f>
        <v>146.4</v>
      </c>
      <c r="DK22">
        <v>0</v>
      </c>
      <c r="DL22" t="s">
        <v>4</v>
      </c>
      <c r="DM22">
        <v>0</v>
      </c>
      <c r="DN22" t="s">
        <v>4</v>
      </c>
      <c r="DO22">
        <v>0</v>
      </c>
    </row>
    <row r="23" spans="1:119">
      <c r="A23">
        <f>ROW(Source!A86)</f>
        <v>86</v>
      </c>
      <c r="B23">
        <v>70305038</v>
      </c>
      <c r="C23">
        <v>70310669</v>
      </c>
      <c r="D23">
        <v>69341979</v>
      </c>
      <c r="E23">
        <v>1</v>
      </c>
      <c r="F23">
        <v>1</v>
      </c>
      <c r="G23">
        <v>1075</v>
      </c>
      <c r="H23">
        <v>3</v>
      </c>
      <c r="I23" t="s">
        <v>345</v>
      </c>
      <c r="J23" t="s">
        <v>346</v>
      </c>
      <c r="K23" t="s">
        <v>347</v>
      </c>
      <c r="L23">
        <v>1358</v>
      </c>
      <c r="N23">
        <v>1010</v>
      </c>
      <c r="O23" t="s">
        <v>348</v>
      </c>
      <c r="P23" t="s">
        <v>348</v>
      </c>
      <c r="Q23">
        <v>10</v>
      </c>
      <c r="W23">
        <v>0</v>
      </c>
      <c r="X23">
        <v>-970742491</v>
      </c>
      <c r="Y23">
        <f t="shared" si="0"/>
        <v>32</v>
      </c>
      <c r="AA23">
        <v>159.69999999999999</v>
      </c>
      <c r="AB23">
        <v>0</v>
      </c>
      <c r="AC23">
        <v>0</v>
      </c>
      <c r="AD23">
        <v>0</v>
      </c>
      <c r="AE23">
        <v>159.69999999999999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4</v>
      </c>
      <c r="AT23">
        <v>32</v>
      </c>
      <c r="AU23" t="s">
        <v>4</v>
      </c>
      <c r="AV23">
        <v>0</v>
      </c>
      <c r="AW23">
        <v>2</v>
      </c>
      <c r="AX23">
        <v>70310687</v>
      </c>
      <c r="AY23">
        <v>1</v>
      </c>
      <c r="AZ23">
        <v>0</v>
      </c>
      <c r="BA23">
        <v>44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ROUND(Y23*Source!I86,9)</f>
        <v>0.192</v>
      </c>
      <c r="CY23">
        <f>AA23</f>
        <v>159.69999999999999</v>
      </c>
      <c r="CZ23">
        <f>AE23</f>
        <v>159.69999999999999</v>
      </c>
      <c r="DA23">
        <f>AI23</f>
        <v>1</v>
      </c>
      <c r="DB23">
        <f t="shared" si="1"/>
        <v>5110.3999999999996</v>
      </c>
      <c r="DC23">
        <f t="shared" si="2"/>
        <v>0</v>
      </c>
      <c r="DD23" t="s">
        <v>4</v>
      </c>
      <c r="DE23" t="s">
        <v>4</v>
      </c>
      <c r="DF23">
        <f t="shared" si="7"/>
        <v>30.66</v>
      </c>
      <c r="DG23">
        <f t="shared" si="5"/>
        <v>0</v>
      </c>
      <c r="DH23">
        <f t="shared" si="6"/>
        <v>0</v>
      </c>
      <c r="DI23">
        <f t="shared" si="4"/>
        <v>0</v>
      </c>
      <c r="DJ23">
        <f>DF23</f>
        <v>30.66</v>
      </c>
      <c r="DK23">
        <v>0</v>
      </c>
      <c r="DL23" t="s">
        <v>4</v>
      </c>
      <c r="DM23">
        <v>0</v>
      </c>
      <c r="DN23" t="s">
        <v>4</v>
      </c>
      <c r="DO23">
        <v>0</v>
      </c>
    </row>
    <row r="24" spans="1:119">
      <c r="A24">
        <f>ROW(Source!A86)</f>
        <v>86</v>
      </c>
      <c r="B24">
        <v>70305038</v>
      </c>
      <c r="C24">
        <v>70310669</v>
      </c>
      <c r="D24">
        <v>69358067</v>
      </c>
      <c r="E24">
        <v>1</v>
      </c>
      <c r="F24">
        <v>1</v>
      </c>
      <c r="G24">
        <v>1075</v>
      </c>
      <c r="H24">
        <v>3</v>
      </c>
      <c r="I24" t="s">
        <v>349</v>
      </c>
      <c r="J24" t="s">
        <v>350</v>
      </c>
      <c r="K24" t="s">
        <v>351</v>
      </c>
      <c r="L24">
        <v>1339</v>
      </c>
      <c r="N24">
        <v>1007</v>
      </c>
      <c r="O24" t="s">
        <v>52</v>
      </c>
      <c r="P24" t="s">
        <v>52</v>
      </c>
      <c r="Q24">
        <v>1</v>
      </c>
      <c r="W24">
        <v>0</v>
      </c>
      <c r="X24">
        <v>-453919024</v>
      </c>
      <c r="Y24">
        <f t="shared" si="0"/>
        <v>0.3</v>
      </c>
      <c r="AA24">
        <v>376.21</v>
      </c>
      <c r="AB24">
        <v>0</v>
      </c>
      <c r="AC24">
        <v>0</v>
      </c>
      <c r="AD24">
        <v>0</v>
      </c>
      <c r="AE24">
        <v>376.21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4</v>
      </c>
      <c r="AT24">
        <v>0.3</v>
      </c>
      <c r="AU24" t="s">
        <v>4</v>
      </c>
      <c r="AV24">
        <v>0</v>
      </c>
      <c r="AW24">
        <v>2</v>
      </c>
      <c r="AX24">
        <v>70310688</v>
      </c>
      <c r="AY24">
        <v>1</v>
      </c>
      <c r="AZ24">
        <v>0</v>
      </c>
      <c r="BA24">
        <v>45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ROUND(Y24*Source!I86,9)</f>
        <v>1.8E-3</v>
      </c>
      <c r="CY24">
        <f>AA24</f>
        <v>376.21</v>
      </c>
      <c r="CZ24">
        <f>AE24</f>
        <v>376.21</v>
      </c>
      <c r="DA24">
        <f>AI24</f>
        <v>1</v>
      </c>
      <c r="DB24">
        <f t="shared" si="1"/>
        <v>112.86</v>
      </c>
      <c r="DC24">
        <f t="shared" si="2"/>
        <v>0</v>
      </c>
      <c r="DD24" t="s">
        <v>4</v>
      </c>
      <c r="DE24" t="s">
        <v>4</v>
      </c>
      <c r="DF24">
        <f t="shared" si="7"/>
        <v>0.68</v>
      </c>
      <c r="DG24">
        <f t="shared" si="5"/>
        <v>0</v>
      </c>
      <c r="DH24">
        <f t="shared" si="6"/>
        <v>0</v>
      </c>
      <c r="DI24">
        <f t="shared" si="4"/>
        <v>0</v>
      </c>
      <c r="DJ24">
        <f>DF24</f>
        <v>0.68</v>
      </c>
      <c r="DK24">
        <v>0</v>
      </c>
      <c r="DL24" t="s">
        <v>4</v>
      </c>
      <c r="DM24">
        <v>0</v>
      </c>
      <c r="DN24" t="s">
        <v>4</v>
      </c>
      <c r="DO24">
        <v>0</v>
      </c>
    </row>
    <row r="25" spans="1:119">
      <c r="A25">
        <f>ROW(Source!A87)</f>
        <v>87</v>
      </c>
      <c r="B25">
        <v>70305036</v>
      </c>
      <c r="C25">
        <v>70310669</v>
      </c>
      <c r="D25">
        <v>69275358</v>
      </c>
      <c r="E25">
        <v>1075</v>
      </c>
      <c r="F25">
        <v>1</v>
      </c>
      <c r="G25">
        <v>1075</v>
      </c>
      <c r="H25">
        <v>1</v>
      </c>
      <c r="I25" t="s">
        <v>332</v>
      </c>
      <c r="J25" t="s">
        <v>4</v>
      </c>
      <c r="K25" t="s">
        <v>333</v>
      </c>
      <c r="L25">
        <v>1191</v>
      </c>
      <c r="N25">
        <v>1013</v>
      </c>
      <c r="O25" t="s">
        <v>334</v>
      </c>
      <c r="P25" t="s">
        <v>334</v>
      </c>
      <c r="Q25">
        <v>1</v>
      </c>
      <c r="W25">
        <v>0</v>
      </c>
      <c r="X25">
        <v>476480486</v>
      </c>
      <c r="Y25">
        <f t="shared" si="0"/>
        <v>163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4</v>
      </c>
      <c r="AT25">
        <v>163</v>
      </c>
      <c r="AU25" t="s">
        <v>4</v>
      </c>
      <c r="AV25">
        <v>1</v>
      </c>
      <c r="AW25">
        <v>2</v>
      </c>
      <c r="AX25">
        <v>70310684</v>
      </c>
      <c r="AY25">
        <v>1</v>
      </c>
      <c r="AZ25">
        <v>0</v>
      </c>
      <c r="BA25">
        <v>47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U25">
        <f>ROUND(AT25*Source!I87*AH25*AL25,2)</f>
        <v>0</v>
      </c>
      <c r="CV25">
        <f>ROUND(Y25*Source!I87,9)</f>
        <v>0.97799999999999998</v>
      </c>
      <c r="CW25">
        <v>0</v>
      </c>
      <c r="CX25">
        <f>ROUND(Y25*Source!I87,9)</f>
        <v>0.97799999999999998</v>
      </c>
      <c r="CY25">
        <f>AD25</f>
        <v>0</v>
      </c>
      <c r="CZ25">
        <f>AH25</f>
        <v>0</v>
      </c>
      <c r="DA25">
        <f>AL25</f>
        <v>1</v>
      </c>
      <c r="DB25">
        <f t="shared" si="1"/>
        <v>0</v>
      </c>
      <c r="DC25">
        <f t="shared" si="2"/>
        <v>0</v>
      </c>
      <c r="DD25" t="s">
        <v>4</v>
      </c>
      <c r="DE25" t="s">
        <v>4</v>
      </c>
      <c r="DF25">
        <f t="shared" si="7"/>
        <v>0</v>
      </c>
      <c r="DG25">
        <f t="shared" si="5"/>
        <v>0</v>
      </c>
      <c r="DH25">
        <f t="shared" si="6"/>
        <v>0</v>
      </c>
      <c r="DI25">
        <f t="shared" si="4"/>
        <v>0</v>
      </c>
      <c r="DJ25">
        <f>DI25</f>
        <v>0</v>
      </c>
      <c r="DK25">
        <v>0</v>
      </c>
      <c r="DL25" t="s">
        <v>4</v>
      </c>
      <c r="DM25">
        <v>0</v>
      </c>
      <c r="DN25" t="s">
        <v>4</v>
      </c>
      <c r="DO25">
        <v>0</v>
      </c>
    </row>
    <row r="26" spans="1:119">
      <c r="A26">
        <f>ROW(Source!A87)</f>
        <v>87</v>
      </c>
      <c r="B26">
        <v>70305036</v>
      </c>
      <c r="C26">
        <v>70310669</v>
      </c>
      <c r="D26">
        <v>69333711</v>
      </c>
      <c r="E26">
        <v>1</v>
      </c>
      <c r="F26">
        <v>1</v>
      </c>
      <c r="G26">
        <v>1075</v>
      </c>
      <c r="H26">
        <v>3</v>
      </c>
      <c r="I26" t="s">
        <v>342</v>
      </c>
      <c r="J26" t="s">
        <v>343</v>
      </c>
      <c r="K26" t="s">
        <v>344</v>
      </c>
      <c r="L26">
        <v>1339</v>
      </c>
      <c r="N26">
        <v>1007</v>
      </c>
      <c r="O26" t="s">
        <v>52</v>
      </c>
      <c r="P26" t="s">
        <v>52</v>
      </c>
      <c r="Q26">
        <v>1</v>
      </c>
      <c r="W26">
        <v>0</v>
      </c>
      <c r="X26">
        <v>-2118185747</v>
      </c>
      <c r="Y26">
        <f t="shared" si="0"/>
        <v>0.08</v>
      </c>
      <c r="AA26">
        <v>8872.2800000000007</v>
      </c>
      <c r="AB26">
        <v>0</v>
      </c>
      <c r="AC26">
        <v>0</v>
      </c>
      <c r="AD26">
        <v>0</v>
      </c>
      <c r="AE26">
        <v>2472.13</v>
      </c>
      <c r="AF26">
        <v>0</v>
      </c>
      <c r="AG26">
        <v>0</v>
      </c>
      <c r="AH26">
        <v>0</v>
      </c>
      <c r="AI26">
        <v>3.32</v>
      </c>
      <c r="AJ26">
        <v>1</v>
      </c>
      <c r="AK26">
        <v>1</v>
      </c>
      <c r="AL26">
        <v>1</v>
      </c>
      <c r="AM26">
        <v>2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4</v>
      </c>
      <c r="AT26">
        <v>0.08</v>
      </c>
      <c r="AU26" t="s">
        <v>4</v>
      </c>
      <c r="AV26">
        <v>0</v>
      </c>
      <c r="AW26">
        <v>2</v>
      </c>
      <c r="AX26">
        <v>70310685</v>
      </c>
      <c r="AY26">
        <v>1</v>
      </c>
      <c r="AZ26">
        <v>0</v>
      </c>
      <c r="BA26">
        <v>48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ROUND(Y26*Source!I87,9)</f>
        <v>4.8000000000000001E-4</v>
      </c>
      <c r="CY26">
        <f>AA26</f>
        <v>8872.2800000000007</v>
      </c>
      <c r="CZ26">
        <f>AE26</f>
        <v>2472.13</v>
      </c>
      <c r="DA26">
        <f>AI26</f>
        <v>3.32</v>
      </c>
      <c r="DB26">
        <f t="shared" si="1"/>
        <v>197.77</v>
      </c>
      <c r="DC26">
        <f t="shared" si="2"/>
        <v>0</v>
      </c>
      <c r="DD26" t="s">
        <v>4</v>
      </c>
      <c r="DE26" t="s">
        <v>4</v>
      </c>
      <c r="DF26">
        <f>ROUND(ROUND(AE26*AI26,2)*CX26,2)</f>
        <v>3.94</v>
      </c>
      <c r="DG26">
        <f t="shared" si="5"/>
        <v>0</v>
      </c>
      <c r="DH26">
        <f t="shared" si="6"/>
        <v>0</v>
      </c>
      <c r="DI26">
        <f t="shared" si="4"/>
        <v>0</v>
      </c>
      <c r="DJ26">
        <f>DF26</f>
        <v>3.94</v>
      </c>
      <c r="DK26">
        <v>0</v>
      </c>
      <c r="DL26" t="s">
        <v>4</v>
      </c>
      <c r="DM26">
        <v>0</v>
      </c>
      <c r="DN26" t="s">
        <v>4</v>
      </c>
      <c r="DO26">
        <v>0</v>
      </c>
    </row>
    <row r="27" spans="1:119">
      <c r="A27">
        <f>ROW(Source!A87)</f>
        <v>87</v>
      </c>
      <c r="B27">
        <v>70305036</v>
      </c>
      <c r="C27">
        <v>70310669</v>
      </c>
      <c r="D27">
        <v>69341947</v>
      </c>
      <c r="E27">
        <v>1</v>
      </c>
      <c r="F27">
        <v>1</v>
      </c>
      <c r="G27">
        <v>1075</v>
      </c>
      <c r="H27">
        <v>3</v>
      </c>
      <c r="I27" t="s">
        <v>133</v>
      </c>
      <c r="J27" t="s">
        <v>136</v>
      </c>
      <c r="K27" t="s">
        <v>134</v>
      </c>
      <c r="L27">
        <v>1301</v>
      </c>
      <c r="N27">
        <v>1003</v>
      </c>
      <c r="O27" t="s">
        <v>135</v>
      </c>
      <c r="P27" t="s">
        <v>135</v>
      </c>
      <c r="Q27">
        <v>1</v>
      </c>
      <c r="W27">
        <v>1</v>
      </c>
      <c r="X27">
        <v>-1582708316</v>
      </c>
      <c r="Y27">
        <f t="shared" si="0"/>
        <v>-1000</v>
      </c>
      <c r="AA27">
        <v>148.94999999999999</v>
      </c>
      <c r="AB27">
        <v>0</v>
      </c>
      <c r="AC27">
        <v>0</v>
      </c>
      <c r="AD27">
        <v>0</v>
      </c>
      <c r="AE27">
        <v>15.01</v>
      </c>
      <c r="AF27">
        <v>0</v>
      </c>
      <c r="AG27">
        <v>0</v>
      </c>
      <c r="AH27">
        <v>0</v>
      </c>
      <c r="AI27">
        <v>9.18</v>
      </c>
      <c r="AJ27">
        <v>1</v>
      </c>
      <c r="AK27">
        <v>1</v>
      </c>
      <c r="AL27">
        <v>1</v>
      </c>
      <c r="AM27">
        <v>2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4</v>
      </c>
      <c r="AT27">
        <v>-1000</v>
      </c>
      <c r="AU27" t="s">
        <v>4</v>
      </c>
      <c r="AV27">
        <v>0</v>
      </c>
      <c r="AW27">
        <v>2</v>
      </c>
      <c r="AX27">
        <v>70310686</v>
      </c>
      <c r="AY27">
        <v>1</v>
      </c>
      <c r="AZ27">
        <v>6144</v>
      </c>
      <c r="BA27">
        <v>49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ROUND(Y27*Source!I87,9)</f>
        <v>-6</v>
      </c>
      <c r="CY27">
        <f>AA27</f>
        <v>148.94999999999999</v>
      </c>
      <c r="CZ27">
        <f>AE27</f>
        <v>15.01</v>
      </c>
      <c r="DA27">
        <f>AI27</f>
        <v>9.18</v>
      </c>
      <c r="DB27">
        <f t="shared" si="1"/>
        <v>-15010</v>
      </c>
      <c r="DC27">
        <f t="shared" si="2"/>
        <v>0</v>
      </c>
      <c r="DD27" t="s">
        <v>4</v>
      </c>
      <c r="DE27" t="s">
        <v>4</v>
      </c>
      <c r="DF27">
        <f>ROUND(ROUND(AE27*AI27,2)*CX27,2)</f>
        <v>-826.74</v>
      </c>
      <c r="DG27">
        <f t="shared" si="5"/>
        <v>0</v>
      </c>
      <c r="DH27">
        <f t="shared" si="6"/>
        <v>0</v>
      </c>
      <c r="DI27">
        <f t="shared" si="4"/>
        <v>0</v>
      </c>
      <c r="DJ27">
        <f>DF27</f>
        <v>-826.74</v>
      </c>
      <c r="DK27">
        <v>0</v>
      </c>
      <c r="DL27" t="s">
        <v>4</v>
      </c>
      <c r="DM27">
        <v>0</v>
      </c>
      <c r="DN27" t="s">
        <v>4</v>
      </c>
      <c r="DO27">
        <v>0</v>
      </c>
    </row>
    <row r="28" spans="1:119">
      <c r="A28">
        <f>ROW(Source!A87)</f>
        <v>87</v>
      </c>
      <c r="B28">
        <v>70305036</v>
      </c>
      <c r="C28">
        <v>70310669</v>
      </c>
      <c r="D28">
        <v>69341948</v>
      </c>
      <c r="E28">
        <v>1</v>
      </c>
      <c r="F28">
        <v>1</v>
      </c>
      <c r="G28">
        <v>1075</v>
      </c>
      <c r="H28">
        <v>3</v>
      </c>
      <c r="I28" t="s">
        <v>137</v>
      </c>
      <c r="J28" t="s">
        <v>139</v>
      </c>
      <c r="K28" t="s">
        <v>138</v>
      </c>
      <c r="L28">
        <v>1301</v>
      </c>
      <c r="N28">
        <v>1003</v>
      </c>
      <c r="O28" t="s">
        <v>135</v>
      </c>
      <c r="P28" t="s">
        <v>135</v>
      </c>
      <c r="Q28">
        <v>1</v>
      </c>
      <c r="W28">
        <v>0</v>
      </c>
      <c r="X28">
        <v>1329163801</v>
      </c>
      <c r="Y28">
        <f t="shared" si="0"/>
        <v>1000</v>
      </c>
      <c r="AA28">
        <v>226.43</v>
      </c>
      <c r="AB28">
        <v>0</v>
      </c>
      <c r="AC28">
        <v>0</v>
      </c>
      <c r="AD28">
        <v>0</v>
      </c>
      <c r="AE28">
        <v>24.4</v>
      </c>
      <c r="AF28">
        <v>0</v>
      </c>
      <c r="AG28">
        <v>0</v>
      </c>
      <c r="AH28">
        <v>0</v>
      </c>
      <c r="AI28">
        <v>9.2799999999999994</v>
      </c>
      <c r="AJ28">
        <v>1</v>
      </c>
      <c r="AK28">
        <v>1</v>
      </c>
      <c r="AL28">
        <v>1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 t="s">
        <v>4</v>
      </c>
      <c r="AT28">
        <v>1000</v>
      </c>
      <c r="AU28" t="s">
        <v>4</v>
      </c>
      <c r="AV28">
        <v>0</v>
      </c>
      <c r="AW28">
        <v>1</v>
      </c>
      <c r="AX28">
        <v>-1</v>
      </c>
      <c r="AY28">
        <v>0</v>
      </c>
      <c r="AZ28">
        <v>0</v>
      </c>
      <c r="BA28" t="s">
        <v>4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ROUND(Y28*Source!I87,9)</f>
        <v>6</v>
      </c>
      <c r="CY28">
        <f>AA28</f>
        <v>226.43</v>
      </c>
      <c r="CZ28">
        <f>AE28</f>
        <v>24.4</v>
      </c>
      <c r="DA28">
        <f>AI28</f>
        <v>9.2799999999999994</v>
      </c>
      <c r="DB28">
        <f t="shared" si="1"/>
        <v>24400</v>
      </c>
      <c r="DC28">
        <f t="shared" si="2"/>
        <v>0</v>
      </c>
      <c r="DD28" t="s">
        <v>4</v>
      </c>
      <c r="DE28" t="s">
        <v>4</v>
      </c>
      <c r="DF28">
        <f>ROUND(ROUND(AE28*AI28,2)*CX28,2)</f>
        <v>1358.58</v>
      </c>
      <c r="DG28">
        <f t="shared" si="5"/>
        <v>0</v>
      </c>
      <c r="DH28">
        <f t="shared" si="6"/>
        <v>0</v>
      </c>
      <c r="DI28">
        <f t="shared" si="4"/>
        <v>0</v>
      </c>
      <c r="DJ28">
        <f>DF28</f>
        <v>1358.58</v>
      </c>
      <c r="DK28">
        <v>0</v>
      </c>
      <c r="DL28" t="s">
        <v>4</v>
      </c>
      <c r="DM28">
        <v>0</v>
      </c>
      <c r="DN28" t="s">
        <v>4</v>
      </c>
      <c r="DO28">
        <v>0</v>
      </c>
    </row>
    <row r="29" spans="1:119">
      <c r="A29">
        <f>ROW(Source!A87)</f>
        <v>87</v>
      </c>
      <c r="B29">
        <v>70305036</v>
      </c>
      <c r="C29">
        <v>70310669</v>
      </c>
      <c r="D29">
        <v>69341979</v>
      </c>
      <c r="E29">
        <v>1</v>
      </c>
      <c r="F29">
        <v>1</v>
      </c>
      <c r="G29">
        <v>1075</v>
      </c>
      <c r="H29">
        <v>3</v>
      </c>
      <c r="I29" t="s">
        <v>345</v>
      </c>
      <c r="J29" t="s">
        <v>346</v>
      </c>
      <c r="K29" t="s">
        <v>347</v>
      </c>
      <c r="L29">
        <v>1358</v>
      </c>
      <c r="N29">
        <v>1010</v>
      </c>
      <c r="O29" t="s">
        <v>348</v>
      </c>
      <c r="P29" t="s">
        <v>348</v>
      </c>
      <c r="Q29">
        <v>10</v>
      </c>
      <c r="W29">
        <v>0</v>
      </c>
      <c r="X29">
        <v>-970742491</v>
      </c>
      <c r="Y29">
        <f t="shared" si="0"/>
        <v>32</v>
      </c>
      <c r="AA29">
        <v>977.12</v>
      </c>
      <c r="AB29">
        <v>0</v>
      </c>
      <c r="AC29">
        <v>0</v>
      </c>
      <c r="AD29">
        <v>0</v>
      </c>
      <c r="AE29">
        <v>159.69999999999999</v>
      </c>
      <c r="AF29">
        <v>0</v>
      </c>
      <c r="AG29">
        <v>0</v>
      </c>
      <c r="AH29">
        <v>0</v>
      </c>
      <c r="AI29">
        <v>5.66</v>
      </c>
      <c r="AJ29">
        <v>1</v>
      </c>
      <c r="AK29">
        <v>1</v>
      </c>
      <c r="AL29">
        <v>1</v>
      </c>
      <c r="AM29">
        <v>2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4</v>
      </c>
      <c r="AT29">
        <v>32</v>
      </c>
      <c r="AU29" t="s">
        <v>4</v>
      </c>
      <c r="AV29">
        <v>0</v>
      </c>
      <c r="AW29">
        <v>2</v>
      </c>
      <c r="AX29">
        <v>70310687</v>
      </c>
      <c r="AY29">
        <v>1</v>
      </c>
      <c r="AZ29">
        <v>0</v>
      </c>
      <c r="BA29">
        <v>50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ROUND(Y29*Source!I87,9)</f>
        <v>0.192</v>
      </c>
      <c r="CY29">
        <f>AA29</f>
        <v>977.12</v>
      </c>
      <c r="CZ29">
        <f>AE29</f>
        <v>159.69999999999999</v>
      </c>
      <c r="DA29">
        <f>AI29</f>
        <v>5.66</v>
      </c>
      <c r="DB29">
        <f t="shared" si="1"/>
        <v>5110.3999999999996</v>
      </c>
      <c r="DC29">
        <f t="shared" si="2"/>
        <v>0</v>
      </c>
      <c r="DD29" t="s">
        <v>4</v>
      </c>
      <c r="DE29" t="s">
        <v>4</v>
      </c>
      <c r="DF29">
        <f>ROUND(ROUND(AE29*AI29,2)*CX29,2)</f>
        <v>173.55</v>
      </c>
      <c r="DG29">
        <f t="shared" si="5"/>
        <v>0</v>
      </c>
      <c r="DH29">
        <f t="shared" si="6"/>
        <v>0</v>
      </c>
      <c r="DI29">
        <f t="shared" si="4"/>
        <v>0</v>
      </c>
      <c r="DJ29">
        <f>DF29</f>
        <v>173.55</v>
      </c>
      <c r="DK29">
        <v>0</v>
      </c>
      <c r="DL29" t="s">
        <v>4</v>
      </c>
      <c r="DM29">
        <v>0</v>
      </c>
      <c r="DN29" t="s">
        <v>4</v>
      </c>
      <c r="DO29">
        <v>0</v>
      </c>
    </row>
    <row r="30" spans="1:119">
      <c r="A30">
        <f>ROW(Source!A87)</f>
        <v>87</v>
      </c>
      <c r="B30">
        <v>70305036</v>
      </c>
      <c r="C30">
        <v>70310669</v>
      </c>
      <c r="D30">
        <v>69358067</v>
      </c>
      <c r="E30">
        <v>1</v>
      </c>
      <c r="F30">
        <v>1</v>
      </c>
      <c r="G30">
        <v>1075</v>
      </c>
      <c r="H30">
        <v>3</v>
      </c>
      <c r="I30" t="s">
        <v>349</v>
      </c>
      <c r="J30" t="s">
        <v>350</v>
      </c>
      <c r="K30" t="s">
        <v>351</v>
      </c>
      <c r="L30">
        <v>1339</v>
      </c>
      <c r="N30">
        <v>1007</v>
      </c>
      <c r="O30" t="s">
        <v>52</v>
      </c>
      <c r="P30" t="s">
        <v>52</v>
      </c>
      <c r="Q30">
        <v>1</v>
      </c>
      <c r="W30">
        <v>0</v>
      </c>
      <c r="X30">
        <v>-453919024</v>
      </c>
      <c r="Y30">
        <f t="shared" si="0"/>
        <v>0.3</v>
      </c>
      <c r="AA30">
        <v>5518.69</v>
      </c>
      <c r="AB30">
        <v>0</v>
      </c>
      <c r="AC30">
        <v>0</v>
      </c>
      <c r="AD30">
        <v>0</v>
      </c>
      <c r="AE30">
        <v>376.21</v>
      </c>
      <c r="AF30">
        <v>0</v>
      </c>
      <c r="AG30">
        <v>0</v>
      </c>
      <c r="AH30">
        <v>0</v>
      </c>
      <c r="AI30">
        <v>13.57</v>
      </c>
      <c r="AJ30">
        <v>1</v>
      </c>
      <c r="AK30">
        <v>1</v>
      </c>
      <c r="AL30">
        <v>1</v>
      </c>
      <c r="AM30">
        <v>2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4</v>
      </c>
      <c r="AT30">
        <v>0.3</v>
      </c>
      <c r="AU30" t="s">
        <v>4</v>
      </c>
      <c r="AV30">
        <v>0</v>
      </c>
      <c r="AW30">
        <v>2</v>
      </c>
      <c r="AX30">
        <v>70310688</v>
      </c>
      <c r="AY30">
        <v>1</v>
      </c>
      <c r="AZ30">
        <v>0</v>
      </c>
      <c r="BA30">
        <v>51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ROUND(Y30*Source!I87,9)</f>
        <v>1.8E-3</v>
      </c>
      <c r="CY30">
        <f>AA30</f>
        <v>5518.69</v>
      </c>
      <c r="CZ30">
        <f>AE30</f>
        <v>376.21</v>
      </c>
      <c r="DA30">
        <f>AI30</f>
        <v>13.57</v>
      </c>
      <c r="DB30">
        <f t="shared" si="1"/>
        <v>112.86</v>
      </c>
      <c r="DC30">
        <f t="shared" si="2"/>
        <v>0</v>
      </c>
      <c r="DD30" t="s">
        <v>4</v>
      </c>
      <c r="DE30" t="s">
        <v>4</v>
      </c>
      <c r="DF30">
        <f>ROUND(ROUND(AE30*AI30,2)*CX30,2)</f>
        <v>9.19</v>
      </c>
      <c r="DG30">
        <f t="shared" si="5"/>
        <v>0</v>
      </c>
      <c r="DH30">
        <f t="shared" si="6"/>
        <v>0</v>
      </c>
      <c r="DI30">
        <f t="shared" si="4"/>
        <v>0</v>
      </c>
      <c r="DJ30">
        <f>DF30</f>
        <v>9.19</v>
      </c>
      <c r="DK30">
        <v>0</v>
      </c>
      <c r="DL30" t="s">
        <v>4</v>
      </c>
      <c r="DM30">
        <v>0</v>
      </c>
      <c r="DN30" t="s">
        <v>4</v>
      </c>
      <c r="DO30">
        <v>0</v>
      </c>
    </row>
    <row r="31" spans="1:119">
      <c r="A31">
        <f>ROW(Source!A92)</f>
        <v>92</v>
      </c>
      <c r="B31">
        <v>70305038</v>
      </c>
      <c r="C31">
        <v>70310526</v>
      </c>
      <c r="D31">
        <v>69275358</v>
      </c>
      <c r="E31">
        <v>1075</v>
      </c>
      <c r="F31">
        <v>1</v>
      </c>
      <c r="G31">
        <v>1075</v>
      </c>
      <c r="H31">
        <v>1</v>
      </c>
      <c r="I31" t="s">
        <v>332</v>
      </c>
      <c r="J31" t="s">
        <v>4</v>
      </c>
      <c r="K31" t="s">
        <v>333</v>
      </c>
      <c r="L31">
        <v>1191</v>
      </c>
      <c r="N31">
        <v>1013</v>
      </c>
      <c r="O31" t="s">
        <v>334</v>
      </c>
      <c r="P31" t="s">
        <v>334</v>
      </c>
      <c r="Q31">
        <v>1</v>
      </c>
      <c r="W31">
        <v>0</v>
      </c>
      <c r="X31">
        <v>476480486</v>
      </c>
      <c r="Y31">
        <f t="shared" si="0"/>
        <v>132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4</v>
      </c>
      <c r="AT31">
        <v>132</v>
      </c>
      <c r="AU31" t="s">
        <v>4</v>
      </c>
      <c r="AV31">
        <v>1</v>
      </c>
      <c r="AW31">
        <v>2</v>
      </c>
      <c r="AX31">
        <v>70310533</v>
      </c>
      <c r="AY31">
        <v>1</v>
      </c>
      <c r="AZ31">
        <v>0</v>
      </c>
      <c r="BA31">
        <v>53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U31">
        <f>ROUND(AT31*Source!I92*AH31*AL31,2)</f>
        <v>0</v>
      </c>
      <c r="CV31">
        <f>ROUND(Y31*Source!I92,9)</f>
        <v>2.64</v>
      </c>
      <c r="CW31">
        <v>0</v>
      </c>
      <c r="CX31">
        <f>ROUND(Y31*Source!I92,9)</f>
        <v>2.64</v>
      </c>
      <c r="CY31">
        <f>AD31</f>
        <v>0</v>
      </c>
      <c r="CZ31">
        <f>AH31</f>
        <v>0</v>
      </c>
      <c r="DA31">
        <f>AL31</f>
        <v>1</v>
      </c>
      <c r="DB31">
        <f t="shared" si="1"/>
        <v>0</v>
      </c>
      <c r="DC31">
        <f t="shared" si="2"/>
        <v>0</v>
      </c>
      <c r="DD31" t="s">
        <v>4</v>
      </c>
      <c r="DE31" t="s">
        <v>4</v>
      </c>
      <c r="DF31">
        <f t="shared" ref="DF31:DF37" si="8">ROUND(ROUND(AE31,2)*CX31,2)</f>
        <v>0</v>
      </c>
      <c r="DG31">
        <f t="shared" si="5"/>
        <v>0</v>
      </c>
      <c r="DH31">
        <f t="shared" si="6"/>
        <v>0</v>
      </c>
      <c r="DI31">
        <f t="shared" si="4"/>
        <v>0</v>
      </c>
      <c r="DJ31">
        <f>DI31</f>
        <v>0</v>
      </c>
      <c r="DK31">
        <v>0</v>
      </c>
      <c r="DL31" t="s">
        <v>4</v>
      </c>
      <c r="DM31">
        <v>0</v>
      </c>
      <c r="DN31" t="s">
        <v>4</v>
      </c>
      <c r="DO31">
        <v>0</v>
      </c>
    </row>
    <row r="32" spans="1:119">
      <c r="A32">
        <f>ROW(Source!A92)</f>
        <v>92</v>
      </c>
      <c r="B32">
        <v>70305038</v>
      </c>
      <c r="C32">
        <v>70310526</v>
      </c>
      <c r="D32">
        <v>69333752</v>
      </c>
      <c r="E32">
        <v>1</v>
      </c>
      <c r="F32">
        <v>1</v>
      </c>
      <c r="G32">
        <v>1075</v>
      </c>
      <c r="H32">
        <v>3</v>
      </c>
      <c r="I32" t="s">
        <v>352</v>
      </c>
      <c r="J32" t="s">
        <v>353</v>
      </c>
      <c r="K32" t="s">
        <v>354</v>
      </c>
      <c r="L32">
        <v>1348</v>
      </c>
      <c r="N32">
        <v>1009</v>
      </c>
      <c r="O32" t="s">
        <v>168</v>
      </c>
      <c r="P32" t="s">
        <v>168</v>
      </c>
      <c r="Q32">
        <v>1000</v>
      </c>
      <c r="W32">
        <v>0</v>
      </c>
      <c r="X32">
        <v>777194217</v>
      </c>
      <c r="Y32">
        <f t="shared" si="0"/>
        <v>6.0000000000000001E-3</v>
      </c>
      <c r="AA32">
        <v>6521.42</v>
      </c>
      <c r="AB32">
        <v>0</v>
      </c>
      <c r="AC32">
        <v>0</v>
      </c>
      <c r="AD32">
        <v>0</v>
      </c>
      <c r="AE32">
        <v>6521.42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4</v>
      </c>
      <c r="AT32">
        <v>6.0000000000000001E-3</v>
      </c>
      <c r="AU32" t="s">
        <v>4</v>
      </c>
      <c r="AV32">
        <v>0</v>
      </c>
      <c r="AW32">
        <v>2</v>
      </c>
      <c r="AX32">
        <v>70310534</v>
      </c>
      <c r="AY32">
        <v>1</v>
      </c>
      <c r="AZ32">
        <v>0</v>
      </c>
      <c r="BA32">
        <v>54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ROUND(Y32*Source!I92,9)</f>
        <v>1.2E-4</v>
      </c>
      <c r="CY32">
        <f>AA32</f>
        <v>6521.42</v>
      </c>
      <c r="CZ32">
        <f>AE32</f>
        <v>6521.42</v>
      </c>
      <c r="DA32">
        <f>AI32</f>
        <v>1</v>
      </c>
      <c r="DB32">
        <f t="shared" si="1"/>
        <v>39.130000000000003</v>
      </c>
      <c r="DC32">
        <f t="shared" si="2"/>
        <v>0</v>
      </c>
      <c r="DD32" t="s">
        <v>4</v>
      </c>
      <c r="DE32" t="s">
        <v>4</v>
      </c>
      <c r="DF32">
        <f t="shared" si="8"/>
        <v>0.78</v>
      </c>
      <c r="DG32">
        <f t="shared" si="5"/>
        <v>0</v>
      </c>
      <c r="DH32">
        <f t="shared" si="6"/>
        <v>0</v>
      </c>
      <c r="DI32">
        <f t="shared" si="4"/>
        <v>0</v>
      </c>
      <c r="DJ32">
        <f>DF32</f>
        <v>0.78</v>
      </c>
      <c r="DK32">
        <v>0</v>
      </c>
      <c r="DL32" t="s">
        <v>4</v>
      </c>
      <c r="DM32">
        <v>0</v>
      </c>
      <c r="DN32" t="s">
        <v>4</v>
      </c>
      <c r="DO32">
        <v>0</v>
      </c>
    </row>
    <row r="33" spans="1:119">
      <c r="A33">
        <f>ROW(Source!A92)</f>
        <v>92</v>
      </c>
      <c r="B33">
        <v>70305038</v>
      </c>
      <c r="C33">
        <v>70310526</v>
      </c>
      <c r="D33">
        <v>69333827</v>
      </c>
      <c r="E33">
        <v>1</v>
      </c>
      <c r="F33">
        <v>1</v>
      </c>
      <c r="G33">
        <v>1075</v>
      </c>
      <c r="H33">
        <v>3</v>
      </c>
      <c r="I33" t="s">
        <v>355</v>
      </c>
      <c r="J33" t="s">
        <v>356</v>
      </c>
      <c r="K33" t="s">
        <v>357</v>
      </c>
      <c r="L33">
        <v>1339</v>
      </c>
      <c r="N33">
        <v>1007</v>
      </c>
      <c r="O33" t="s">
        <v>52</v>
      </c>
      <c r="P33" t="s">
        <v>52</v>
      </c>
      <c r="Q33">
        <v>1</v>
      </c>
      <c r="W33">
        <v>0</v>
      </c>
      <c r="X33">
        <v>1270593418</v>
      </c>
      <c r="Y33">
        <f t="shared" ref="Y33:Y64" si="9">AT33</f>
        <v>1.7999999999999999E-2</v>
      </c>
      <c r="AA33">
        <v>1828.56</v>
      </c>
      <c r="AB33">
        <v>0</v>
      </c>
      <c r="AC33">
        <v>0</v>
      </c>
      <c r="AD33">
        <v>0</v>
      </c>
      <c r="AE33">
        <v>1828.56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4</v>
      </c>
      <c r="AT33">
        <v>1.7999999999999999E-2</v>
      </c>
      <c r="AU33" t="s">
        <v>4</v>
      </c>
      <c r="AV33">
        <v>0</v>
      </c>
      <c r="AW33">
        <v>2</v>
      </c>
      <c r="AX33">
        <v>70310535</v>
      </c>
      <c r="AY33">
        <v>1</v>
      </c>
      <c r="AZ33">
        <v>0</v>
      </c>
      <c r="BA33">
        <v>55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ROUND(Y33*Source!I92,9)</f>
        <v>3.6000000000000002E-4</v>
      </c>
      <c r="CY33">
        <f>AA33</f>
        <v>1828.56</v>
      </c>
      <c r="CZ33">
        <f>AE33</f>
        <v>1828.56</v>
      </c>
      <c r="DA33">
        <f>AI33</f>
        <v>1</v>
      </c>
      <c r="DB33">
        <f t="shared" ref="DB33:DB64" si="10">ROUND(ROUND(AT33*CZ33,2),6)</f>
        <v>32.909999999999997</v>
      </c>
      <c r="DC33">
        <f t="shared" ref="DC33:DC64" si="11">ROUND(ROUND(AT33*AG33,2),6)</f>
        <v>0</v>
      </c>
      <c r="DD33" t="s">
        <v>4</v>
      </c>
      <c r="DE33" t="s">
        <v>4</v>
      </c>
      <c r="DF33">
        <f t="shared" si="8"/>
        <v>0.66</v>
      </c>
      <c r="DG33">
        <f t="shared" si="5"/>
        <v>0</v>
      </c>
      <c r="DH33">
        <f t="shared" si="6"/>
        <v>0</v>
      </c>
      <c r="DI33">
        <f t="shared" ref="DI33:DI64" si="12">ROUND(ROUND(AH33,2)*CX33,2)</f>
        <v>0</v>
      </c>
      <c r="DJ33">
        <f>DF33</f>
        <v>0.66</v>
      </c>
      <c r="DK33">
        <v>0</v>
      </c>
      <c r="DL33" t="s">
        <v>4</v>
      </c>
      <c r="DM33">
        <v>0</v>
      </c>
      <c r="DN33" t="s">
        <v>4</v>
      </c>
      <c r="DO33">
        <v>0</v>
      </c>
    </row>
    <row r="34" spans="1:119">
      <c r="A34">
        <f>ROW(Source!A92)</f>
        <v>92</v>
      </c>
      <c r="B34">
        <v>70305038</v>
      </c>
      <c r="C34">
        <v>70310526</v>
      </c>
      <c r="D34">
        <v>69333708</v>
      </c>
      <c r="E34">
        <v>1</v>
      </c>
      <c r="F34">
        <v>1</v>
      </c>
      <c r="G34">
        <v>1075</v>
      </c>
      <c r="H34">
        <v>3</v>
      </c>
      <c r="I34" t="s">
        <v>358</v>
      </c>
      <c r="J34" t="s">
        <v>359</v>
      </c>
      <c r="K34" t="s">
        <v>360</v>
      </c>
      <c r="L34">
        <v>1339</v>
      </c>
      <c r="N34">
        <v>1007</v>
      </c>
      <c r="O34" t="s">
        <v>52</v>
      </c>
      <c r="P34" t="s">
        <v>52</v>
      </c>
      <c r="Q34">
        <v>1</v>
      </c>
      <c r="W34">
        <v>0</v>
      </c>
      <c r="X34">
        <v>215494493</v>
      </c>
      <c r="Y34">
        <f t="shared" si="9"/>
        <v>0.3</v>
      </c>
      <c r="AA34">
        <v>2472.13</v>
      </c>
      <c r="AB34">
        <v>0</v>
      </c>
      <c r="AC34">
        <v>0</v>
      </c>
      <c r="AD34">
        <v>0</v>
      </c>
      <c r="AE34">
        <v>2472.13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4</v>
      </c>
      <c r="AT34">
        <v>0.3</v>
      </c>
      <c r="AU34" t="s">
        <v>4</v>
      </c>
      <c r="AV34">
        <v>0</v>
      </c>
      <c r="AW34">
        <v>2</v>
      </c>
      <c r="AX34">
        <v>70310536</v>
      </c>
      <c r="AY34">
        <v>1</v>
      </c>
      <c r="AZ34">
        <v>0</v>
      </c>
      <c r="BA34">
        <v>56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ROUND(Y34*Source!I92,9)</f>
        <v>6.0000000000000001E-3</v>
      </c>
      <c r="CY34">
        <f>AA34</f>
        <v>2472.13</v>
      </c>
      <c r="CZ34">
        <f>AE34</f>
        <v>2472.13</v>
      </c>
      <c r="DA34">
        <f>AI34</f>
        <v>1</v>
      </c>
      <c r="DB34">
        <f t="shared" si="10"/>
        <v>741.64</v>
      </c>
      <c r="DC34">
        <f t="shared" si="11"/>
        <v>0</v>
      </c>
      <c r="DD34" t="s">
        <v>4</v>
      </c>
      <c r="DE34" t="s">
        <v>4</v>
      </c>
      <c r="DF34">
        <f t="shared" si="8"/>
        <v>14.83</v>
      </c>
      <c r="DG34">
        <f t="shared" si="5"/>
        <v>0</v>
      </c>
      <c r="DH34">
        <f t="shared" si="6"/>
        <v>0</v>
      </c>
      <c r="DI34">
        <f t="shared" si="12"/>
        <v>0</v>
      </c>
      <c r="DJ34">
        <f>DF34</f>
        <v>14.83</v>
      </c>
      <c r="DK34">
        <v>0</v>
      </c>
      <c r="DL34" t="s">
        <v>4</v>
      </c>
      <c r="DM34">
        <v>0</v>
      </c>
      <c r="DN34" t="s">
        <v>4</v>
      </c>
      <c r="DO34">
        <v>0</v>
      </c>
    </row>
    <row r="35" spans="1:119">
      <c r="A35">
        <f>ROW(Source!A92)</f>
        <v>92</v>
      </c>
      <c r="B35">
        <v>70305038</v>
      </c>
      <c r="C35">
        <v>70310526</v>
      </c>
      <c r="D35">
        <v>69334307</v>
      </c>
      <c r="E35">
        <v>1</v>
      </c>
      <c r="F35">
        <v>1</v>
      </c>
      <c r="G35">
        <v>1075</v>
      </c>
      <c r="H35">
        <v>3</v>
      </c>
      <c r="I35" t="s">
        <v>361</v>
      </c>
      <c r="J35" t="s">
        <v>362</v>
      </c>
      <c r="K35" t="s">
        <v>363</v>
      </c>
      <c r="L35">
        <v>1348</v>
      </c>
      <c r="N35">
        <v>1009</v>
      </c>
      <c r="O35" t="s">
        <v>168</v>
      </c>
      <c r="P35" t="s">
        <v>168</v>
      </c>
      <c r="Q35">
        <v>1000</v>
      </c>
      <c r="W35">
        <v>0</v>
      </c>
      <c r="X35">
        <v>73889291</v>
      </c>
      <c r="Y35">
        <f t="shared" si="9"/>
        <v>5.4000000000000003E-3</v>
      </c>
      <c r="AA35">
        <v>9098.51</v>
      </c>
      <c r="AB35">
        <v>0</v>
      </c>
      <c r="AC35">
        <v>0</v>
      </c>
      <c r="AD35">
        <v>0</v>
      </c>
      <c r="AE35">
        <v>9098.51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4</v>
      </c>
      <c r="AT35">
        <v>5.4000000000000003E-3</v>
      </c>
      <c r="AU35" t="s">
        <v>4</v>
      </c>
      <c r="AV35">
        <v>0</v>
      </c>
      <c r="AW35">
        <v>2</v>
      </c>
      <c r="AX35">
        <v>70310537</v>
      </c>
      <c r="AY35">
        <v>1</v>
      </c>
      <c r="AZ35">
        <v>0</v>
      </c>
      <c r="BA35">
        <v>57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ROUND(Y35*Source!I92,9)</f>
        <v>1.08E-4</v>
      </c>
      <c r="CY35">
        <f>AA35</f>
        <v>9098.51</v>
      </c>
      <c r="CZ35">
        <f>AE35</f>
        <v>9098.51</v>
      </c>
      <c r="DA35">
        <f>AI35</f>
        <v>1</v>
      </c>
      <c r="DB35">
        <f t="shared" si="10"/>
        <v>49.13</v>
      </c>
      <c r="DC35">
        <f t="shared" si="11"/>
        <v>0</v>
      </c>
      <c r="DD35" t="s">
        <v>4</v>
      </c>
      <c r="DE35" t="s">
        <v>4</v>
      </c>
      <c r="DF35">
        <f t="shared" si="8"/>
        <v>0.98</v>
      </c>
      <c r="DG35">
        <f t="shared" si="5"/>
        <v>0</v>
      </c>
      <c r="DH35">
        <f t="shared" si="6"/>
        <v>0</v>
      </c>
      <c r="DI35">
        <f t="shared" si="12"/>
        <v>0</v>
      </c>
      <c r="DJ35">
        <f>DF35</f>
        <v>0.98</v>
      </c>
      <c r="DK35">
        <v>0</v>
      </c>
      <c r="DL35" t="s">
        <v>4</v>
      </c>
      <c r="DM35">
        <v>0</v>
      </c>
      <c r="DN35" t="s">
        <v>4</v>
      </c>
      <c r="DO35">
        <v>0</v>
      </c>
    </row>
    <row r="36" spans="1:119">
      <c r="A36">
        <f>ROW(Source!A92)</f>
        <v>92</v>
      </c>
      <c r="B36">
        <v>70305038</v>
      </c>
      <c r="C36">
        <v>70310526</v>
      </c>
      <c r="D36">
        <v>69357930</v>
      </c>
      <c r="E36">
        <v>1</v>
      </c>
      <c r="F36">
        <v>1</v>
      </c>
      <c r="G36">
        <v>1075</v>
      </c>
      <c r="H36">
        <v>3</v>
      </c>
      <c r="I36" t="s">
        <v>151</v>
      </c>
      <c r="J36" t="s">
        <v>153</v>
      </c>
      <c r="K36" t="s">
        <v>152</v>
      </c>
      <c r="L36">
        <v>1339</v>
      </c>
      <c r="N36">
        <v>1007</v>
      </c>
      <c r="O36" t="s">
        <v>52</v>
      </c>
      <c r="P36" t="s">
        <v>52</v>
      </c>
      <c r="Q36">
        <v>1</v>
      </c>
      <c r="W36">
        <v>0</v>
      </c>
      <c r="X36">
        <v>-1943809492</v>
      </c>
      <c r="Y36">
        <f t="shared" si="9"/>
        <v>3</v>
      </c>
      <c r="AA36">
        <v>514.9</v>
      </c>
      <c r="AB36">
        <v>0</v>
      </c>
      <c r="AC36">
        <v>0</v>
      </c>
      <c r="AD36">
        <v>0</v>
      </c>
      <c r="AE36">
        <v>514.9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0</v>
      </c>
      <c r="AN36">
        <v>0</v>
      </c>
      <c r="AO36">
        <v>0</v>
      </c>
      <c r="AP36">
        <v>1</v>
      </c>
      <c r="AQ36">
        <v>0</v>
      </c>
      <c r="AR36">
        <v>0</v>
      </c>
      <c r="AS36" t="s">
        <v>4</v>
      </c>
      <c r="AT36">
        <v>3</v>
      </c>
      <c r="AU36" t="s">
        <v>4</v>
      </c>
      <c r="AV36">
        <v>0</v>
      </c>
      <c r="AW36">
        <v>1</v>
      </c>
      <c r="AX36">
        <v>-1</v>
      </c>
      <c r="AY36">
        <v>0</v>
      </c>
      <c r="AZ36">
        <v>0</v>
      </c>
      <c r="BA36" t="s">
        <v>4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ROUND(Y36*Source!I92,9)</f>
        <v>0.06</v>
      </c>
      <c r="CY36">
        <f>AA36</f>
        <v>514.9</v>
      </c>
      <c r="CZ36">
        <f>AE36</f>
        <v>514.9</v>
      </c>
      <c r="DA36">
        <f>AI36</f>
        <v>1</v>
      </c>
      <c r="DB36">
        <f t="shared" si="10"/>
        <v>1544.7</v>
      </c>
      <c r="DC36">
        <f t="shared" si="11"/>
        <v>0</v>
      </c>
      <c r="DD36" t="s">
        <v>4</v>
      </c>
      <c r="DE36" t="s">
        <v>4</v>
      </c>
      <c r="DF36">
        <f t="shared" si="8"/>
        <v>30.89</v>
      </c>
      <c r="DG36">
        <f t="shared" si="5"/>
        <v>0</v>
      </c>
      <c r="DH36">
        <f t="shared" si="6"/>
        <v>0</v>
      </c>
      <c r="DI36">
        <f t="shared" si="12"/>
        <v>0</v>
      </c>
      <c r="DJ36">
        <f>DF36</f>
        <v>30.89</v>
      </c>
      <c r="DK36">
        <v>0</v>
      </c>
      <c r="DL36" t="s">
        <v>4</v>
      </c>
      <c r="DM36">
        <v>0</v>
      </c>
      <c r="DN36" t="s">
        <v>4</v>
      </c>
      <c r="DO36">
        <v>0</v>
      </c>
    </row>
    <row r="37" spans="1:119">
      <c r="A37">
        <f>ROW(Source!A93)</f>
        <v>93</v>
      </c>
      <c r="B37">
        <v>70305036</v>
      </c>
      <c r="C37">
        <v>70310526</v>
      </c>
      <c r="D37">
        <v>69275358</v>
      </c>
      <c r="E37">
        <v>1075</v>
      </c>
      <c r="F37">
        <v>1</v>
      </c>
      <c r="G37">
        <v>1075</v>
      </c>
      <c r="H37">
        <v>1</v>
      </c>
      <c r="I37" t="s">
        <v>332</v>
      </c>
      <c r="J37" t="s">
        <v>4</v>
      </c>
      <c r="K37" t="s">
        <v>333</v>
      </c>
      <c r="L37">
        <v>1191</v>
      </c>
      <c r="N37">
        <v>1013</v>
      </c>
      <c r="O37" t="s">
        <v>334</v>
      </c>
      <c r="P37" t="s">
        <v>334</v>
      </c>
      <c r="Q37">
        <v>1</v>
      </c>
      <c r="W37">
        <v>0</v>
      </c>
      <c r="X37">
        <v>476480486</v>
      </c>
      <c r="Y37">
        <f t="shared" si="9"/>
        <v>132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4</v>
      </c>
      <c r="AT37">
        <v>132</v>
      </c>
      <c r="AU37" t="s">
        <v>4</v>
      </c>
      <c r="AV37">
        <v>1</v>
      </c>
      <c r="AW37">
        <v>2</v>
      </c>
      <c r="AX37">
        <v>70310533</v>
      </c>
      <c r="AY37">
        <v>1</v>
      </c>
      <c r="AZ37">
        <v>0</v>
      </c>
      <c r="BA37">
        <v>59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U37">
        <f>ROUND(AT37*Source!I93*AH37*AL37,2)</f>
        <v>0</v>
      </c>
      <c r="CV37">
        <f>ROUND(Y37*Source!I93,9)</f>
        <v>2.64</v>
      </c>
      <c r="CW37">
        <v>0</v>
      </c>
      <c r="CX37">
        <f>ROUND(Y37*Source!I93,9)</f>
        <v>2.64</v>
      </c>
      <c r="CY37">
        <f>AD37</f>
        <v>0</v>
      </c>
      <c r="CZ37">
        <f>AH37</f>
        <v>0</v>
      </c>
      <c r="DA37">
        <f>AL37</f>
        <v>1</v>
      </c>
      <c r="DB37">
        <f t="shared" si="10"/>
        <v>0</v>
      </c>
      <c r="DC37">
        <f t="shared" si="11"/>
        <v>0</v>
      </c>
      <c r="DD37" t="s">
        <v>4</v>
      </c>
      <c r="DE37" t="s">
        <v>4</v>
      </c>
      <c r="DF37">
        <f t="shared" si="8"/>
        <v>0</v>
      </c>
      <c r="DG37">
        <f t="shared" si="5"/>
        <v>0</v>
      </c>
      <c r="DH37">
        <f t="shared" si="6"/>
        <v>0</v>
      </c>
      <c r="DI37">
        <f t="shared" si="12"/>
        <v>0</v>
      </c>
      <c r="DJ37">
        <f>DI37</f>
        <v>0</v>
      </c>
      <c r="DK37">
        <v>0</v>
      </c>
      <c r="DL37" t="s">
        <v>4</v>
      </c>
      <c r="DM37">
        <v>0</v>
      </c>
      <c r="DN37" t="s">
        <v>4</v>
      </c>
      <c r="DO37">
        <v>0</v>
      </c>
    </row>
    <row r="38" spans="1:119">
      <c r="A38">
        <f>ROW(Source!A93)</f>
        <v>93</v>
      </c>
      <c r="B38">
        <v>70305036</v>
      </c>
      <c r="C38">
        <v>70310526</v>
      </c>
      <c r="D38">
        <v>69333752</v>
      </c>
      <c r="E38">
        <v>1</v>
      </c>
      <c r="F38">
        <v>1</v>
      </c>
      <c r="G38">
        <v>1075</v>
      </c>
      <c r="H38">
        <v>3</v>
      </c>
      <c r="I38" t="s">
        <v>352</v>
      </c>
      <c r="J38" t="s">
        <v>353</v>
      </c>
      <c r="K38" t="s">
        <v>354</v>
      </c>
      <c r="L38">
        <v>1348</v>
      </c>
      <c r="N38">
        <v>1009</v>
      </c>
      <c r="O38" t="s">
        <v>168</v>
      </c>
      <c r="P38" t="s">
        <v>168</v>
      </c>
      <c r="Q38">
        <v>1000</v>
      </c>
      <c r="W38">
        <v>0</v>
      </c>
      <c r="X38">
        <v>777194217</v>
      </c>
      <c r="Y38">
        <f t="shared" si="9"/>
        <v>6.0000000000000001E-3</v>
      </c>
      <c r="AA38">
        <v>89326.11</v>
      </c>
      <c r="AB38">
        <v>0</v>
      </c>
      <c r="AC38">
        <v>0</v>
      </c>
      <c r="AD38">
        <v>0</v>
      </c>
      <c r="AE38">
        <v>6521.42</v>
      </c>
      <c r="AF38">
        <v>0</v>
      </c>
      <c r="AG38">
        <v>0</v>
      </c>
      <c r="AH38">
        <v>0</v>
      </c>
      <c r="AI38">
        <v>13.67</v>
      </c>
      <c r="AJ38">
        <v>1</v>
      </c>
      <c r="AK38">
        <v>1</v>
      </c>
      <c r="AL38">
        <v>1</v>
      </c>
      <c r="AM38">
        <v>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4</v>
      </c>
      <c r="AT38">
        <v>6.0000000000000001E-3</v>
      </c>
      <c r="AU38" t="s">
        <v>4</v>
      </c>
      <c r="AV38">
        <v>0</v>
      </c>
      <c r="AW38">
        <v>2</v>
      </c>
      <c r="AX38">
        <v>70310534</v>
      </c>
      <c r="AY38">
        <v>1</v>
      </c>
      <c r="AZ38">
        <v>0</v>
      </c>
      <c r="BA38">
        <v>60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ROUND(Y38*Source!I93,9)</f>
        <v>1.2E-4</v>
      </c>
      <c r="CY38">
        <f>AA38</f>
        <v>89326.11</v>
      </c>
      <c r="CZ38">
        <f>AE38</f>
        <v>6521.42</v>
      </c>
      <c r="DA38">
        <f>AI38</f>
        <v>13.67</v>
      </c>
      <c r="DB38">
        <f t="shared" si="10"/>
        <v>39.130000000000003</v>
      </c>
      <c r="DC38">
        <f t="shared" si="11"/>
        <v>0</v>
      </c>
      <c r="DD38" t="s">
        <v>4</v>
      </c>
      <c r="DE38" t="s">
        <v>4</v>
      </c>
      <c r="DF38">
        <f>ROUND(ROUND(AE38*AI38,2)*CX38,2)</f>
        <v>10.7</v>
      </c>
      <c r="DG38">
        <f t="shared" si="5"/>
        <v>0</v>
      </c>
      <c r="DH38">
        <f t="shared" si="6"/>
        <v>0</v>
      </c>
      <c r="DI38">
        <f t="shared" si="12"/>
        <v>0</v>
      </c>
      <c r="DJ38">
        <f>DF38</f>
        <v>10.7</v>
      </c>
      <c r="DK38">
        <v>0</v>
      </c>
      <c r="DL38" t="s">
        <v>4</v>
      </c>
      <c r="DM38">
        <v>0</v>
      </c>
      <c r="DN38" t="s">
        <v>4</v>
      </c>
      <c r="DO38">
        <v>0</v>
      </c>
    </row>
    <row r="39" spans="1:119">
      <c r="A39">
        <f>ROW(Source!A93)</f>
        <v>93</v>
      </c>
      <c r="B39">
        <v>70305036</v>
      </c>
      <c r="C39">
        <v>70310526</v>
      </c>
      <c r="D39">
        <v>69333827</v>
      </c>
      <c r="E39">
        <v>1</v>
      </c>
      <c r="F39">
        <v>1</v>
      </c>
      <c r="G39">
        <v>1075</v>
      </c>
      <c r="H39">
        <v>3</v>
      </c>
      <c r="I39" t="s">
        <v>355</v>
      </c>
      <c r="J39" t="s">
        <v>356</v>
      </c>
      <c r="K39" t="s">
        <v>357</v>
      </c>
      <c r="L39">
        <v>1339</v>
      </c>
      <c r="N39">
        <v>1007</v>
      </c>
      <c r="O39" t="s">
        <v>52</v>
      </c>
      <c r="P39" t="s">
        <v>52</v>
      </c>
      <c r="Q39">
        <v>1</v>
      </c>
      <c r="W39">
        <v>0</v>
      </c>
      <c r="X39">
        <v>1270593418</v>
      </c>
      <c r="Y39">
        <f t="shared" si="9"/>
        <v>1.7999999999999999E-2</v>
      </c>
      <c r="AA39">
        <v>10168.81</v>
      </c>
      <c r="AB39">
        <v>0</v>
      </c>
      <c r="AC39">
        <v>0</v>
      </c>
      <c r="AD39">
        <v>0</v>
      </c>
      <c r="AE39">
        <v>1828.56</v>
      </c>
      <c r="AF39">
        <v>0</v>
      </c>
      <c r="AG39">
        <v>0</v>
      </c>
      <c r="AH39">
        <v>0</v>
      </c>
      <c r="AI39">
        <v>5.55</v>
      </c>
      <c r="AJ39">
        <v>1</v>
      </c>
      <c r="AK39">
        <v>1</v>
      </c>
      <c r="AL39">
        <v>1</v>
      </c>
      <c r="AM39">
        <v>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4</v>
      </c>
      <c r="AT39">
        <v>1.7999999999999999E-2</v>
      </c>
      <c r="AU39" t="s">
        <v>4</v>
      </c>
      <c r="AV39">
        <v>0</v>
      </c>
      <c r="AW39">
        <v>2</v>
      </c>
      <c r="AX39">
        <v>70310535</v>
      </c>
      <c r="AY39">
        <v>1</v>
      </c>
      <c r="AZ39">
        <v>0</v>
      </c>
      <c r="BA39">
        <v>61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ROUND(Y39*Source!I93,9)</f>
        <v>3.6000000000000002E-4</v>
      </c>
      <c r="CY39">
        <f>AA39</f>
        <v>10168.81</v>
      </c>
      <c r="CZ39">
        <f>AE39</f>
        <v>1828.56</v>
      </c>
      <c r="DA39">
        <f>AI39</f>
        <v>5.55</v>
      </c>
      <c r="DB39">
        <f t="shared" si="10"/>
        <v>32.909999999999997</v>
      </c>
      <c r="DC39">
        <f t="shared" si="11"/>
        <v>0</v>
      </c>
      <c r="DD39" t="s">
        <v>4</v>
      </c>
      <c r="DE39" t="s">
        <v>4</v>
      </c>
      <c r="DF39">
        <f>ROUND(ROUND(AE39*AI39,2)*CX39,2)</f>
        <v>3.65</v>
      </c>
      <c r="DG39">
        <f t="shared" si="5"/>
        <v>0</v>
      </c>
      <c r="DH39">
        <f t="shared" si="6"/>
        <v>0</v>
      </c>
      <c r="DI39">
        <f t="shared" si="12"/>
        <v>0</v>
      </c>
      <c r="DJ39">
        <f>DF39</f>
        <v>3.65</v>
      </c>
      <c r="DK39">
        <v>0</v>
      </c>
      <c r="DL39" t="s">
        <v>4</v>
      </c>
      <c r="DM39">
        <v>0</v>
      </c>
      <c r="DN39" t="s">
        <v>4</v>
      </c>
      <c r="DO39">
        <v>0</v>
      </c>
    </row>
    <row r="40" spans="1:119">
      <c r="A40">
        <f>ROW(Source!A93)</f>
        <v>93</v>
      </c>
      <c r="B40">
        <v>70305036</v>
      </c>
      <c r="C40">
        <v>70310526</v>
      </c>
      <c r="D40">
        <v>69333708</v>
      </c>
      <c r="E40">
        <v>1</v>
      </c>
      <c r="F40">
        <v>1</v>
      </c>
      <c r="G40">
        <v>1075</v>
      </c>
      <c r="H40">
        <v>3</v>
      </c>
      <c r="I40" t="s">
        <v>358</v>
      </c>
      <c r="J40" t="s">
        <v>359</v>
      </c>
      <c r="K40" t="s">
        <v>360</v>
      </c>
      <c r="L40">
        <v>1339</v>
      </c>
      <c r="N40">
        <v>1007</v>
      </c>
      <c r="O40" t="s">
        <v>52</v>
      </c>
      <c r="P40" t="s">
        <v>52</v>
      </c>
      <c r="Q40">
        <v>1</v>
      </c>
      <c r="W40">
        <v>0</v>
      </c>
      <c r="X40">
        <v>215494493</v>
      </c>
      <c r="Y40">
        <f t="shared" si="9"/>
        <v>0.3</v>
      </c>
      <c r="AA40">
        <v>11295.46</v>
      </c>
      <c r="AB40">
        <v>0</v>
      </c>
      <c r="AC40">
        <v>0</v>
      </c>
      <c r="AD40">
        <v>0</v>
      </c>
      <c r="AE40">
        <v>2472.13</v>
      </c>
      <c r="AF40">
        <v>0</v>
      </c>
      <c r="AG40">
        <v>0</v>
      </c>
      <c r="AH40">
        <v>0</v>
      </c>
      <c r="AI40">
        <v>4.5599999999999996</v>
      </c>
      <c r="AJ40">
        <v>1</v>
      </c>
      <c r="AK40">
        <v>1</v>
      </c>
      <c r="AL40">
        <v>1</v>
      </c>
      <c r="AM40">
        <v>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4</v>
      </c>
      <c r="AT40">
        <v>0.3</v>
      </c>
      <c r="AU40" t="s">
        <v>4</v>
      </c>
      <c r="AV40">
        <v>0</v>
      </c>
      <c r="AW40">
        <v>2</v>
      </c>
      <c r="AX40">
        <v>70310536</v>
      </c>
      <c r="AY40">
        <v>1</v>
      </c>
      <c r="AZ40">
        <v>0</v>
      </c>
      <c r="BA40">
        <v>62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ROUND(Y40*Source!I93,9)</f>
        <v>6.0000000000000001E-3</v>
      </c>
      <c r="CY40">
        <f>AA40</f>
        <v>11295.46</v>
      </c>
      <c r="CZ40">
        <f>AE40</f>
        <v>2472.13</v>
      </c>
      <c r="DA40">
        <f>AI40</f>
        <v>4.5599999999999996</v>
      </c>
      <c r="DB40">
        <f t="shared" si="10"/>
        <v>741.64</v>
      </c>
      <c r="DC40">
        <f t="shared" si="11"/>
        <v>0</v>
      </c>
      <c r="DD40" t="s">
        <v>4</v>
      </c>
      <c r="DE40" t="s">
        <v>4</v>
      </c>
      <c r="DF40">
        <f>ROUND(ROUND(AE40*AI40,2)*CX40,2)</f>
        <v>67.64</v>
      </c>
      <c r="DG40">
        <f t="shared" si="5"/>
        <v>0</v>
      </c>
      <c r="DH40">
        <f t="shared" si="6"/>
        <v>0</v>
      </c>
      <c r="DI40">
        <f t="shared" si="12"/>
        <v>0</v>
      </c>
      <c r="DJ40">
        <f>DF40</f>
        <v>67.64</v>
      </c>
      <c r="DK40">
        <v>0</v>
      </c>
      <c r="DL40" t="s">
        <v>4</v>
      </c>
      <c r="DM40">
        <v>0</v>
      </c>
      <c r="DN40" t="s">
        <v>4</v>
      </c>
      <c r="DO40">
        <v>0</v>
      </c>
    </row>
    <row r="41" spans="1:119">
      <c r="A41">
        <f>ROW(Source!A93)</f>
        <v>93</v>
      </c>
      <c r="B41">
        <v>70305036</v>
      </c>
      <c r="C41">
        <v>70310526</v>
      </c>
      <c r="D41">
        <v>69334307</v>
      </c>
      <c r="E41">
        <v>1</v>
      </c>
      <c r="F41">
        <v>1</v>
      </c>
      <c r="G41">
        <v>1075</v>
      </c>
      <c r="H41">
        <v>3</v>
      </c>
      <c r="I41" t="s">
        <v>361</v>
      </c>
      <c r="J41" t="s">
        <v>362</v>
      </c>
      <c r="K41" t="s">
        <v>363</v>
      </c>
      <c r="L41">
        <v>1348</v>
      </c>
      <c r="N41">
        <v>1009</v>
      </c>
      <c r="O41" t="s">
        <v>168</v>
      </c>
      <c r="P41" t="s">
        <v>168</v>
      </c>
      <c r="Q41">
        <v>1000</v>
      </c>
      <c r="W41">
        <v>0</v>
      </c>
      <c r="X41">
        <v>73889291</v>
      </c>
      <c r="Y41">
        <f t="shared" si="9"/>
        <v>5.4000000000000003E-3</v>
      </c>
      <c r="AA41">
        <v>83509.039999999994</v>
      </c>
      <c r="AB41">
        <v>0</v>
      </c>
      <c r="AC41">
        <v>0</v>
      </c>
      <c r="AD41">
        <v>0</v>
      </c>
      <c r="AE41">
        <v>9098.51</v>
      </c>
      <c r="AF41">
        <v>0</v>
      </c>
      <c r="AG41">
        <v>0</v>
      </c>
      <c r="AH41">
        <v>0</v>
      </c>
      <c r="AI41">
        <v>9.16</v>
      </c>
      <c r="AJ41">
        <v>1</v>
      </c>
      <c r="AK41">
        <v>1</v>
      </c>
      <c r="AL41">
        <v>1</v>
      </c>
      <c r="AM41">
        <v>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4</v>
      </c>
      <c r="AT41">
        <v>5.4000000000000003E-3</v>
      </c>
      <c r="AU41" t="s">
        <v>4</v>
      </c>
      <c r="AV41">
        <v>0</v>
      </c>
      <c r="AW41">
        <v>2</v>
      </c>
      <c r="AX41">
        <v>70310537</v>
      </c>
      <c r="AY41">
        <v>1</v>
      </c>
      <c r="AZ41">
        <v>0</v>
      </c>
      <c r="BA41">
        <v>63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ROUND(Y41*Source!I93,9)</f>
        <v>1.08E-4</v>
      </c>
      <c r="CY41">
        <f>AA41</f>
        <v>83509.039999999994</v>
      </c>
      <c r="CZ41">
        <f>AE41</f>
        <v>9098.51</v>
      </c>
      <c r="DA41">
        <f>AI41</f>
        <v>9.16</v>
      </c>
      <c r="DB41">
        <f t="shared" si="10"/>
        <v>49.13</v>
      </c>
      <c r="DC41">
        <f t="shared" si="11"/>
        <v>0</v>
      </c>
      <c r="DD41" t="s">
        <v>4</v>
      </c>
      <c r="DE41" t="s">
        <v>4</v>
      </c>
      <c r="DF41">
        <f>ROUND(ROUND(AE41*AI41,2)*CX41,2)</f>
        <v>9</v>
      </c>
      <c r="DG41">
        <f t="shared" si="5"/>
        <v>0</v>
      </c>
      <c r="DH41">
        <f t="shared" si="6"/>
        <v>0</v>
      </c>
      <c r="DI41">
        <f t="shared" si="12"/>
        <v>0</v>
      </c>
      <c r="DJ41">
        <f>DF41</f>
        <v>9</v>
      </c>
      <c r="DK41">
        <v>0</v>
      </c>
      <c r="DL41" t="s">
        <v>4</v>
      </c>
      <c r="DM41">
        <v>0</v>
      </c>
      <c r="DN41" t="s">
        <v>4</v>
      </c>
      <c r="DO41">
        <v>0</v>
      </c>
    </row>
    <row r="42" spans="1:119">
      <c r="A42">
        <f>ROW(Source!A93)</f>
        <v>93</v>
      </c>
      <c r="B42">
        <v>70305036</v>
      </c>
      <c r="C42">
        <v>70310526</v>
      </c>
      <c r="D42">
        <v>69357930</v>
      </c>
      <c r="E42">
        <v>1</v>
      </c>
      <c r="F42">
        <v>1</v>
      </c>
      <c r="G42">
        <v>1075</v>
      </c>
      <c r="H42">
        <v>3</v>
      </c>
      <c r="I42" t="s">
        <v>151</v>
      </c>
      <c r="J42" t="s">
        <v>153</v>
      </c>
      <c r="K42" t="s">
        <v>152</v>
      </c>
      <c r="L42">
        <v>1339</v>
      </c>
      <c r="N42">
        <v>1007</v>
      </c>
      <c r="O42" t="s">
        <v>52</v>
      </c>
      <c r="P42" t="s">
        <v>52</v>
      </c>
      <c r="Q42">
        <v>1</v>
      </c>
      <c r="W42">
        <v>0</v>
      </c>
      <c r="X42">
        <v>-1943809492</v>
      </c>
      <c r="Y42">
        <f t="shared" si="9"/>
        <v>3</v>
      </c>
      <c r="AA42">
        <v>6624.54</v>
      </c>
      <c r="AB42">
        <v>0</v>
      </c>
      <c r="AC42">
        <v>0</v>
      </c>
      <c r="AD42">
        <v>0</v>
      </c>
      <c r="AE42">
        <v>514.9</v>
      </c>
      <c r="AF42">
        <v>0</v>
      </c>
      <c r="AG42">
        <v>0</v>
      </c>
      <c r="AH42">
        <v>0</v>
      </c>
      <c r="AI42">
        <v>12.84</v>
      </c>
      <c r="AJ42">
        <v>1</v>
      </c>
      <c r="AK42">
        <v>1</v>
      </c>
      <c r="AL42">
        <v>1</v>
      </c>
      <c r="AM42">
        <v>0</v>
      </c>
      <c r="AN42">
        <v>0</v>
      </c>
      <c r="AO42">
        <v>0</v>
      </c>
      <c r="AP42">
        <v>1</v>
      </c>
      <c r="AQ42">
        <v>0</v>
      </c>
      <c r="AR42">
        <v>0</v>
      </c>
      <c r="AS42" t="s">
        <v>4</v>
      </c>
      <c r="AT42">
        <v>3</v>
      </c>
      <c r="AU42" t="s">
        <v>4</v>
      </c>
      <c r="AV42">
        <v>0</v>
      </c>
      <c r="AW42">
        <v>1</v>
      </c>
      <c r="AX42">
        <v>-1</v>
      </c>
      <c r="AY42">
        <v>0</v>
      </c>
      <c r="AZ42">
        <v>0</v>
      </c>
      <c r="BA42" t="s">
        <v>4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ROUND(Y42*Source!I93,9)</f>
        <v>0.06</v>
      </c>
      <c r="CY42">
        <f>AA42</f>
        <v>6624.54</v>
      </c>
      <c r="CZ42">
        <f>AE42</f>
        <v>514.9</v>
      </c>
      <c r="DA42">
        <f>AI42</f>
        <v>12.84</v>
      </c>
      <c r="DB42">
        <f t="shared" si="10"/>
        <v>1544.7</v>
      </c>
      <c r="DC42">
        <f t="shared" si="11"/>
        <v>0</v>
      </c>
      <c r="DD42" t="s">
        <v>4</v>
      </c>
      <c r="DE42" t="s">
        <v>4</v>
      </c>
      <c r="DF42">
        <f>ROUND(ROUND(AE42*AI42,2)*CX42,2)</f>
        <v>396.68</v>
      </c>
      <c r="DG42">
        <f t="shared" si="5"/>
        <v>0</v>
      </c>
      <c r="DH42">
        <f t="shared" si="6"/>
        <v>0</v>
      </c>
      <c r="DI42">
        <f t="shared" si="12"/>
        <v>0</v>
      </c>
      <c r="DJ42">
        <f>DF42</f>
        <v>396.68</v>
      </c>
      <c r="DK42">
        <v>0</v>
      </c>
      <c r="DL42" t="s">
        <v>4</v>
      </c>
      <c r="DM42">
        <v>0</v>
      </c>
      <c r="DN42" t="s">
        <v>4</v>
      </c>
      <c r="DO42">
        <v>0</v>
      </c>
    </row>
    <row r="43" spans="1:119">
      <c r="A43">
        <f>ROW(Source!A96)</f>
        <v>96</v>
      </c>
      <c r="B43">
        <v>70305038</v>
      </c>
      <c r="C43">
        <v>70310540</v>
      </c>
      <c r="D43">
        <v>69275358</v>
      </c>
      <c r="E43">
        <v>1075</v>
      </c>
      <c r="F43">
        <v>1</v>
      </c>
      <c r="G43">
        <v>1075</v>
      </c>
      <c r="H43">
        <v>1</v>
      </c>
      <c r="I43" t="s">
        <v>332</v>
      </c>
      <c r="J43" t="s">
        <v>4</v>
      </c>
      <c r="K43" t="s">
        <v>333</v>
      </c>
      <c r="L43">
        <v>1191</v>
      </c>
      <c r="N43">
        <v>1013</v>
      </c>
      <c r="O43" t="s">
        <v>334</v>
      </c>
      <c r="P43" t="s">
        <v>334</v>
      </c>
      <c r="Q43">
        <v>1</v>
      </c>
      <c r="W43">
        <v>0</v>
      </c>
      <c r="X43">
        <v>476480486</v>
      </c>
      <c r="Y43">
        <f t="shared" si="9"/>
        <v>46.8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4</v>
      </c>
      <c r="AT43">
        <v>46.8</v>
      </c>
      <c r="AU43" t="s">
        <v>4</v>
      </c>
      <c r="AV43">
        <v>1</v>
      </c>
      <c r="AW43">
        <v>2</v>
      </c>
      <c r="AX43">
        <v>70310548</v>
      </c>
      <c r="AY43">
        <v>1</v>
      </c>
      <c r="AZ43">
        <v>0</v>
      </c>
      <c r="BA43">
        <v>65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U43">
        <f>ROUND(AT43*Source!I96*AH43*AL43,2)</f>
        <v>0</v>
      </c>
      <c r="CV43">
        <f>ROUND(Y43*Source!I96,9)</f>
        <v>1.8720000000000001</v>
      </c>
      <c r="CW43">
        <v>0</v>
      </c>
      <c r="CX43">
        <f>ROUND(Y43*Source!I96,9)</f>
        <v>1.8720000000000001</v>
      </c>
      <c r="CY43">
        <f>AD43</f>
        <v>0</v>
      </c>
      <c r="CZ43">
        <f>AH43</f>
        <v>0</v>
      </c>
      <c r="DA43">
        <f>AL43</f>
        <v>1</v>
      </c>
      <c r="DB43">
        <f t="shared" si="10"/>
        <v>0</v>
      </c>
      <c r="DC43">
        <f t="shared" si="11"/>
        <v>0</v>
      </c>
      <c r="DD43" t="s">
        <v>4</v>
      </c>
      <c r="DE43" t="s">
        <v>4</v>
      </c>
      <c r="DF43">
        <f t="shared" ref="DF43:DF52" si="13">ROUND(ROUND(AE43,2)*CX43,2)</f>
        <v>0</v>
      </c>
      <c r="DG43">
        <f t="shared" si="5"/>
        <v>0</v>
      </c>
      <c r="DH43">
        <f t="shared" si="6"/>
        <v>0</v>
      </c>
      <c r="DI43">
        <f t="shared" si="12"/>
        <v>0</v>
      </c>
      <c r="DJ43">
        <f>DI43</f>
        <v>0</v>
      </c>
      <c r="DK43">
        <v>0</v>
      </c>
      <c r="DL43" t="s">
        <v>4</v>
      </c>
      <c r="DM43">
        <v>0</v>
      </c>
      <c r="DN43" t="s">
        <v>4</v>
      </c>
      <c r="DO43">
        <v>0</v>
      </c>
    </row>
    <row r="44" spans="1:119">
      <c r="A44">
        <f>ROW(Source!A96)</f>
        <v>96</v>
      </c>
      <c r="B44">
        <v>70305038</v>
      </c>
      <c r="C44">
        <v>70310540</v>
      </c>
      <c r="D44">
        <v>69364509</v>
      </c>
      <c r="E44">
        <v>1</v>
      </c>
      <c r="F44">
        <v>1</v>
      </c>
      <c r="G44">
        <v>1075</v>
      </c>
      <c r="H44">
        <v>2</v>
      </c>
      <c r="I44" t="s">
        <v>364</v>
      </c>
      <c r="J44" t="s">
        <v>365</v>
      </c>
      <c r="K44" t="s">
        <v>366</v>
      </c>
      <c r="L44">
        <v>1368</v>
      </c>
      <c r="N44">
        <v>1011</v>
      </c>
      <c r="O44" t="s">
        <v>338</v>
      </c>
      <c r="P44" t="s">
        <v>338</v>
      </c>
      <c r="Q44">
        <v>1</v>
      </c>
      <c r="W44">
        <v>0</v>
      </c>
      <c r="X44">
        <v>322366203</v>
      </c>
      <c r="Y44">
        <f t="shared" si="9"/>
        <v>0.55000000000000004</v>
      </c>
      <c r="AA44">
        <v>0</v>
      </c>
      <c r="AB44">
        <v>83.1</v>
      </c>
      <c r="AC44">
        <v>12.62</v>
      </c>
      <c r="AD44">
        <v>0</v>
      </c>
      <c r="AE44">
        <v>0</v>
      </c>
      <c r="AF44">
        <v>83.1</v>
      </c>
      <c r="AG44">
        <v>12.62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4</v>
      </c>
      <c r="AT44">
        <v>0.55000000000000004</v>
      </c>
      <c r="AU44" t="s">
        <v>4</v>
      </c>
      <c r="AV44">
        <v>0</v>
      </c>
      <c r="AW44">
        <v>2</v>
      </c>
      <c r="AX44">
        <v>70310549</v>
      </c>
      <c r="AY44">
        <v>1</v>
      </c>
      <c r="AZ44">
        <v>0</v>
      </c>
      <c r="BA44">
        <v>66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f>ROUND(Y44*Source!I96*DO44,9)</f>
        <v>0</v>
      </c>
      <c r="CX44">
        <f>ROUND(Y44*Source!I96,9)</f>
        <v>2.1999999999999999E-2</v>
      </c>
      <c r="CY44">
        <f>AB44</f>
        <v>83.1</v>
      </c>
      <c r="CZ44">
        <f>AF44</f>
        <v>83.1</v>
      </c>
      <c r="DA44">
        <f>AJ44</f>
        <v>1</v>
      </c>
      <c r="DB44">
        <f t="shared" si="10"/>
        <v>45.71</v>
      </c>
      <c r="DC44">
        <f t="shared" si="11"/>
        <v>6.94</v>
      </c>
      <c r="DD44" t="s">
        <v>4</v>
      </c>
      <c r="DE44" t="s">
        <v>4</v>
      </c>
      <c r="DF44">
        <f t="shared" si="13"/>
        <v>0</v>
      </c>
      <c r="DG44">
        <f t="shared" si="5"/>
        <v>1.83</v>
      </c>
      <c r="DH44">
        <f t="shared" si="6"/>
        <v>0.28000000000000003</v>
      </c>
      <c r="DI44">
        <f t="shared" si="12"/>
        <v>0</v>
      </c>
      <c r="DJ44">
        <f>DG44</f>
        <v>1.83</v>
      </c>
      <c r="DK44">
        <v>0</v>
      </c>
      <c r="DL44" t="s">
        <v>4</v>
      </c>
      <c r="DM44">
        <v>0</v>
      </c>
      <c r="DN44" t="s">
        <v>4</v>
      </c>
      <c r="DO44">
        <v>0</v>
      </c>
    </row>
    <row r="45" spans="1:119">
      <c r="A45">
        <f>ROW(Source!A96)</f>
        <v>96</v>
      </c>
      <c r="B45">
        <v>70305038</v>
      </c>
      <c r="C45">
        <v>70310540</v>
      </c>
      <c r="D45">
        <v>69363945</v>
      </c>
      <c r="E45">
        <v>1</v>
      </c>
      <c r="F45">
        <v>1</v>
      </c>
      <c r="G45">
        <v>1075</v>
      </c>
      <c r="H45">
        <v>2</v>
      </c>
      <c r="I45" t="s">
        <v>367</v>
      </c>
      <c r="J45" t="s">
        <v>368</v>
      </c>
      <c r="K45" t="s">
        <v>369</v>
      </c>
      <c r="L45">
        <v>1368</v>
      </c>
      <c r="N45">
        <v>1011</v>
      </c>
      <c r="O45" t="s">
        <v>338</v>
      </c>
      <c r="P45" t="s">
        <v>338</v>
      </c>
      <c r="Q45">
        <v>1</v>
      </c>
      <c r="W45">
        <v>0</v>
      </c>
      <c r="X45">
        <v>265113661</v>
      </c>
      <c r="Y45">
        <f t="shared" si="9"/>
        <v>3.58</v>
      </c>
      <c r="AA45">
        <v>0</v>
      </c>
      <c r="AB45">
        <v>12.32</v>
      </c>
      <c r="AC45">
        <v>0</v>
      </c>
      <c r="AD45">
        <v>0</v>
      </c>
      <c r="AE45">
        <v>0</v>
      </c>
      <c r="AF45">
        <v>12.32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4</v>
      </c>
      <c r="AT45">
        <v>3.58</v>
      </c>
      <c r="AU45" t="s">
        <v>4</v>
      </c>
      <c r="AV45">
        <v>0</v>
      </c>
      <c r="AW45">
        <v>2</v>
      </c>
      <c r="AX45">
        <v>70310550</v>
      </c>
      <c r="AY45">
        <v>1</v>
      </c>
      <c r="AZ45">
        <v>0</v>
      </c>
      <c r="BA45">
        <v>67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f>ROUND(Y45*Source!I96*DO45,9)</f>
        <v>0</v>
      </c>
      <c r="CX45">
        <f>ROUND(Y45*Source!I96,9)</f>
        <v>0.14319999999999999</v>
      </c>
      <c r="CY45">
        <f>AB45</f>
        <v>12.32</v>
      </c>
      <c r="CZ45">
        <f>AF45</f>
        <v>12.32</v>
      </c>
      <c r="DA45">
        <f>AJ45</f>
        <v>1</v>
      </c>
      <c r="DB45">
        <f t="shared" si="10"/>
        <v>44.11</v>
      </c>
      <c r="DC45">
        <f t="shared" si="11"/>
        <v>0</v>
      </c>
      <c r="DD45" t="s">
        <v>4</v>
      </c>
      <c r="DE45" t="s">
        <v>4</v>
      </c>
      <c r="DF45">
        <f t="shared" si="13"/>
        <v>0</v>
      </c>
      <c r="DG45">
        <f t="shared" si="5"/>
        <v>1.76</v>
      </c>
      <c r="DH45">
        <f t="shared" si="6"/>
        <v>0</v>
      </c>
      <c r="DI45">
        <f t="shared" si="12"/>
        <v>0</v>
      </c>
      <c r="DJ45">
        <f>DG45</f>
        <v>1.76</v>
      </c>
      <c r="DK45">
        <v>0</v>
      </c>
      <c r="DL45" t="s">
        <v>4</v>
      </c>
      <c r="DM45">
        <v>0</v>
      </c>
      <c r="DN45" t="s">
        <v>4</v>
      </c>
      <c r="DO45">
        <v>0</v>
      </c>
    </row>
    <row r="46" spans="1:119">
      <c r="A46">
        <f>ROW(Source!A96)</f>
        <v>96</v>
      </c>
      <c r="B46">
        <v>70305038</v>
      </c>
      <c r="C46">
        <v>70310540</v>
      </c>
      <c r="D46">
        <v>69333870</v>
      </c>
      <c r="E46">
        <v>1</v>
      </c>
      <c r="F46">
        <v>1</v>
      </c>
      <c r="G46">
        <v>1075</v>
      </c>
      <c r="H46">
        <v>3</v>
      </c>
      <c r="I46" t="s">
        <v>162</v>
      </c>
      <c r="J46" t="s">
        <v>165</v>
      </c>
      <c r="K46" t="s">
        <v>163</v>
      </c>
      <c r="L46">
        <v>1327</v>
      </c>
      <c r="N46">
        <v>1005</v>
      </c>
      <c r="O46" t="s">
        <v>164</v>
      </c>
      <c r="P46" t="s">
        <v>164</v>
      </c>
      <c r="Q46">
        <v>1</v>
      </c>
      <c r="W46">
        <v>0</v>
      </c>
      <c r="X46">
        <v>-500523568</v>
      </c>
      <c r="Y46">
        <f t="shared" si="9"/>
        <v>230</v>
      </c>
      <c r="AA46">
        <v>56.6</v>
      </c>
      <c r="AB46">
        <v>0</v>
      </c>
      <c r="AC46">
        <v>0</v>
      </c>
      <c r="AD46">
        <v>0</v>
      </c>
      <c r="AE46">
        <v>56.6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0</v>
      </c>
      <c r="AN46">
        <v>0</v>
      </c>
      <c r="AO46">
        <v>0</v>
      </c>
      <c r="AP46">
        <v>1</v>
      </c>
      <c r="AQ46">
        <v>0</v>
      </c>
      <c r="AR46">
        <v>0</v>
      </c>
      <c r="AS46" t="s">
        <v>4</v>
      </c>
      <c r="AT46">
        <v>230</v>
      </c>
      <c r="AU46" t="s">
        <v>4</v>
      </c>
      <c r="AV46">
        <v>0</v>
      </c>
      <c r="AW46">
        <v>1</v>
      </c>
      <c r="AX46">
        <v>-1</v>
      </c>
      <c r="AY46">
        <v>0</v>
      </c>
      <c r="AZ46">
        <v>0</v>
      </c>
      <c r="BA46" t="s">
        <v>4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ROUND(Y46*Source!I96,9)</f>
        <v>9.1999999999999993</v>
      </c>
      <c r="CY46">
        <f>AA46</f>
        <v>56.6</v>
      </c>
      <c r="CZ46">
        <f>AE46</f>
        <v>56.6</v>
      </c>
      <c r="DA46">
        <f>AI46</f>
        <v>1</v>
      </c>
      <c r="DB46">
        <f t="shared" si="10"/>
        <v>13018</v>
      </c>
      <c r="DC46">
        <f t="shared" si="11"/>
        <v>0</v>
      </c>
      <c r="DD46" t="s">
        <v>4</v>
      </c>
      <c r="DE46" t="s">
        <v>4</v>
      </c>
      <c r="DF46">
        <f t="shared" si="13"/>
        <v>520.72</v>
      </c>
      <c r="DG46">
        <f t="shared" si="5"/>
        <v>0</v>
      </c>
      <c r="DH46">
        <f t="shared" si="6"/>
        <v>0</v>
      </c>
      <c r="DI46">
        <f t="shared" si="12"/>
        <v>0</v>
      </c>
      <c r="DJ46">
        <f>DF46</f>
        <v>520.72</v>
      </c>
      <c r="DK46">
        <v>0</v>
      </c>
      <c r="DL46" t="s">
        <v>4</v>
      </c>
      <c r="DM46">
        <v>0</v>
      </c>
      <c r="DN46" t="s">
        <v>4</v>
      </c>
      <c r="DO46">
        <v>0</v>
      </c>
    </row>
    <row r="47" spans="1:119">
      <c r="A47">
        <f>ROW(Source!A96)</f>
        <v>96</v>
      </c>
      <c r="B47">
        <v>70305038</v>
      </c>
      <c r="C47">
        <v>70310540</v>
      </c>
      <c r="D47">
        <v>69333917</v>
      </c>
      <c r="E47">
        <v>1</v>
      </c>
      <c r="F47">
        <v>1</v>
      </c>
      <c r="G47">
        <v>1075</v>
      </c>
      <c r="H47">
        <v>3</v>
      </c>
      <c r="I47" t="s">
        <v>370</v>
      </c>
      <c r="J47" t="s">
        <v>371</v>
      </c>
      <c r="K47" t="s">
        <v>372</v>
      </c>
      <c r="L47">
        <v>1348</v>
      </c>
      <c r="N47">
        <v>1009</v>
      </c>
      <c r="O47" t="s">
        <v>168</v>
      </c>
      <c r="P47" t="s">
        <v>168</v>
      </c>
      <c r="Q47">
        <v>1000</v>
      </c>
      <c r="W47">
        <v>0</v>
      </c>
      <c r="X47">
        <v>737862140</v>
      </c>
      <c r="Y47">
        <f t="shared" si="9"/>
        <v>2.4E-2</v>
      </c>
      <c r="AA47">
        <v>7359.71</v>
      </c>
      <c r="AB47">
        <v>0</v>
      </c>
      <c r="AC47">
        <v>0</v>
      </c>
      <c r="AD47">
        <v>0</v>
      </c>
      <c r="AE47">
        <v>7359.71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4</v>
      </c>
      <c r="AT47">
        <v>2.4E-2</v>
      </c>
      <c r="AU47" t="s">
        <v>4</v>
      </c>
      <c r="AV47">
        <v>0</v>
      </c>
      <c r="AW47">
        <v>2</v>
      </c>
      <c r="AX47">
        <v>70310551</v>
      </c>
      <c r="AY47">
        <v>1</v>
      </c>
      <c r="AZ47">
        <v>0</v>
      </c>
      <c r="BA47">
        <v>68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ROUND(Y47*Source!I96,9)</f>
        <v>9.6000000000000002E-4</v>
      </c>
      <c r="CY47">
        <f>AA47</f>
        <v>7359.71</v>
      </c>
      <c r="CZ47">
        <f>AE47</f>
        <v>7359.71</v>
      </c>
      <c r="DA47">
        <f>AI47</f>
        <v>1</v>
      </c>
      <c r="DB47">
        <f t="shared" si="10"/>
        <v>176.63</v>
      </c>
      <c r="DC47">
        <f t="shared" si="11"/>
        <v>0</v>
      </c>
      <c r="DD47" t="s">
        <v>4</v>
      </c>
      <c r="DE47" t="s">
        <v>4</v>
      </c>
      <c r="DF47">
        <f t="shared" si="13"/>
        <v>7.07</v>
      </c>
      <c r="DG47">
        <f t="shared" si="5"/>
        <v>0</v>
      </c>
      <c r="DH47">
        <f t="shared" si="6"/>
        <v>0</v>
      </c>
      <c r="DI47">
        <f t="shared" si="12"/>
        <v>0</v>
      </c>
      <c r="DJ47">
        <f>DF47</f>
        <v>7.07</v>
      </c>
      <c r="DK47">
        <v>0</v>
      </c>
      <c r="DL47" t="s">
        <v>4</v>
      </c>
      <c r="DM47">
        <v>0</v>
      </c>
      <c r="DN47" t="s">
        <v>4</v>
      </c>
      <c r="DO47">
        <v>0</v>
      </c>
    </row>
    <row r="48" spans="1:119">
      <c r="A48">
        <f>ROW(Source!A96)</f>
        <v>96</v>
      </c>
      <c r="B48">
        <v>70305038</v>
      </c>
      <c r="C48">
        <v>70310540</v>
      </c>
      <c r="D48">
        <v>69333689</v>
      </c>
      <c r="E48">
        <v>1</v>
      </c>
      <c r="F48">
        <v>1</v>
      </c>
      <c r="G48">
        <v>1075</v>
      </c>
      <c r="H48">
        <v>3</v>
      </c>
      <c r="I48" t="s">
        <v>373</v>
      </c>
      <c r="J48" t="s">
        <v>374</v>
      </c>
      <c r="K48" t="s">
        <v>375</v>
      </c>
      <c r="L48">
        <v>1348</v>
      </c>
      <c r="N48">
        <v>1009</v>
      </c>
      <c r="O48" t="s">
        <v>168</v>
      </c>
      <c r="P48" t="s">
        <v>168</v>
      </c>
      <c r="Q48">
        <v>1000</v>
      </c>
      <c r="W48">
        <v>0</v>
      </c>
      <c r="X48">
        <v>30640775</v>
      </c>
      <c r="Y48">
        <f t="shared" si="9"/>
        <v>1.6E-2</v>
      </c>
      <c r="AA48">
        <v>3806.03</v>
      </c>
      <c r="AB48">
        <v>0</v>
      </c>
      <c r="AC48">
        <v>0</v>
      </c>
      <c r="AD48">
        <v>0</v>
      </c>
      <c r="AE48">
        <v>3806.03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4</v>
      </c>
      <c r="AT48">
        <v>1.6E-2</v>
      </c>
      <c r="AU48" t="s">
        <v>4</v>
      </c>
      <c r="AV48">
        <v>0</v>
      </c>
      <c r="AW48">
        <v>2</v>
      </c>
      <c r="AX48">
        <v>70310552</v>
      </c>
      <c r="AY48">
        <v>1</v>
      </c>
      <c r="AZ48">
        <v>0</v>
      </c>
      <c r="BA48">
        <v>69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ROUND(Y48*Source!I96,9)</f>
        <v>6.4000000000000005E-4</v>
      </c>
      <c r="CY48">
        <f>AA48</f>
        <v>3806.03</v>
      </c>
      <c r="CZ48">
        <f>AE48</f>
        <v>3806.03</v>
      </c>
      <c r="DA48">
        <f>AI48</f>
        <v>1</v>
      </c>
      <c r="DB48">
        <f t="shared" si="10"/>
        <v>60.9</v>
      </c>
      <c r="DC48">
        <f t="shared" si="11"/>
        <v>0</v>
      </c>
      <c r="DD48" t="s">
        <v>4</v>
      </c>
      <c r="DE48" t="s">
        <v>4</v>
      </c>
      <c r="DF48">
        <f t="shared" si="13"/>
        <v>2.44</v>
      </c>
      <c r="DG48">
        <f t="shared" si="5"/>
        <v>0</v>
      </c>
      <c r="DH48">
        <f t="shared" si="6"/>
        <v>0</v>
      </c>
      <c r="DI48">
        <f t="shared" si="12"/>
        <v>0</v>
      </c>
      <c r="DJ48">
        <f>DF48</f>
        <v>2.44</v>
      </c>
      <c r="DK48">
        <v>0</v>
      </c>
      <c r="DL48" t="s">
        <v>4</v>
      </c>
      <c r="DM48">
        <v>0</v>
      </c>
      <c r="DN48" t="s">
        <v>4</v>
      </c>
      <c r="DO48">
        <v>0</v>
      </c>
    </row>
    <row r="49" spans="1:119">
      <c r="A49">
        <f>ROW(Source!A96)</f>
        <v>96</v>
      </c>
      <c r="B49">
        <v>70305038</v>
      </c>
      <c r="C49">
        <v>70310540</v>
      </c>
      <c r="D49">
        <v>69334112</v>
      </c>
      <c r="E49">
        <v>1</v>
      </c>
      <c r="F49">
        <v>1</v>
      </c>
      <c r="G49">
        <v>1075</v>
      </c>
      <c r="H49">
        <v>3</v>
      </c>
      <c r="I49" t="s">
        <v>167</v>
      </c>
      <c r="J49" t="s">
        <v>169</v>
      </c>
      <c r="K49" t="s">
        <v>522</v>
      </c>
      <c r="L49">
        <v>1348</v>
      </c>
      <c r="N49">
        <v>1009</v>
      </c>
      <c r="O49" t="s">
        <v>168</v>
      </c>
      <c r="P49" t="s">
        <v>168</v>
      </c>
      <c r="Q49">
        <v>1000</v>
      </c>
      <c r="W49">
        <v>0</v>
      </c>
      <c r="X49">
        <v>-188928943</v>
      </c>
      <c r="Y49">
        <f t="shared" si="9"/>
        <v>0.44</v>
      </c>
      <c r="AA49">
        <v>11626.84</v>
      </c>
      <c r="AB49">
        <v>0</v>
      </c>
      <c r="AC49">
        <v>0</v>
      </c>
      <c r="AD49">
        <v>0</v>
      </c>
      <c r="AE49">
        <v>11626.84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0</v>
      </c>
      <c r="AN49">
        <v>0</v>
      </c>
      <c r="AO49">
        <v>0</v>
      </c>
      <c r="AP49">
        <v>1</v>
      </c>
      <c r="AQ49">
        <v>0</v>
      </c>
      <c r="AR49">
        <v>0</v>
      </c>
      <c r="AS49" t="s">
        <v>4</v>
      </c>
      <c r="AT49">
        <v>0.44</v>
      </c>
      <c r="AU49" t="s">
        <v>4</v>
      </c>
      <c r="AV49">
        <v>0</v>
      </c>
      <c r="AW49">
        <v>1</v>
      </c>
      <c r="AX49">
        <v>-1</v>
      </c>
      <c r="AY49">
        <v>0</v>
      </c>
      <c r="AZ49">
        <v>0</v>
      </c>
      <c r="BA49" t="s">
        <v>4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ROUND(Y49*Source!I96,9)</f>
        <v>1.7600000000000001E-2</v>
      </c>
      <c r="CY49">
        <f>AA49</f>
        <v>11626.84</v>
      </c>
      <c r="CZ49">
        <f>AE49</f>
        <v>11626.84</v>
      </c>
      <c r="DA49">
        <f>AI49</f>
        <v>1</v>
      </c>
      <c r="DB49">
        <f t="shared" si="10"/>
        <v>5115.8100000000004</v>
      </c>
      <c r="DC49">
        <f t="shared" si="11"/>
        <v>0</v>
      </c>
      <c r="DD49" t="s">
        <v>4</v>
      </c>
      <c r="DE49" t="s">
        <v>4</v>
      </c>
      <c r="DF49">
        <f t="shared" si="13"/>
        <v>204.63</v>
      </c>
      <c r="DG49">
        <f t="shared" si="5"/>
        <v>0</v>
      </c>
      <c r="DH49">
        <f t="shared" si="6"/>
        <v>0</v>
      </c>
      <c r="DI49">
        <f t="shared" si="12"/>
        <v>0</v>
      </c>
      <c r="DJ49">
        <f>DF49</f>
        <v>204.63</v>
      </c>
      <c r="DK49">
        <v>0</v>
      </c>
      <c r="DL49" t="s">
        <v>4</v>
      </c>
      <c r="DM49">
        <v>0</v>
      </c>
      <c r="DN49" t="s">
        <v>4</v>
      </c>
      <c r="DO49">
        <v>0</v>
      </c>
    </row>
    <row r="50" spans="1:119">
      <c r="A50">
        <f>ROW(Source!A97)</f>
        <v>97</v>
      </c>
      <c r="B50">
        <v>70305036</v>
      </c>
      <c r="C50">
        <v>70310540</v>
      </c>
      <c r="D50">
        <v>69275358</v>
      </c>
      <c r="E50">
        <v>1075</v>
      </c>
      <c r="F50">
        <v>1</v>
      </c>
      <c r="G50">
        <v>1075</v>
      </c>
      <c r="H50">
        <v>1</v>
      </c>
      <c r="I50" t="s">
        <v>332</v>
      </c>
      <c r="J50" t="s">
        <v>4</v>
      </c>
      <c r="K50" t="s">
        <v>333</v>
      </c>
      <c r="L50">
        <v>1191</v>
      </c>
      <c r="N50">
        <v>1013</v>
      </c>
      <c r="O50" t="s">
        <v>334</v>
      </c>
      <c r="P50" t="s">
        <v>334</v>
      </c>
      <c r="Q50">
        <v>1</v>
      </c>
      <c r="W50">
        <v>0</v>
      </c>
      <c r="X50">
        <v>476480486</v>
      </c>
      <c r="Y50">
        <f t="shared" si="9"/>
        <v>46.8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4</v>
      </c>
      <c r="AT50">
        <v>46.8</v>
      </c>
      <c r="AU50" t="s">
        <v>4</v>
      </c>
      <c r="AV50">
        <v>1</v>
      </c>
      <c r="AW50">
        <v>2</v>
      </c>
      <c r="AX50">
        <v>70310548</v>
      </c>
      <c r="AY50">
        <v>1</v>
      </c>
      <c r="AZ50">
        <v>0</v>
      </c>
      <c r="BA50">
        <v>72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U50">
        <f>ROUND(AT50*Source!I97*AH50*AL50,2)</f>
        <v>0</v>
      </c>
      <c r="CV50">
        <f>ROUND(Y50*Source!I97,9)</f>
        <v>1.8720000000000001</v>
      </c>
      <c r="CW50">
        <v>0</v>
      </c>
      <c r="CX50">
        <f>ROUND(Y50*Source!I97,9)</f>
        <v>1.8720000000000001</v>
      </c>
      <c r="CY50">
        <f>AD50</f>
        <v>0</v>
      </c>
      <c r="CZ50">
        <f>AH50</f>
        <v>0</v>
      </c>
      <c r="DA50">
        <f>AL50</f>
        <v>1</v>
      </c>
      <c r="DB50">
        <f t="shared" si="10"/>
        <v>0</v>
      </c>
      <c r="DC50">
        <f t="shared" si="11"/>
        <v>0</v>
      </c>
      <c r="DD50" t="s">
        <v>4</v>
      </c>
      <c r="DE50" t="s">
        <v>4</v>
      </c>
      <c r="DF50">
        <f t="shared" si="13"/>
        <v>0</v>
      </c>
      <c r="DG50">
        <f t="shared" si="5"/>
        <v>0</v>
      </c>
      <c r="DH50">
        <f t="shared" si="6"/>
        <v>0</v>
      </c>
      <c r="DI50">
        <f t="shared" si="12"/>
        <v>0</v>
      </c>
      <c r="DJ50">
        <f>DI50</f>
        <v>0</v>
      </c>
      <c r="DK50">
        <v>0</v>
      </c>
      <c r="DL50" t="s">
        <v>4</v>
      </c>
      <c r="DM50">
        <v>0</v>
      </c>
      <c r="DN50" t="s">
        <v>4</v>
      </c>
      <c r="DO50">
        <v>0</v>
      </c>
    </row>
    <row r="51" spans="1:119">
      <c r="A51">
        <f>ROW(Source!A97)</f>
        <v>97</v>
      </c>
      <c r="B51">
        <v>70305036</v>
      </c>
      <c r="C51">
        <v>70310540</v>
      </c>
      <c r="D51">
        <v>69364509</v>
      </c>
      <c r="E51">
        <v>1</v>
      </c>
      <c r="F51">
        <v>1</v>
      </c>
      <c r="G51">
        <v>1075</v>
      </c>
      <c r="H51">
        <v>2</v>
      </c>
      <c r="I51" t="s">
        <v>364</v>
      </c>
      <c r="J51" t="s">
        <v>365</v>
      </c>
      <c r="K51" t="s">
        <v>366</v>
      </c>
      <c r="L51">
        <v>1368</v>
      </c>
      <c r="N51">
        <v>1011</v>
      </c>
      <c r="O51" t="s">
        <v>338</v>
      </c>
      <c r="P51" t="s">
        <v>338</v>
      </c>
      <c r="Q51">
        <v>1</v>
      </c>
      <c r="W51">
        <v>0</v>
      </c>
      <c r="X51">
        <v>322366203</v>
      </c>
      <c r="Y51">
        <f t="shared" si="9"/>
        <v>0.55000000000000004</v>
      </c>
      <c r="AA51">
        <v>0</v>
      </c>
      <c r="AB51">
        <v>1308.57</v>
      </c>
      <c r="AC51">
        <v>616.66</v>
      </c>
      <c r="AD51">
        <v>0</v>
      </c>
      <c r="AE51">
        <v>0</v>
      </c>
      <c r="AF51">
        <v>83.1</v>
      </c>
      <c r="AG51">
        <v>12.62</v>
      </c>
      <c r="AH51">
        <v>0</v>
      </c>
      <c r="AI51">
        <v>1</v>
      </c>
      <c r="AJ51">
        <v>15.04</v>
      </c>
      <c r="AK51">
        <v>46.67</v>
      </c>
      <c r="AL51">
        <v>1</v>
      </c>
      <c r="AM51">
        <v>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4</v>
      </c>
      <c r="AT51">
        <v>0.55000000000000004</v>
      </c>
      <c r="AU51" t="s">
        <v>4</v>
      </c>
      <c r="AV51">
        <v>0</v>
      </c>
      <c r="AW51">
        <v>2</v>
      </c>
      <c r="AX51">
        <v>70310549</v>
      </c>
      <c r="AY51">
        <v>1</v>
      </c>
      <c r="AZ51">
        <v>0</v>
      </c>
      <c r="BA51">
        <v>73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f>ROUND(Y51*Source!I97*DO51,9)</f>
        <v>0</v>
      </c>
      <c r="CX51">
        <f>ROUND(Y51*Source!I97,9)</f>
        <v>2.1999999999999999E-2</v>
      </c>
      <c r="CY51">
        <f>AB51</f>
        <v>1308.57</v>
      </c>
      <c r="CZ51">
        <f>AF51</f>
        <v>83.1</v>
      </c>
      <c r="DA51">
        <f>AJ51</f>
        <v>15.04</v>
      </c>
      <c r="DB51">
        <f t="shared" si="10"/>
        <v>45.71</v>
      </c>
      <c r="DC51">
        <f t="shared" si="11"/>
        <v>6.94</v>
      </c>
      <c r="DD51" t="s">
        <v>4</v>
      </c>
      <c r="DE51" t="s">
        <v>4</v>
      </c>
      <c r="DF51">
        <f t="shared" si="13"/>
        <v>0</v>
      </c>
      <c r="DG51">
        <f>ROUND(ROUND(AF51*AJ51,2)*CX51,2)</f>
        <v>27.5</v>
      </c>
      <c r="DH51">
        <f>ROUND(ROUND(AG51*AK51,2)*CX51,2)</f>
        <v>12.96</v>
      </c>
      <c r="DI51">
        <f t="shared" si="12"/>
        <v>0</v>
      </c>
      <c r="DJ51">
        <f>DG51</f>
        <v>27.5</v>
      </c>
      <c r="DK51">
        <v>0</v>
      </c>
      <c r="DL51" t="s">
        <v>4</v>
      </c>
      <c r="DM51">
        <v>0</v>
      </c>
      <c r="DN51" t="s">
        <v>4</v>
      </c>
      <c r="DO51">
        <v>0</v>
      </c>
    </row>
    <row r="52" spans="1:119">
      <c r="A52">
        <f>ROW(Source!A97)</f>
        <v>97</v>
      </c>
      <c r="B52">
        <v>70305036</v>
      </c>
      <c r="C52">
        <v>70310540</v>
      </c>
      <c r="D52">
        <v>69363945</v>
      </c>
      <c r="E52">
        <v>1</v>
      </c>
      <c r="F52">
        <v>1</v>
      </c>
      <c r="G52">
        <v>1075</v>
      </c>
      <c r="H52">
        <v>2</v>
      </c>
      <c r="I52" t="s">
        <v>367</v>
      </c>
      <c r="J52" t="s">
        <v>368</v>
      </c>
      <c r="K52" t="s">
        <v>369</v>
      </c>
      <c r="L52">
        <v>1368</v>
      </c>
      <c r="N52">
        <v>1011</v>
      </c>
      <c r="O52" t="s">
        <v>338</v>
      </c>
      <c r="P52" t="s">
        <v>338</v>
      </c>
      <c r="Q52">
        <v>1</v>
      </c>
      <c r="W52">
        <v>0</v>
      </c>
      <c r="X52">
        <v>265113661</v>
      </c>
      <c r="Y52">
        <f t="shared" si="9"/>
        <v>3.58</v>
      </c>
      <c r="AA52">
        <v>0</v>
      </c>
      <c r="AB52">
        <v>147.57</v>
      </c>
      <c r="AC52">
        <v>0</v>
      </c>
      <c r="AD52">
        <v>0</v>
      </c>
      <c r="AE52">
        <v>0</v>
      </c>
      <c r="AF52">
        <v>12.32</v>
      </c>
      <c r="AG52">
        <v>0</v>
      </c>
      <c r="AH52">
        <v>0</v>
      </c>
      <c r="AI52">
        <v>1</v>
      </c>
      <c r="AJ52">
        <v>11.44</v>
      </c>
      <c r="AK52">
        <v>46.67</v>
      </c>
      <c r="AL52">
        <v>1</v>
      </c>
      <c r="AM52">
        <v>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4</v>
      </c>
      <c r="AT52">
        <v>3.58</v>
      </c>
      <c r="AU52" t="s">
        <v>4</v>
      </c>
      <c r="AV52">
        <v>0</v>
      </c>
      <c r="AW52">
        <v>2</v>
      </c>
      <c r="AX52">
        <v>70310550</v>
      </c>
      <c r="AY52">
        <v>1</v>
      </c>
      <c r="AZ52">
        <v>0</v>
      </c>
      <c r="BA52">
        <v>74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f>ROUND(Y52*Source!I97*DO52,9)</f>
        <v>0</v>
      </c>
      <c r="CX52">
        <f>ROUND(Y52*Source!I97,9)</f>
        <v>0.14319999999999999</v>
      </c>
      <c r="CY52">
        <f>AB52</f>
        <v>147.57</v>
      </c>
      <c r="CZ52">
        <f>AF52</f>
        <v>12.32</v>
      </c>
      <c r="DA52">
        <f>AJ52</f>
        <v>11.44</v>
      </c>
      <c r="DB52">
        <f t="shared" si="10"/>
        <v>44.11</v>
      </c>
      <c r="DC52">
        <f t="shared" si="11"/>
        <v>0</v>
      </c>
      <c r="DD52" t="s">
        <v>4</v>
      </c>
      <c r="DE52" t="s">
        <v>4</v>
      </c>
      <c r="DF52">
        <f t="shared" si="13"/>
        <v>0</v>
      </c>
      <c r="DG52">
        <f>ROUND(ROUND(AF52*AJ52,2)*CX52,2)</f>
        <v>20.18</v>
      </c>
      <c r="DH52">
        <f>ROUND(ROUND(AG52*AK52,2)*CX52,2)</f>
        <v>0</v>
      </c>
      <c r="DI52">
        <f t="shared" si="12"/>
        <v>0</v>
      </c>
      <c r="DJ52">
        <f>DG52</f>
        <v>20.18</v>
      </c>
      <c r="DK52">
        <v>0</v>
      </c>
      <c r="DL52" t="s">
        <v>4</v>
      </c>
      <c r="DM52">
        <v>0</v>
      </c>
      <c r="DN52" t="s">
        <v>4</v>
      </c>
      <c r="DO52">
        <v>0</v>
      </c>
    </row>
    <row r="53" spans="1:119">
      <c r="A53">
        <f>ROW(Source!A97)</f>
        <v>97</v>
      </c>
      <c r="B53">
        <v>70305036</v>
      </c>
      <c r="C53">
        <v>70310540</v>
      </c>
      <c r="D53">
        <v>69333870</v>
      </c>
      <c r="E53">
        <v>1</v>
      </c>
      <c r="F53">
        <v>1</v>
      </c>
      <c r="G53">
        <v>1075</v>
      </c>
      <c r="H53">
        <v>3</v>
      </c>
      <c r="I53" t="s">
        <v>162</v>
      </c>
      <c r="J53" t="s">
        <v>165</v>
      </c>
      <c r="K53" t="s">
        <v>163</v>
      </c>
      <c r="L53">
        <v>1327</v>
      </c>
      <c r="N53">
        <v>1005</v>
      </c>
      <c r="O53" t="s">
        <v>164</v>
      </c>
      <c r="P53" t="s">
        <v>164</v>
      </c>
      <c r="Q53">
        <v>1</v>
      </c>
      <c r="W53">
        <v>0</v>
      </c>
      <c r="X53">
        <v>-500523568</v>
      </c>
      <c r="Y53">
        <f t="shared" si="9"/>
        <v>230</v>
      </c>
      <c r="AA53">
        <v>401.38</v>
      </c>
      <c r="AB53">
        <v>0</v>
      </c>
      <c r="AC53">
        <v>0</v>
      </c>
      <c r="AD53">
        <v>0</v>
      </c>
      <c r="AE53">
        <v>56.6</v>
      </c>
      <c r="AF53">
        <v>0</v>
      </c>
      <c r="AG53">
        <v>0</v>
      </c>
      <c r="AH53">
        <v>0</v>
      </c>
      <c r="AI53">
        <v>6.64</v>
      </c>
      <c r="AJ53">
        <v>1</v>
      </c>
      <c r="AK53">
        <v>1</v>
      </c>
      <c r="AL53">
        <v>1</v>
      </c>
      <c r="AM53">
        <v>0</v>
      </c>
      <c r="AN53">
        <v>0</v>
      </c>
      <c r="AO53">
        <v>0</v>
      </c>
      <c r="AP53">
        <v>1</v>
      </c>
      <c r="AQ53">
        <v>0</v>
      </c>
      <c r="AR53">
        <v>0</v>
      </c>
      <c r="AS53" t="s">
        <v>4</v>
      </c>
      <c r="AT53">
        <v>230</v>
      </c>
      <c r="AU53" t="s">
        <v>4</v>
      </c>
      <c r="AV53">
        <v>0</v>
      </c>
      <c r="AW53">
        <v>1</v>
      </c>
      <c r="AX53">
        <v>-1</v>
      </c>
      <c r="AY53">
        <v>0</v>
      </c>
      <c r="AZ53">
        <v>0</v>
      </c>
      <c r="BA53" t="s">
        <v>4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v>0</v>
      </c>
      <c r="CX53">
        <f>ROUND(Y53*Source!I97,9)</f>
        <v>9.1999999999999993</v>
      </c>
      <c r="CY53">
        <f>AA53</f>
        <v>401.38</v>
      </c>
      <c r="CZ53">
        <f>AE53</f>
        <v>56.6</v>
      </c>
      <c r="DA53">
        <f>AI53</f>
        <v>6.64</v>
      </c>
      <c r="DB53">
        <f t="shared" si="10"/>
        <v>13018</v>
      </c>
      <c r="DC53">
        <f t="shared" si="11"/>
        <v>0</v>
      </c>
      <c r="DD53" t="s">
        <v>4</v>
      </c>
      <c r="DE53" t="s">
        <v>4</v>
      </c>
      <c r="DF53">
        <f>ROUND(ROUND(AE53*AI53,2)*CX53,2)</f>
        <v>3457.54</v>
      </c>
      <c r="DG53">
        <f t="shared" ref="DG53:DG62" si="14">ROUND(ROUND(AF53,2)*CX53,2)</f>
        <v>0</v>
      </c>
      <c r="DH53">
        <f t="shared" ref="DH53:DH62" si="15">ROUND(ROUND(AG53,2)*CX53,2)</f>
        <v>0</v>
      </c>
      <c r="DI53">
        <f t="shared" si="12"/>
        <v>0</v>
      </c>
      <c r="DJ53">
        <f>DF53</f>
        <v>3457.54</v>
      </c>
      <c r="DK53">
        <v>0</v>
      </c>
      <c r="DL53" t="s">
        <v>4</v>
      </c>
      <c r="DM53">
        <v>0</v>
      </c>
      <c r="DN53" t="s">
        <v>4</v>
      </c>
      <c r="DO53">
        <v>0</v>
      </c>
    </row>
    <row r="54" spans="1:119">
      <c r="A54">
        <f>ROW(Source!A97)</f>
        <v>97</v>
      </c>
      <c r="B54">
        <v>70305036</v>
      </c>
      <c r="C54">
        <v>70310540</v>
      </c>
      <c r="D54">
        <v>69333917</v>
      </c>
      <c r="E54">
        <v>1</v>
      </c>
      <c r="F54">
        <v>1</v>
      </c>
      <c r="G54">
        <v>1075</v>
      </c>
      <c r="H54">
        <v>3</v>
      </c>
      <c r="I54" t="s">
        <v>370</v>
      </c>
      <c r="J54" t="s">
        <v>371</v>
      </c>
      <c r="K54" t="s">
        <v>372</v>
      </c>
      <c r="L54">
        <v>1348</v>
      </c>
      <c r="N54">
        <v>1009</v>
      </c>
      <c r="O54" t="s">
        <v>168</v>
      </c>
      <c r="P54" t="s">
        <v>168</v>
      </c>
      <c r="Q54">
        <v>1000</v>
      </c>
      <c r="W54">
        <v>0</v>
      </c>
      <c r="X54">
        <v>737862140</v>
      </c>
      <c r="Y54">
        <f t="shared" si="9"/>
        <v>2.4E-2</v>
      </c>
      <c r="AA54">
        <v>54706.79</v>
      </c>
      <c r="AB54">
        <v>0</v>
      </c>
      <c r="AC54">
        <v>0</v>
      </c>
      <c r="AD54">
        <v>0</v>
      </c>
      <c r="AE54">
        <v>7359.71</v>
      </c>
      <c r="AF54">
        <v>0</v>
      </c>
      <c r="AG54">
        <v>0</v>
      </c>
      <c r="AH54">
        <v>0</v>
      </c>
      <c r="AI54">
        <v>6.96</v>
      </c>
      <c r="AJ54">
        <v>1</v>
      </c>
      <c r="AK54">
        <v>1</v>
      </c>
      <c r="AL54">
        <v>1</v>
      </c>
      <c r="AM54">
        <v>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4</v>
      </c>
      <c r="AT54">
        <v>2.4E-2</v>
      </c>
      <c r="AU54" t="s">
        <v>4</v>
      </c>
      <c r="AV54">
        <v>0</v>
      </c>
      <c r="AW54">
        <v>2</v>
      </c>
      <c r="AX54">
        <v>70310551</v>
      </c>
      <c r="AY54">
        <v>1</v>
      </c>
      <c r="AZ54">
        <v>0</v>
      </c>
      <c r="BA54">
        <v>75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ROUND(Y54*Source!I97,9)</f>
        <v>9.6000000000000002E-4</v>
      </c>
      <c r="CY54">
        <f>AA54</f>
        <v>54706.79</v>
      </c>
      <c r="CZ54">
        <f>AE54</f>
        <v>7359.71</v>
      </c>
      <c r="DA54">
        <f>AI54</f>
        <v>6.96</v>
      </c>
      <c r="DB54">
        <f t="shared" si="10"/>
        <v>176.63</v>
      </c>
      <c r="DC54">
        <f t="shared" si="11"/>
        <v>0</v>
      </c>
      <c r="DD54" t="s">
        <v>4</v>
      </c>
      <c r="DE54" t="s">
        <v>4</v>
      </c>
      <c r="DF54">
        <f>ROUND(ROUND(AE54*AI54,2)*CX54,2)</f>
        <v>49.17</v>
      </c>
      <c r="DG54">
        <f t="shared" si="14"/>
        <v>0</v>
      </c>
      <c r="DH54">
        <f t="shared" si="15"/>
        <v>0</v>
      </c>
      <c r="DI54">
        <f t="shared" si="12"/>
        <v>0</v>
      </c>
      <c r="DJ54">
        <f>DF54</f>
        <v>49.17</v>
      </c>
      <c r="DK54">
        <v>0</v>
      </c>
      <c r="DL54" t="s">
        <v>4</v>
      </c>
      <c r="DM54">
        <v>0</v>
      </c>
      <c r="DN54" t="s">
        <v>4</v>
      </c>
      <c r="DO54">
        <v>0</v>
      </c>
    </row>
    <row r="55" spans="1:119">
      <c r="A55">
        <f>ROW(Source!A97)</f>
        <v>97</v>
      </c>
      <c r="B55">
        <v>70305036</v>
      </c>
      <c r="C55">
        <v>70310540</v>
      </c>
      <c r="D55">
        <v>69333689</v>
      </c>
      <c r="E55">
        <v>1</v>
      </c>
      <c r="F55">
        <v>1</v>
      </c>
      <c r="G55">
        <v>1075</v>
      </c>
      <c r="H55">
        <v>3</v>
      </c>
      <c r="I55" t="s">
        <v>373</v>
      </c>
      <c r="J55" t="s">
        <v>374</v>
      </c>
      <c r="K55" t="s">
        <v>375</v>
      </c>
      <c r="L55">
        <v>1348</v>
      </c>
      <c r="N55">
        <v>1009</v>
      </c>
      <c r="O55" t="s">
        <v>168</v>
      </c>
      <c r="P55" t="s">
        <v>168</v>
      </c>
      <c r="Q55">
        <v>1000</v>
      </c>
      <c r="W55">
        <v>0</v>
      </c>
      <c r="X55">
        <v>30640775</v>
      </c>
      <c r="Y55">
        <f t="shared" si="9"/>
        <v>1.6E-2</v>
      </c>
      <c r="AA55">
        <v>35973.83</v>
      </c>
      <c r="AB55">
        <v>0</v>
      </c>
      <c r="AC55">
        <v>0</v>
      </c>
      <c r="AD55">
        <v>0</v>
      </c>
      <c r="AE55">
        <v>3806.03</v>
      </c>
      <c r="AF55">
        <v>0</v>
      </c>
      <c r="AG55">
        <v>0</v>
      </c>
      <c r="AH55">
        <v>0</v>
      </c>
      <c r="AI55">
        <v>8.85</v>
      </c>
      <c r="AJ55">
        <v>1</v>
      </c>
      <c r="AK55">
        <v>1</v>
      </c>
      <c r="AL55">
        <v>1</v>
      </c>
      <c r="AM55">
        <v>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4</v>
      </c>
      <c r="AT55">
        <v>1.6E-2</v>
      </c>
      <c r="AU55" t="s">
        <v>4</v>
      </c>
      <c r="AV55">
        <v>0</v>
      </c>
      <c r="AW55">
        <v>2</v>
      </c>
      <c r="AX55">
        <v>70310552</v>
      </c>
      <c r="AY55">
        <v>1</v>
      </c>
      <c r="AZ55">
        <v>0</v>
      </c>
      <c r="BA55">
        <v>76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ROUND(Y55*Source!I97,9)</f>
        <v>6.4000000000000005E-4</v>
      </c>
      <c r="CY55">
        <f>AA55</f>
        <v>35973.83</v>
      </c>
      <c r="CZ55">
        <f>AE55</f>
        <v>3806.03</v>
      </c>
      <c r="DA55">
        <f>AI55</f>
        <v>8.85</v>
      </c>
      <c r="DB55">
        <f t="shared" si="10"/>
        <v>60.9</v>
      </c>
      <c r="DC55">
        <f t="shared" si="11"/>
        <v>0</v>
      </c>
      <c r="DD55" t="s">
        <v>4</v>
      </c>
      <c r="DE55" t="s">
        <v>4</v>
      </c>
      <c r="DF55">
        <f>ROUND(ROUND(AE55*AI55,2)*CX55,2)</f>
        <v>21.56</v>
      </c>
      <c r="DG55">
        <f t="shared" si="14"/>
        <v>0</v>
      </c>
      <c r="DH55">
        <f t="shared" si="15"/>
        <v>0</v>
      </c>
      <c r="DI55">
        <f t="shared" si="12"/>
        <v>0</v>
      </c>
      <c r="DJ55">
        <f>DF55</f>
        <v>21.56</v>
      </c>
      <c r="DK55">
        <v>0</v>
      </c>
      <c r="DL55" t="s">
        <v>4</v>
      </c>
      <c r="DM55">
        <v>0</v>
      </c>
      <c r="DN55" t="s">
        <v>4</v>
      </c>
      <c r="DO55">
        <v>0</v>
      </c>
    </row>
    <row r="56" spans="1:119">
      <c r="A56">
        <f>ROW(Source!A97)</f>
        <v>97</v>
      </c>
      <c r="B56">
        <v>70305036</v>
      </c>
      <c r="C56">
        <v>70310540</v>
      </c>
      <c r="D56">
        <v>69334112</v>
      </c>
      <c r="E56">
        <v>1</v>
      </c>
      <c r="F56">
        <v>1</v>
      </c>
      <c r="G56">
        <v>1075</v>
      </c>
      <c r="H56">
        <v>3</v>
      </c>
      <c r="I56" t="s">
        <v>167</v>
      </c>
      <c r="J56" t="s">
        <v>169</v>
      </c>
      <c r="K56" t="s">
        <v>522</v>
      </c>
      <c r="L56">
        <v>1348</v>
      </c>
      <c r="N56">
        <v>1009</v>
      </c>
      <c r="O56" t="s">
        <v>168</v>
      </c>
      <c r="P56" t="s">
        <v>168</v>
      </c>
      <c r="Q56">
        <v>1000</v>
      </c>
      <c r="W56">
        <v>0</v>
      </c>
      <c r="X56">
        <v>-188928943</v>
      </c>
      <c r="Y56">
        <f t="shared" si="9"/>
        <v>0.44</v>
      </c>
      <c r="AA56">
        <v>40853.46</v>
      </c>
      <c r="AB56">
        <v>0</v>
      </c>
      <c r="AC56">
        <v>0</v>
      </c>
      <c r="AD56">
        <v>0</v>
      </c>
      <c r="AE56">
        <v>11626.84</v>
      </c>
      <c r="AF56">
        <v>0</v>
      </c>
      <c r="AG56">
        <v>0</v>
      </c>
      <c r="AH56">
        <v>0</v>
      </c>
      <c r="AI56">
        <v>3.29</v>
      </c>
      <c r="AJ56">
        <v>1</v>
      </c>
      <c r="AK56">
        <v>1</v>
      </c>
      <c r="AL56">
        <v>1</v>
      </c>
      <c r="AM56">
        <v>0</v>
      </c>
      <c r="AN56">
        <v>0</v>
      </c>
      <c r="AO56">
        <v>0</v>
      </c>
      <c r="AP56">
        <v>1</v>
      </c>
      <c r="AQ56">
        <v>0</v>
      </c>
      <c r="AR56">
        <v>0</v>
      </c>
      <c r="AS56" t="s">
        <v>4</v>
      </c>
      <c r="AT56">
        <v>0.44</v>
      </c>
      <c r="AU56" t="s">
        <v>4</v>
      </c>
      <c r="AV56">
        <v>0</v>
      </c>
      <c r="AW56">
        <v>1</v>
      </c>
      <c r="AX56">
        <v>-1</v>
      </c>
      <c r="AY56">
        <v>0</v>
      </c>
      <c r="AZ56">
        <v>0</v>
      </c>
      <c r="BA56" t="s">
        <v>4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ROUND(Y56*Source!I97,9)</f>
        <v>1.7600000000000001E-2</v>
      </c>
      <c r="CY56">
        <f>AA56</f>
        <v>40853.46</v>
      </c>
      <c r="CZ56">
        <f>AE56</f>
        <v>11626.84</v>
      </c>
      <c r="DA56">
        <f>AI56</f>
        <v>3.29</v>
      </c>
      <c r="DB56">
        <f t="shared" si="10"/>
        <v>5115.8100000000004</v>
      </c>
      <c r="DC56">
        <f t="shared" si="11"/>
        <v>0</v>
      </c>
      <c r="DD56" t="s">
        <v>4</v>
      </c>
      <c r="DE56" t="s">
        <v>4</v>
      </c>
      <c r="DF56">
        <f>ROUND(ROUND(AE56*AI56,2)*CX56,2)</f>
        <v>673.24</v>
      </c>
      <c r="DG56">
        <f t="shared" si="14"/>
        <v>0</v>
      </c>
      <c r="DH56">
        <f t="shared" si="15"/>
        <v>0</v>
      </c>
      <c r="DI56">
        <f t="shared" si="12"/>
        <v>0</v>
      </c>
      <c r="DJ56">
        <f>DF56</f>
        <v>673.24</v>
      </c>
      <c r="DK56">
        <v>0</v>
      </c>
      <c r="DL56" t="s">
        <v>4</v>
      </c>
      <c r="DM56">
        <v>0</v>
      </c>
      <c r="DN56" t="s">
        <v>4</v>
      </c>
      <c r="DO56">
        <v>0</v>
      </c>
    </row>
    <row r="57" spans="1:119">
      <c r="A57">
        <f>ROW(Source!A102)</f>
        <v>102</v>
      </c>
      <c r="B57">
        <v>70305038</v>
      </c>
      <c r="C57">
        <v>70310557</v>
      </c>
      <c r="D57">
        <v>69275358</v>
      </c>
      <c r="E57">
        <v>1075</v>
      </c>
      <c r="F57">
        <v>1</v>
      </c>
      <c r="G57">
        <v>1075</v>
      </c>
      <c r="H57">
        <v>1</v>
      </c>
      <c r="I57" t="s">
        <v>332</v>
      </c>
      <c r="J57" t="s">
        <v>4</v>
      </c>
      <c r="K57" t="s">
        <v>333</v>
      </c>
      <c r="L57">
        <v>1191</v>
      </c>
      <c r="N57">
        <v>1013</v>
      </c>
      <c r="O57" t="s">
        <v>334</v>
      </c>
      <c r="P57" t="s">
        <v>334</v>
      </c>
      <c r="Q57">
        <v>1</v>
      </c>
      <c r="W57">
        <v>0</v>
      </c>
      <c r="X57">
        <v>476480486</v>
      </c>
      <c r="Y57">
        <f t="shared" si="9"/>
        <v>147.85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4</v>
      </c>
      <c r="AT57">
        <v>147.85</v>
      </c>
      <c r="AU57" t="s">
        <v>4</v>
      </c>
      <c r="AV57">
        <v>1</v>
      </c>
      <c r="AW57">
        <v>2</v>
      </c>
      <c r="AX57">
        <v>70310694</v>
      </c>
      <c r="AY57">
        <v>1</v>
      </c>
      <c r="AZ57">
        <v>0</v>
      </c>
      <c r="BA57">
        <v>79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U57">
        <f>ROUND(AT57*Source!I102*AH57*AL57,2)</f>
        <v>0</v>
      </c>
      <c r="CV57">
        <f>ROUND(Y57*Source!I102,9)</f>
        <v>44.354999999999997</v>
      </c>
      <c r="CW57">
        <v>0</v>
      </c>
      <c r="CX57">
        <f>ROUND(Y57*Source!I102,9)</f>
        <v>44.354999999999997</v>
      </c>
      <c r="CY57">
        <f>AD57</f>
        <v>0</v>
      </c>
      <c r="CZ57">
        <f>AH57</f>
        <v>0</v>
      </c>
      <c r="DA57">
        <f>AL57</f>
        <v>1</v>
      </c>
      <c r="DB57">
        <f t="shared" si="10"/>
        <v>0</v>
      </c>
      <c r="DC57">
        <f t="shared" si="11"/>
        <v>0</v>
      </c>
      <c r="DD57" t="s">
        <v>4</v>
      </c>
      <c r="DE57" t="s">
        <v>4</v>
      </c>
      <c r="DF57">
        <f t="shared" ref="DF57:DF65" si="16">ROUND(ROUND(AE57,2)*CX57,2)</f>
        <v>0</v>
      </c>
      <c r="DG57">
        <f t="shared" si="14"/>
        <v>0</v>
      </c>
      <c r="DH57">
        <f t="shared" si="15"/>
        <v>0</v>
      </c>
      <c r="DI57">
        <f t="shared" si="12"/>
        <v>0</v>
      </c>
      <c r="DJ57">
        <f>DI57</f>
        <v>0</v>
      </c>
      <c r="DK57">
        <v>0</v>
      </c>
      <c r="DL57" t="s">
        <v>4</v>
      </c>
      <c r="DM57">
        <v>0</v>
      </c>
      <c r="DN57" t="s">
        <v>4</v>
      </c>
      <c r="DO57">
        <v>0</v>
      </c>
    </row>
    <row r="58" spans="1:119">
      <c r="A58">
        <f>ROW(Source!A102)</f>
        <v>102</v>
      </c>
      <c r="B58">
        <v>70305038</v>
      </c>
      <c r="C58">
        <v>70310557</v>
      </c>
      <c r="D58">
        <v>69364529</v>
      </c>
      <c r="E58">
        <v>1</v>
      </c>
      <c r="F58">
        <v>1</v>
      </c>
      <c r="G58">
        <v>1075</v>
      </c>
      <c r="H58">
        <v>2</v>
      </c>
      <c r="I58" t="s">
        <v>376</v>
      </c>
      <c r="J58" t="s">
        <v>377</v>
      </c>
      <c r="K58" t="s">
        <v>378</v>
      </c>
      <c r="L58">
        <v>1368</v>
      </c>
      <c r="N58">
        <v>1011</v>
      </c>
      <c r="O58" t="s">
        <v>338</v>
      </c>
      <c r="P58" t="s">
        <v>338</v>
      </c>
      <c r="Q58">
        <v>1</v>
      </c>
      <c r="W58">
        <v>0</v>
      </c>
      <c r="X58">
        <v>1137421177</v>
      </c>
      <c r="Y58">
        <f t="shared" si="9"/>
        <v>0.73</v>
      </c>
      <c r="AA58">
        <v>0</v>
      </c>
      <c r="AB58">
        <v>15.54</v>
      </c>
      <c r="AC58">
        <v>0</v>
      </c>
      <c r="AD58">
        <v>0</v>
      </c>
      <c r="AE58">
        <v>0</v>
      </c>
      <c r="AF58">
        <v>15.54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4</v>
      </c>
      <c r="AT58">
        <v>0.73</v>
      </c>
      <c r="AU58" t="s">
        <v>4</v>
      </c>
      <c r="AV58">
        <v>0</v>
      </c>
      <c r="AW58">
        <v>2</v>
      </c>
      <c r="AX58">
        <v>70310695</v>
      </c>
      <c r="AY58">
        <v>1</v>
      </c>
      <c r="AZ58">
        <v>0</v>
      </c>
      <c r="BA58">
        <v>80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f>ROUND(Y58*Source!I102*DO58,9)</f>
        <v>0</v>
      </c>
      <c r="CX58">
        <f>ROUND(Y58*Source!I102,9)</f>
        <v>0.219</v>
      </c>
      <c r="CY58">
        <f>AB58</f>
        <v>15.54</v>
      </c>
      <c r="CZ58">
        <f>AF58</f>
        <v>15.54</v>
      </c>
      <c r="DA58">
        <f>AJ58</f>
        <v>1</v>
      </c>
      <c r="DB58">
        <f t="shared" si="10"/>
        <v>11.34</v>
      </c>
      <c r="DC58">
        <f t="shared" si="11"/>
        <v>0</v>
      </c>
      <c r="DD58" t="s">
        <v>4</v>
      </c>
      <c r="DE58" t="s">
        <v>4</v>
      </c>
      <c r="DF58">
        <f t="shared" si="16"/>
        <v>0</v>
      </c>
      <c r="DG58">
        <f t="shared" si="14"/>
        <v>3.4</v>
      </c>
      <c r="DH58">
        <f t="shared" si="15"/>
        <v>0</v>
      </c>
      <c r="DI58">
        <f t="shared" si="12"/>
        <v>0</v>
      </c>
      <c r="DJ58">
        <f>DG58</f>
        <v>3.4</v>
      </c>
      <c r="DK58">
        <v>0</v>
      </c>
      <c r="DL58" t="s">
        <v>4</v>
      </c>
      <c r="DM58">
        <v>0</v>
      </c>
      <c r="DN58" t="s">
        <v>4</v>
      </c>
      <c r="DO58">
        <v>0</v>
      </c>
    </row>
    <row r="59" spans="1:119">
      <c r="A59">
        <f>ROW(Source!A102)</f>
        <v>102</v>
      </c>
      <c r="B59">
        <v>70305038</v>
      </c>
      <c r="C59">
        <v>70310557</v>
      </c>
      <c r="D59">
        <v>69364531</v>
      </c>
      <c r="E59">
        <v>1</v>
      </c>
      <c r="F59">
        <v>1</v>
      </c>
      <c r="G59">
        <v>1075</v>
      </c>
      <c r="H59">
        <v>2</v>
      </c>
      <c r="I59" t="s">
        <v>379</v>
      </c>
      <c r="J59" t="s">
        <v>380</v>
      </c>
      <c r="K59" t="s">
        <v>381</v>
      </c>
      <c r="L59">
        <v>1368</v>
      </c>
      <c r="N59">
        <v>1011</v>
      </c>
      <c r="O59" t="s">
        <v>338</v>
      </c>
      <c r="P59" t="s">
        <v>338</v>
      </c>
      <c r="Q59">
        <v>1</v>
      </c>
      <c r="W59">
        <v>0</v>
      </c>
      <c r="X59">
        <v>775371881</v>
      </c>
      <c r="Y59">
        <f t="shared" si="9"/>
        <v>0.73</v>
      </c>
      <c r="AA59">
        <v>0</v>
      </c>
      <c r="AB59">
        <v>81.150000000000006</v>
      </c>
      <c r="AC59">
        <v>14.54</v>
      </c>
      <c r="AD59">
        <v>0</v>
      </c>
      <c r="AE59">
        <v>0</v>
      </c>
      <c r="AF59">
        <v>81.150000000000006</v>
      </c>
      <c r="AG59">
        <v>14.54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4</v>
      </c>
      <c r="AT59">
        <v>0.73</v>
      </c>
      <c r="AU59" t="s">
        <v>4</v>
      </c>
      <c r="AV59">
        <v>0</v>
      </c>
      <c r="AW59">
        <v>2</v>
      </c>
      <c r="AX59">
        <v>70310696</v>
      </c>
      <c r="AY59">
        <v>1</v>
      </c>
      <c r="AZ59">
        <v>0</v>
      </c>
      <c r="BA59">
        <v>81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f>ROUND(Y59*Source!I102*DO59,9)</f>
        <v>0</v>
      </c>
      <c r="CX59">
        <f>ROUND(Y59*Source!I102,9)</f>
        <v>0.219</v>
      </c>
      <c r="CY59">
        <f>AB59</f>
        <v>81.150000000000006</v>
      </c>
      <c r="CZ59">
        <f>AF59</f>
        <v>81.150000000000006</v>
      </c>
      <c r="DA59">
        <f>AJ59</f>
        <v>1</v>
      </c>
      <c r="DB59">
        <f t="shared" si="10"/>
        <v>59.24</v>
      </c>
      <c r="DC59">
        <f t="shared" si="11"/>
        <v>10.61</v>
      </c>
      <c r="DD59" t="s">
        <v>4</v>
      </c>
      <c r="DE59" t="s">
        <v>4</v>
      </c>
      <c r="DF59">
        <f t="shared" si="16"/>
        <v>0</v>
      </c>
      <c r="DG59">
        <f t="shared" si="14"/>
        <v>17.77</v>
      </c>
      <c r="DH59">
        <f t="shared" si="15"/>
        <v>3.18</v>
      </c>
      <c r="DI59">
        <f t="shared" si="12"/>
        <v>0</v>
      </c>
      <c r="DJ59">
        <f>DG59</f>
        <v>17.77</v>
      </c>
      <c r="DK59">
        <v>0</v>
      </c>
      <c r="DL59" t="s">
        <v>4</v>
      </c>
      <c r="DM59">
        <v>0</v>
      </c>
      <c r="DN59" t="s">
        <v>4</v>
      </c>
      <c r="DO59">
        <v>0</v>
      </c>
    </row>
    <row r="60" spans="1:119">
      <c r="A60">
        <f>ROW(Source!A102)</f>
        <v>102</v>
      </c>
      <c r="B60">
        <v>70305038</v>
      </c>
      <c r="C60">
        <v>70310557</v>
      </c>
      <c r="D60">
        <v>69363764</v>
      </c>
      <c r="E60">
        <v>1</v>
      </c>
      <c r="F60">
        <v>1</v>
      </c>
      <c r="G60">
        <v>1075</v>
      </c>
      <c r="H60">
        <v>2</v>
      </c>
      <c r="I60" t="s">
        <v>382</v>
      </c>
      <c r="J60" t="s">
        <v>383</v>
      </c>
      <c r="K60" t="s">
        <v>384</v>
      </c>
      <c r="L60">
        <v>1368</v>
      </c>
      <c r="N60">
        <v>1011</v>
      </c>
      <c r="O60" t="s">
        <v>338</v>
      </c>
      <c r="P60" t="s">
        <v>338</v>
      </c>
      <c r="Q60">
        <v>1</v>
      </c>
      <c r="W60">
        <v>0</v>
      </c>
      <c r="X60">
        <v>-633001020</v>
      </c>
      <c r="Y60">
        <f t="shared" si="9"/>
        <v>1.05</v>
      </c>
      <c r="AA60">
        <v>0</v>
      </c>
      <c r="AB60">
        <v>179.17</v>
      </c>
      <c r="AC60">
        <v>16.93</v>
      </c>
      <c r="AD60">
        <v>0</v>
      </c>
      <c r="AE60">
        <v>0</v>
      </c>
      <c r="AF60">
        <v>179.17</v>
      </c>
      <c r="AG60">
        <v>16.93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4</v>
      </c>
      <c r="AT60">
        <v>1.05</v>
      </c>
      <c r="AU60" t="s">
        <v>4</v>
      </c>
      <c r="AV60">
        <v>0</v>
      </c>
      <c r="AW60">
        <v>2</v>
      </c>
      <c r="AX60">
        <v>70310697</v>
      </c>
      <c r="AY60">
        <v>1</v>
      </c>
      <c r="AZ60">
        <v>0</v>
      </c>
      <c r="BA60">
        <v>82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f>ROUND(Y60*Source!I102*DO60,9)</f>
        <v>0</v>
      </c>
      <c r="CX60">
        <f>ROUND(Y60*Source!I102,9)</f>
        <v>0.315</v>
      </c>
      <c r="CY60">
        <f>AB60</f>
        <v>179.17</v>
      </c>
      <c r="CZ60">
        <f>AF60</f>
        <v>179.17</v>
      </c>
      <c r="DA60">
        <f>AJ60</f>
        <v>1</v>
      </c>
      <c r="DB60">
        <f t="shared" si="10"/>
        <v>188.13</v>
      </c>
      <c r="DC60">
        <f t="shared" si="11"/>
        <v>17.78</v>
      </c>
      <c r="DD60" t="s">
        <v>4</v>
      </c>
      <c r="DE60" t="s">
        <v>4</v>
      </c>
      <c r="DF60">
        <f t="shared" si="16"/>
        <v>0</v>
      </c>
      <c r="DG60">
        <f t="shared" si="14"/>
        <v>56.44</v>
      </c>
      <c r="DH60">
        <f t="shared" si="15"/>
        <v>5.33</v>
      </c>
      <c r="DI60">
        <f t="shared" si="12"/>
        <v>0</v>
      </c>
      <c r="DJ60">
        <f>DG60</f>
        <v>56.44</v>
      </c>
      <c r="DK60">
        <v>0</v>
      </c>
      <c r="DL60" t="s">
        <v>4</v>
      </c>
      <c r="DM60">
        <v>0</v>
      </c>
      <c r="DN60" t="s">
        <v>4</v>
      </c>
      <c r="DO60">
        <v>0</v>
      </c>
    </row>
    <row r="61" spans="1:119">
      <c r="A61">
        <f>ROW(Source!A102)</f>
        <v>102</v>
      </c>
      <c r="B61">
        <v>70305038</v>
      </c>
      <c r="C61">
        <v>70310557</v>
      </c>
      <c r="D61">
        <v>69342754</v>
      </c>
      <c r="E61">
        <v>1</v>
      </c>
      <c r="F61">
        <v>1</v>
      </c>
      <c r="G61">
        <v>1075</v>
      </c>
      <c r="H61">
        <v>3</v>
      </c>
      <c r="I61" t="s">
        <v>178</v>
      </c>
      <c r="J61" t="s">
        <v>179</v>
      </c>
      <c r="K61" t="s">
        <v>523</v>
      </c>
      <c r="L61">
        <v>1301</v>
      </c>
      <c r="N61">
        <v>1003</v>
      </c>
      <c r="O61" t="s">
        <v>135</v>
      </c>
      <c r="P61" t="s">
        <v>135</v>
      </c>
      <c r="Q61">
        <v>1</v>
      </c>
      <c r="W61">
        <v>0</v>
      </c>
      <c r="X61">
        <v>77284068</v>
      </c>
      <c r="Y61">
        <f t="shared" si="9"/>
        <v>1025</v>
      </c>
      <c r="AA61">
        <v>278.31</v>
      </c>
      <c r="AB61">
        <v>0</v>
      </c>
      <c r="AC61">
        <v>0</v>
      </c>
      <c r="AD61">
        <v>0</v>
      </c>
      <c r="AE61">
        <v>278.31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0</v>
      </c>
      <c r="AN61">
        <v>0</v>
      </c>
      <c r="AO61">
        <v>0</v>
      </c>
      <c r="AP61">
        <v>1</v>
      </c>
      <c r="AQ61">
        <v>0</v>
      </c>
      <c r="AR61">
        <v>0</v>
      </c>
      <c r="AS61" t="s">
        <v>4</v>
      </c>
      <c r="AT61">
        <v>1025</v>
      </c>
      <c r="AU61" t="s">
        <v>4</v>
      </c>
      <c r="AV61">
        <v>0</v>
      </c>
      <c r="AW61">
        <v>1</v>
      </c>
      <c r="AX61">
        <v>-1</v>
      </c>
      <c r="AY61">
        <v>0</v>
      </c>
      <c r="AZ61">
        <v>0</v>
      </c>
      <c r="BA61" t="s">
        <v>4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ROUND(Y61*Source!I102,9)</f>
        <v>307.5</v>
      </c>
      <c r="CY61">
        <f>AA61</f>
        <v>278.31</v>
      </c>
      <c r="CZ61">
        <f>AE61</f>
        <v>278.31</v>
      </c>
      <c r="DA61">
        <f>AI61</f>
        <v>1</v>
      </c>
      <c r="DB61">
        <f t="shared" si="10"/>
        <v>285267.75</v>
      </c>
      <c r="DC61">
        <f t="shared" si="11"/>
        <v>0</v>
      </c>
      <c r="DD61" t="s">
        <v>4</v>
      </c>
      <c r="DE61" t="s">
        <v>4</v>
      </c>
      <c r="DF61">
        <f t="shared" si="16"/>
        <v>85580.33</v>
      </c>
      <c r="DG61">
        <f t="shared" si="14"/>
        <v>0</v>
      </c>
      <c r="DH61">
        <f t="shared" si="15"/>
        <v>0</v>
      </c>
      <c r="DI61">
        <f t="shared" si="12"/>
        <v>0</v>
      </c>
      <c r="DJ61">
        <f>DF61</f>
        <v>85580.33</v>
      </c>
      <c r="DK61">
        <v>0</v>
      </c>
      <c r="DL61" t="s">
        <v>4</v>
      </c>
      <c r="DM61">
        <v>0</v>
      </c>
      <c r="DN61" t="s">
        <v>4</v>
      </c>
      <c r="DO61">
        <v>0</v>
      </c>
    </row>
    <row r="62" spans="1:119">
      <c r="A62">
        <f>ROW(Source!A103)</f>
        <v>103</v>
      </c>
      <c r="B62">
        <v>70305036</v>
      </c>
      <c r="C62">
        <v>70310557</v>
      </c>
      <c r="D62">
        <v>69275358</v>
      </c>
      <c r="E62">
        <v>1075</v>
      </c>
      <c r="F62">
        <v>1</v>
      </c>
      <c r="G62">
        <v>1075</v>
      </c>
      <c r="H62">
        <v>1</v>
      </c>
      <c r="I62" t="s">
        <v>332</v>
      </c>
      <c r="J62" t="s">
        <v>4</v>
      </c>
      <c r="K62" t="s">
        <v>333</v>
      </c>
      <c r="L62">
        <v>1191</v>
      </c>
      <c r="N62">
        <v>1013</v>
      </c>
      <c r="O62" t="s">
        <v>334</v>
      </c>
      <c r="P62" t="s">
        <v>334</v>
      </c>
      <c r="Q62">
        <v>1</v>
      </c>
      <c r="W62">
        <v>0</v>
      </c>
      <c r="X62">
        <v>476480486</v>
      </c>
      <c r="Y62">
        <f t="shared" si="9"/>
        <v>147.85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4</v>
      </c>
      <c r="AT62">
        <v>147.85</v>
      </c>
      <c r="AU62" t="s">
        <v>4</v>
      </c>
      <c r="AV62">
        <v>1</v>
      </c>
      <c r="AW62">
        <v>2</v>
      </c>
      <c r="AX62">
        <v>70310694</v>
      </c>
      <c r="AY62">
        <v>1</v>
      </c>
      <c r="AZ62">
        <v>0</v>
      </c>
      <c r="BA62">
        <v>84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U62">
        <f>ROUND(AT62*Source!I103*AH62*AL62,2)</f>
        <v>0</v>
      </c>
      <c r="CV62">
        <f>ROUND(Y62*Source!I103,9)</f>
        <v>44.354999999999997</v>
      </c>
      <c r="CW62">
        <v>0</v>
      </c>
      <c r="CX62">
        <f>ROUND(Y62*Source!I103,9)</f>
        <v>44.354999999999997</v>
      </c>
      <c r="CY62">
        <f>AD62</f>
        <v>0</v>
      </c>
      <c r="CZ62">
        <f>AH62</f>
        <v>0</v>
      </c>
      <c r="DA62">
        <f>AL62</f>
        <v>1</v>
      </c>
      <c r="DB62">
        <f t="shared" si="10"/>
        <v>0</v>
      </c>
      <c r="DC62">
        <f t="shared" si="11"/>
        <v>0</v>
      </c>
      <c r="DD62" t="s">
        <v>4</v>
      </c>
      <c r="DE62" t="s">
        <v>4</v>
      </c>
      <c r="DF62">
        <f t="shared" si="16"/>
        <v>0</v>
      </c>
      <c r="DG62">
        <f t="shared" si="14"/>
        <v>0</v>
      </c>
      <c r="DH62">
        <f t="shared" si="15"/>
        <v>0</v>
      </c>
      <c r="DI62">
        <f t="shared" si="12"/>
        <v>0</v>
      </c>
      <c r="DJ62">
        <f>DI62</f>
        <v>0</v>
      </c>
      <c r="DK62">
        <v>0</v>
      </c>
      <c r="DL62" t="s">
        <v>4</v>
      </c>
      <c r="DM62">
        <v>0</v>
      </c>
      <c r="DN62" t="s">
        <v>4</v>
      </c>
      <c r="DO62">
        <v>0</v>
      </c>
    </row>
    <row r="63" spans="1:119">
      <c r="A63">
        <f>ROW(Source!A103)</f>
        <v>103</v>
      </c>
      <c r="B63">
        <v>70305036</v>
      </c>
      <c r="C63">
        <v>70310557</v>
      </c>
      <c r="D63">
        <v>69364529</v>
      </c>
      <c r="E63">
        <v>1</v>
      </c>
      <c r="F63">
        <v>1</v>
      </c>
      <c r="G63">
        <v>1075</v>
      </c>
      <c r="H63">
        <v>2</v>
      </c>
      <c r="I63" t="s">
        <v>376</v>
      </c>
      <c r="J63" t="s">
        <v>377</v>
      </c>
      <c r="K63" t="s">
        <v>378</v>
      </c>
      <c r="L63">
        <v>1368</v>
      </c>
      <c r="N63">
        <v>1011</v>
      </c>
      <c r="O63" t="s">
        <v>338</v>
      </c>
      <c r="P63" t="s">
        <v>338</v>
      </c>
      <c r="Q63">
        <v>1</v>
      </c>
      <c r="W63">
        <v>0</v>
      </c>
      <c r="X63">
        <v>1137421177</v>
      </c>
      <c r="Y63">
        <f t="shared" si="9"/>
        <v>0.73</v>
      </c>
      <c r="AA63">
        <v>0</v>
      </c>
      <c r="AB63">
        <v>145.09</v>
      </c>
      <c r="AC63">
        <v>0</v>
      </c>
      <c r="AD63">
        <v>0</v>
      </c>
      <c r="AE63">
        <v>0</v>
      </c>
      <c r="AF63">
        <v>15.54</v>
      </c>
      <c r="AG63">
        <v>0</v>
      </c>
      <c r="AH63">
        <v>0</v>
      </c>
      <c r="AI63">
        <v>1</v>
      </c>
      <c r="AJ63">
        <v>8.75</v>
      </c>
      <c r="AK63">
        <v>46.67</v>
      </c>
      <c r="AL63">
        <v>1</v>
      </c>
      <c r="AM63">
        <v>2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4</v>
      </c>
      <c r="AT63">
        <v>0.73</v>
      </c>
      <c r="AU63" t="s">
        <v>4</v>
      </c>
      <c r="AV63">
        <v>0</v>
      </c>
      <c r="AW63">
        <v>2</v>
      </c>
      <c r="AX63">
        <v>70310695</v>
      </c>
      <c r="AY63">
        <v>1</v>
      </c>
      <c r="AZ63">
        <v>0</v>
      </c>
      <c r="BA63">
        <v>85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f>ROUND(Y63*Source!I103*DO63,9)</f>
        <v>0</v>
      </c>
      <c r="CX63">
        <f>ROUND(Y63*Source!I103,9)</f>
        <v>0.219</v>
      </c>
      <c r="CY63">
        <f>AB63</f>
        <v>145.09</v>
      </c>
      <c r="CZ63">
        <f>AF63</f>
        <v>15.54</v>
      </c>
      <c r="DA63">
        <f>AJ63</f>
        <v>8.75</v>
      </c>
      <c r="DB63">
        <f t="shared" si="10"/>
        <v>11.34</v>
      </c>
      <c r="DC63">
        <f t="shared" si="11"/>
        <v>0</v>
      </c>
      <c r="DD63" t="s">
        <v>4</v>
      </c>
      <c r="DE63" t="s">
        <v>4</v>
      </c>
      <c r="DF63">
        <f t="shared" si="16"/>
        <v>0</v>
      </c>
      <c r="DG63">
        <f>ROUND(ROUND(AF63*AJ63,2)*CX63,2)</f>
        <v>29.78</v>
      </c>
      <c r="DH63">
        <f>ROUND(ROUND(AG63*AK63,2)*CX63,2)</f>
        <v>0</v>
      </c>
      <c r="DI63">
        <f t="shared" si="12"/>
        <v>0</v>
      </c>
      <c r="DJ63">
        <f>DG63</f>
        <v>29.78</v>
      </c>
      <c r="DK63">
        <v>0</v>
      </c>
      <c r="DL63" t="s">
        <v>4</v>
      </c>
      <c r="DM63">
        <v>0</v>
      </c>
      <c r="DN63" t="s">
        <v>4</v>
      </c>
      <c r="DO63">
        <v>0</v>
      </c>
    </row>
    <row r="64" spans="1:119">
      <c r="A64">
        <f>ROW(Source!A103)</f>
        <v>103</v>
      </c>
      <c r="B64">
        <v>70305036</v>
      </c>
      <c r="C64">
        <v>70310557</v>
      </c>
      <c r="D64">
        <v>69364531</v>
      </c>
      <c r="E64">
        <v>1</v>
      </c>
      <c r="F64">
        <v>1</v>
      </c>
      <c r="G64">
        <v>1075</v>
      </c>
      <c r="H64">
        <v>2</v>
      </c>
      <c r="I64" t="s">
        <v>379</v>
      </c>
      <c r="J64" t="s">
        <v>380</v>
      </c>
      <c r="K64" t="s">
        <v>381</v>
      </c>
      <c r="L64">
        <v>1368</v>
      </c>
      <c r="N64">
        <v>1011</v>
      </c>
      <c r="O64" t="s">
        <v>338</v>
      </c>
      <c r="P64" t="s">
        <v>338</v>
      </c>
      <c r="Q64">
        <v>1</v>
      </c>
      <c r="W64">
        <v>0</v>
      </c>
      <c r="X64">
        <v>775371881</v>
      </c>
      <c r="Y64">
        <f t="shared" si="9"/>
        <v>0.73</v>
      </c>
      <c r="AA64">
        <v>0</v>
      </c>
      <c r="AB64">
        <v>1390.59</v>
      </c>
      <c r="AC64">
        <v>724.05</v>
      </c>
      <c r="AD64">
        <v>0</v>
      </c>
      <c r="AE64">
        <v>0</v>
      </c>
      <c r="AF64">
        <v>81.150000000000006</v>
      </c>
      <c r="AG64">
        <v>14.54</v>
      </c>
      <c r="AH64">
        <v>0</v>
      </c>
      <c r="AI64">
        <v>1</v>
      </c>
      <c r="AJ64">
        <v>16.059999999999999</v>
      </c>
      <c r="AK64">
        <v>46.67</v>
      </c>
      <c r="AL64">
        <v>1</v>
      </c>
      <c r="AM64">
        <v>2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4</v>
      </c>
      <c r="AT64">
        <v>0.73</v>
      </c>
      <c r="AU64" t="s">
        <v>4</v>
      </c>
      <c r="AV64">
        <v>0</v>
      </c>
      <c r="AW64">
        <v>2</v>
      </c>
      <c r="AX64">
        <v>70310696</v>
      </c>
      <c r="AY64">
        <v>1</v>
      </c>
      <c r="AZ64">
        <v>0</v>
      </c>
      <c r="BA64">
        <v>86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f>ROUND(Y64*Source!I103*DO64,9)</f>
        <v>0</v>
      </c>
      <c r="CX64">
        <f>ROUND(Y64*Source!I103,9)</f>
        <v>0.219</v>
      </c>
      <c r="CY64">
        <f>AB64</f>
        <v>1390.59</v>
      </c>
      <c r="CZ64">
        <f>AF64</f>
        <v>81.150000000000006</v>
      </c>
      <c r="DA64">
        <f>AJ64</f>
        <v>16.059999999999999</v>
      </c>
      <c r="DB64">
        <f t="shared" si="10"/>
        <v>59.24</v>
      </c>
      <c r="DC64">
        <f t="shared" si="11"/>
        <v>10.61</v>
      </c>
      <c r="DD64" t="s">
        <v>4</v>
      </c>
      <c r="DE64" t="s">
        <v>4</v>
      </c>
      <c r="DF64">
        <f t="shared" si="16"/>
        <v>0</v>
      </c>
      <c r="DG64">
        <f>ROUND(ROUND(AF64*AJ64,2)*CX64,2)</f>
        <v>285.42</v>
      </c>
      <c r="DH64">
        <f>ROUND(ROUND(AG64*AK64,2)*CX64,2)</f>
        <v>148.61000000000001</v>
      </c>
      <c r="DI64">
        <f t="shared" si="12"/>
        <v>0</v>
      </c>
      <c r="DJ64">
        <f>DG64</f>
        <v>285.42</v>
      </c>
      <c r="DK64">
        <v>0</v>
      </c>
      <c r="DL64" t="s">
        <v>4</v>
      </c>
      <c r="DM64">
        <v>0</v>
      </c>
      <c r="DN64" t="s">
        <v>4</v>
      </c>
      <c r="DO64">
        <v>0</v>
      </c>
    </row>
    <row r="65" spans="1:119">
      <c r="A65">
        <f>ROW(Source!A103)</f>
        <v>103</v>
      </c>
      <c r="B65">
        <v>70305036</v>
      </c>
      <c r="C65">
        <v>70310557</v>
      </c>
      <c r="D65">
        <v>69363764</v>
      </c>
      <c r="E65">
        <v>1</v>
      </c>
      <c r="F65">
        <v>1</v>
      </c>
      <c r="G65">
        <v>1075</v>
      </c>
      <c r="H65">
        <v>2</v>
      </c>
      <c r="I65" t="s">
        <v>382</v>
      </c>
      <c r="J65" t="s">
        <v>383</v>
      </c>
      <c r="K65" t="s">
        <v>384</v>
      </c>
      <c r="L65">
        <v>1368</v>
      </c>
      <c r="N65">
        <v>1011</v>
      </c>
      <c r="O65" t="s">
        <v>338</v>
      </c>
      <c r="P65" t="s">
        <v>338</v>
      </c>
      <c r="Q65">
        <v>1</v>
      </c>
      <c r="W65">
        <v>0</v>
      </c>
      <c r="X65">
        <v>-633001020</v>
      </c>
      <c r="Y65">
        <f t="shared" ref="Y65:Y96" si="17">AT65</f>
        <v>1.05</v>
      </c>
      <c r="AA65">
        <v>0</v>
      </c>
      <c r="AB65">
        <v>2475.71</v>
      </c>
      <c r="AC65">
        <v>843.06</v>
      </c>
      <c r="AD65">
        <v>0</v>
      </c>
      <c r="AE65">
        <v>0</v>
      </c>
      <c r="AF65">
        <v>179.17</v>
      </c>
      <c r="AG65">
        <v>16.93</v>
      </c>
      <c r="AH65">
        <v>0</v>
      </c>
      <c r="AI65">
        <v>1</v>
      </c>
      <c r="AJ65">
        <v>12.95</v>
      </c>
      <c r="AK65">
        <v>46.67</v>
      </c>
      <c r="AL65">
        <v>1</v>
      </c>
      <c r="AM65">
        <v>2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4</v>
      </c>
      <c r="AT65">
        <v>1.05</v>
      </c>
      <c r="AU65" t="s">
        <v>4</v>
      </c>
      <c r="AV65">
        <v>0</v>
      </c>
      <c r="AW65">
        <v>2</v>
      </c>
      <c r="AX65">
        <v>70310697</v>
      </c>
      <c r="AY65">
        <v>1</v>
      </c>
      <c r="AZ65">
        <v>0</v>
      </c>
      <c r="BA65">
        <v>87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f>ROUND(Y65*Source!I103*DO65,9)</f>
        <v>0</v>
      </c>
      <c r="CX65">
        <f>ROUND(Y65*Source!I103,9)</f>
        <v>0.315</v>
      </c>
      <c r="CY65">
        <f>AB65</f>
        <v>2475.71</v>
      </c>
      <c r="CZ65">
        <f>AF65</f>
        <v>179.17</v>
      </c>
      <c r="DA65">
        <f>AJ65</f>
        <v>12.95</v>
      </c>
      <c r="DB65">
        <f t="shared" ref="DB65:DB96" si="18">ROUND(ROUND(AT65*CZ65,2),6)</f>
        <v>188.13</v>
      </c>
      <c r="DC65">
        <f t="shared" ref="DC65:DC96" si="19">ROUND(ROUND(AT65*AG65,2),6)</f>
        <v>17.78</v>
      </c>
      <c r="DD65" t="s">
        <v>4</v>
      </c>
      <c r="DE65" t="s">
        <v>4</v>
      </c>
      <c r="DF65">
        <f t="shared" si="16"/>
        <v>0</v>
      </c>
      <c r="DG65">
        <f>ROUND(ROUND(AF65*AJ65,2)*CX65,2)</f>
        <v>730.88</v>
      </c>
      <c r="DH65">
        <f>ROUND(ROUND(AG65*AK65,2)*CX65,2)</f>
        <v>248.89</v>
      </c>
      <c r="DI65">
        <f t="shared" ref="DI65:DI96" si="20">ROUND(ROUND(AH65,2)*CX65,2)</f>
        <v>0</v>
      </c>
      <c r="DJ65">
        <f>DG65</f>
        <v>730.88</v>
      </c>
      <c r="DK65">
        <v>0</v>
      </c>
      <c r="DL65" t="s">
        <v>4</v>
      </c>
      <c r="DM65">
        <v>0</v>
      </c>
      <c r="DN65" t="s">
        <v>4</v>
      </c>
      <c r="DO65">
        <v>0</v>
      </c>
    </row>
    <row r="66" spans="1:119">
      <c r="A66">
        <f>ROW(Source!A103)</f>
        <v>103</v>
      </c>
      <c r="B66">
        <v>70305036</v>
      </c>
      <c r="C66">
        <v>70310557</v>
      </c>
      <c r="D66">
        <v>69342754</v>
      </c>
      <c r="E66">
        <v>1</v>
      </c>
      <c r="F66">
        <v>1</v>
      </c>
      <c r="G66">
        <v>1075</v>
      </c>
      <c r="H66">
        <v>3</v>
      </c>
      <c r="I66" t="s">
        <v>178</v>
      </c>
      <c r="J66" t="s">
        <v>179</v>
      </c>
      <c r="K66" t="s">
        <v>523</v>
      </c>
      <c r="L66">
        <v>1301</v>
      </c>
      <c r="N66">
        <v>1003</v>
      </c>
      <c r="O66" t="s">
        <v>135</v>
      </c>
      <c r="P66" t="s">
        <v>135</v>
      </c>
      <c r="Q66">
        <v>1</v>
      </c>
      <c r="W66">
        <v>0</v>
      </c>
      <c r="X66">
        <v>77284068</v>
      </c>
      <c r="Y66">
        <f t="shared" si="17"/>
        <v>1025</v>
      </c>
      <c r="AA66">
        <v>1931.48</v>
      </c>
      <c r="AB66">
        <v>0</v>
      </c>
      <c r="AC66">
        <v>0</v>
      </c>
      <c r="AD66">
        <v>0</v>
      </c>
      <c r="AE66">
        <v>278.31</v>
      </c>
      <c r="AF66">
        <v>0</v>
      </c>
      <c r="AG66">
        <v>0</v>
      </c>
      <c r="AH66">
        <v>0</v>
      </c>
      <c r="AI66">
        <v>6.42</v>
      </c>
      <c r="AJ66">
        <v>1</v>
      </c>
      <c r="AK66">
        <v>1</v>
      </c>
      <c r="AL66">
        <v>1</v>
      </c>
      <c r="AM66">
        <v>0</v>
      </c>
      <c r="AN66">
        <v>0</v>
      </c>
      <c r="AO66">
        <v>0</v>
      </c>
      <c r="AP66">
        <v>1</v>
      </c>
      <c r="AQ66">
        <v>0</v>
      </c>
      <c r="AR66">
        <v>0</v>
      </c>
      <c r="AS66" t="s">
        <v>4</v>
      </c>
      <c r="AT66">
        <v>1025</v>
      </c>
      <c r="AU66" t="s">
        <v>4</v>
      </c>
      <c r="AV66">
        <v>0</v>
      </c>
      <c r="AW66">
        <v>1</v>
      </c>
      <c r="AX66">
        <v>-1</v>
      </c>
      <c r="AY66">
        <v>0</v>
      </c>
      <c r="AZ66">
        <v>0</v>
      </c>
      <c r="BA66" t="s">
        <v>4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ROUND(Y66*Source!I103,9)</f>
        <v>307.5</v>
      </c>
      <c r="CY66">
        <f>AA66</f>
        <v>1931.48</v>
      </c>
      <c r="CZ66">
        <f>AE66</f>
        <v>278.31</v>
      </c>
      <c r="DA66">
        <f>AI66</f>
        <v>6.42</v>
      </c>
      <c r="DB66">
        <f t="shared" si="18"/>
        <v>285267.75</v>
      </c>
      <c r="DC66">
        <f t="shared" si="19"/>
        <v>0</v>
      </c>
      <c r="DD66" t="s">
        <v>4</v>
      </c>
      <c r="DE66" t="s">
        <v>4</v>
      </c>
      <c r="DF66">
        <f>ROUND(ROUND(AE66*AI66,2)*CX66,2)</f>
        <v>549425.63</v>
      </c>
      <c r="DG66">
        <f t="shared" ref="DG66:DG73" si="21">ROUND(ROUND(AF66,2)*CX66,2)</f>
        <v>0</v>
      </c>
      <c r="DH66">
        <f t="shared" ref="DH66:DH73" si="22">ROUND(ROUND(AG66,2)*CX66,2)</f>
        <v>0</v>
      </c>
      <c r="DI66">
        <f t="shared" si="20"/>
        <v>0</v>
      </c>
      <c r="DJ66">
        <f>DF66</f>
        <v>549425.63</v>
      </c>
      <c r="DK66">
        <v>0</v>
      </c>
      <c r="DL66" t="s">
        <v>4</v>
      </c>
      <c r="DM66">
        <v>0</v>
      </c>
      <c r="DN66" t="s">
        <v>4</v>
      </c>
      <c r="DO66">
        <v>0</v>
      </c>
    </row>
    <row r="67" spans="1:119">
      <c r="A67">
        <f>ROW(Source!A106)</f>
        <v>106</v>
      </c>
      <c r="B67">
        <v>70305038</v>
      </c>
      <c r="C67">
        <v>70310569</v>
      </c>
      <c r="D67">
        <v>69275358</v>
      </c>
      <c r="E67">
        <v>1075</v>
      </c>
      <c r="F67">
        <v>1</v>
      </c>
      <c r="G67">
        <v>1075</v>
      </c>
      <c r="H67">
        <v>1</v>
      </c>
      <c r="I67" t="s">
        <v>332</v>
      </c>
      <c r="J67" t="s">
        <v>4</v>
      </c>
      <c r="K67" t="s">
        <v>333</v>
      </c>
      <c r="L67">
        <v>1191</v>
      </c>
      <c r="N67">
        <v>1013</v>
      </c>
      <c r="O67" t="s">
        <v>334</v>
      </c>
      <c r="P67" t="s">
        <v>334</v>
      </c>
      <c r="Q67">
        <v>1</v>
      </c>
      <c r="W67">
        <v>0</v>
      </c>
      <c r="X67">
        <v>476480486</v>
      </c>
      <c r="Y67">
        <f t="shared" si="17"/>
        <v>107.8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4</v>
      </c>
      <c r="AT67">
        <v>107.8</v>
      </c>
      <c r="AU67" t="s">
        <v>4</v>
      </c>
      <c r="AV67">
        <v>1</v>
      </c>
      <c r="AW67">
        <v>2</v>
      </c>
      <c r="AX67">
        <v>70310700</v>
      </c>
      <c r="AY67">
        <v>1</v>
      </c>
      <c r="AZ67">
        <v>0</v>
      </c>
      <c r="BA67">
        <v>89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U67">
        <f>ROUND(AT67*Source!I106*AH67*AL67,2)</f>
        <v>0</v>
      </c>
      <c r="CV67">
        <f>ROUND(Y67*Source!I106,9)</f>
        <v>64.680000000000007</v>
      </c>
      <c r="CW67">
        <v>0</v>
      </c>
      <c r="CX67">
        <f>ROUND(Y67*Source!I106,9)</f>
        <v>64.680000000000007</v>
      </c>
      <c r="CY67">
        <f>AD67</f>
        <v>0</v>
      </c>
      <c r="CZ67">
        <f>AH67</f>
        <v>0</v>
      </c>
      <c r="DA67">
        <f>AL67</f>
        <v>1</v>
      </c>
      <c r="DB67">
        <f t="shared" si="18"/>
        <v>0</v>
      </c>
      <c r="DC67">
        <f t="shared" si="19"/>
        <v>0</v>
      </c>
      <c r="DD67" t="s">
        <v>4</v>
      </c>
      <c r="DE67" t="s">
        <v>4</v>
      </c>
      <c r="DF67">
        <f t="shared" ref="DF67:DF77" si="23">ROUND(ROUND(AE67,2)*CX67,2)</f>
        <v>0</v>
      </c>
      <c r="DG67">
        <f t="shared" si="21"/>
        <v>0</v>
      </c>
      <c r="DH67">
        <f t="shared" si="22"/>
        <v>0</v>
      </c>
      <c r="DI67">
        <f t="shared" si="20"/>
        <v>0</v>
      </c>
      <c r="DJ67">
        <f>DI67</f>
        <v>0</v>
      </c>
      <c r="DK67">
        <v>0</v>
      </c>
      <c r="DL67" t="s">
        <v>4</v>
      </c>
      <c r="DM67">
        <v>0</v>
      </c>
      <c r="DN67" t="s">
        <v>4</v>
      </c>
      <c r="DO67">
        <v>0</v>
      </c>
    </row>
    <row r="68" spans="1:119">
      <c r="A68">
        <f>ROW(Source!A106)</f>
        <v>106</v>
      </c>
      <c r="B68">
        <v>70305038</v>
      </c>
      <c r="C68">
        <v>70310569</v>
      </c>
      <c r="D68">
        <v>69364529</v>
      </c>
      <c r="E68">
        <v>1</v>
      </c>
      <c r="F68">
        <v>1</v>
      </c>
      <c r="G68">
        <v>1075</v>
      </c>
      <c r="H68">
        <v>2</v>
      </c>
      <c r="I68" t="s">
        <v>376</v>
      </c>
      <c r="J68" t="s">
        <v>377</v>
      </c>
      <c r="K68" t="s">
        <v>378</v>
      </c>
      <c r="L68">
        <v>1368</v>
      </c>
      <c r="N68">
        <v>1011</v>
      </c>
      <c r="O68" t="s">
        <v>338</v>
      </c>
      <c r="P68" t="s">
        <v>338</v>
      </c>
      <c r="Q68">
        <v>1</v>
      </c>
      <c r="W68">
        <v>0</v>
      </c>
      <c r="X68">
        <v>1137421177</v>
      </c>
      <c r="Y68">
        <f t="shared" si="17"/>
        <v>0.72</v>
      </c>
      <c r="AA68">
        <v>0</v>
      </c>
      <c r="AB68">
        <v>15.54</v>
      </c>
      <c r="AC68">
        <v>0</v>
      </c>
      <c r="AD68">
        <v>0</v>
      </c>
      <c r="AE68">
        <v>0</v>
      </c>
      <c r="AF68">
        <v>15.54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4</v>
      </c>
      <c r="AT68">
        <v>0.72</v>
      </c>
      <c r="AU68" t="s">
        <v>4</v>
      </c>
      <c r="AV68">
        <v>0</v>
      </c>
      <c r="AW68">
        <v>2</v>
      </c>
      <c r="AX68">
        <v>70310701</v>
      </c>
      <c r="AY68">
        <v>1</v>
      </c>
      <c r="AZ68">
        <v>0</v>
      </c>
      <c r="BA68">
        <v>90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f>ROUND(Y68*Source!I106*DO68,9)</f>
        <v>0</v>
      </c>
      <c r="CX68">
        <f>ROUND(Y68*Source!I106,9)</f>
        <v>0.432</v>
      </c>
      <c r="CY68">
        <f>AB68</f>
        <v>15.54</v>
      </c>
      <c r="CZ68">
        <f>AF68</f>
        <v>15.54</v>
      </c>
      <c r="DA68">
        <f>AJ68</f>
        <v>1</v>
      </c>
      <c r="DB68">
        <f t="shared" si="18"/>
        <v>11.19</v>
      </c>
      <c r="DC68">
        <f t="shared" si="19"/>
        <v>0</v>
      </c>
      <c r="DD68" t="s">
        <v>4</v>
      </c>
      <c r="DE68" t="s">
        <v>4</v>
      </c>
      <c r="DF68">
        <f t="shared" si="23"/>
        <v>0</v>
      </c>
      <c r="DG68">
        <f t="shared" si="21"/>
        <v>6.71</v>
      </c>
      <c r="DH68">
        <f t="shared" si="22"/>
        <v>0</v>
      </c>
      <c r="DI68">
        <f t="shared" si="20"/>
        <v>0</v>
      </c>
      <c r="DJ68">
        <f>DG68</f>
        <v>6.71</v>
      </c>
      <c r="DK68">
        <v>0</v>
      </c>
      <c r="DL68" t="s">
        <v>4</v>
      </c>
      <c r="DM68">
        <v>0</v>
      </c>
      <c r="DN68" t="s">
        <v>4</v>
      </c>
      <c r="DO68">
        <v>0</v>
      </c>
    </row>
    <row r="69" spans="1:119">
      <c r="A69">
        <f>ROW(Source!A106)</f>
        <v>106</v>
      </c>
      <c r="B69">
        <v>70305038</v>
      </c>
      <c r="C69">
        <v>70310569</v>
      </c>
      <c r="D69">
        <v>69364531</v>
      </c>
      <c r="E69">
        <v>1</v>
      </c>
      <c r="F69">
        <v>1</v>
      </c>
      <c r="G69">
        <v>1075</v>
      </c>
      <c r="H69">
        <v>2</v>
      </c>
      <c r="I69" t="s">
        <v>379</v>
      </c>
      <c r="J69" t="s">
        <v>380</v>
      </c>
      <c r="K69" t="s">
        <v>381</v>
      </c>
      <c r="L69">
        <v>1368</v>
      </c>
      <c r="N69">
        <v>1011</v>
      </c>
      <c r="O69" t="s">
        <v>338</v>
      </c>
      <c r="P69" t="s">
        <v>338</v>
      </c>
      <c r="Q69">
        <v>1</v>
      </c>
      <c r="W69">
        <v>0</v>
      </c>
      <c r="X69">
        <v>775371881</v>
      </c>
      <c r="Y69">
        <f t="shared" si="17"/>
        <v>0.72</v>
      </c>
      <c r="AA69">
        <v>0</v>
      </c>
      <c r="AB69">
        <v>81.150000000000006</v>
      </c>
      <c r="AC69">
        <v>14.54</v>
      </c>
      <c r="AD69">
        <v>0</v>
      </c>
      <c r="AE69">
        <v>0</v>
      </c>
      <c r="AF69">
        <v>81.150000000000006</v>
      </c>
      <c r="AG69">
        <v>14.54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4</v>
      </c>
      <c r="AT69">
        <v>0.72</v>
      </c>
      <c r="AU69" t="s">
        <v>4</v>
      </c>
      <c r="AV69">
        <v>0</v>
      </c>
      <c r="AW69">
        <v>2</v>
      </c>
      <c r="AX69">
        <v>70310702</v>
      </c>
      <c r="AY69">
        <v>1</v>
      </c>
      <c r="AZ69">
        <v>0</v>
      </c>
      <c r="BA69">
        <v>91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f>ROUND(Y69*Source!I106*DO69,9)</f>
        <v>0</v>
      </c>
      <c r="CX69">
        <f>ROUND(Y69*Source!I106,9)</f>
        <v>0.432</v>
      </c>
      <c r="CY69">
        <f>AB69</f>
        <v>81.150000000000006</v>
      </c>
      <c r="CZ69">
        <f>AF69</f>
        <v>81.150000000000006</v>
      </c>
      <c r="DA69">
        <f>AJ69</f>
        <v>1</v>
      </c>
      <c r="DB69">
        <f t="shared" si="18"/>
        <v>58.43</v>
      </c>
      <c r="DC69">
        <f t="shared" si="19"/>
        <v>10.47</v>
      </c>
      <c r="DD69" t="s">
        <v>4</v>
      </c>
      <c r="DE69" t="s">
        <v>4</v>
      </c>
      <c r="DF69">
        <f t="shared" si="23"/>
        <v>0</v>
      </c>
      <c r="DG69">
        <f t="shared" si="21"/>
        <v>35.06</v>
      </c>
      <c r="DH69">
        <f t="shared" si="22"/>
        <v>6.28</v>
      </c>
      <c r="DI69">
        <f t="shared" si="20"/>
        <v>0</v>
      </c>
      <c r="DJ69">
        <f>DG69</f>
        <v>35.06</v>
      </c>
      <c r="DK69">
        <v>0</v>
      </c>
      <c r="DL69" t="s">
        <v>4</v>
      </c>
      <c r="DM69">
        <v>0</v>
      </c>
      <c r="DN69" t="s">
        <v>4</v>
      </c>
      <c r="DO69">
        <v>0</v>
      </c>
    </row>
    <row r="70" spans="1:119">
      <c r="A70">
        <f>ROW(Source!A106)</f>
        <v>106</v>
      </c>
      <c r="B70">
        <v>70305038</v>
      </c>
      <c r="C70">
        <v>70310569</v>
      </c>
      <c r="D70">
        <v>69363764</v>
      </c>
      <c r="E70">
        <v>1</v>
      </c>
      <c r="F70">
        <v>1</v>
      </c>
      <c r="G70">
        <v>1075</v>
      </c>
      <c r="H70">
        <v>2</v>
      </c>
      <c r="I70" t="s">
        <v>382</v>
      </c>
      <c r="J70" t="s">
        <v>383</v>
      </c>
      <c r="K70" t="s">
        <v>384</v>
      </c>
      <c r="L70">
        <v>1368</v>
      </c>
      <c r="N70">
        <v>1011</v>
      </c>
      <c r="O70" t="s">
        <v>338</v>
      </c>
      <c r="P70" t="s">
        <v>338</v>
      </c>
      <c r="Q70">
        <v>1</v>
      </c>
      <c r="W70">
        <v>0</v>
      </c>
      <c r="X70">
        <v>-633001020</v>
      </c>
      <c r="Y70">
        <f t="shared" si="17"/>
        <v>1.04</v>
      </c>
      <c r="AA70">
        <v>0</v>
      </c>
      <c r="AB70">
        <v>179.17</v>
      </c>
      <c r="AC70">
        <v>16.93</v>
      </c>
      <c r="AD70">
        <v>0</v>
      </c>
      <c r="AE70">
        <v>0</v>
      </c>
      <c r="AF70">
        <v>179.17</v>
      </c>
      <c r="AG70">
        <v>16.93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4</v>
      </c>
      <c r="AT70">
        <v>1.04</v>
      </c>
      <c r="AU70" t="s">
        <v>4</v>
      </c>
      <c r="AV70">
        <v>0</v>
      </c>
      <c r="AW70">
        <v>2</v>
      </c>
      <c r="AX70">
        <v>70310703</v>
      </c>
      <c r="AY70">
        <v>1</v>
      </c>
      <c r="AZ70">
        <v>0</v>
      </c>
      <c r="BA70">
        <v>92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f>ROUND(Y70*Source!I106*DO70,9)</f>
        <v>0</v>
      </c>
      <c r="CX70">
        <f>ROUND(Y70*Source!I106,9)</f>
        <v>0.624</v>
      </c>
      <c r="CY70">
        <f>AB70</f>
        <v>179.17</v>
      </c>
      <c r="CZ70">
        <f>AF70</f>
        <v>179.17</v>
      </c>
      <c r="DA70">
        <f>AJ70</f>
        <v>1</v>
      </c>
      <c r="DB70">
        <f t="shared" si="18"/>
        <v>186.34</v>
      </c>
      <c r="DC70">
        <f t="shared" si="19"/>
        <v>17.61</v>
      </c>
      <c r="DD70" t="s">
        <v>4</v>
      </c>
      <c r="DE70" t="s">
        <v>4</v>
      </c>
      <c r="DF70">
        <f t="shared" si="23"/>
        <v>0</v>
      </c>
      <c r="DG70">
        <f t="shared" si="21"/>
        <v>111.8</v>
      </c>
      <c r="DH70">
        <f t="shared" si="22"/>
        <v>10.56</v>
      </c>
      <c r="DI70">
        <f t="shared" si="20"/>
        <v>0</v>
      </c>
      <c r="DJ70">
        <f>DG70</f>
        <v>111.8</v>
      </c>
      <c r="DK70">
        <v>0</v>
      </c>
      <c r="DL70" t="s">
        <v>4</v>
      </c>
      <c r="DM70">
        <v>0</v>
      </c>
      <c r="DN70" t="s">
        <v>4</v>
      </c>
      <c r="DO70">
        <v>0</v>
      </c>
    </row>
    <row r="71" spans="1:119">
      <c r="A71">
        <f>ROW(Source!A106)</f>
        <v>106</v>
      </c>
      <c r="B71">
        <v>70305038</v>
      </c>
      <c r="C71">
        <v>70310569</v>
      </c>
      <c r="D71">
        <v>69277202</v>
      </c>
      <c r="E71">
        <v>1075</v>
      </c>
      <c r="F71">
        <v>1</v>
      </c>
      <c r="G71">
        <v>1075</v>
      </c>
      <c r="H71">
        <v>2</v>
      </c>
      <c r="I71" t="s">
        <v>385</v>
      </c>
      <c r="J71" t="s">
        <v>4</v>
      </c>
      <c r="K71" t="s">
        <v>386</v>
      </c>
      <c r="L71">
        <v>1344</v>
      </c>
      <c r="N71">
        <v>1008</v>
      </c>
      <c r="O71" t="s">
        <v>387</v>
      </c>
      <c r="P71" t="s">
        <v>387</v>
      </c>
      <c r="Q71">
        <v>1</v>
      </c>
      <c r="W71">
        <v>0</v>
      </c>
      <c r="X71">
        <v>-1180195794</v>
      </c>
      <c r="Y71">
        <f t="shared" si="17"/>
        <v>0.02</v>
      </c>
      <c r="AA71">
        <v>0</v>
      </c>
      <c r="AB71">
        <v>1</v>
      </c>
      <c r="AC71">
        <v>0</v>
      </c>
      <c r="AD71">
        <v>0</v>
      </c>
      <c r="AE71">
        <v>0</v>
      </c>
      <c r="AF71">
        <v>1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4</v>
      </c>
      <c r="AT71">
        <v>0.02</v>
      </c>
      <c r="AU71" t="s">
        <v>4</v>
      </c>
      <c r="AV71">
        <v>0</v>
      </c>
      <c r="AW71">
        <v>2</v>
      </c>
      <c r="AX71">
        <v>70310704</v>
      </c>
      <c r="AY71">
        <v>1</v>
      </c>
      <c r="AZ71">
        <v>0</v>
      </c>
      <c r="BA71">
        <v>93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f>ROUND(Y71*Source!I106*DO71,9)</f>
        <v>0</v>
      </c>
      <c r="CX71">
        <f>ROUND(Y71*Source!I106,9)</f>
        <v>1.2E-2</v>
      </c>
      <c r="CY71">
        <f>AB71</f>
        <v>1</v>
      </c>
      <c r="CZ71">
        <f>AF71</f>
        <v>1</v>
      </c>
      <c r="DA71">
        <f>AJ71</f>
        <v>1</v>
      </c>
      <c r="DB71">
        <f t="shared" si="18"/>
        <v>0.02</v>
      </c>
      <c r="DC71">
        <f t="shared" si="19"/>
        <v>0</v>
      </c>
      <c r="DD71" t="s">
        <v>4</v>
      </c>
      <c r="DE71" t="s">
        <v>4</v>
      </c>
      <c r="DF71">
        <f t="shared" si="23"/>
        <v>0</v>
      </c>
      <c r="DG71">
        <f t="shared" si="21"/>
        <v>0.01</v>
      </c>
      <c r="DH71">
        <f t="shared" si="22"/>
        <v>0</v>
      </c>
      <c r="DI71">
        <f t="shared" si="20"/>
        <v>0</v>
      </c>
      <c r="DJ71">
        <f>DG71</f>
        <v>0.01</v>
      </c>
      <c r="DK71">
        <v>0</v>
      </c>
      <c r="DL71" t="s">
        <v>4</v>
      </c>
      <c r="DM71">
        <v>0</v>
      </c>
      <c r="DN71" t="s">
        <v>4</v>
      </c>
      <c r="DO71">
        <v>0</v>
      </c>
    </row>
    <row r="72" spans="1:119">
      <c r="A72">
        <f>ROW(Source!A106)</f>
        <v>106</v>
      </c>
      <c r="B72">
        <v>70305038</v>
      </c>
      <c r="C72">
        <v>70310569</v>
      </c>
      <c r="D72">
        <v>69342754</v>
      </c>
      <c r="E72">
        <v>1</v>
      </c>
      <c r="F72">
        <v>1</v>
      </c>
      <c r="G72">
        <v>1075</v>
      </c>
      <c r="H72">
        <v>3</v>
      </c>
      <c r="I72" t="s">
        <v>178</v>
      </c>
      <c r="J72" t="s">
        <v>179</v>
      </c>
      <c r="K72" t="s">
        <v>523</v>
      </c>
      <c r="L72">
        <v>1301</v>
      </c>
      <c r="N72">
        <v>1003</v>
      </c>
      <c r="O72" t="s">
        <v>135</v>
      </c>
      <c r="P72" t="s">
        <v>135</v>
      </c>
      <c r="Q72">
        <v>1</v>
      </c>
      <c r="W72">
        <v>0</v>
      </c>
      <c r="X72">
        <v>77284068</v>
      </c>
      <c r="Y72">
        <f t="shared" si="17"/>
        <v>1025</v>
      </c>
      <c r="AA72">
        <v>278.31</v>
      </c>
      <c r="AB72">
        <v>0</v>
      </c>
      <c r="AC72">
        <v>0</v>
      </c>
      <c r="AD72">
        <v>0</v>
      </c>
      <c r="AE72">
        <v>278.31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0</v>
      </c>
      <c r="AN72">
        <v>0</v>
      </c>
      <c r="AO72">
        <v>0</v>
      </c>
      <c r="AP72">
        <v>1</v>
      </c>
      <c r="AQ72">
        <v>0</v>
      </c>
      <c r="AR72">
        <v>0</v>
      </c>
      <c r="AS72" t="s">
        <v>4</v>
      </c>
      <c r="AT72">
        <v>1025</v>
      </c>
      <c r="AU72" t="s">
        <v>4</v>
      </c>
      <c r="AV72">
        <v>0</v>
      </c>
      <c r="AW72">
        <v>1</v>
      </c>
      <c r="AX72">
        <v>-1</v>
      </c>
      <c r="AY72">
        <v>0</v>
      </c>
      <c r="AZ72">
        <v>0</v>
      </c>
      <c r="BA72" t="s">
        <v>4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ROUND(Y72*Source!I106,9)</f>
        <v>615</v>
      </c>
      <c r="CY72">
        <f>AA72</f>
        <v>278.31</v>
      </c>
      <c r="CZ72">
        <f>AE72</f>
        <v>278.31</v>
      </c>
      <c r="DA72">
        <f>AI72</f>
        <v>1</v>
      </c>
      <c r="DB72">
        <f t="shared" si="18"/>
        <v>285267.75</v>
      </c>
      <c r="DC72">
        <f t="shared" si="19"/>
        <v>0</v>
      </c>
      <c r="DD72" t="s">
        <v>4</v>
      </c>
      <c r="DE72" t="s">
        <v>4</v>
      </c>
      <c r="DF72">
        <f t="shared" si="23"/>
        <v>171160.65</v>
      </c>
      <c r="DG72">
        <f t="shared" si="21"/>
        <v>0</v>
      </c>
      <c r="DH72">
        <f t="shared" si="22"/>
        <v>0</v>
      </c>
      <c r="DI72">
        <f t="shared" si="20"/>
        <v>0</v>
      </c>
      <c r="DJ72">
        <f>DF72</f>
        <v>171160.65</v>
      </c>
      <c r="DK72">
        <v>0</v>
      </c>
      <c r="DL72" t="s">
        <v>4</v>
      </c>
      <c r="DM72">
        <v>0</v>
      </c>
      <c r="DN72" t="s">
        <v>4</v>
      </c>
      <c r="DO72">
        <v>0</v>
      </c>
    </row>
    <row r="73" spans="1:119">
      <c r="A73">
        <f>ROW(Source!A107)</f>
        <v>107</v>
      </c>
      <c r="B73">
        <v>70305036</v>
      </c>
      <c r="C73">
        <v>70310569</v>
      </c>
      <c r="D73">
        <v>69275358</v>
      </c>
      <c r="E73">
        <v>1075</v>
      </c>
      <c r="F73">
        <v>1</v>
      </c>
      <c r="G73">
        <v>1075</v>
      </c>
      <c r="H73">
        <v>1</v>
      </c>
      <c r="I73" t="s">
        <v>332</v>
      </c>
      <c r="J73" t="s">
        <v>4</v>
      </c>
      <c r="K73" t="s">
        <v>333</v>
      </c>
      <c r="L73">
        <v>1191</v>
      </c>
      <c r="N73">
        <v>1013</v>
      </c>
      <c r="O73" t="s">
        <v>334</v>
      </c>
      <c r="P73" t="s">
        <v>334</v>
      </c>
      <c r="Q73">
        <v>1</v>
      </c>
      <c r="W73">
        <v>0</v>
      </c>
      <c r="X73">
        <v>476480486</v>
      </c>
      <c r="Y73">
        <f t="shared" si="17"/>
        <v>107.8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4</v>
      </c>
      <c r="AT73">
        <v>107.8</v>
      </c>
      <c r="AU73" t="s">
        <v>4</v>
      </c>
      <c r="AV73">
        <v>1</v>
      </c>
      <c r="AW73">
        <v>2</v>
      </c>
      <c r="AX73">
        <v>70310700</v>
      </c>
      <c r="AY73">
        <v>1</v>
      </c>
      <c r="AZ73">
        <v>0</v>
      </c>
      <c r="BA73">
        <v>95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U73">
        <f>ROUND(AT73*Source!I107*AH73*AL73,2)</f>
        <v>0</v>
      </c>
      <c r="CV73">
        <f>ROUND(Y73*Source!I107,9)</f>
        <v>64.680000000000007</v>
      </c>
      <c r="CW73">
        <v>0</v>
      </c>
      <c r="CX73">
        <f>ROUND(Y73*Source!I107,9)</f>
        <v>64.680000000000007</v>
      </c>
      <c r="CY73">
        <f>AD73</f>
        <v>0</v>
      </c>
      <c r="CZ73">
        <f>AH73</f>
        <v>0</v>
      </c>
      <c r="DA73">
        <f>AL73</f>
        <v>1</v>
      </c>
      <c r="DB73">
        <f t="shared" si="18"/>
        <v>0</v>
      </c>
      <c r="DC73">
        <f t="shared" si="19"/>
        <v>0</v>
      </c>
      <c r="DD73" t="s">
        <v>4</v>
      </c>
      <c r="DE73" t="s">
        <v>4</v>
      </c>
      <c r="DF73">
        <f t="shared" si="23"/>
        <v>0</v>
      </c>
      <c r="DG73">
        <f t="shared" si="21"/>
        <v>0</v>
      </c>
      <c r="DH73">
        <f t="shared" si="22"/>
        <v>0</v>
      </c>
      <c r="DI73">
        <f t="shared" si="20"/>
        <v>0</v>
      </c>
      <c r="DJ73">
        <f>DI73</f>
        <v>0</v>
      </c>
      <c r="DK73">
        <v>0</v>
      </c>
      <c r="DL73" t="s">
        <v>4</v>
      </c>
      <c r="DM73">
        <v>0</v>
      </c>
      <c r="DN73" t="s">
        <v>4</v>
      </c>
      <c r="DO73">
        <v>0</v>
      </c>
    </row>
    <row r="74" spans="1:119">
      <c r="A74">
        <f>ROW(Source!A107)</f>
        <v>107</v>
      </c>
      <c r="B74">
        <v>70305036</v>
      </c>
      <c r="C74">
        <v>70310569</v>
      </c>
      <c r="D74">
        <v>69364529</v>
      </c>
      <c r="E74">
        <v>1</v>
      </c>
      <c r="F74">
        <v>1</v>
      </c>
      <c r="G74">
        <v>1075</v>
      </c>
      <c r="H74">
        <v>2</v>
      </c>
      <c r="I74" t="s">
        <v>376</v>
      </c>
      <c r="J74" t="s">
        <v>377</v>
      </c>
      <c r="K74" t="s">
        <v>378</v>
      </c>
      <c r="L74">
        <v>1368</v>
      </c>
      <c r="N74">
        <v>1011</v>
      </c>
      <c r="O74" t="s">
        <v>338</v>
      </c>
      <c r="P74" t="s">
        <v>338</v>
      </c>
      <c r="Q74">
        <v>1</v>
      </c>
      <c r="W74">
        <v>0</v>
      </c>
      <c r="X74">
        <v>1137421177</v>
      </c>
      <c r="Y74">
        <f t="shared" si="17"/>
        <v>0.72</v>
      </c>
      <c r="AA74">
        <v>0</v>
      </c>
      <c r="AB74">
        <v>145.09</v>
      </c>
      <c r="AC74">
        <v>0</v>
      </c>
      <c r="AD74">
        <v>0</v>
      </c>
      <c r="AE74">
        <v>0</v>
      </c>
      <c r="AF74">
        <v>15.54</v>
      </c>
      <c r="AG74">
        <v>0</v>
      </c>
      <c r="AH74">
        <v>0</v>
      </c>
      <c r="AI74">
        <v>1</v>
      </c>
      <c r="AJ74">
        <v>8.75</v>
      </c>
      <c r="AK74">
        <v>46.67</v>
      </c>
      <c r="AL74">
        <v>1</v>
      </c>
      <c r="AM74">
        <v>2</v>
      </c>
      <c r="AN74">
        <v>0</v>
      </c>
      <c r="AO74">
        <v>1</v>
      </c>
      <c r="AP74">
        <v>0</v>
      </c>
      <c r="AQ74">
        <v>0</v>
      </c>
      <c r="AR74">
        <v>0</v>
      </c>
      <c r="AS74" t="s">
        <v>4</v>
      </c>
      <c r="AT74">
        <v>0.72</v>
      </c>
      <c r="AU74" t="s">
        <v>4</v>
      </c>
      <c r="AV74">
        <v>0</v>
      </c>
      <c r="AW74">
        <v>2</v>
      </c>
      <c r="AX74">
        <v>70310701</v>
      </c>
      <c r="AY74">
        <v>1</v>
      </c>
      <c r="AZ74">
        <v>0</v>
      </c>
      <c r="BA74">
        <v>96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f>ROUND(Y74*Source!I107*DO74,9)</f>
        <v>0</v>
      </c>
      <c r="CX74">
        <f>ROUND(Y74*Source!I107,9)</f>
        <v>0.432</v>
      </c>
      <c r="CY74">
        <f>AB74</f>
        <v>145.09</v>
      </c>
      <c r="CZ74">
        <f>AF74</f>
        <v>15.54</v>
      </c>
      <c r="DA74">
        <f>AJ74</f>
        <v>8.75</v>
      </c>
      <c r="DB74">
        <f t="shared" si="18"/>
        <v>11.19</v>
      </c>
      <c r="DC74">
        <f t="shared" si="19"/>
        <v>0</v>
      </c>
      <c r="DD74" t="s">
        <v>4</v>
      </c>
      <c r="DE74" t="s">
        <v>4</v>
      </c>
      <c r="DF74">
        <f t="shared" si="23"/>
        <v>0</v>
      </c>
      <c r="DG74">
        <f>ROUND(ROUND(AF74*AJ74,2)*CX74,2)</f>
        <v>58.74</v>
      </c>
      <c r="DH74">
        <f>ROUND(ROUND(AG74*AK74,2)*CX74,2)</f>
        <v>0</v>
      </c>
      <c r="DI74">
        <f t="shared" si="20"/>
        <v>0</v>
      </c>
      <c r="DJ74">
        <f>DG74</f>
        <v>58.74</v>
      </c>
      <c r="DK74">
        <v>0</v>
      </c>
      <c r="DL74" t="s">
        <v>4</v>
      </c>
      <c r="DM74">
        <v>0</v>
      </c>
      <c r="DN74" t="s">
        <v>4</v>
      </c>
      <c r="DO74">
        <v>0</v>
      </c>
    </row>
    <row r="75" spans="1:119">
      <c r="A75">
        <f>ROW(Source!A107)</f>
        <v>107</v>
      </c>
      <c r="B75">
        <v>70305036</v>
      </c>
      <c r="C75">
        <v>70310569</v>
      </c>
      <c r="D75">
        <v>69364531</v>
      </c>
      <c r="E75">
        <v>1</v>
      </c>
      <c r="F75">
        <v>1</v>
      </c>
      <c r="G75">
        <v>1075</v>
      </c>
      <c r="H75">
        <v>2</v>
      </c>
      <c r="I75" t="s">
        <v>379</v>
      </c>
      <c r="J75" t="s">
        <v>380</v>
      </c>
      <c r="K75" t="s">
        <v>381</v>
      </c>
      <c r="L75">
        <v>1368</v>
      </c>
      <c r="N75">
        <v>1011</v>
      </c>
      <c r="O75" t="s">
        <v>338</v>
      </c>
      <c r="P75" t="s">
        <v>338</v>
      </c>
      <c r="Q75">
        <v>1</v>
      </c>
      <c r="W75">
        <v>0</v>
      </c>
      <c r="X75">
        <v>775371881</v>
      </c>
      <c r="Y75">
        <f t="shared" si="17"/>
        <v>0.72</v>
      </c>
      <c r="AA75">
        <v>0</v>
      </c>
      <c r="AB75">
        <v>1390.59</v>
      </c>
      <c r="AC75">
        <v>724.05</v>
      </c>
      <c r="AD75">
        <v>0</v>
      </c>
      <c r="AE75">
        <v>0</v>
      </c>
      <c r="AF75">
        <v>81.150000000000006</v>
      </c>
      <c r="AG75">
        <v>14.54</v>
      </c>
      <c r="AH75">
        <v>0</v>
      </c>
      <c r="AI75">
        <v>1</v>
      </c>
      <c r="AJ75">
        <v>16.059999999999999</v>
      </c>
      <c r="AK75">
        <v>46.67</v>
      </c>
      <c r="AL75">
        <v>1</v>
      </c>
      <c r="AM75">
        <v>2</v>
      </c>
      <c r="AN75">
        <v>0</v>
      </c>
      <c r="AO75">
        <v>1</v>
      </c>
      <c r="AP75">
        <v>0</v>
      </c>
      <c r="AQ75">
        <v>0</v>
      </c>
      <c r="AR75">
        <v>0</v>
      </c>
      <c r="AS75" t="s">
        <v>4</v>
      </c>
      <c r="AT75">
        <v>0.72</v>
      </c>
      <c r="AU75" t="s">
        <v>4</v>
      </c>
      <c r="AV75">
        <v>0</v>
      </c>
      <c r="AW75">
        <v>2</v>
      </c>
      <c r="AX75">
        <v>70310702</v>
      </c>
      <c r="AY75">
        <v>1</v>
      </c>
      <c r="AZ75">
        <v>0</v>
      </c>
      <c r="BA75">
        <v>97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f>ROUND(Y75*Source!I107*DO75,9)</f>
        <v>0</v>
      </c>
      <c r="CX75">
        <f>ROUND(Y75*Source!I107,9)</f>
        <v>0.432</v>
      </c>
      <c r="CY75">
        <f>AB75</f>
        <v>1390.59</v>
      </c>
      <c r="CZ75">
        <f>AF75</f>
        <v>81.150000000000006</v>
      </c>
      <c r="DA75">
        <f>AJ75</f>
        <v>16.059999999999999</v>
      </c>
      <c r="DB75">
        <f t="shared" si="18"/>
        <v>58.43</v>
      </c>
      <c r="DC75">
        <f t="shared" si="19"/>
        <v>10.47</v>
      </c>
      <c r="DD75" t="s">
        <v>4</v>
      </c>
      <c r="DE75" t="s">
        <v>4</v>
      </c>
      <c r="DF75">
        <f t="shared" si="23"/>
        <v>0</v>
      </c>
      <c r="DG75">
        <f>ROUND(ROUND(AF75*AJ75,2)*CX75,2)</f>
        <v>563.01</v>
      </c>
      <c r="DH75">
        <f>ROUND(ROUND(AG75*AK75,2)*CX75,2)</f>
        <v>293.14999999999998</v>
      </c>
      <c r="DI75">
        <f t="shared" si="20"/>
        <v>0</v>
      </c>
      <c r="DJ75">
        <f>DG75</f>
        <v>563.01</v>
      </c>
      <c r="DK75">
        <v>0</v>
      </c>
      <c r="DL75" t="s">
        <v>4</v>
      </c>
      <c r="DM75">
        <v>0</v>
      </c>
      <c r="DN75" t="s">
        <v>4</v>
      </c>
      <c r="DO75">
        <v>0</v>
      </c>
    </row>
    <row r="76" spans="1:119">
      <c r="A76">
        <f>ROW(Source!A107)</f>
        <v>107</v>
      </c>
      <c r="B76">
        <v>70305036</v>
      </c>
      <c r="C76">
        <v>70310569</v>
      </c>
      <c r="D76">
        <v>69363764</v>
      </c>
      <c r="E76">
        <v>1</v>
      </c>
      <c r="F76">
        <v>1</v>
      </c>
      <c r="G76">
        <v>1075</v>
      </c>
      <c r="H76">
        <v>2</v>
      </c>
      <c r="I76" t="s">
        <v>382</v>
      </c>
      <c r="J76" t="s">
        <v>383</v>
      </c>
      <c r="K76" t="s">
        <v>384</v>
      </c>
      <c r="L76">
        <v>1368</v>
      </c>
      <c r="N76">
        <v>1011</v>
      </c>
      <c r="O76" t="s">
        <v>338</v>
      </c>
      <c r="P76" t="s">
        <v>338</v>
      </c>
      <c r="Q76">
        <v>1</v>
      </c>
      <c r="W76">
        <v>0</v>
      </c>
      <c r="X76">
        <v>-633001020</v>
      </c>
      <c r="Y76">
        <f t="shared" si="17"/>
        <v>1.04</v>
      </c>
      <c r="AA76">
        <v>0</v>
      </c>
      <c r="AB76">
        <v>2475.71</v>
      </c>
      <c r="AC76">
        <v>843.06</v>
      </c>
      <c r="AD76">
        <v>0</v>
      </c>
      <c r="AE76">
        <v>0</v>
      </c>
      <c r="AF76">
        <v>179.17</v>
      </c>
      <c r="AG76">
        <v>16.93</v>
      </c>
      <c r="AH76">
        <v>0</v>
      </c>
      <c r="AI76">
        <v>1</v>
      </c>
      <c r="AJ76">
        <v>12.95</v>
      </c>
      <c r="AK76">
        <v>46.67</v>
      </c>
      <c r="AL76">
        <v>1</v>
      </c>
      <c r="AM76">
        <v>2</v>
      </c>
      <c r="AN76">
        <v>0</v>
      </c>
      <c r="AO76">
        <v>1</v>
      </c>
      <c r="AP76">
        <v>0</v>
      </c>
      <c r="AQ76">
        <v>0</v>
      </c>
      <c r="AR76">
        <v>0</v>
      </c>
      <c r="AS76" t="s">
        <v>4</v>
      </c>
      <c r="AT76">
        <v>1.04</v>
      </c>
      <c r="AU76" t="s">
        <v>4</v>
      </c>
      <c r="AV76">
        <v>0</v>
      </c>
      <c r="AW76">
        <v>2</v>
      </c>
      <c r="AX76">
        <v>70310703</v>
      </c>
      <c r="AY76">
        <v>1</v>
      </c>
      <c r="AZ76">
        <v>0</v>
      </c>
      <c r="BA76">
        <v>98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f>ROUND(Y76*Source!I107*DO76,9)</f>
        <v>0</v>
      </c>
      <c r="CX76">
        <f>ROUND(Y76*Source!I107,9)</f>
        <v>0.624</v>
      </c>
      <c r="CY76">
        <f>AB76</f>
        <v>2475.71</v>
      </c>
      <c r="CZ76">
        <f>AF76</f>
        <v>179.17</v>
      </c>
      <c r="DA76">
        <f>AJ76</f>
        <v>12.95</v>
      </c>
      <c r="DB76">
        <f t="shared" si="18"/>
        <v>186.34</v>
      </c>
      <c r="DC76">
        <f t="shared" si="19"/>
        <v>17.61</v>
      </c>
      <c r="DD76" t="s">
        <v>4</v>
      </c>
      <c r="DE76" t="s">
        <v>4</v>
      </c>
      <c r="DF76">
        <f t="shared" si="23"/>
        <v>0</v>
      </c>
      <c r="DG76">
        <f>ROUND(ROUND(AF76*AJ76,2)*CX76,2)</f>
        <v>1447.84</v>
      </c>
      <c r="DH76">
        <f>ROUND(ROUND(AG76*AK76,2)*CX76,2)</f>
        <v>493.03</v>
      </c>
      <c r="DI76">
        <f t="shared" si="20"/>
        <v>0</v>
      </c>
      <c r="DJ76">
        <f>DG76</f>
        <v>1447.84</v>
      </c>
      <c r="DK76">
        <v>0</v>
      </c>
      <c r="DL76" t="s">
        <v>4</v>
      </c>
      <c r="DM76">
        <v>0</v>
      </c>
      <c r="DN76" t="s">
        <v>4</v>
      </c>
      <c r="DO76">
        <v>0</v>
      </c>
    </row>
    <row r="77" spans="1:119">
      <c r="A77">
        <f>ROW(Source!A107)</f>
        <v>107</v>
      </c>
      <c r="B77">
        <v>70305036</v>
      </c>
      <c r="C77">
        <v>70310569</v>
      </c>
      <c r="D77">
        <v>69277202</v>
      </c>
      <c r="E77">
        <v>1075</v>
      </c>
      <c r="F77">
        <v>1</v>
      </c>
      <c r="G77">
        <v>1075</v>
      </c>
      <c r="H77">
        <v>2</v>
      </c>
      <c r="I77" t="s">
        <v>385</v>
      </c>
      <c r="J77" t="s">
        <v>4</v>
      </c>
      <c r="K77" t="s">
        <v>386</v>
      </c>
      <c r="L77">
        <v>1344</v>
      </c>
      <c r="N77">
        <v>1008</v>
      </c>
      <c r="O77" t="s">
        <v>387</v>
      </c>
      <c r="P77" t="s">
        <v>387</v>
      </c>
      <c r="Q77">
        <v>1</v>
      </c>
      <c r="W77">
        <v>0</v>
      </c>
      <c r="X77">
        <v>-1180195794</v>
      </c>
      <c r="Y77">
        <f t="shared" si="17"/>
        <v>0.02</v>
      </c>
      <c r="AA77">
        <v>0</v>
      </c>
      <c r="AB77">
        <v>1.07</v>
      </c>
      <c r="AC77">
        <v>0</v>
      </c>
      <c r="AD77">
        <v>0</v>
      </c>
      <c r="AE77">
        <v>0</v>
      </c>
      <c r="AF77">
        <v>1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0</v>
      </c>
      <c r="AQ77">
        <v>0</v>
      </c>
      <c r="AR77">
        <v>0</v>
      </c>
      <c r="AS77" t="s">
        <v>4</v>
      </c>
      <c r="AT77">
        <v>0.02</v>
      </c>
      <c r="AU77" t="s">
        <v>4</v>
      </c>
      <c r="AV77">
        <v>0</v>
      </c>
      <c r="AW77">
        <v>2</v>
      </c>
      <c r="AX77">
        <v>70310704</v>
      </c>
      <c r="AY77">
        <v>1</v>
      </c>
      <c r="AZ77">
        <v>0</v>
      </c>
      <c r="BA77">
        <v>99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f>ROUND(Y77*Source!I107*DO77,9)</f>
        <v>0</v>
      </c>
      <c r="CX77">
        <f>ROUND(Y77*Source!I107,9)</f>
        <v>1.2E-2</v>
      </c>
      <c r="CY77">
        <f>AB77</f>
        <v>1.07</v>
      </c>
      <c r="CZ77">
        <f>AF77</f>
        <v>1</v>
      </c>
      <c r="DA77">
        <f>AJ77</f>
        <v>1</v>
      </c>
      <c r="DB77">
        <f t="shared" si="18"/>
        <v>0.02</v>
      </c>
      <c r="DC77">
        <f t="shared" si="19"/>
        <v>0</v>
      </c>
      <c r="DD77" t="s">
        <v>4</v>
      </c>
      <c r="DE77" t="s">
        <v>4</v>
      </c>
      <c r="DF77">
        <f t="shared" si="23"/>
        <v>0</v>
      </c>
      <c r="DG77">
        <f t="shared" ref="DG77:DG83" si="24">ROUND(ROUND(AF77,2)*CX77,2)</f>
        <v>0.01</v>
      </c>
      <c r="DH77">
        <f t="shared" ref="DH77:DH83" si="25">ROUND(ROUND(AG77,2)*CX77,2)</f>
        <v>0</v>
      </c>
      <c r="DI77">
        <f t="shared" si="20"/>
        <v>0</v>
      </c>
      <c r="DJ77">
        <f>DG77</f>
        <v>0.01</v>
      </c>
      <c r="DK77">
        <v>0</v>
      </c>
      <c r="DL77" t="s">
        <v>4</v>
      </c>
      <c r="DM77">
        <v>0</v>
      </c>
      <c r="DN77" t="s">
        <v>4</v>
      </c>
      <c r="DO77">
        <v>0</v>
      </c>
    </row>
    <row r="78" spans="1:119">
      <c r="A78">
        <f>ROW(Source!A107)</f>
        <v>107</v>
      </c>
      <c r="B78">
        <v>70305036</v>
      </c>
      <c r="C78">
        <v>70310569</v>
      </c>
      <c r="D78">
        <v>69342754</v>
      </c>
      <c r="E78">
        <v>1</v>
      </c>
      <c r="F78">
        <v>1</v>
      </c>
      <c r="G78">
        <v>1075</v>
      </c>
      <c r="H78">
        <v>3</v>
      </c>
      <c r="I78" t="s">
        <v>178</v>
      </c>
      <c r="J78" t="s">
        <v>179</v>
      </c>
      <c r="K78" t="s">
        <v>523</v>
      </c>
      <c r="L78">
        <v>1301</v>
      </c>
      <c r="N78">
        <v>1003</v>
      </c>
      <c r="O78" t="s">
        <v>135</v>
      </c>
      <c r="P78" t="s">
        <v>135</v>
      </c>
      <c r="Q78">
        <v>1</v>
      </c>
      <c r="W78">
        <v>0</v>
      </c>
      <c r="X78">
        <v>77284068</v>
      </c>
      <c r="Y78">
        <f t="shared" si="17"/>
        <v>1025</v>
      </c>
      <c r="AA78">
        <v>1931.48</v>
      </c>
      <c r="AB78">
        <v>0</v>
      </c>
      <c r="AC78">
        <v>0</v>
      </c>
      <c r="AD78">
        <v>0</v>
      </c>
      <c r="AE78">
        <v>278.31</v>
      </c>
      <c r="AF78">
        <v>0</v>
      </c>
      <c r="AG78">
        <v>0</v>
      </c>
      <c r="AH78">
        <v>0</v>
      </c>
      <c r="AI78">
        <v>6.42</v>
      </c>
      <c r="AJ78">
        <v>1</v>
      </c>
      <c r="AK78">
        <v>1</v>
      </c>
      <c r="AL78">
        <v>1</v>
      </c>
      <c r="AM78">
        <v>0</v>
      </c>
      <c r="AN78">
        <v>0</v>
      </c>
      <c r="AO78">
        <v>0</v>
      </c>
      <c r="AP78">
        <v>1</v>
      </c>
      <c r="AQ78">
        <v>0</v>
      </c>
      <c r="AR78">
        <v>0</v>
      </c>
      <c r="AS78" t="s">
        <v>4</v>
      </c>
      <c r="AT78">
        <v>1025</v>
      </c>
      <c r="AU78" t="s">
        <v>4</v>
      </c>
      <c r="AV78">
        <v>0</v>
      </c>
      <c r="AW78">
        <v>1</v>
      </c>
      <c r="AX78">
        <v>-1</v>
      </c>
      <c r="AY78">
        <v>0</v>
      </c>
      <c r="AZ78">
        <v>0</v>
      </c>
      <c r="BA78" t="s">
        <v>4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ROUND(Y78*Source!I107,9)</f>
        <v>615</v>
      </c>
      <c r="CY78">
        <f>AA78</f>
        <v>1931.48</v>
      </c>
      <c r="CZ78">
        <f>AE78</f>
        <v>278.31</v>
      </c>
      <c r="DA78">
        <f>AI78</f>
        <v>6.42</v>
      </c>
      <c r="DB78">
        <f t="shared" si="18"/>
        <v>285267.75</v>
      </c>
      <c r="DC78">
        <f t="shared" si="19"/>
        <v>0</v>
      </c>
      <c r="DD78" t="s">
        <v>4</v>
      </c>
      <c r="DE78" t="s">
        <v>4</v>
      </c>
      <c r="DF78">
        <f>ROUND(ROUND(AE78*AI78,2)*CX78,2)</f>
        <v>1098851.25</v>
      </c>
      <c r="DG78">
        <f t="shared" si="24"/>
        <v>0</v>
      </c>
      <c r="DH78">
        <f t="shared" si="25"/>
        <v>0</v>
      </c>
      <c r="DI78">
        <f t="shared" si="20"/>
        <v>0</v>
      </c>
      <c r="DJ78">
        <f>DF78</f>
        <v>1098851.25</v>
      </c>
      <c r="DK78">
        <v>0</v>
      </c>
      <c r="DL78" t="s">
        <v>4</v>
      </c>
      <c r="DM78">
        <v>0</v>
      </c>
      <c r="DN78" t="s">
        <v>4</v>
      </c>
      <c r="DO78">
        <v>0</v>
      </c>
    </row>
    <row r="79" spans="1:119">
      <c r="A79">
        <f>ROW(Source!A112)</f>
        <v>112</v>
      </c>
      <c r="B79">
        <v>70305038</v>
      </c>
      <c r="C79">
        <v>70310581</v>
      </c>
      <c r="D79">
        <v>69275358</v>
      </c>
      <c r="E79">
        <v>1075</v>
      </c>
      <c r="F79">
        <v>1</v>
      </c>
      <c r="G79">
        <v>1075</v>
      </c>
      <c r="H79">
        <v>1</v>
      </c>
      <c r="I79" t="s">
        <v>332</v>
      </c>
      <c r="J79" t="s">
        <v>4</v>
      </c>
      <c r="K79" t="s">
        <v>333</v>
      </c>
      <c r="L79">
        <v>1191</v>
      </c>
      <c r="N79">
        <v>1013</v>
      </c>
      <c r="O79" t="s">
        <v>334</v>
      </c>
      <c r="P79" t="s">
        <v>334</v>
      </c>
      <c r="Q79">
        <v>1</v>
      </c>
      <c r="W79">
        <v>0</v>
      </c>
      <c r="X79">
        <v>476480486</v>
      </c>
      <c r="Y79">
        <f t="shared" si="17"/>
        <v>1.1499999999999999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4</v>
      </c>
      <c r="AT79">
        <v>1.1499999999999999</v>
      </c>
      <c r="AU79" t="s">
        <v>4</v>
      </c>
      <c r="AV79">
        <v>1</v>
      </c>
      <c r="AW79">
        <v>2</v>
      </c>
      <c r="AX79">
        <v>70310586</v>
      </c>
      <c r="AY79">
        <v>1</v>
      </c>
      <c r="AZ79">
        <v>0</v>
      </c>
      <c r="BA79">
        <v>101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U79">
        <f>ROUND(AT79*Source!I112*AH79*AL79,2)</f>
        <v>0</v>
      </c>
      <c r="CV79">
        <f>ROUND(Y79*Source!I112,9)</f>
        <v>88.55</v>
      </c>
      <c r="CW79">
        <v>0</v>
      </c>
      <c r="CX79">
        <f>ROUND(Y79*Source!I112,9)</f>
        <v>88.55</v>
      </c>
      <c r="CY79">
        <f>AD79</f>
        <v>0</v>
      </c>
      <c r="CZ79">
        <f>AH79</f>
        <v>0</v>
      </c>
      <c r="DA79">
        <f>AL79</f>
        <v>1</v>
      </c>
      <c r="DB79">
        <f t="shared" si="18"/>
        <v>0</v>
      </c>
      <c r="DC79">
        <f t="shared" si="19"/>
        <v>0</v>
      </c>
      <c r="DD79" t="s">
        <v>4</v>
      </c>
      <c r="DE79" t="s">
        <v>4</v>
      </c>
      <c r="DF79">
        <f t="shared" ref="DF79:DF84" si="26">ROUND(ROUND(AE79,2)*CX79,2)</f>
        <v>0</v>
      </c>
      <c r="DG79">
        <f t="shared" si="24"/>
        <v>0</v>
      </c>
      <c r="DH79">
        <f t="shared" si="25"/>
        <v>0</v>
      </c>
      <c r="DI79">
        <f t="shared" si="20"/>
        <v>0</v>
      </c>
      <c r="DJ79">
        <f>DI79</f>
        <v>0</v>
      </c>
      <c r="DK79">
        <v>0</v>
      </c>
      <c r="DL79" t="s">
        <v>4</v>
      </c>
      <c r="DM79">
        <v>0</v>
      </c>
      <c r="DN79" t="s">
        <v>4</v>
      </c>
      <c r="DO79">
        <v>0</v>
      </c>
    </row>
    <row r="80" spans="1:119">
      <c r="A80">
        <f>ROW(Source!A112)</f>
        <v>112</v>
      </c>
      <c r="B80">
        <v>70305038</v>
      </c>
      <c r="C80">
        <v>70310581</v>
      </c>
      <c r="D80">
        <v>69364230</v>
      </c>
      <c r="E80">
        <v>1</v>
      </c>
      <c r="F80">
        <v>1</v>
      </c>
      <c r="G80">
        <v>1075</v>
      </c>
      <c r="H80">
        <v>2</v>
      </c>
      <c r="I80" t="s">
        <v>388</v>
      </c>
      <c r="J80" t="s">
        <v>389</v>
      </c>
      <c r="K80" t="s">
        <v>390</v>
      </c>
      <c r="L80">
        <v>1368</v>
      </c>
      <c r="N80">
        <v>1011</v>
      </c>
      <c r="O80" t="s">
        <v>338</v>
      </c>
      <c r="P80" t="s">
        <v>338</v>
      </c>
      <c r="Q80">
        <v>1</v>
      </c>
      <c r="W80">
        <v>0</v>
      </c>
      <c r="X80">
        <v>-299187225</v>
      </c>
      <c r="Y80">
        <f t="shared" si="17"/>
        <v>0.56000000000000005</v>
      </c>
      <c r="AA80">
        <v>0</v>
      </c>
      <c r="AB80">
        <v>4.01</v>
      </c>
      <c r="AC80">
        <v>0</v>
      </c>
      <c r="AD80">
        <v>0</v>
      </c>
      <c r="AE80">
        <v>0</v>
      </c>
      <c r="AF80">
        <v>4.01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4</v>
      </c>
      <c r="AT80">
        <v>0.56000000000000005</v>
      </c>
      <c r="AU80" t="s">
        <v>4</v>
      </c>
      <c r="AV80">
        <v>0</v>
      </c>
      <c r="AW80">
        <v>2</v>
      </c>
      <c r="AX80">
        <v>70310587</v>
      </c>
      <c r="AY80">
        <v>1</v>
      </c>
      <c r="AZ80">
        <v>0</v>
      </c>
      <c r="BA80">
        <v>102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f>ROUND(Y80*Source!I112*DO80,9)</f>
        <v>0</v>
      </c>
      <c r="CX80">
        <f>ROUND(Y80*Source!I112,9)</f>
        <v>43.12</v>
      </c>
      <c r="CY80">
        <f>AB80</f>
        <v>4.01</v>
      </c>
      <c r="CZ80">
        <f>AF80</f>
        <v>4.01</v>
      </c>
      <c r="DA80">
        <f>AJ80</f>
        <v>1</v>
      </c>
      <c r="DB80">
        <f t="shared" si="18"/>
        <v>2.25</v>
      </c>
      <c r="DC80">
        <f t="shared" si="19"/>
        <v>0</v>
      </c>
      <c r="DD80" t="s">
        <v>4</v>
      </c>
      <c r="DE80" t="s">
        <v>4</v>
      </c>
      <c r="DF80">
        <f t="shared" si="26"/>
        <v>0</v>
      </c>
      <c r="DG80">
        <f t="shared" si="24"/>
        <v>172.91</v>
      </c>
      <c r="DH80">
        <f t="shared" si="25"/>
        <v>0</v>
      </c>
      <c r="DI80">
        <f t="shared" si="20"/>
        <v>0</v>
      </c>
      <c r="DJ80">
        <f>DG80</f>
        <v>172.91</v>
      </c>
      <c r="DK80">
        <v>0</v>
      </c>
      <c r="DL80" t="s">
        <v>4</v>
      </c>
      <c r="DM80">
        <v>0</v>
      </c>
      <c r="DN80" t="s">
        <v>4</v>
      </c>
      <c r="DO80">
        <v>0</v>
      </c>
    </row>
    <row r="81" spans="1:119">
      <c r="A81">
        <f>ROW(Source!A112)</f>
        <v>112</v>
      </c>
      <c r="B81">
        <v>70305038</v>
      </c>
      <c r="C81">
        <v>70310581</v>
      </c>
      <c r="D81">
        <v>69334387</v>
      </c>
      <c r="E81">
        <v>1</v>
      </c>
      <c r="F81">
        <v>1</v>
      </c>
      <c r="G81">
        <v>1075</v>
      </c>
      <c r="H81">
        <v>3</v>
      </c>
      <c r="I81" t="s">
        <v>391</v>
      </c>
      <c r="J81" t="s">
        <v>392</v>
      </c>
      <c r="K81" t="s">
        <v>393</v>
      </c>
      <c r="L81">
        <v>1346</v>
      </c>
      <c r="N81">
        <v>1009</v>
      </c>
      <c r="O81" t="s">
        <v>394</v>
      </c>
      <c r="P81" t="s">
        <v>394</v>
      </c>
      <c r="Q81">
        <v>1</v>
      </c>
      <c r="W81">
        <v>0</v>
      </c>
      <c r="X81">
        <v>1244117591</v>
      </c>
      <c r="Y81">
        <f t="shared" si="17"/>
        <v>6.6699999999999995E-2</v>
      </c>
      <c r="AA81">
        <v>11.25</v>
      </c>
      <c r="AB81">
        <v>0</v>
      </c>
      <c r="AC81">
        <v>0</v>
      </c>
      <c r="AD81">
        <v>0</v>
      </c>
      <c r="AE81">
        <v>11.25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4</v>
      </c>
      <c r="AT81">
        <v>6.6699999999999995E-2</v>
      </c>
      <c r="AU81" t="s">
        <v>4</v>
      </c>
      <c r="AV81">
        <v>0</v>
      </c>
      <c r="AW81">
        <v>2</v>
      </c>
      <c r="AX81">
        <v>70310588</v>
      </c>
      <c r="AY81">
        <v>1</v>
      </c>
      <c r="AZ81">
        <v>0</v>
      </c>
      <c r="BA81">
        <v>103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ROUND(Y81*Source!I112,9)</f>
        <v>5.1359000000000004</v>
      </c>
      <c r="CY81">
        <f>AA81</f>
        <v>11.25</v>
      </c>
      <c r="CZ81">
        <f>AE81</f>
        <v>11.25</v>
      </c>
      <c r="DA81">
        <f>AI81</f>
        <v>1</v>
      </c>
      <c r="DB81">
        <f t="shared" si="18"/>
        <v>0.75</v>
      </c>
      <c r="DC81">
        <f t="shared" si="19"/>
        <v>0</v>
      </c>
      <c r="DD81" t="s">
        <v>4</v>
      </c>
      <c r="DE81" t="s">
        <v>4</v>
      </c>
      <c r="DF81">
        <f t="shared" si="26"/>
        <v>57.78</v>
      </c>
      <c r="DG81">
        <f t="shared" si="24"/>
        <v>0</v>
      </c>
      <c r="DH81">
        <f t="shared" si="25"/>
        <v>0</v>
      </c>
      <c r="DI81">
        <f t="shared" si="20"/>
        <v>0</v>
      </c>
      <c r="DJ81">
        <f>DF81</f>
        <v>57.78</v>
      </c>
      <c r="DK81">
        <v>0</v>
      </c>
      <c r="DL81" t="s">
        <v>4</v>
      </c>
      <c r="DM81">
        <v>0</v>
      </c>
      <c r="DN81" t="s">
        <v>4</v>
      </c>
      <c r="DO81">
        <v>0</v>
      </c>
    </row>
    <row r="82" spans="1:119">
      <c r="A82">
        <f>ROW(Source!A112)</f>
        <v>112</v>
      </c>
      <c r="B82">
        <v>70305038</v>
      </c>
      <c r="C82">
        <v>70310581</v>
      </c>
      <c r="D82">
        <v>69333737</v>
      </c>
      <c r="E82">
        <v>1</v>
      </c>
      <c r="F82">
        <v>1</v>
      </c>
      <c r="G82">
        <v>1075</v>
      </c>
      <c r="H82">
        <v>3</v>
      </c>
      <c r="I82" t="s">
        <v>395</v>
      </c>
      <c r="J82" t="s">
        <v>396</v>
      </c>
      <c r="K82" t="s">
        <v>397</v>
      </c>
      <c r="L82">
        <v>1346</v>
      </c>
      <c r="N82">
        <v>1009</v>
      </c>
      <c r="O82" t="s">
        <v>394</v>
      </c>
      <c r="P82" t="s">
        <v>394</v>
      </c>
      <c r="Q82">
        <v>1</v>
      </c>
      <c r="W82">
        <v>0</v>
      </c>
      <c r="X82">
        <v>719199267</v>
      </c>
      <c r="Y82">
        <f t="shared" si="17"/>
        <v>0.1</v>
      </c>
      <c r="AA82">
        <v>1.61</v>
      </c>
      <c r="AB82">
        <v>0</v>
      </c>
      <c r="AC82">
        <v>0</v>
      </c>
      <c r="AD82">
        <v>0</v>
      </c>
      <c r="AE82">
        <v>1.61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4</v>
      </c>
      <c r="AT82">
        <v>0.1</v>
      </c>
      <c r="AU82" t="s">
        <v>4</v>
      </c>
      <c r="AV82">
        <v>0</v>
      </c>
      <c r="AW82">
        <v>2</v>
      </c>
      <c r="AX82">
        <v>70310589</v>
      </c>
      <c r="AY82">
        <v>1</v>
      </c>
      <c r="AZ82">
        <v>0</v>
      </c>
      <c r="BA82">
        <v>104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v>0</v>
      </c>
      <c r="CX82">
        <f>ROUND(Y82*Source!I112,9)</f>
        <v>7.7</v>
      </c>
      <c r="CY82">
        <f>AA82</f>
        <v>1.61</v>
      </c>
      <c r="CZ82">
        <f>AE82</f>
        <v>1.61</v>
      </c>
      <c r="DA82">
        <f>AI82</f>
        <v>1</v>
      </c>
      <c r="DB82">
        <f t="shared" si="18"/>
        <v>0.16</v>
      </c>
      <c r="DC82">
        <f t="shared" si="19"/>
        <v>0</v>
      </c>
      <c r="DD82" t="s">
        <v>4</v>
      </c>
      <c r="DE82" t="s">
        <v>4</v>
      </c>
      <c r="DF82">
        <f t="shared" si="26"/>
        <v>12.4</v>
      </c>
      <c r="DG82">
        <f t="shared" si="24"/>
        <v>0</v>
      </c>
      <c r="DH82">
        <f t="shared" si="25"/>
        <v>0</v>
      </c>
      <c r="DI82">
        <f t="shared" si="20"/>
        <v>0</v>
      </c>
      <c r="DJ82">
        <f>DF82</f>
        <v>12.4</v>
      </c>
      <c r="DK82">
        <v>0</v>
      </c>
      <c r="DL82" t="s">
        <v>4</v>
      </c>
      <c r="DM82">
        <v>0</v>
      </c>
      <c r="DN82" t="s">
        <v>4</v>
      </c>
      <c r="DO82">
        <v>0</v>
      </c>
    </row>
    <row r="83" spans="1:119">
      <c r="A83">
        <f>ROW(Source!A113)</f>
        <v>113</v>
      </c>
      <c r="B83">
        <v>70305036</v>
      </c>
      <c r="C83">
        <v>70310581</v>
      </c>
      <c r="D83">
        <v>69275358</v>
      </c>
      <c r="E83">
        <v>1075</v>
      </c>
      <c r="F83">
        <v>1</v>
      </c>
      <c r="G83">
        <v>1075</v>
      </c>
      <c r="H83">
        <v>1</v>
      </c>
      <c r="I83" t="s">
        <v>332</v>
      </c>
      <c r="J83" t="s">
        <v>4</v>
      </c>
      <c r="K83" t="s">
        <v>333</v>
      </c>
      <c r="L83">
        <v>1191</v>
      </c>
      <c r="N83">
        <v>1013</v>
      </c>
      <c r="O83" t="s">
        <v>334</v>
      </c>
      <c r="P83" t="s">
        <v>334</v>
      </c>
      <c r="Q83">
        <v>1</v>
      </c>
      <c r="W83">
        <v>0</v>
      </c>
      <c r="X83">
        <v>476480486</v>
      </c>
      <c r="Y83">
        <f t="shared" si="17"/>
        <v>1.1499999999999999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4</v>
      </c>
      <c r="AT83">
        <v>1.1499999999999999</v>
      </c>
      <c r="AU83" t="s">
        <v>4</v>
      </c>
      <c r="AV83">
        <v>1</v>
      </c>
      <c r="AW83">
        <v>2</v>
      </c>
      <c r="AX83">
        <v>70310586</v>
      </c>
      <c r="AY83">
        <v>1</v>
      </c>
      <c r="AZ83">
        <v>0</v>
      </c>
      <c r="BA83">
        <v>105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U83">
        <f>ROUND(AT83*Source!I113*AH83*AL83,2)</f>
        <v>0</v>
      </c>
      <c r="CV83">
        <f>ROUND(Y83*Source!I113,9)</f>
        <v>88.55</v>
      </c>
      <c r="CW83">
        <v>0</v>
      </c>
      <c r="CX83">
        <f>ROUND(Y83*Source!I113,9)</f>
        <v>88.55</v>
      </c>
      <c r="CY83">
        <f>AD83</f>
        <v>0</v>
      </c>
      <c r="CZ83">
        <f>AH83</f>
        <v>0</v>
      </c>
      <c r="DA83">
        <f>AL83</f>
        <v>1</v>
      </c>
      <c r="DB83">
        <f t="shared" si="18"/>
        <v>0</v>
      </c>
      <c r="DC83">
        <f t="shared" si="19"/>
        <v>0</v>
      </c>
      <c r="DD83" t="s">
        <v>4</v>
      </c>
      <c r="DE83" t="s">
        <v>4</v>
      </c>
      <c r="DF83">
        <f t="shared" si="26"/>
        <v>0</v>
      </c>
      <c r="DG83">
        <f t="shared" si="24"/>
        <v>0</v>
      </c>
      <c r="DH83">
        <f t="shared" si="25"/>
        <v>0</v>
      </c>
      <c r="DI83">
        <f t="shared" si="20"/>
        <v>0</v>
      </c>
      <c r="DJ83">
        <f>DI83</f>
        <v>0</v>
      </c>
      <c r="DK83">
        <v>0</v>
      </c>
      <c r="DL83" t="s">
        <v>4</v>
      </c>
      <c r="DM83">
        <v>0</v>
      </c>
      <c r="DN83" t="s">
        <v>4</v>
      </c>
      <c r="DO83">
        <v>0</v>
      </c>
    </row>
    <row r="84" spans="1:119">
      <c r="A84">
        <f>ROW(Source!A113)</f>
        <v>113</v>
      </c>
      <c r="B84">
        <v>70305036</v>
      </c>
      <c r="C84">
        <v>70310581</v>
      </c>
      <c r="D84">
        <v>69364230</v>
      </c>
      <c r="E84">
        <v>1</v>
      </c>
      <c r="F84">
        <v>1</v>
      </c>
      <c r="G84">
        <v>1075</v>
      </c>
      <c r="H84">
        <v>2</v>
      </c>
      <c r="I84" t="s">
        <v>388</v>
      </c>
      <c r="J84" t="s">
        <v>389</v>
      </c>
      <c r="K84" t="s">
        <v>390</v>
      </c>
      <c r="L84">
        <v>1368</v>
      </c>
      <c r="N84">
        <v>1011</v>
      </c>
      <c r="O84" t="s">
        <v>338</v>
      </c>
      <c r="P84" t="s">
        <v>338</v>
      </c>
      <c r="Q84">
        <v>1</v>
      </c>
      <c r="W84">
        <v>0</v>
      </c>
      <c r="X84">
        <v>-299187225</v>
      </c>
      <c r="Y84">
        <f t="shared" si="17"/>
        <v>0.56000000000000005</v>
      </c>
      <c r="AA84">
        <v>0</v>
      </c>
      <c r="AB84">
        <v>40.31</v>
      </c>
      <c r="AC84">
        <v>0</v>
      </c>
      <c r="AD84">
        <v>0</v>
      </c>
      <c r="AE84">
        <v>0</v>
      </c>
      <c r="AF84">
        <v>4.01</v>
      </c>
      <c r="AG84">
        <v>0</v>
      </c>
      <c r="AH84">
        <v>0</v>
      </c>
      <c r="AI84">
        <v>1</v>
      </c>
      <c r="AJ84">
        <v>9.42</v>
      </c>
      <c r="AK84">
        <v>46.67</v>
      </c>
      <c r="AL84">
        <v>1</v>
      </c>
      <c r="AM84">
        <v>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4</v>
      </c>
      <c r="AT84">
        <v>0.56000000000000005</v>
      </c>
      <c r="AU84" t="s">
        <v>4</v>
      </c>
      <c r="AV84">
        <v>0</v>
      </c>
      <c r="AW84">
        <v>2</v>
      </c>
      <c r="AX84">
        <v>70310587</v>
      </c>
      <c r="AY84">
        <v>1</v>
      </c>
      <c r="AZ84">
        <v>0</v>
      </c>
      <c r="BA84">
        <v>106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f>ROUND(Y84*Source!I113*DO84,9)</f>
        <v>0</v>
      </c>
      <c r="CX84">
        <f>ROUND(Y84*Source!I113,9)</f>
        <v>43.12</v>
      </c>
      <c r="CY84">
        <f>AB84</f>
        <v>40.31</v>
      </c>
      <c r="CZ84">
        <f>AF84</f>
        <v>4.01</v>
      </c>
      <c r="DA84">
        <f>AJ84</f>
        <v>9.42</v>
      </c>
      <c r="DB84">
        <f t="shared" si="18"/>
        <v>2.25</v>
      </c>
      <c r="DC84">
        <f t="shared" si="19"/>
        <v>0</v>
      </c>
      <c r="DD84" t="s">
        <v>4</v>
      </c>
      <c r="DE84" t="s">
        <v>4</v>
      </c>
      <c r="DF84">
        <f t="shared" si="26"/>
        <v>0</v>
      </c>
      <c r="DG84">
        <f>ROUND(ROUND(AF84*AJ84,2)*CX84,2)</f>
        <v>1628.64</v>
      </c>
      <c r="DH84">
        <f>ROUND(ROUND(AG84*AK84,2)*CX84,2)</f>
        <v>0</v>
      </c>
      <c r="DI84">
        <f t="shared" si="20"/>
        <v>0</v>
      </c>
      <c r="DJ84">
        <f>DG84</f>
        <v>1628.64</v>
      </c>
      <c r="DK84">
        <v>0</v>
      </c>
      <c r="DL84" t="s">
        <v>4</v>
      </c>
      <c r="DM84">
        <v>0</v>
      </c>
      <c r="DN84" t="s">
        <v>4</v>
      </c>
      <c r="DO84">
        <v>0</v>
      </c>
    </row>
    <row r="85" spans="1:119">
      <c r="A85">
        <f>ROW(Source!A113)</f>
        <v>113</v>
      </c>
      <c r="B85">
        <v>70305036</v>
      </c>
      <c r="C85">
        <v>70310581</v>
      </c>
      <c r="D85">
        <v>69334387</v>
      </c>
      <c r="E85">
        <v>1</v>
      </c>
      <c r="F85">
        <v>1</v>
      </c>
      <c r="G85">
        <v>1075</v>
      </c>
      <c r="H85">
        <v>3</v>
      </c>
      <c r="I85" t="s">
        <v>391</v>
      </c>
      <c r="J85" t="s">
        <v>392</v>
      </c>
      <c r="K85" t="s">
        <v>393</v>
      </c>
      <c r="L85">
        <v>1346</v>
      </c>
      <c r="N85">
        <v>1009</v>
      </c>
      <c r="O85" t="s">
        <v>394</v>
      </c>
      <c r="P85" t="s">
        <v>394</v>
      </c>
      <c r="Q85">
        <v>1</v>
      </c>
      <c r="W85">
        <v>0</v>
      </c>
      <c r="X85">
        <v>1244117591</v>
      </c>
      <c r="Y85">
        <f t="shared" si="17"/>
        <v>6.6699999999999995E-2</v>
      </c>
      <c r="AA85">
        <v>1359.69</v>
      </c>
      <c r="AB85">
        <v>0</v>
      </c>
      <c r="AC85">
        <v>0</v>
      </c>
      <c r="AD85">
        <v>0</v>
      </c>
      <c r="AE85">
        <v>11.25</v>
      </c>
      <c r="AF85">
        <v>0</v>
      </c>
      <c r="AG85">
        <v>0</v>
      </c>
      <c r="AH85">
        <v>0</v>
      </c>
      <c r="AI85">
        <v>120.5</v>
      </c>
      <c r="AJ85">
        <v>1</v>
      </c>
      <c r="AK85">
        <v>1</v>
      </c>
      <c r="AL85">
        <v>1</v>
      </c>
      <c r="AM85">
        <v>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4</v>
      </c>
      <c r="AT85">
        <v>6.6699999999999995E-2</v>
      </c>
      <c r="AU85" t="s">
        <v>4</v>
      </c>
      <c r="AV85">
        <v>0</v>
      </c>
      <c r="AW85">
        <v>2</v>
      </c>
      <c r="AX85">
        <v>70310588</v>
      </c>
      <c r="AY85">
        <v>1</v>
      </c>
      <c r="AZ85">
        <v>0</v>
      </c>
      <c r="BA85">
        <v>107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V85">
        <v>0</v>
      </c>
      <c r="CW85">
        <v>0</v>
      </c>
      <c r="CX85">
        <f>ROUND(Y85*Source!I113,9)</f>
        <v>5.1359000000000004</v>
      </c>
      <c r="CY85">
        <f>AA85</f>
        <v>1359.69</v>
      </c>
      <c r="CZ85">
        <f>AE85</f>
        <v>11.25</v>
      </c>
      <c r="DA85">
        <f>AI85</f>
        <v>120.5</v>
      </c>
      <c r="DB85">
        <f t="shared" si="18"/>
        <v>0.75</v>
      </c>
      <c r="DC85">
        <f t="shared" si="19"/>
        <v>0</v>
      </c>
      <c r="DD85" t="s">
        <v>4</v>
      </c>
      <c r="DE85" t="s">
        <v>4</v>
      </c>
      <c r="DF85">
        <f>ROUND(ROUND(AE85*AI85,2)*CX85,2)</f>
        <v>6962.38</v>
      </c>
      <c r="DG85">
        <f t="shared" ref="DG85:DG92" si="27">ROUND(ROUND(AF85,2)*CX85,2)</f>
        <v>0</v>
      </c>
      <c r="DH85">
        <f t="shared" ref="DH85:DH92" si="28">ROUND(ROUND(AG85,2)*CX85,2)</f>
        <v>0</v>
      </c>
      <c r="DI85">
        <f t="shared" si="20"/>
        <v>0</v>
      </c>
      <c r="DJ85">
        <f>DF85</f>
        <v>6962.38</v>
      </c>
      <c r="DK85">
        <v>0</v>
      </c>
      <c r="DL85" t="s">
        <v>4</v>
      </c>
      <c r="DM85">
        <v>0</v>
      </c>
      <c r="DN85" t="s">
        <v>4</v>
      </c>
      <c r="DO85">
        <v>0</v>
      </c>
    </row>
    <row r="86" spans="1:119">
      <c r="A86">
        <f>ROW(Source!A113)</f>
        <v>113</v>
      </c>
      <c r="B86">
        <v>70305036</v>
      </c>
      <c r="C86">
        <v>70310581</v>
      </c>
      <c r="D86">
        <v>69333737</v>
      </c>
      <c r="E86">
        <v>1</v>
      </c>
      <c r="F86">
        <v>1</v>
      </c>
      <c r="G86">
        <v>1075</v>
      </c>
      <c r="H86">
        <v>3</v>
      </c>
      <c r="I86" t="s">
        <v>395</v>
      </c>
      <c r="J86" t="s">
        <v>396</v>
      </c>
      <c r="K86" t="s">
        <v>397</v>
      </c>
      <c r="L86">
        <v>1346</v>
      </c>
      <c r="N86">
        <v>1009</v>
      </c>
      <c r="O86" t="s">
        <v>394</v>
      </c>
      <c r="P86" t="s">
        <v>394</v>
      </c>
      <c r="Q86">
        <v>1</v>
      </c>
      <c r="W86">
        <v>0</v>
      </c>
      <c r="X86">
        <v>719199267</v>
      </c>
      <c r="Y86">
        <f t="shared" si="17"/>
        <v>0.1</v>
      </c>
      <c r="AA86">
        <v>49.69</v>
      </c>
      <c r="AB86">
        <v>0</v>
      </c>
      <c r="AC86">
        <v>0</v>
      </c>
      <c r="AD86">
        <v>0</v>
      </c>
      <c r="AE86">
        <v>1.61</v>
      </c>
      <c r="AF86">
        <v>0</v>
      </c>
      <c r="AG86">
        <v>0</v>
      </c>
      <c r="AH86">
        <v>0</v>
      </c>
      <c r="AI86">
        <v>30.77</v>
      </c>
      <c r="AJ86">
        <v>1</v>
      </c>
      <c r="AK86">
        <v>1</v>
      </c>
      <c r="AL86">
        <v>1</v>
      </c>
      <c r="AM86">
        <v>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4</v>
      </c>
      <c r="AT86">
        <v>0.1</v>
      </c>
      <c r="AU86" t="s">
        <v>4</v>
      </c>
      <c r="AV86">
        <v>0</v>
      </c>
      <c r="AW86">
        <v>2</v>
      </c>
      <c r="AX86">
        <v>70310589</v>
      </c>
      <c r="AY86">
        <v>1</v>
      </c>
      <c r="AZ86">
        <v>0</v>
      </c>
      <c r="BA86">
        <v>108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v>0</v>
      </c>
      <c r="CX86">
        <f>ROUND(Y86*Source!I113,9)</f>
        <v>7.7</v>
      </c>
      <c r="CY86">
        <f>AA86</f>
        <v>49.69</v>
      </c>
      <c r="CZ86">
        <f>AE86</f>
        <v>1.61</v>
      </c>
      <c r="DA86">
        <f>AI86</f>
        <v>30.77</v>
      </c>
      <c r="DB86">
        <f t="shared" si="18"/>
        <v>0.16</v>
      </c>
      <c r="DC86">
        <f t="shared" si="19"/>
        <v>0</v>
      </c>
      <c r="DD86" t="s">
        <v>4</v>
      </c>
      <c r="DE86" t="s">
        <v>4</v>
      </c>
      <c r="DF86">
        <f>ROUND(ROUND(AE86*AI86,2)*CX86,2)</f>
        <v>381.46</v>
      </c>
      <c r="DG86">
        <f t="shared" si="27"/>
        <v>0</v>
      </c>
      <c r="DH86">
        <f t="shared" si="28"/>
        <v>0</v>
      </c>
      <c r="DI86">
        <f t="shared" si="20"/>
        <v>0</v>
      </c>
      <c r="DJ86">
        <f>DF86</f>
        <v>381.46</v>
      </c>
      <c r="DK86">
        <v>0</v>
      </c>
      <c r="DL86" t="s">
        <v>4</v>
      </c>
      <c r="DM86">
        <v>0</v>
      </c>
      <c r="DN86" t="s">
        <v>4</v>
      </c>
      <c r="DO86">
        <v>0</v>
      </c>
    </row>
    <row r="87" spans="1:119">
      <c r="A87">
        <f>ROW(Source!A114)</f>
        <v>114</v>
      </c>
      <c r="B87">
        <v>70305038</v>
      </c>
      <c r="C87">
        <v>70310590</v>
      </c>
      <c r="D87">
        <v>69335087</v>
      </c>
      <c r="E87">
        <v>1</v>
      </c>
      <c r="F87">
        <v>1</v>
      </c>
      <c r="G87">
        <v>1075</v>
      </c>
      <c r="H87">
        <v>3</v>
      </c>
      <c r="I87" t="s">
        <v>205</v>
      </c>
      <c r="J87" t="s">
        <v>206</v>
      </c>
      <c r="K87" t="s">
        <v>524</v>
      </c>
      <c r="L87">
        <v>1348</v>
      </c>
      <c r="N87">
        <v>1009</v>
      </c>
      <c r="O87" t="s">
        <v>168</v>
      </c>
      <c r="P87" t="s">
        <v>168</v>
      </c>
      <c r="Q87">
        <v>1000</v>
      </c>
      <c r="W87">
        <v>0</v>
      </c>
      <c r="X87">
        <v>-1507299358</v>
      </c>
      <c r="Y87">
        <f t="shared" si="17"/>
        <v>0.15</v>
      </c>
      <c r="AA87">
        <v>162212.64000000001</v>
      </c>
      <c r="AB87">
        <v>0</v>
      </c>
      <c r="AC87">
        <v>0</v>
      </c>
      <c r="AD87">
        <v>0</v>
      </c>
      <c r="AE87">
        <v>162212.64000000001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0</v>
      </c>
      <c r="AP87">
        <v>0</v>
      </c>
      <c r="AQ87">
        <v>0</v>
      </c>
      <c r="AR87">
        <v>0</v>
      </c>
      <c r="AS87" t="s">
        <v>4</v>
      </c>
      <c r="AT87">
        <v>0.15</v>
      </c>
      <c r="AU87" t="s">
        <v>4</v>
      </c>
      <c r="AV87">
        <v>0</v>
      </c>
      <c r="AW87">
        <v>1</v>
      </c>
      <c r="AX87">
        <v>-1</v>
      </c>
      <c r="AY87">
        <v>0</v>
      </c>
      <c r="AZ87">
        <v>0</v>
      </c>
      <c r="BA87" t="s">
        <v>4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ROUND(Y87*Source!I114,9)</f>
        <v>1.9994999999999999E-2</v>
      </c>
      <c r="CY87">
        <f>AA87</f>
        <v>162212.64000000001</v>
      </c>
      <c r="CZ87">
        <f>AE87</f>
        <v>162212.64000000001</v>
      </c>
      <c r="DA87">
        <f>AI87</f>
        <v>1</v>
      </c>
      <c r="DB87">
        <f t="shared" si="18"/>
        <v>24331.9</v>
      </c>
      <c r="DC87">
        <f t="shared" si="19"/>
        <v>0</v>
      </c>
      <c r="DD87" t="s">
        <v>4</v>
      </c>
      <c r="DE87" t="s">
        <v>4</v>
      </c>
      <c r="DF87">
        <f>ROUND(ROUND(AE87,2)*CX87,2)</f>
        <v>3243.44</v>
      </c>
      <c r="DG87">
        <f t="shared" si="27"/>
        <v>0</v>
      </c>
      <c r="DH87">
        <f t="shared" si="28"/>
        <v>0</v>
      </c>
      <c r="DI87">
        <f t="shared" si="20"/>
        <v>0</v>
      </c>
      <c r="DJ87">
        <f>DF87</f>
        <v>3243.44</v>
      </c>
      <c r="DK87">
        <v>0</v>
      </c>
      <c r="DL87" t="s">
        <v>4</v>
      </c>
      <c r="DM87">
        <v>0</v>
      </c>
      <c r="DN87" t="s">
        <v>4</v>
      </c>
      <c r="DO87">
        <v>0</v>
      </c>
    </row>
    <row r="88" spans="1:119">
      <c r="A88">
        <f>ROW(Source!A115)</f>
        <v>115</v>
      </c>
      <c r="B88">
        <v>70305036</v>
      </c>
      <c r="C88">
        <v>70310590</v>
      </c>
      <c r="D88">
        <v>69335087</v>
      </c>
      <c r="E88">
        <v>1</v>
      </c>
      <c r="F88">
        <v>1</v>
      </c>
      <c r="G88">
        <v>1075</v>
      </c>
      <c r="H88">
        <v>3</v>
      </c>
      <c r="I88" t="s">
        <v>205</v>
      </c>
      <c r="J88" t="s">
        <v>206</v>
      </c>
      <c r="K88" t="s">
        <v>524</v>
      </c>
      <c r="L88">
        <v>1348</v>
      </c>
      <c r="N88">
        <v>1009</v>
      </c>
      <c r="O88" t="s">
        <v>168</v>
      </c>
      <c r="P88" t="s">
        <v>168</v>
      </c>
      <c r="Q88">
        <v>1000</v>
      </c>
      <c r="W88">
        <v>0</v>
      </c>
      <c r="X88">
        <v>-1507299358</v>
      </c>
      <c r="Y88">
        <f t="shared" si="17"/>
        <v>0.15</v>
      </c>
      <c r="AA88">
        <v>303337.64</v>
      </c>
      <c r="AB88">
        <v>0</v>
      </c>
      <c r="AC88">
        <v>0</v>
      </c>
      <c r="AD88">
        <v>0</v>
      </c>
      <c r="AE88">
        <v>162212.64000000001</v>
      </c>
      <c r="AF88">
        <v>0</v>
      </c>
      <c r="AG88">
        <v>0</v>
      </c>
      <c r="AH88">
        <v>0</v>
      </c>
      <c r="AI88">
        <v>1.87</v>
      </c>
      <c r="AJ88">
        <v>1</v>
      </c>
      <c r="AK88">
        <v>1</v>
      </c>
      <c r="AL88">
        <v>1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 t="s">
        <v>4</v>
      </c>
      <c r="AT88">
        <v>0.15</v>
      </c>
      <c r="AU88" t="s">
        <v>4</v>
      </c>
      <c r="AV88">
        <v>0</v>
      </c>
      <c r="AW88">
        <v>1</v>
      </c>
      <c r="AX88">
        <v>-1</v>
      </c>
      <c r="AY88">
        <v>0</v>
      </c>
      <c r="AZ88">
        <v>0</v>
      </c>
      <c r="BA88" t="s">
        <v>4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v>0</v>
      </c>
      <c r="CX88">
        <f>ROUND(Y88*Source!I115,9)</f>
        <v>1.9994999999999999E-2</v>
      </c>
      <c r="CY88">
        <f>AA88</f>
        <v>303337.64</v>
      </c>
      <c r="CZ88">
        <f>AE88</f>
        <v>162212.64000000001</v>
      </c>
      <c r="DA88">
        <f>AI88</f>
        <v>1.87</v>
      </c>
      <c r="DB88">
        <f t="shared" si="18"/>
        <v>24331.9</v>
      </c>
      <c r="DC88">
        <f t="shared" si="19"/>
        <v>0</v>
      </c>
      <c r="DD88" t="s">
        <v>4</v>
      </c>
      <c r="DE88" t="s">
        <v>4</v>
      </c>
      <c r="DF88">
        <f>ROUND(ROUND(AE88*AI88,2)*CX88,2)</f>
        <v>6065.24</v>
      </c>
      <c r="DG88">
        <f t="shared" si="27"/>
        <v>0</v>
      </c>
      <c r="DH88">
        <f t="shared" si="28"/>
        <v>0</v>
      </c>
      <c r="DI88">
        <f t="shared" si="20"/>
        <v>0</v>
      </c>
      <c r="DJ88">
        <f>DF88</f>
        <v>6065.24</v>
      </c>
      <c r="DK88">
        <v>0</v>
      </c>
      <c r="DL88" t="s">
        <v>4</v>
      </c>
      <c r="DM88">
        <v>0</v>
      </c>
      <c r="DN88" t="s">
        <v>4</v>
      </c>
      <c r="DO88">
        <v>0</v>
      </c>
    </row>
    <row r="89" spans="1:119">
      <c r="A89">
        <f>ROW(Source!A195)</f>
        <v>195</v>
      </c>
      <c r="B89">
        <v>70305038</v>
      </c>
      <c r="C89">
        <v>70305753</v>
      </c>
      <c r="D89">
        <v>69275358</v>
      </c>
      <c r="E89">
        <v>1075</v>
      </c>
      <c r="F89">
        <v>1</v>
      </c>
      <c r="G89">
        <v>1075</v>
      </c>
      <c r="H89">
        <v>1</v>
      </c>
      <c r="I89" t="s">
        <v>332</v>
      </c>
      <c r="J89" t="s">
        <v>4</v>
      </c>
      <c r="K89" t="s">
        <v>333</v>
      </c>
      <c r="L89">
        <v>1191</v>
      </c>
      <c r="N89">
        <v>1013</v>
      </c>
      <c r="O89" t="s">
        <v>334</v>
      </c>
      <c r="P89" t="s">
        <v>334</v>
      </c>
      <c r="Q89">
        <v>1</v>
      </c>
      <c r="W89">
        <v>0</v>
      </c>
      <c r="X89">
        <v>476480486</v>
      </c>
      <c r="Y89">
        <f t="shared" si="17"/>
        <v>3.61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0</v>
      </c>
      <c r="AQ89">
        <v>0</v>
      </c>
      <c r="AR89">
        <v>0</v>
      </c>
      <c r="AS89" t="s">
        <v>4</v>
      </c>
      <c r="AT89">
        <v>3.61</v>
      </c>
      <c r="AU89" t="s">
        <v>4</v>
      </c>
      <c r="AV89">
        <v>1</v>
      </c>
      <c r="AW89">
        <v>2</v>
      </c>
      <c r="AX89">
        <v>70305759</v>
      </c>
      <c r="AY89">
        <v>1</v>
      </c>
      <c r="AZ89">
        <v>0</v>
      </c>
      <c r="BA89">
        <v>285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U89">
        <f>ROUND(AT89*Source!I195*AH89*AL89,2)</f>
        <v>0</v>
      </c>
      <c r="CV89">
        <f>ROUND(Y89*Source!I195,9)</f>
        <v>10.83</v>
      </c>
      <c r="CW89">
        <v>0</v>
      </c>
      <c r="CX89">
        <f>ROUND(Y89*Source!I195,9)</f>
        <v>10.83</v>
      </c>
      <c r="CY89">
        <f>AD89</f>
        <v>0</v>
      </c>
      <c r="CZ89">
        <f>AH89</f>
        <v>0</v>
      </c>
      <c r="DA89">
        <f>AL89</f>
        <v>1</v>
      </c>
      <c r="DB89">
        <f t="shared" si="18"/>
        <v>0</v>
      </c>
      <c r="DC89">
        <f t="shared" si="19"/>
        <v>0</v>
      </c>
      <c r="DD89" t="s">
        <v>4</v>
      </c>
      <c r="DE89" t="s">
        <v>4</v>
      </c>
      <c r="DF89">
        <f>ROUND(ROUND(AE89,2)*CX89,2)</f>
        <v>0</v>
      </c>
      <c r="DG89">
        <f t="shared" si="27"/>
        <v>0</v>
      </c>
      <c r="DH89">
        <f t="shared" si="28"/>
        <v>0</v>
      </c>
      <c r="DI89">
        <f t="shared" si="20"/>
        <v>0</v>
      </c>
      <c r="DJ89">
        <f>DI89</f>
        <v>0</v>
      </c>
      <c r="DK89">
        <v>0</v>
      </c>
      <c r="DL89" t="s">
        <v>4</v>
      </c>
      <c r="DM89">
        <v>0</v>
      </c>
      <c r="DN89" t="s">
        <v>4</v>
      </c>
      <c r="DO89">
        <v>0</v>
      </c>
    </row>
    <row r="90" spans="1:119">
      <c r="A90">
        <f>ROW(Source!A195)</f>
        <v>195</v>
      </c>
      <c r="B90">
        <v>70305038</v>
      </c>
      <c r="C90">
        <v>70305753</v>
      </c>
      <c r="D90">
        <v>69364509</v>
      </c>
      <c r="E90">
        <v>1</v>
      </c>
      <c r="F90">
        <v>1</v>
      </c>
      <c r="G90">
        <v>1075</v>
      </c>
      <c r="H90">
        <v>2</v>
      </c>
      <c r="I90" t="s">
        <v>364</v>
      </c>
      <c r="J90" t="s">
        <v>365</v>
      </c>
      <c r="K90" t="s">
        <v>366</v>
      </c>
      <c r="L90">
        <v>1368</v>
      </c>
      <c r="N90">
        <v>1011</v>
      </c>
      <c r="O90" t="s">
        <v>338</v>
      </c>
      <c r="P90" t="s">
        <v>338</v>
      </c>
      <c r="Q90">
        <v>1</v>
      </c>
      <c r="W90">
        <v>0</v>
      </c>
      <c r="X90">
        <v>322366203</v>
      </c>
      <c r="Y90">
        <f t="shared" si="17"/>
        <v>0.34</v>
      </c>
      <c r="AA90">
        <v>0</v>
      </c>
      <c r="AB90">
        <v>83.1</v>
      </c>
      <c r="AC90">
        <v>12.62</v>
      </c>
      <c r="AD90">
        <v>0</v>
      </c>
      <c r="AE90">
        <v>0</v>
      </c>
      <c r="AF90">
        <v>83.1</v>
      </c>
      <c r="AG90">
        <v>12.62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4</v>
      </c>
      <c r="AT90">
        <v>0.34</v>
      </c>
      <c r="AU90" t="s">
        <v>4</v>
      </c>
      <c r="AV90">
        <v>0</v>
      </c>
      <c r="AW90">
        <v>2</v>
      </c>
      <c r="AX90">
        <v>70305760</v>
      </c>
      <c r="AY90">
        <v>1</v>
      </c>
      <c r="AZ90">
        <v>0</v>
      </c>
      <c r="BA90">
        <v>286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f>ROUND(Y90*Source!I195*DO90,9)</f>
        <v>0</v>
      </c>
      <c r="CX90">
        <f>ROUND(Y90*Source!I195,9)</f>
        <v>1.02</v>
      </c>
      <c r="CY90">
        <f>AB90</f>
        <v>83.1</v>
      </c>
      <c r="CZ90">
        <f>AF90</f>
        <v>83.1</v>
      </c>
      <c r="DA90">
        <f>AJ90</f>
        <v>1</v>
      </c>
      <c r="DB90">
        <f t="shared" si="18"/>
        <v>28.25</v>
      </c>
      <c r="DC90">
        <f t="shared" si="19"/>
        <v>4.29</v>
      </c>
      <c r="DD90" t="s">
        <v>4</v>
      </c>
      <c r="DE90" t="s">
        <v>4</v>
      </c>
      <c r="DF90">
        <f>ROUND(ROUND(AE90,2)*CX90,2)</f>
        <v>0</v>
      </c>
      <c r="DG90">
        <f t="shared" si="27"/>
        <v>84.76</v>
      </c>
      <c r="DH90">
        <f t="shared" si="28"/>
        <v>12.87</v>
      </c>
      <c r="DI90">
        <f t="shared" si="20"/>
        <v>0</v>
      </c>
      <c r="DJ90">
        <f>DG90</f>
        <v>84.76</v>
      </c>
      <c r="DK90">
        <v>0</v>
      </c>
      <c r="DL90" t="s">
        <v>4</v>
      </c>
      <c r="DM90">
        <v>0</v>
      </c>
      <c r="DN90" t="s">
        <v>4</v>
      </c>
      <c r="DO90">
        <v>0</v>
      </c>
    </row>
    <row r="91" spans="1:119">
      <c r="A91">
        <f>ROW(Source!A195)</f>
        <v>195</v>
      </c>
      <c r="B91">
        <v>70305038</v>
      </c>
      <c r="C91">
        <v>70305753</v>
      </c>
      <c r="D91">
        <v>69336116</v>
      </c>
      <c r="E91">
        <v>1</v>
      </c>
      <c r="F91">
        <v>1</v>
      </c>
      <c r="G91">
        <v>1075</v>
      </c>
      <c r="H91">
        <v>3</v>
      </c>
      <c r="I91" t="s">
        <v>398</v>
      </c>
      <c r="J91" t="s">
        <v>399</v>
      </c>
      <c r="K91" t="s">
        <v>400</v>
      </c>
      <c r="L91">
        <v>1354</v>
      </c>
      <c r="N91">
        <v>1010</v>
      </c>
      <c r="O91" t="s">
        <v>188</v>
      </c>
      <c r="P91" t="s">
        <v>188</v>
      </c>
      <c r="Q91">
        <v>1</v>
      </c>
      <c r="W91">
        <v>0</v>
      </c>
      <c r="X91">
        <v>-1976496234</v>
      </c>
      <c r="Y91">
        <f t="shared" si="17"/>
        <v>208</v>
      </c>
      <c r="AA91">
        <v>5.88</v>
      </c>
      <c r="AB91">
        <v>0</v>
      </c>
      <c r="AC91">
        <v>0</v>
      </c>
      <c r="AD91">
        <v>0</v>
      </c>
      <c r="AE91">
        <v>5.88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4</v>
      </c>
      <c r="AT91">
        <v>208</v>
      </c>
      <c r="AU91" t="s">
        <v>4</v>
      </c>
      <c r="AV91">
        <v>0</v>
      </c>
      <c r="AW91">
        <v>2</v>
      </c>
      <c r="AX91">
        <v>70305761</v>
      </c>
      <c r="AY91">
        <v>1</v>
      </c>
      <c r="AZ91">
        <v>0</v>
      </c>
      <c r="BA91">
        <v>287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v>0</v>
      </c>
      <c r="CX91">
        <f>ROUND(Y91*Source!I195,9)</f>
        <v>624</v>
      </c>
      <c r="CY91">
        <f>AA91</f>
        <v>5.88</v>
      </c>
      <c r="CZ91">
        <f>AE91</f>
        <v>5.88</v>
      </c>
      <c r="DA91">
        <f>AI91</f>
        <v>1</v>
      </c>
      <c r="DB91">
        <f t="shared" si="18"/>
        <v>1223.04</v>
      </c>
      <c r="DC91">
        <f t="shared" si="19"/>
        <v>0</v>
      </c>
      <c r="DD91" t="s">
        <v>4</v>
      </c>
      <c r="DE91" t="s">
        <v>4</v>
      </c>
      <c r="DF91">
        <f>ROUND(ROUND(AE91,2)*CX91,2)</f>
        <v>3669.12</v>
      </c>
      <c r="DG91">
        <f t="shared" si="27"/>
        <v>0</v>
      </c>
      <c r="DH91">
        <f t="shared" si="28"/>
        <v>0</v>
      </c>
      <c r="DI91">
        <f t="shared" si="20"/>
        <v>0</v>
      </c>
      <c r="DJ91">
        <f>DF91</f>
        <v>3669.12</v>
      </c>
      <c r="DK91">
        <v>0</v>
      </c>
      <c r="DL91" t="s">
        <v>4</v>
      </c>
      <c r="DM91">
        <v>0</v>
      </c>
      <c r="DN91" t="s">
        <v>4</v>
      </c>
      <c r="DO91">
        <v>0</v>
      </c>
    </row>
    <row r="92" spans="1:119">
      <c r="A92">
        <f>ROW(Source!A196)</f>
        <v>196</v>
      </c>
      <c r="B92">
        <v>70305036</v>
      </c>
      <c r="C92">
        <v>70305753</v>
      </c>
      <c r="D92">
        <v>69275358</v>
      </c>
      <c r="E92">
        <v>1075</v>
      </c>
      <c r="F92">
        <v>1</v>
      </c>
      <c r="G92">
        <v>1075</v>
      </c>
      <c r="H92">
        <v>1</v>
      </c>
      <c r="I92" t="s">
        <v>332</v>
      </c>
      <c r="J92" t="s">
        <v>4</v>
      </c>
      <c r="K92" t="s">
        <v>333</v>
      </c>
      <c r="L92">
        <v>1191</v>
      </c>
      <c r="N92">
        <v>1013</v>
      </c>
      <c r="O92" t="s">
        <v>334</v>
      </c>
      <c r="P92" t="s">
        <v>334</v>
      </c>
      <c r="Q92">
        <v>1</v>
      </c>
      <c r="W92">
        <v>0</v>
      </c>
      <c r="X92">
        <v>476480486</v>
      </c>
      <c r="Y92">
        <f t="shared" si="17"/>
        <v>3.61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4</v>
      </c>
      <c r="AT92">
        <v>3.61</v>
      </c>
      <c r="AU92" t="s">
        <v>4</v>
      </c>
      <c r="AV92">
        <v>1</v>
      </c>
      <c r="AW92">
        <v>2</v>
      </c>
      <c r="AX92">
        <v>70305759</v>
      </c>
      <c r="AY92">
        <v>1</v>
      </c>
      <c r="AZ92">
        <v>0</v>
      </c>
      <c r="BA92">
        <v>288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U92">
        <f>ROUND(AT92*Source!I196*AH92*AL92,2)</f>
        <v>0</v>
      </c>
      <c r="CV92">
        <f>ROUND(Y92*Source!I196,9)</f>
        <v>10.83</v>
      </c>
      <c r="CW92">
        <v>0</v>
      </c>
      <c r="CX92">
        <f>ROUND(Y92*Source!I196,9)</f>
        <v>10.83</v>
      </c>
      <c r="CY92">
        <f>AD92</f>
        <v>0</v>
      </c>
      <c r="CZ92">
        <f>AH92</f>
        <v>0</v>
      </c>
      <c r="DA92">
        <f>AL92</f>
        <v>1</v>
      </c>
      <c r="DB92">
        <f t="shared" si="18"/>
        <v>0</v>
      </c>
      <c r="DC92">
        <f t="shared" si="19"/>
        <v>0</v>
      </c>
      <c r="DD92" t="s">
        <v>4</v>
      </c>
      <c r="DE92" t="s">
        <v>4</v>
      </c>
      <c r="DF92">
        <f>ROUND(ROUND(AE92,2)*CX92,2)</f>
        <v>0</v>
      </c>
      <c r="DG92">
        <f t="shared" si="27"/>
        <v>0</v>
      </c>
      <c r="DH92">
        <f t="shared" si="28"/>
        <v>0</v>
      </c>
      <c r="DI92">
        <f t="shared" si="20"/>
        <v>0</v>
      </c>
      <c r="DJ92">
        <f>DI92</f>
        <v>0</v>
      </c>
      <c r="DK92">
        <v>0</v>
      </c>
      <c r="DL92" t="s">
        <v>4</v>
      </c>
      <c r="DM92">
        <v>0</v>
      </c>
      <c r="DN92" t="s">
        <v>4</v>
      </c>
      <c r="DO92">
        <v>0</v>
      </c>
    </row>
    <row r="93" spans="1:119">
      <c r="A93">
        <f>ROW(Source!A196)</f>
        <v>196</v>
      </c>
      <c r="B93">
        <v>70305036</v>
      </c>
      <c r="C93">
        <v>70305753</v>
      </c>
      <c r="D93">
        <v>69364509</v>
      </c>
      <c r="E93">
        <v>1</v>
      </c>
      <c r="F93">
        <v>1</v>
      </c>
      <c r="G93">
        <v>1075</v>
      </c>
      <c r="H93">
        <v>2</v>
      </c>
      <c r="I93" t="s">
        <v>364</v>
      </c>
      <c r="J93" t="s">
        <v>365</v>
      </c>
      <c r="K93" t="s">
        <v>366</v>
      </c>
      <c r="L93">
        <v>1368</v>
      </c>
      <c r="N93">
        <v>1011</v>
      </c>
      <c r="O93" t="s">
        <v>338</v>
      </c>
      <c r="P93" t="s">
        <v>338</v>
      </c>
      <c r="Q93">
        <v>1</v>
      </c>
      <c r="W93">
        <v>0</v>
      </c>
      <c r="X93">
        <v>322366203</v>
      </c>
      <c r="Y93">
        <f t="shared" si="17"/>
        <v>0.34</v>
      </c>
      <c r="AA93">
        <v>0</v>
      </c>
      <c r="AB93">
        <v>1333.56</v>
      </c>
      <c r="AC93">
        <v>628.44000000000005</v>
      </c>
      <c r="AD93">
        <v>0</v>
      </c>
      <c r="AE93">
        <v>0</v>
      </c>
      <c r="AF93">
        <v>83.1</v>
      </c>
      <c r="AG93">
        <v>12.62</v>
      </c>
      <c r="AH93">
        <v>0</v>
      </c>
      <c r="AI93">
        <v>1</v>
      </c>
      <c r="AJ93">
        <v>15.04</v>
      </c>
      <c r="AK93">
        <v>46.67</v>
      </c>
      <c r="AL93">
        <v>1</v>
      </c>
      <c r="AM93">
        <v>2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4</v>
      </c>
      <c r="AT93">
        <v>0.34</v>
      </c>
      <c r="AU93" t="s">
        <v>4</v>
      </c>
      <c r="AV93">
        <v>0</v>
      </c>
      <c r="AW93">
        <v>2</v>
      </c>
      <c r="AX93">
        <v>70305760</v>
      </c>
      <c r="AY93">
        <v>1</v>
      </c>
      <c r="AZ93">
        <v>0</v>
      </c>
      <c r="BA93">
        <v>289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f>ROUND(Y93*Source!I196*DO93,9)</f>
        <v>0</v>
      </c>
      <c r="CX93">
        <f>ROUND(Y93*Source!I196,9)</f>
        <v>1.02</v>
      </c>
      <c r="CY93">
        <f>AB93</f>
        <v>1333.56</v>
      </c>
      <c r="CZ93">
        <f>AF93</f>
        <v>83.1</v>
      </c>
      <c r="DA93">
        <f>AJ93</f>
        <v>15.04</v>
      </c>
      <c r="DB93">
        <f t="shared" si="18"/>
        <v>28.25</v>
      </c>
      <c r="DC93">
        <f t="shared" si="19"/>
        <v>4.29</v>
      </c>
      <c r="DD93" t="s">
        <v>4</v>
      </c>
      <c r="DE93" t="s">
        <v>4</v>
      </c>
      <c r="DF93">
        <f>ROUND(ROUND(AE93,2)*CX93,2)</f>
        <v>0</v>
      </c>
      <c r="DG93">
        <f>ROUND(ROUND(AF93*AJ93,2)*CX93,2)</f>
        <v>1274.82</v>
      </c>
      <c r="DH93">
        <f>ROUND(ROUND(AG93*AK93,2)*CX93,2)</f>
        <v>600.76</v>
      </c>
      <c r="DI93">
        <f t="shared" si="20"/>
        <v>0</v>
      </c>
      <c r="DJ93">
        <f>DG93</f>
        <v>1274.82</v>
      </c>
      <c r="DK93">
        <v>0</v>
      </c>
      <c r="DL93" t="s">
        <v>4</v>
      </c>
      <c r="DM93">
        <v>0</v>
      </c>
      <c r="DN93" t="s">
        <v>4</v>
      </c>
      <c r="DO93">
        <v>0</v>
      </c>
    </row>
    <row r="94" spans="1:119">
      <c r="A94">
        <f>ROW(Source!A196)</f>
        <v>196</v>
      </c>
      <c r="B94">
        <v>70305036</v>
      </c>
      <c r="C94">
        <v>70305753</v>
      </c>
      <c r="D94">
        <v>69336116</v>
      </c>
      <c r="E94">
        <v>1</v>
      </c>
      <c r="F94">
        <v>1</v>
      </c>
      <c r="G94">
        <v>1075</v>
      </c>
      <c r="H94">
        <v>3</v>
      </c>
      <c r="I94" t="s">
        <v>398</v>
      </c>
      <c r="J94" t="s">
        <v>399</v>
      </c>
      <c r="K94" t="s">
        <v>400</v>
      </c>
      <c r="L94">
        <v>1354</v>
      </c>
      <c r="N94">
        <v>1010</v>
      </c>
      <c r="O94" t="s">
        <v>188</v>
      </c>
      <c r="P94" t="s">
        <v>188</v>
      </c>
      <c r="Q94">
        <v>1</v>
      </c>
      <c r="W94">
        <v>0</v>
      </c>
      <c r="X94">
        <v>-1976496234</v>
      </c>
      <c r="Y94">
        <f t="shared" si="17"/>
        <v>208</v>
      </c>
      <c r="AA94">
        <v>60.07</v>
      </c>
      <c r="AB94">
        <v>0</v>
      </c>
      <c r="AC94">
        <v>0</v>
      </c>
      <c r="AD94">
        <v>0</v>
      </c>
      <c r="AE94">
        <v>5.88</v>
      </c>
      <c r="AF94">
        <v>0</v>
      </c>
      <c r="AG94">
        <v>0</v>
      </c>
      <c r="AH94">
        <v>0</v>
      </c>
      <c r="AI94">
        <v>9.4499999999999993</v>
      </c>
      <c r="AJ94">
        <v>1</v>
      </c>
      <c r="AK94">
        <v>1</v>
      </c>
      <c r="AL94">
        <v>1</v>
      </c>
      <c r="AM94">
        <v>2</v>
      </c>
      <c r="AN94">
        <v>0</v>
      </c>
      <c r="AO94">
        <v>1</v>
      </c>
      <c r="AP94">
        <v>0</v>
      </c>
      <c r="AQ94">
        <v>0</v>
      </c>
      <c r="AR94">
        <v>0</v>
      </c>
      <c r="AS94" t="s">
        <v>4</v>
      </c>
      <c r="AT94">
        <v>208</v>
      </c>
      <c r="AU94" t="s">
        <v>4</v>
      </c>
      <c r="AV94">
        <v>0</v>
      </c>
      <c r="AW94">
        <v>2</v>
      </c>
      <c r="AX94">
        <v>70305761</v>
      </c>
      <c r="AY94">
        <v>1</v>
      </c>
      <c r="AZ94">
        <v>0</v>
      </c>
      <c r="BA94">
        <v>290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v>0</v>
      </c>
      <c r="CX94">
        <f>ROUND(Y94*Source!I196,9)</f>
        <v>624</v>
      </c>
      <c r="CY94">
        <f>AA94</f>
        <v>60.07</v>
      </c>
      <c r="CZ94">
        <f>AE94</f>
        <v>5.88</v>
      </c>
      <c r="DA94">
        <f>AI94</f>
        <v>9.4499999999999993</v>
      </c>
      <c r="DB94">
        <f t="shared" si="18"/>
        <v>1223.04</v>
      </c>
      <c r="DC94">
        <f t="shared" si="19"/>
        <v>0</v>
      </c>
      <c r="DD94" t="s">
        <v>4</v>
      </c>
      <c r="DE94" t="s">
        <v>4</v>
      </c>
      <c r="DF94">
        <f>ROUND(ROUND(AE94*AI94,2)*CX94,2)</f>
        <v>34675.68</v>
      </c>
      <c r="DG94">
        <f>ROUND(ROUND(AF94,2)*CX94,2)</f>
        <v>0</v>
      </c>
      <c r="DH94">
        <f>ROUND(ROUND(AG94,2)*CX94,2)</f>
        <v>0</v>
      </c>
      <c r="DI94">
        <f t="shared" si="20"/>
        <v>0</v>
      </c>
      <c r="DJ94">
        <f>DF94</f>
        <v>34675.68</v>
      </c>
      <c r="DK94">
        <v>0</v>
      </c>
      <c r="DL94" t="s">
        <v>4</v>
      </c>
      <c r="DM94">
        <v>0</v>
      </c>
      <c r="DN94" t="s">
        <v>4</v>
      </c>
      <c r="DO94">
        <v>0</v>
      </c>
    </row>
    <row r="95" spans="1:119">
      <c r="A95">
        <f>ROW(Source!A199)</f>
        <v>199</v>
      </c>
      <c r="B95">
        <v>70305038</v>
      </c>
      <c r="C95">
        <v>70305768</v>
      </c>
      <c r="D95">
        <v>69275358</v>
      </c>
      <c r="E95">
        <v>1075</v>
      </c>
      <c r="F95">
        <v>1</v>
      </c>
      <c r="G95">
        <v>1075</v>
      </c>
      <c r="H95">
        <v>1</v>
      </c>
      <c r="I95" t="s">
        <v>332</v>
      </c>
      <c r="J95" t="s">
        <v>4</v>
      </c>
      <c r="K95" t="s">
        <v>333</v>
      </c>
      <c r="L95">
        <v>1191</v>
      </c>
      <c r="N95">
        <v>1013</v>
      </c>
      <c r="O95" t="s">
        <v>334</v>
      </c>
      <c r="P95" t="s">
        <v>334</v>
      </c>
      <c r="Q95">
        <v>1</v>
      </c>
      <c r="W95">
        <v>0</v>
      </c>
      <c r="X95">
        <v>476480486</v>
      </c>
      <c r="Y95">
        <f t="shared" si="17"/>
        <v>5.97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M95">
        <v>-2</v>
      </c>
      <c r="AN95">
        <v>0</v>
      </c>
      <c r="AO95">
        <v>1</v>
      </c>
      <c r="AP95">
        <v>0</v>
      </c>
      <c r="AQ95">
        <v>0</v>
      </c>
      <c r="AR95">
        <v>0</v>
      </c>
      <c r="AS95" t="s">
        <v>4</v>
      </c>
      <c r="AT95">
        <v>5.97</v>
      </c>
      <c r="AU95" t="s">
        <v>4</v>
      </c>
      <c r="AV95">
        <v>1</v>
      </c>
      <c r="AW95">
        <v>2</v>
      </c>
      <c r="AX95">
        <v>70310709</v>
      </c>
      <c r="AY95">
        <v>1</v>
      </c>
      <c r="AZ95">
        <v>0</v>
      </c>
      <c r="BA95">
        <v>297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U95">
        <f>ROUND(AT95*Source!I199*AH95*AL95,2)</f>
        <v>0</v>
      </c>
      <c r="CV95">
        <f>ROUND(Y95*Source!I199,9)</f>
        <v>17.91</v>
      </c>
      <c r="CW95">
        <v>0</v>
      </c>
      <c r="CX95">
        <f>ROUND(Y95*Source!I199,9)</f>
        <v>17.91</v>
      </c>
      <c r="CY95">
        <f>AD95</f>
        <v>0</v>
      </c>
      <c r="CZ95">
        <f>AH95</f>
        <v>0</v>
      </c>
      <c r="DA95">
        <f>AL95</f>
        <v>1</v>
      </c>
      <c r="DB95">
        <f t="shared" si="18"/>
        <v>0</v>
      </c>
      <c r="DC95">
        <f t="shared" si="19"/>
        <v>0</v>
      </c>
      <c r="DD95" t="s">
        <v>4</v>
      </c>
      <c r="DE95" t="s">
        <v>4</v>
      </c>
      <c r="DF95">
        <f>ROUND(ROUND(AE95,2)*CX95,2)</f>
        <v>0</v>
      </c>
      <c r="DG95">
        <f>ROUND(ROUND(AF95,2)*CX95,2)</f>
        <v>0</v>
      </c>
      <c r="DH95">
        <f>ROUND(ROUND(AG95,2)*CX95,2)</f>
        <v>0</v>
      </c>
      <c r="DI95">
        <f t="shared" si="20"/>
        <v>0</v>
      </c>
      <c r="DJ95">
        <f>DI95</f>
        <v>0</v>
      </c>
      <c r="DK95">
        <v>0</v>
      </c>
      <c r="DL95" t="s">
        <v>4</v>
      </c>
      <c r="DM95">
        <v>0</v>
      </c>
      <c r="DN95" t="s">
        <v>4</v>
      </c>
      <c r="DO95">
        <v>0</v>
      </c>
    </row>
    <row r="96" spans="1:119">
      <c r="A96">
        <f>ROW(Source!A199)</f>
        <v>199</v>
      </c>
      <c r="B96">
        <v>70305038</v>
      </c>
      <c r="C96">
        <v>70305768</v>
      </c>
      <c r="D96">
        <v>69364509</v>
      </c>
      <c r="E96">
        <v>1</v>
      </c>
      <c r="F96">
        <v>1</v>
      </c>
      <c r="G96">
        <v>1075</v>
      </c>
      <c r="H96">
        <v>2</v>
      </c>
      <c r="I96" t="s">
        <v>364</v>
      </c>
      <c r="J96" t="s">
        <v>365</v>
      </c>
      <c r="K96" t="s">
        <v>366</v>
      </c>
      <c r="L96">
        <v>1368</v>
      </c>
      <c r="N96">
        <v>1011</v>
      </c>
      <c r="O96" t="s">
        <v>338</v>
      </c>
      <c r="P96" t="s">
        <v>338</v>
      </c>
      <c r="Q96">
        <v>1</v>
      </c>
      <c r="W96">
        <v>0</v>
      </c>
      <c r="X96">
        <v>322366203</v>
      </c>
      <c r="Y96">
        <f t="shared" si="17"/>
        <v>3.89</v>
      </c>
      <c r="AA96">
        <v>0</v>
      </c>
      <c r="AB96">
        <v>83.1</v>
      </c>
      <c r="AC96">
        <v>12.62</v>
      </c>
      <c r="AD96">
        <v>0</v>
      </c>
      <c r="AE96">
        <v>0</v>
      </c>
      <c r="AF96">
        <v>83.1</v>
      </c>
      <c r="AG96">
        <v>12.62</v>
      </c>
      <c r="AH96">
        <v>0</v>
      </c>
      <c r="AI96">
        <v>1</v>
      </c>
      <c r="AJ96">
        <v>1</v>
      </c>
      <c r="AK96">
        <v>1</v>
      </c>
      <c r="AL96">
        <v>1</v>
      </c>
      <c r="AM96">
        <v>-2</v>
      </c>
      <c r="AN96">
        <v>0</v>
      </c>
      <c r="AO96">
        <v>1</v>
      </c>
      <c r="AP96">
        <v>0</v>
      </c>
      <c r="AQ96">
        <v>0</v>
      </c>
      <c r="AR96">
        <v>0</v>
      </c>
      <c r="AS96" t="s">
        <v>4</v>
      </c>
      <c r="AT96">
        <v>3.89</v>
      </c>
      <c r="AU96" t="s">
        <v>4</v>
      </c>
      <c r="AV96">
        <v>0</v>
      </c>
      <c r="AW96">
        <v>2</v>
      </c>
      <c r="AX96">
        <v>70310710</v>
      </c>
      <c r="AY96">
        <v>1</v>
      </c>
      <c r="AZ96">
        <v>0</v>
      </c>
      <c r="BA96">
        <v>298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f>ROUND(Y96*Source!I199*DO96,9)</f>
        <v>0</v>
      </c>
      <c r="CX96">
        <f>ROUND(Y96*Source!I199,9)</f>
        <v>11.67</v>
      </c>
      <c r="CY96">
        <f>AB96</f>
        <v>83.1</v>
      </c>
      <c r="CZ96">
        <f>AF96</f>
        <v>83.1</v>
      </c>
      <c r="DA96">
        <f>AJ96</f>
        <v>1</v>
      </c>
      <c r="DB96">
        <f t="shared" si="18"/>
        <v>323.26</v>
      </c>
      <c r="DC96">
        <f t="shared" si="19"/>
        <v>49.09</v>
      </c>
      <c r="DD96" t="s">
        <v>4</v>
      </c>
      <c r="DE96" t="s">
        <v>4</v>
      </c>
      <c r="DF96">
        <f>ROUND(ROUND(AE96,2)*CX96,2)</f>
        <v>0</v>
      </c>
      <c r="DG96">
        <f>ROUND(ROUND(AF96,2)*CX96,2)</f>
        <v>969.78</v>
      </c>
      <c r="DH96">
        <f>ROUND(ROUND(AG96,2)*CX96,2)</f>
        <v>147.28</v>
      </c>
      <c r="DI96">
        <f t="shared" si="20"/>
        <v>0</v>
      </c>
      <c r="DJ96">
        <f>DG96</f>
        <v>969.78</v>
      </c>
      <c r="DK96">
        <v>0</v>
      </c>
      <c r="DL96" t="s">
        <v>4</v>
      </c>
      <c r="DM96">
        <v>0</v>
      </c>
      <c r="DN96" t="s">
        <v>4</v>
      </c>
      <c r="DO96">
        <v>0</v>
      </c>
    </row>
    <row r="97" spans="1:119">
      <c r="A97">
        <f>ROW(Source!A199)</f>
        <v>199</v>
      </c>
      <c r="B97">
        <v>70305038</v>
      </c>
      <c r="C97">
        <v>70305768</v>
      </c>
      <c r="D97">
        <v>69333921</v>
      </c>
      <c r="E97">
        <v>1</v>
      </c>
      <c r="F97">
        <v>1</v>
      </c>
      <c r="G97">
        <v>1075</v>
      </c>
      <c r="H97">
        <v>3</v>
      </c>
      <c r="I97" t="s">
        <v>284</v>
      </c>
      <c r="J97" t="s">
        <v>287</v>
      </c>
      <c r="K97" t="s">
        <v>285</v>
      </c>
      <c r="L97">
        <v>1356</v>
      </c>
      <c r="N97">
        <v>1010</v>
      </c>
      <c r="O97" t="s">
        <v>286</v>
      </c>
      <c r="P97" t="s">
        <v>286</v>
      </c>
      <c r="Q97">
        <v>1000</v>
      </c>
      <c r="W97">
        <v>0</v>
      </c>
      <c r="X97">
        <v>-591866499</v>
      </c>
      <c r="Y97">
        <f t="shared" ref="Y97:Y110" si="29">AT97</f>
        <v>0.4</v>
      </c>
      <c r="AA97">
        <v>1067.1400000000001</v>
      </c>
      <c r="AB97">
        <v>0</v>
      </c>
      <c r="AC97">
        <v>0</v>
      </c>
      <c r="AD97">
        <v>0</v>
      </c>
      <c r="AE97">
        <v>1067.1400000000001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0</v>
      </c>
      <c r="AN97">
        <v>0</v>
      </c>
      <c r="AO97">
        <v>0</v>
      </c>
      <c r="AP97">
        <v>1</v>
      </c>
      <c r="AQ97">
        <v>0</v>
      </c>
      <c r="AR97">
        <v>0</v>
      </c>
      <c r="AS97" t="s">
        <v>4</v>
      </c>
      <c r="AT97">
        <v>0.4</v>
      </c>
      <c r="AU97" t="s">
        <v>4</v>
      </c>
      <c r="AV97">
        <v>0</v>
      </c>
      <c r="AW97">
        <v>1</v>
      </c>
      <c r="AX97">
        <v>-1</v>
      </c>
      <c r="AY97">
        <v>0</v>
      </c>
      <c r="AZ97">
        <v>0</v>
      </c>
      <c r="BA97" t="s">
        <v>4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ROUND(Y97*Source!I199,9)</f>
        <v>1.2</v>
      </c>
      <c r="CY97">
        <f>AA97</f>
        <v>1067.1400000000001</v>
      </c>
      <c r="CZ97">
        <f>AE97</f>
        <v>1067.1400000000001</v>
      </c>
      <c r="DA97">
        <f>AI97</f>
        <v>1</v>
      </c>
      <c r="DB97">
        <f t="shared" ref="DB97:DB110" si="30">ROUND(ROUND(AT97*CZ97,2),6)</f>
        <v>426.86</v>
      </c>
      <c r="DC97">
        <f t="shared" ref="DC97:DC110" si="31">ROUND(ROUND(AT97*AG97,2),6)</f>
        <v>0</v>
      </c>
      <c r="DD97" t="s">
        <v>4</v>
      </c>
      <c r="DE97" t="s">
        <v>4</v>
      </c>
      <c r="DF97">
        <f>ROUND(ROUND(AE97,2)*CX97,2)</f>
        <v>1280.57</v>
      </c>
      <c r="DG97">
        <f>ROUND(ROUND(AF97,2)*CX97,2)</f>
        <v>0</v>
      </c>
      <c r="DH97">
        <f>ROUND(ROUND(AG97,2)*CX97,2)</f>
        <v>0</v>
      </c>
      <c r="DI97">
        <f t="shared" ref="DI97:DI110" si="32">ROUND(ROUND(AH97,2)*CX97,2)</f>
        <v>0</v>
      </c>
      <c r="DJ97">
        <f>DF97</f>
        <v>1280.57</v>
      </c>
      <c r="DK97">
        <v>0</v>
      </c>
      <c r="DL97" t="s">
        <v>4</v>
      </c>
      <c r="DM97">
        <v>0</v>
      </c>
      <c r="DN97" t="s">
        <v>4</v>
      </c>
      <c r="DO97">
        <v>0</v>
      </c>
    </row>
    <row r="98" spans="1:119">
      <c r="A98">
        <f>ROW(Source!A200)</f>
        <v>200</v>
      </c>
      <c r="B98">
        <v>70305036</v>
      </c>
      <c r="C98">
        <v>70305768</v>
      </c>
      <c r="D98">
        <v>69275358</v>
      </c>
      <c r="E98">
        <v>1075</v>
      </c>
      <c r="F98">
        <v>1</v>
      </c>
      <c r="G98">
        <v>1075</v>
      </c>
      <c r="H98">
        <v>1</v>
      </c>
      <c r="I98" t="s">
        <v>332</v>
      </c>
      <c r="J98" t="s">
        <v>4</v>
      </c>
      <c r="K98" t="s">
        <v>333</v>
      </c>
      <c r="L98">
        <v>1191</v>
      </c>
      <c r="N98">
        <v>1013</v>
      </c>
      <c r="O98" t="s">
        <v>334</v>
      </c>
      <c r="P98" t="s">
        <v>334</v>
      </c>
      <c r="Q98">
        <v>1</v>
      </c>
      <c r="W98">
        <v>0</v>
      </c>
      <c r="X98">
        <v>476480486</v>
      </c>
      <c r="Y98">
        <f t="shared" si="29"/>
        <v>5.97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M98">
        <v>-2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4</v>
      </c>
      <c r="AT98">
        <v>5.97</v>
      </c>
      <c r="AU98" t="s">
        <v>4</v>
      </c>
      <c r="AV98">
        <v>1</v>
      </c>
      <c r="AW98">
        <v>2</v>
      </c>
      <c r="AX98">
        <v>70310709</v>
      </c>
      <c r="AY98">
        <v>1</v>
      </c>
      <c r="AZ98">
        <v>0</v>
      </c>
      <c r="BA98">
        <v>300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U98">
        <f>ROUND(AT98*Source!I200*AH98*AL98,2)</f>
        <v>0</v>
      </c>
      <c r="CV98">
        <f>ROUND(Y98*Source!I200,9)</f>
        <v>17.91</v>
      </c>
      <c r="CW98">
        <v>0</v>
      </c>
      <c r="CX98">
        <f>ROUND(Y98*Source!I200,9)</f>
        <v>17.91</v>
      </c>
      <c r="CY98">
        <f>AD98</f>
        <v>0</v>
      </c>
      <c r="CZ98">
        <f>AH98</f>
        <v>0</v>
      </c>
      <c r="DA98">
        <f>AL98</f>
        <v>1</v>
      </c>
      <c r="DB98">
        <f t="shared" si="30"/>
        <v>0</v>
      </c>
      <c r="DC98">
        <f t="shared" si="31"/>
        <v>0</v>
      </c>
      <c r="DD98" t="s">
        <v>4</v>
      </c>
      <c r="DE98" t="s">
        <v>4</v>
      </c>
      <c r="DF98">
        <f>ROUND(ROUND(AE98,2)*CX98,2)</f>
        <v>0</v>
      </c>
      <c r="DG98">
        <f>ROUND(ROUND(AF98,2)*CX98,2)</f>
        <v>0</v>
      </c>
      <c r="DH98">
        <f>ROUND(ROUND(AG98,2)*CX98,2)</f>
        <v>0</v>
      </c>
      <c r="DI98">
        <f t="shared" si="32"/>
        <v>0</v>
      </c>
      <c r="DJ98">
        <f>DI98</f>
        <v>0</v>
      </c>
      <c r="DK98">
        <v>0</v>
      </c>
      <c r="DL98" t="s">
        <v>4</v>
      </c>
      <c r="DM98">
        <v>0</v>
      </c>
      <c r="DN98" t="s">
        <v>4</v>
      </c>
      <c r="DO98">
        <v>0</v>
      </c>
    </row>
    <row r="99" spans="1:119">
      <c r="A99">
        <f>ROW(Source!A200)</f>
        <v>200</v>
      </c>
      <c r="B99">
        <v>70305036</v>
      </c>
      <c r="C99">
        <v>70305768</v>
      </c>
      <c r="D99">
        <v>69364509</v>
      </c>
      <c r="E99">
        <v>1</v>
      </c>
      <c r="F99">
        <v>1</v>
      </c>
      <c r="G99">
        <v>1075</v>
      </c>
      <c r="H99">
        <v>2</v>
      </c>
      <c r="I99" t="s">
        <v>364</v>
      </c>
      <c r="J99" t="s">
        <v>365</v>
      </c>
      <c r="K99" t="s">
        <v>366</v>
      </c>
      <c r="L99">
        <v>1368</v>
      </c>
      <c r="N99">
        <v>1011</v>
      </c>
      <c r="O99" t="s">
        <v>338</v>
      </c>
      <c r="P99" t="s">
        <v>338</v>
      </c>
      <c r="Q99">
        <v>1</v>
      </c>
      <c r="W99">
        <v>0</v>
      </c>
      <c r="X99">
        <v>322366203</v>
      </c>
      <c r="Y99">
        <f t="shared" si="29"/>
        <v>3.89</v>
      </c>
      <c r="AA99">
        <v>0</v>
      </c>
      <c r="AB99">
        <v>1333.56</v>
      </c>
      <c r="AC99">
        <v>628.44000000000005</v>
      </c>
      <c r="AD99">
        <v>0</v>
      </c>
      <c r="AE99">
        <v>0</v>
      </c>
      <c r="AF99">
        <v>83.1</v>
      </c>
      <c r="AG99">
        <v>12.62</v>
      </c>
      <c r="AH99">
        <v>0</v>
      </c>
      <c r="AI99">
        <v>1</v>
      </c>
      <c r="AJ99">
        <v>15.04</v>
      </c>
      <c r="AK99">
        <v>46.67</v>
      </c>
      <c r="AL99">
        <v>1</v>
      </c>
      <c r="AM99">
        <v>2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4</v>
      </c>
      <c r="AT99">
        <v>3.89</v>
      </c>
      <c r="AU99" t="s">
        <v>4</v>
      </c>
      <c r="AV99">
        <v>0</v>
      </c>
      <c r="AW99">
        <v>2</v>
      </c>
      <c r="AX99">
        <v>70310710</v>
      </c>
      <c r="AY99">
        <v>1</v>
      </c>
      <c r="AZ99">
        <v>0</v>
      </c>
      <c r="BA99">
        <v>301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f>ROUND(Y99*Source!I200*DO99,9)</f>
        <v>0</v>
      </c>
      <c r="CX99">
        <f>ROUND(Y99*Source!I200,9)</f>
        <v>11.67</v>
      </c>
      <c r="CY99">
        <f>AB99</f>
        <v>1333.56</v>
      </c>
      <c r="CZ99">
        <f>AF99</f>
        <v>83.1</v>
      </c>
      <c r="DA99">
        <f>AJ99</f>
        <v>15.04</v>
      </c>
      <c r="DB99">
        <f t="shared" si="30"/>
        <v>323.26</v>
      </c>
      <c r="DC99">
        <f t="shared" si="31"/>
        <v>49.09</v>
      </c>
      <c r="DD99" t="s">
        <v>4</v>
      </c>
      <c r="DE99" t="s">
        <v>4</v>
      </c>
      <c r="DF99">
        <f>ROUND(ROUND(AE99,2)*CX99,2)</f>
        <v>0</v>
      </c>
      <c r="DG99">
        <f>ROUND(ROUND(AF99*AJ99,2)*CX99,2)</f>
        <v>14585.4</v>
      </c>
      <c r="DH99">
        <f>ROUND(ROUND(AG99*AK99,2)*CX99,2)</f>
        <v>6873.4</v>
      </c>
      <c r="DI99">
        <f t="shared" si="32"/>
        <v>0</v>
      </c>
      <c r="DJ99">
        <f>DG99</f>
        <v>14585.4</v>
      </c>
      <c r="DK99">
        <v>0</v>
      </c>
      <c r="DL99" t="s">
        <v>4</v>
      </c>
      <c r="DM99">
        <v>0</v>
      </c>
      <c r="DN99" t="s">
        <v>4</v>
      </c>
      <c r="DO99">
        <v>0</v>
      </c>
    </row>
    <row r="100" spans="1:119">
      <c r="A100">
        <f>ROW(Source!A200)</f>
        <v>200</v>
      </c>
      <c r="B100">
        <v>70305036</v>
      </c>
      <c r="C100">
        <v>70305768</v>
      </c>
      <c r="D100">
        <v>69333921</v>
      </c>
      <c r="E100">
        <v>1</v>
      </c>
      <c r="F100">
        <v>1</v>
      </c>
      <c r="G100">
        <v>1075</v>
      </c>
      <c r="H100">
        <v>3</v>
      </c>
      <c r="I100" t="s">
        <v>284</v>
      </c>
      <c r="J100" t="s">
        <v>287</v>
      </c>
      <c r="K100" t="s">
        <v>285</v>
      </c>
      <c r="L100">
        <v>1356</v>
      </c>
      <c r="N100">
        <v>1010</v>
      </c>
      <c r="O100" t="s">
        <v>286</v>
      </c>
      <c r="P100" t="s">
        <v>286</v>
      </c>
      <c r="Q100">
        <v>1000</v>
      </c>
      <c r="W100">
        <v>0</v>
      </c>
      <c r="X100">
        <v>-591866499</v>
      </c>
      <c r="Y100">
        <f t="shared" si="29"/>
        <v>0.4</v>
      </c>
      <c r="AA100">
        <v>18130.71</v>
      </c>
      <c r="AB100">
        <v>0</v>
      </c>
      <c r="AC100">
        <v>0</v>
      </c>
      <c r="AD100">
        <v>0</v>
      </c>
      <c r="AE100">
        <v>1067.1400000000001</v>
      </c>
      <c r="AF100">
        <v>0</v>
      </c>
      <c r="AG100">
        <v>0</v>
      </c>
      <c r="AH100">
        <v>0</v>
      </c>
      <c r="AI100">
        <v>16.989999999999998</v>
      </c>
      <c r="AJ100">
        <v>1</v>
      </c>
      <c r="AK100">
        <v>1</v>
      </c>
      <c r="AL100">
        <v>1</v>
      </c>
      <c r="AM100">
        <v>0</v>
      </c>
      <c r="AN100">
        <v>0</v>
      </c>
      <c r="AO100">
        <v>0</v>
      </c>
      <c r="AP100">
        <v>1</v>
      </c>
      <c r="AQ100">
        <v>0</v>
      </c>
      <c r="AR100">
        <v>0</v>
      </c>
      <c r="AS100" t="s">
        <v>4</v>
      </c>
      <c r="AT100">
        <v>0.4</v>
      </c>
      <c r="AU100" t="s">
        <v>4</v>
      </c>
      <c r="AV100">
        <v>0</v>
      </c>
      <c r="AW100">
        <v>1</v>
      </c>
      <c r="AX100">
        <v>-1</v>
      </c>
      <c r="AY100">
        <v>0</v>
      </c>
      <c r="AZ100">
        <v>0</v>
      </c>
      <c r="BA100" t="s">
        <v>4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v>0</v>
      </c>
      <c r="CX100">
        <f>ROUND(Y100*Source!I200,9)</f>
        <v>1.2</v>
      </c>
      <c r="CY100">
        <f>AA100</f>
        <v>18130.71</v>
      </c>
      <c r="CZ100">
        <f>AE100</f>
        <v>1067.1400000000001</v>
      </c>
      <c r="DA100">
        <f>AI100</f>
        <v>16.989999999999998</v>
      </c>
      <c r="DB100">
        <f t="shared" si="30"/>
        <v>426.86</v>
      </c>
      <c r="DC100">
        <f t="shared" si="31"/>
        <v>0</v>
      </c>
      <c r="DD100" t="s">
        <v>4</v>
      </c>
      <c r="DE100" t="s">
        <v>4</v>
      </c>
      <c r="DF100">
        <f>ROUND(ROUND(AE100*AI100,2)*CX100,2)</f>
        <v>21756.85</v>
      </c>
      <c r="DG100">
        <f>ROUND(ROUND(AF100,2)*CX100,2)</f>
        <v>0</v>
      </c>
      <c r="DH100">
        <f>ROUND(ROUND(AG100,2)*CX100,2)</f>
        <v>0</v>
      </c>
      <c r="DI100">
        <f t="shared" si="32"/>
        <v>0</v>
      </c>
      <c r="DJ100">
        <f>DF100</f>
        <v>21756.85</v>
      </c>
      <c r="DK100">
        <v>0</v>
      </c>
      <c r="DL100" t="s">
        <v>4</v>
      </c>
      <c r="DM100">
        <v>0</v>
      </c>
      <c r="DN100" t="s">
        <v>4</v>
      </c>
      <c r="DO100">
        <v>0</v>
      </c>
    </row>
    <row r="101" spans="1:119">
      <c r="A101">
        <f>ROW(Source!A208)</f>
        <v>208</v>
      </c>
      <c r="B101">
        <v>70305038</v>
      </c>
      <c r="C101">
        <v>70305793</v>
      </c>
      <c r="D101">
        <v>69275358</v>
      </c>
      <c r="E101">
        <v>1075</v>
      </c>
      <c r="F101">
        <v>1</v>
      </c>
      <c r="G101">
        <v>1075</v>
      </c>
      <c r="H101">
        <v>1</v>
      </c>
      <c r="I101" t="s">
        <v>332</v>
      </c>
      <c r="J101" t="s">
        <v>4</v>
      </c>
      <c r="K101" t="s">
        <v>333</v>
      </c>
      <c r="L101">
        <v>1191</v>
      </c>
      <c r="N101">
        <v>1013</v>
      </c>
      <c r="O101" t="s">
        <v>334</v>
      </c>
      <c r="P101" t="s">
        <v>334</v>
      </c>
      <c r="Q101">
        <v>1</v>
      </c>
      <c r="W101">
        <v>0</v>
      </c>
      <c r="X101">
        <v>476480486</v>
      </c>
      <c r="Y101">
        <f t="shared" si="29"/>
        <v>3.54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M101">
        <v>-2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4</v>
      </c>
      <c r="AT101">
        <v>3.54</v>
      </c>
      <c r="AU101" t="s">
        <v>4</v>
      </c>
      <c r="AV101">
        <v>1</v>
      </c>
      <c r="AW101">
        <v>2</v>
      </c>
      <c r="AX101">
        <v>70311719</v>
      </c>
      <c r="AY101">
        <v>1</v>
      </c>
      <c r="AZ101">
        <v>0</v>
      </c>
      <c r="BA101">
        <v>333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U101">
        <f>ROUND(AT101*Source!I208*AH101*AL101,2)</f>
        <v>0</v>
      </c>
      <c r="CV101">
        <f>ROUND(Y101*Source!I208,9)</f>
        <v>14.16</v>
      </c>
      <c r="CW101">
        <v>0</v>
      </c>
      <c r="CX101">
        <f>ROUND(Y101*Source!I208,9)</f>
        <v>14.16</v>
      </c>
      <c r="CY101">
        <f>AD101</f>
        <v>0</v>
      </c>
      <c r="CZ101">
        <f>AH101</f>
        <v>0</v>
      </c>
      <c r="DA101">
        <f>AL101</f>
        <v>1</v>
      </c>
      <c r="DB101">
        <f t="shared" si="30"/>
        <v>0</v>
      </c>
      <c r="DC101">
        <f t="shared" si="31"/>
        <v>0</v>
      </c>
      <c r="DD101" t="s">
        <v>4</v>
      </c>
      <c r="DE101" t="s">
        <v>4</v>
      </c>
      <c r="DF101">
        <f>ROUND(ROUND(AE101,2)*CX101,2)</f>
        <v>0</v>
      </c>
      <c r="DG101">
        <f>ROUND(ROUND(AF101,2)*CX101,2)</f>
        <v>0</v>
      </c>
      <c r="DH101">
        <f>ROUND(ROUND(AG101,2)*CX101,2)</f>
        <v>0</v>
      </c>
      <c r="DI101">
        <f t="shared" si="32"/>
        <v>0</v>
      </c>
      <c r="DJ101">
        <f>DI101</f>
        <v>0</v>
      </c>
      <c r="DK101">
        <v>0</v>
      </c>
      <c r="DL101" t="s">
        <v>4</v>
      </c>
      <c r="DM101">
        <v>0</v>
      </c>
      <c r="DN101" t="s">
        <v>4</v>
      </c>
      <c r="DO101">
        <v>0</v>
      </c>
    </row>
    <row r="102" spans="1:119">
      <c r="A102">
        <f>ROW(Source!A208)</f>
        <v>208</v>
      </c>
      <c r="B102">
        <v>70305038</v>
      </c>
      <c r="C102">
        <v>70305793</v>
      </c>
      <c r="D102">
        <v>69364350</v>
      </c>
      <c r="E102">
        <v>1</v>
      </c>
      <c r="F102">
        <v>1</v>
      </c>
      <c r="G102">
        <v>1075</v>
      </c>
      <c r="H102">
        <v>2</v>
      </c>
      <c r="I102" t="s">
        <v>401</v>
      </c>
      <c r="J102" t="s">
        <v>402</v>
      </c>
      <c r="K102" t="s">
        <v>403</v>
      </c>
      <c r="L102">
        <v>1368</v>
      </c>
      <c r="N102">
        <v>1011</v>
      </c>
      <c r="O102" t="s">
        <v>338</v>
      </c>
      <c r="P102" t="s">
        <v>338</v>
      </c>
      <c r="Q102">
        <v>1</v>
      </c>
      <c r="W102">
        <v>0</v>
      </c>
      <c r="X102">
        <v>1462491306</v>
      </c>
      <c r="Y102">
        <f t="shared" si="29"/>
        <v>0.13</v>
      </c>
      <c r="AA102">
        <v>0</v>
      </c>
      <c r="AB102">
        <v>0.12</v>
      </c>
      <c r="AC102">
        <v>0</v>
      </c>
      <c r="AD102">
        <v>0</v>
      </c>
      <c r="AE102">
        <v>0</v>
      </c>
      <c r="AF102">
        <v>0.12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M102">
        <v>-2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4</v>
      </c>
      <c r="AT102">
        <v>0.13</v>
      </c>
      <c r="AU102" t="s">
        <v>4</v>
      </c>
      <c r="AV102">
        <v>0</v>
      </c>
      <c r="AW102">
        <v>2</v>
      </c>
      <c r="AX102">
        <v>70311720</v>
      </c>
      <c r="AY102">
        <v>1</v>
      </c>
      <c r="AZ102">
        <v>0</v>
      </c>
      <c r="BA102">
        <v>334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f>ROUND(Y102*Source!I208*DO102,9)</f>
        <v>0</v>
      </c>
      <c r="CX102">
        <f>ROUND(Y102*Source!I208,9)</f>
        <v>0.52</v>
      </c>
      <c r="CY102">
        <f>AB102</f>
        <v>0.12</v>
      </c>
      <c r="CZ102">
        <f>AF102</f>
        <v>0.12</v>
      </c>
      <c r="DA102">
        <f>AJ102</f>
        <v>1</v>
      </c>
      <c r="DB102">
        <f t="shared" si="30"/>
        <v>0.02</v>
      </c>
      <c r="DC102">
        <f t="shared" si="31"/>
        <v>0</v>
      </c>
      <c r="DD102" t="s">
        <v>4</v>
      </c>
      <c r="DE102" t="s">
        <v>4</v>
      </c>
      <c r="DF102">
        <f>ROUND(ROUND(AE102,2)*CX102,2)</f>
        <v>0</v>
      </c>
      <c r="DG102">
        <f>ROUND(ROUND(AF102,2)*CX102,2)</f>
        <v>0.06</v>
      </c>
      <c r="DH102">
        <f>ROUND(ROUND(AG102,2)*CX102,2)</f>
        <v>0</v>
      </c>
      <c r="DI102">
        <f t="shared" si="32"/>
        <v>0</v>
      </c>
      <c r="DJ102">
        <f>DG102</f>
        <v>0.06</v>
      </c>
      <c r="DK102">
        <v>0</v>
      </c>
      <c r="DL102" t="s">
        <v>4</v>
      </c>
      <c r="DM102">
        <v>0</v>
      </c>
      <c r="DN102" t="s">
        <v>4</v>
      </c>
      <c r="DO102">
        <v>0</v>
      </c>
    </row>
    <row r="103" spans="1:119">
      <c r="A103">
        <f>ROW(Source!A208)</f>
        <v>208</v>
      </c>
      <c r="B103">
        <v>70305038</v>
      </c>
      <c r="C103">
        <v>70305793</v>
      </c>
      <c r="D103">
        <v>69335565</v>
      </c>
      <c r="E103">
        <v>1</v>
      </c>
      <c r="F103">
        <v>1</v>
      </c>
      <c r="G103">
        <v>1075</v>
      </c>
      <c r="H103">
        <v>3</v>
      </c>
      <c r="I103" t="s">
        <v>404</v>
      </c>
      <c r="J103" t="s">
        <v>405</v>
      </c>
      <c r="K103" t="s">
        <v>406</v>
      </c>
      <c r="L103">
        <v>1346</v>
      </c>
      <c r="N103">
        <v>1009</v>
      </c>
      <c r="O103" t="s">
        <v>394</v>
      </c>
      <c r="P103" t="s">
        <v>394</v>
      </c>
      <c r="Q103">
        <v>1</v>
      </c>
      <c r="W103">
        <v>0</v>
      </c>
      <c r="X103">
        <v>-1395082354</v>
      </c>
      <c r="Y103">
        <f t="shared" si="29"/>
        <v>0.39360000000000001</v>
      </c>
      <c r="AA103">
        <v>6.27</v>
      </c>
      <c r="AB103">
        <v>0</v>
      </c>
      <c r="AC103">
        <v>0</v>
      </c>
      <c r="AD103">
        <v>0</v>
      </c>
      <c r="AE103">
        <v>6.27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4</v>
      </c>
      <c r="AT103">
        <v>0.39360000000000001</v>
      </c>
      <c r="AU103" t="s">
        <v>4</v>
      </c>
      <c r="AV103">
        <v>0</v>
      </c>
      <c r="AW103">
        <v>2</v>
      </c>
      <c r="AX103">
        <v>70311721</v>
      </c>
      <c r="AY103">
        <v>1</v>
      </c>
      <c r="AZ103">
        <v>0</v>
      </c>
      <c r="BA103">
        <v>335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v>0</v>
      </c>
      <c r="CX103">
        <f>ROUND(Y103*Source!I208,9)</f>
        <v>1.5744</v>
      </c>
      <c r="CY103">
        <f>AA103</f>
        <v>6.27</v>
      </c>
      <c r="CZ103">
        <f>AE103</f>
        <v>6.27</v>
      </c>
      <c r="DA103">
        <f>AI103</f>
        <v>1</v>
      </c>
      <c r="DB103">
        <f t="shared" si="30"/>
        <v>2.4700000000000002</v>
      </c>
      <c r="DC103">
        <f t="shared" si="31"/>
        <v>0</v>
      </c>
      <c r="DD103" t="s">
        <v>4</v>
      </c>
      <c r="DE103" t="s">
        <v>4</v>
      </c>
      <c r="DF103">
        <f>ROUND(ROUND(AE103,2)*CX103,2)</f>
        <v>9.8699999999999992</v>
      </c>
      <c r="DG103">
        <f>ROUND(ROUND(AF103,2)*CX103,2)</f>
        <v>0</v>
      </c>
      <c r="DH103">
        <f>ROUND(ROUND(AG103,2)*CX103,2)</f>
        <v>0</v>
      </c>
      <c r="DI103">
        <f t="shared" si="32"/>
        <v>0</v>
      </c>
      <c r="DJ103">
        <f>DF103</f>
        <v>9.8699999999999992</v>
      </c>
      <c r="DK103">
        <v>0</v>
      </c>
      <c r="DL103" t="s">
        <v>4</v>
      </c>
      <c r="DM103">
        <v>0</v>
      </c>
      <c r="DN103" t="s">
        <v>4</v>
      </c>
      <c r="DO103">
        <v>0</v>
      </c>
    </row>
    <row r="104" spans="1:119">
      <c r="A104">
        <f>ROW(Source!A209)</f>
        <v>209</v>
      </c>
      <c r="B104">
        <v>70305036</v>
      </c>
      <c r="C104">
        <v>70305793</v>
      </c>
      <c r="D104">
        <v>69275358</v>
      </c>
      <c r="E104">
        <v>1075</v>
      </c>
      <c r="F104">
        <v>1</v>
      </c>
      <c r="G104">
        <v>1075</v>
      </c>
      <c r="H104">
        <v>1</v>
      </c>
      <c r="I104" t="s">
        <v>332</v>
      </c>
      <c r="J104" t="s">
        <v>4</v>
      </c>
      <c r="K104" t="s">
        <v>333</v>
      </c>
      <c r="L104">
        <v>1191</v>
      </c>
      <c r="N104">
        <v>1013</v>
      </c>
      <c r="O104" t="s">
        <v>334</v>
      </c>
      <c r="P104" t="s">
        <v>334</v>
      </c>
      <c r="Q104">
        <v>1</v>
      </c>
      <c r="W104">
        <v>0</v>
      </c>
      <c r="X104">
        <v>476480486</v>
      </c>
      <c r="Y104">
        <f t="shared" si="29"/>
        <v>3.54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4</v>
      </c>
      <c r="AT104">
        <v>3.54</v>
      </c>
      <c r="AU104" t="s">
        <v>4</v>
      </c>
      <c r="AV104">
        <v>1</v>
      </c>
      <c r="AW104">
        <v>2</v>
      </c>
      <c r="AX104">
        <v>70311719</v>
      </c>
      <c r="AY104">
        <v>1</v>
      </c>
      <c r="AZ104">
        <v>0</v>
      </c>
      <c r="BA104">
        <v>337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U104">
        <f>ROUND(AT104*Source!I209*AH104*AL104,2)</f>
        <v>0</v>
      </c>
      <c r="CV104">
        <f>ROUND(Y104*Source!I209,9)</f>
        <v>14.16</v>
      </c>
      <c r="CW104">
        <v>0</v>
      </c>
      <c r="CX104">
        <f>ROUND(Y104*Source!I209,9)</f>
        <v>14.16</v>
      </c>
      <c r="CY104">
        <f>AD104</f>
        <v>0</v>
      </c>
      <c r="CZ104">
        <f>AH104</f>
        <v>0</v>
      </c>
      <c r="DA104">
        <f>AL104</f>
        <v>1</v>
      </c>
      <c r="DB104">
        <f t="shared" si="30"/>
        <v>0</v>
      </c>
      <c r="DC104">
        <f t="shared" si="31"/>
        <v>0</v>
      </c>
      <c r="DD104" t="s">
        <v>4</v>
      </c>
      <c r="DE104" t="s">
        <v>4</v>
      </c>
      <c r="DF104">
        <f>ROUND(ROUND(AE104,2)*CX104,2)</f>
        <v>0</v>
      </c>
      <c r="DG104">
        <f>ROUND(ROUND(AF104,2)*CX104,2)</f>
        <v>0</v>
      </c>
      <c r="DH104">
        <f>ROUND(ROUND(AG104,2)*CX104,2)</f>
        <v>0</v>
      </c>
      <c r="DI104">
        <f t="shared" si="32"/>
        <v>0</v>
      </c>
      <c r="DJ104">
        <f>DI104</f>
        <v>0</v>
      </c>
      <c r="DK104">
        <v>0</v>
      </c>
      <c r="DL104" t="s">
        <v>4</v>
      </c>
      <c r="DM104">
        <v>0</v>
      </c>
      <c r="DN104" t="s">
        <v>4</v>
      </c>
      <c r="DO104">
        <v>0</v>
      </c>
    </row>
    <row r="105" spans="1:119">
      <c r="A105">
        <f>ROW(Source!A209)</f>
        <v>209</v>
      </c>
      <c r="B105">
        <v>70305036</v>
      </c>
      <c r="C105">
        <v>70305793</v>
      </c>
      <c r="D105">
        <v>69364350</v>
      </c>
      <c r="E105">
        <v>1</v>
      </c>
      <c r="F105">
        <v>1</v>
      </c>
      <c r="G105">
        <v>1075</v>
      </c>
      <c r="H105">
        <v>2</v>
      </c>
      <c r="I105" t="s">
        <v>401</v>
      </c>
      <c r="J105" t="s">
        <v>402</v>
      </c>
      <c r="K105" t="s">
        <v>403</v>
      </c>
      <c r="L105">
        <v>1368</v>
      </c>
      <c r="N105">
        <v>1011</v>
      </c>
      <c r="O105" t="s">
        <v>338</v>
      </c>
      <c r="P105" t="s">
        <v>338</v>
      </c>
      <c r="Q105">
        <v>1</v>
      </c>
      <c r="W105">
        <v>0</v>
      </c>
      <c r="X105">
        <v>1462491306</v>
      </c>
      <c r="Y105">
        <f t="shared" si="29"/>
        <v>0.13</v>
      </c>
      <c r="AA105">
        <v>0</v>
      </c>
      <c r="AB105">
        <v>1.1100000000000001</v>
      </c>
      <c r="AC105">
        <v>0</v>
      </c>
      <c r="AD105">
        <v>0</v>
      </c>
      <c r="AE105">
        <v>0</v>
      </c>
      <c r="AF105">
        <v>0.12</v>
      </c>
      <c r="AG105">
        <v>0</v>
      </c>
      <c r="AH105">
        <v>0</v>
      </c>
      <c r="AI105">
        <v>1</v>
      </c>
      <c r="AJ105">
        <v>8.83</v>
      </c>
      <c r="AK105">
        <v>46.67</v>
      </c>
      <c r="AL105">
        <v>1</v>
      </c>
      <c r="AM105">
        <v>2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4</v>
      </c>
      <c r="AT105">
        <v>0.13</v>
      </c>
      <c r="AU105" t="s">
        <v>4</v>
      </c>
      <c r="AV105">
        <v>0</v>
      </c>
      <c r="AW105">
        <v>2</v>
      </c>
      <c r="AX105">
        <v>70311720</v>
      </c>
      <c r="AY105">
        <v>1</v>
      </c>
      <c r="AZ105">
        <v>0</v>
      </c>
      <c r="BA105">
        <v>338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f>ROUND(Y105*Source!I209*DO105,9)</f>
        <v>0</v>
      </c>
      <c r="CX105">
        <f>ROUND(Y105*Source!I209,9)</f>
        <v>0.52</v>
      </c>
      <c r="CY105">
        <f>AB105</f>
        <v>1.1100000000000001</v>
      </c>
      <c r="CZ105">
        <f>AF105</f>
        <v>0.12</v>
      </c>
      <c r="DA105">
        <f>AJ105</f>
        <v>8.83</v>
      </c>
      <c r="DB105">
        <f t="shared" si="30"/>
        <v>0.02</v>
      </c>
      <c r="DC105">
        <f t="shared" si="31"/>
        <v>0</v>
      </c>
      <c r="DD105" t="s">
        <v>4</v>
      </c>
      <c r="DE105" t="s">
        <v>4</v>
      </c>
      <c r="DF105">
        <f>ROUND(ROUND(AE105,2)*CX105,2)</f>
        <v>0</v>
      </c>
      <c r="DG105">
        <f>ROUND(ROUND(AF105*AJ105,2)*CX105,2)</f>
        <v>0.55000000000000004</v>
      </c>
      <c r="DH105">
        <f>ROUND(ROUND(AG105*AK105,2)*CX105,2)</f>
        <v>0</v>
      </c>
      <c r="DI105">
        <f t="shared" si="32"/>
        <v>0</v>
      </c>
      <c r="DJ105">
        <f>DG105</f>
        <v>0.55000000000000004</v>
      </c>
      <c r="DK105">
        <v>0</v>
      </c>
      <c r="DL105" t="s">
        <v>4</v>
      </c>
      <c r="DM105">
        <v>0</v>
      </c>
      <c r="DN105" t="s">
        <v>4</v>
      </c>
      <c r="DO105">
        <v>0</v>
      </c>
    </row>
    <row r="106" spans="1:119">
      <c r="A106">
        <f>ROW(Source!A209)</f>
        <v>209</v>
      </c>
      <c r="B106">
        <v>70305036</v>
      </c>
      <c r="C106">
        <v>70305793</v>
      </c>
      <c r="D106">
        <v>69335565</v>
      </c>
      <c r="E106">
        <v>1</v>
      </c>
      <c r="F106">
        <v>1</v>
      </c>
      <c r="G106">
        <v>1075</v>
      </c>
      <c r="H106">
        <v>3</v>
      </c>
      <c r="I106" t="s">
        <v>404</v>
      </c>
      <c r="J106" t="s">
        <v>405</v>
      </c>
      <c r="K106" t="s">
        <v>406</v>
      </c>
      <c r="L106">
        <v>1346</v>
      </c>
      <c r="N106">
        <v>1009</v>
      </c>
      <c r="O106" t="s">
        <v>394</v>
      </c>
      <c r="P106" t="s">
        <v>394</v>
      </c>
      <c r="Q106">
        <v>1</v>
      </c>
      <c r="W106">
        <v>0</v>
      </c>
      <c r="X106">
        <v>-1395082354</v>
      </c>
      <c r="Y106">
        <f t="shared" si="29"/>
        <v>0.39360000000000001</v>
      </c>
      <c r="AA106">
        <v>60.88</v>
      </c>
      <c r="AB106">
        <v>0</v>
      </c>
      <c r="AC106">
        <v>0</v>
      </c>
      <c r="AD106">
        <v>0</v>
      </c>
      <c r="AE106">
        <v>6.27</v>
      </c>
      <c r="AF106">
        <v>0</v>
      </c>
      <c r="AG106">
        <v>0</v>
      </c>
      <c r="AH106">
        <v>0</v>
      </c>
      <c r="AI106">
        <v>9.7100000000000009</v>
      </c>
      <c r="AJ106">
        <v>1</v>
      </c>
      <c r="AK106">
        <v>1</v>
      </c>
      <c r="AL106">
        <v>1</v>
      </c>
      <c r="AM106">
        <v>2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4</v>
      </c>
      <c r="AT106">
        <v>0.39360000000000001</v>
      </c>
      <c r="AU106" t="s">
        <v>4</v>
      </c>
      <c r="AV106">
        <v>0</v>
      </c>
      <c r="AW106">
        <v>2</v>
      </c>
      <c r="AX106">
        <v>70311721</v>
      </c>
      <c r="AY106">
        <v>1</v>
      </c>
      <c r="AZ106">
        <v>0</v>
      </c>
      <c r="BA106">
        <v>339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v>0</v>
      </c>
      <c r="CX106">
        <f>ROUND(Y106*Source!I209,9)</f>
        <v>1.5744</v>
      </c>
      <c r="CY106">
        <f>AA106</f>
        <v>60.88</v>
      </c>
      <c r="CZ106">
        <f>AE106</f>
        <v>6.27</v>
      </c>
      <c r="DA106">
        <f>AI106</f>
        <v>9.7100000000000009</v>
      </c>
      <c r="DB106">
        <f t="shared" si="30"/>
        <v>2.4700000000000002</v>
      </c>
      <c r="DC106">
        <f t="shared" si="31"/>
        <v>0</v>
      </c>
      <c r="DD106" t="s">
        <v>4</v>
      </c>
      <c r="DE106" t="s">
        <v>4</v>
      </c>
      <c r="DF106">
        <f>ROUND(ROUND(AE106*AI106,2)*CX106,2)</f>
        <v>95.85</v>
      </c>
      <c r="DG106">
        <f>ROUND(ROUND(AF106,2)*CX106,2)</f>
        <v>0</v>
      </c>
      <c r="DH106">
        <f>ROUND(ROUND(AG106,2)*CX106,2)</f>
        <v>0</v>
      </c>
      <c r="DI106">
        <f t="shared" si="32"/>
        <v>0</v>
      </c>
      <c r="DJ106">
        <f>DF106</f>
        <v>95.85</v>
      </c>
      <c r="DK106">
        <v>0</v>
      </c>
      <c r="DL106" t="s">
        <v>4</v>
      </c>
      <c r="DM106">
        <v>0</v>
      </c>
      <c r="DN106" t="s">
        <v>4</v>
      </c>
      <c r="DO106">
        <v>0</v>
      </c>
    </row>
    <row r="107" spans="1:119">
      <c r="A107">
        <f>ROW(Source!A216)</f>
        <v>216</v>
      </c>
      <c r="B107">
        <v>70305038</v>
      </c>
      <c r="C107">
        <v>70305824</v>
      </c>
      <c r="D107">
        <v>69336186</v>
      </c>
      <c r="E107">
        <v>1</v>
      </c>
      <c r="F107">
        <v>1</v>
      </c>
      <c r="G107">
        <v>1075</v>
      </c>
      <c r="H107">
        <v>3</v>
      </c>
      <c r="I107" t="s">
        <v>310</v>
      </c>
      <c r="J107" t="s">
        <v>312</v>
      </c>
      <c r="K107" t="s">
        <v>311</v>
      </c>
      <c r="L107">
        <v>1354</v>
      </c>
      <c r="N107">
        <v>1010</v>
      </c>
      <c r="O107" t="s">
        <v>188</v>
      </c>
      <c r="P107" t="s">
        <v>188</v>
      </c>
      <c r="Q107">
        <v>1</v>
      </c>
      <c r="W107">
        <v>0</v>
      </c>
      <c r="X107">
        <v>-281701414</v>
      </c>
      <c r="Y107">
        <f t="shared" si="29"/>
        <v>0</v>
      </c>
      <c r="AA107">
        <v>38</v>
      </c>
      <c r="AB107">
        <v>0</v>
      </c>
      <c r="AC107">
        <v>0</v>
      </c>
      <c r="AD107">
        <v>0</v>
      </c>
      <c r="AE107">
        <v>38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0</v>
      </c>
      <c r="AP107">
        <v>0</v>
      </c>
      <c r="AQ107">
        <v>0</v>
      </c>
      <c r="AR107">
        <v>0</v>
      </c>
      <c r="AS107" t="s">
        <v>4</v>
      </c>
      <c r="AT107">
        <v>0</v>
      </c>
      <c r="AU107" t="s">
        <v>4</v>
      </c>
      <c r="AV107">
        <v>0</v>
      </c>
      <c r="AW107">
        <v>2</v>
      </c>
      <c r="AX107">
        <v>70305834</v>
      </c>
      <c r="AY107">
        <v>1</v>
      </c>
      <c r="AZ107">
        <v>6144</v>
      </c>
      <c r="BA107">
        <v>375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ROUND(Y107*Source!I216,9)</f>
        <v>0</v>
      </c>
      <c r="CY107">
        <f>AA107</f>
        <v>38</v>
      </c>
      <c r="CZ107">
        <f>AE107</f>
        <v>38</v>
      </c>
      <c r="DA107">
        <f>AI107</f>
        <v>1</v>
      </c>
      <c r="DB107">
        <f t="shared" si="30"/>
        <v>0</v>
      </c>
      <c r="DC107">
        <f t="shared" si="31"/>
        <v>0</v>
      </c>
      <c r="DD107" t="s">
        <v>4</v>
      </c>
      <c r="DE107" t="s">
        <v>4</v>
      </c>
      <c r="DF107">
        <f>ROUND(ROUND(AE107,2)*CX107,2)</f>
        <v>0</v>
      </c>
      <c r="DG107">
        <f>ROUND(ROUND(AF107,2)*CX107,2)</f>
        <v>0</v>
      </c>
      <c r="DH107">
        <f>ROUND(ROUND(AG107,2)*CX107,2)</f>
        <v>0</v>
      </c>
      <c r="DI107">
        <f t="shared" si="32"/>
        <v>0</v>
      </c>
      <c r="DJ107">
        <f>DF107</f>
        <v>0</v>
      </c>
      <c r="DK107">
        <v>0</v>
      </c>
      <c r="DL107" t="s">
        <v>4</v>
      </c>
      <c r="DM107">
        <v>0</v>
      </c>
      <c r="DN107" t="s">
        <v>4</v>
      </c>
      <c r="DO107">
        <v>0</v>
      </c>
    </row>
    <row r="108" spans="1:119">
      <c r="A108">
        <f>ROW(Source!A216)</f>
        <v>216</v>
      </c>
      <c r="B108">
        <v>70305038</v>
      </c>
      <c r="C108">
        <v>70305824</v>
      </c>
      <c r="D108">
        <v>69351479</v>
      </c>
      <c r="E108">
        <v>1</v>
      </c>
      <c r="F108">
        <v>1</v>
      </c>
      <c r="G108">
        <v>1075</v>
      </c>
      <c r="H108">
        <v>3</v>
      </c>
      <c r="I108" t="s">
        <v>313</v>
      </c>
      <c r="J108" t="s">
        <v>315</v>
      </c>
      <c r="K108" t="s">
        <v>314</v>
      </c>
      <c r="L108">
        <v>1391</v>
      </c>
      <c r="N108">
        <v>1013</v>
      </c>
      <c r="O108" t="s">
        <v>237</v>
      </c>
      <c r="P108" t="s">
        <v>237</v>
      </c>
      <c r="Q108">
        <v>1</v>
      </c>
      <c r="W108">
        <v>0</v>
      </c>
      <c r="X108">
        <v>460640214</v>
      </c>
      <c r="Y108">
        <f t="shared" si="29"/>
        <v>0</v>
      </c>
      <c r="AA108">
        <v>9414.7999999999993</v>
      </c>
      <c r="AB108">
        <v>0</v>
      </c>
      <c r="AC108">
        <v>0</v>
      </c>
      <c r="AD108">
        <v>0</v>
      </c>
      <c r="AE108">
        <v>9414.7999999999993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0</v>
      </c>
      <c r="AP108">
        <v>0</v>
      </c>
      <c r="AQ108">
        <v>0</v>
      </c>
      <c r="AR108">
        <v>0</v>
      </c>
      <c r="AS108" t="s">
        <v>4</v>
      </c>
      <c r="AT108">
        <v>0</v>
      </c>
      <c r="AU108" t="s">
        <v>4</v>
      </c>
      <c r="AV108">
        <v>0</v>
      </c>
      <c r="AW108">
        <v>1</v>
      </c>
      <c r="AX108">
        <v>-1</v>
      </c>
      <c r="AY108">
        <v>0</v>
      </c>
      <c r="AZ108">
        <v>0</v>
      </c>
      <c r="BA108" t="s">
        <v>4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V108">
        <v>0</v>
      </c>
      <c r="CW108">
        <v>0</v>
      </c>
      <c r="CX108">
        <f>ROUND(Y108*Source!I216,9)</f>
        <v>0</v>
      </c>
      <c r="CY108">
        <f>AA108</f>
        <v>9414.7999999999993</v>
      </c>
      <c r="CZ108">
        <f>AE108</f>
        <v>9414.7999999999993</v>
      </c>
      <c r="DA108">
        <f>AI108</f>
        <v>1</v>
      </c>
      <c r="DB108">
        <f t="shared" si="30"/>
        <v>0</v>
      </c>
      <c r="DC108">
        <f t="shared" si="31"/>
        <v>0</v>
      </c>
      <c r="DD108" t="s">
        <v>4</v>
      </c>
      <c r="DE108" t="s">
        <v>4</v>
      </c>
      <c r="DF108">
        <f>ROUND(ROUND(AE108,2)*CX108,2)</f>
        <v>0</v>
      </c>
      <c r="DG108">
        <f>ROUND(ROUND(AF108,2)*CX108,2)</f>
        <v>0</v>
      </c>
      <c r="DH108">
        <f>ROUND(ROUND(AG108,2)*CX108,2)</f>
        <v>0</v>
      </c>
      <c r="DI108">
        <f t="shared" si="32"/>
        <v>0</v>
      </c>
      <c r="DJ108">
        <f>DF108</f>
        <v>0</v>
      </c>
      <c r="DK108">
        <v>0</v>
      </c>
      <c r="DL108" t="s">
        <v>4</v>
      </c>
      <c r="DM108">
        <v>0</v>
      </c>
      <c r="DN108" t="s">
        <v>4</v>
      </c>
      <c r="DO108">
        <v>0</v>
      </c>
    </row>
    <row r="109" spans="1:119">
      <c r="A109">
        <f>ROW(Source!A217)</f>
        <v>217</v>
      </c>
      <c r="B109">
        <v>70305036</v>
      </c>
      <c r="C109">
        <v>70305824</v>
      </c>
      <c r="D109">
        <v>69336186</v>
      </c>
      <c r="E109">
        <v>1</v>
      </c>
      <c r="F109">
        <v>1</v>
      </c>
      <c r="G109">
        <v>1075</v>
      </c>
      <c r="H109">
        <v>3</v>
      </c>
      <c r="I109" t="s">
        <v>310</v>
      </c>
      <c r="J109" t="s">
        <v>312</v>
      </c>
      <c r="K109" t="s">
        <v>311</v>
      </c>
      <c r="L109">
        <v>1354</v>
      </c>
      <c r="N109">
        <v>1010</v>
      </c>
      <c r="O109" t="s">
        <v>188</v>
      </c>
      <c r="P109" t="s">
        <v>188</v>
      </c>
      <c r="Q109">
        <v>1</v>
      </c>
      <c r="W109">
        <v>0</v>
      </c>
      <c r="X109">
        <v>-281701414</v>
      </c>
      <c r="Y109">
        <f t="shared" si="29"/>
        <v>0</v>
      </c>
      <c r="AA109">
        <v>202.92</v>
      </c>
      <c r="AB109">
        <v>0</v>
      </c>
      <c r="AC109">
        <v>0</v>
      </c>
      <c r="AD109">
        <v>0</v>
      </c>
      <c r="AE109">
        <v>38</v>
      </c>
      <c r="AF109">
        <v>0</v>
      </c>
      <c r="AG109">
        <v>0</v>
      </c>
      <c r="AH109">
        <v>0</v>
      </c>
      <c r="AI109">
        <v>5.34</v>
      </c>
      <c r="AJ109">
        <v>1</v>
      </c>
      <c r="AK109">
        <v>1</v>
      </c>
      <c r="AL109">
        <v>1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 t="s">
        <v>4</v>
      </c>
      <c r="AT109">
        <v>0</v>
      </c>
      <c r="AU109" t="s">
        <v>4</v>
      </c>
      <c r="AV109">
        <v>0</v>
      </c>
      <c r="AW109">
        <v>2</v>
      </c>
      <c r="AX109">
        <v>70305834</v>
      </c>
      <c r="AY109">
        <v>1</v>
      </c>
      <c r="AZ109">
        <v>6144</v>
      </c>
      <c r="BA109">
        <v>382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V109">
        <v>0</v>
      </c>
      <c r="CW109">
        <v>0</v>
      </c>
      <c r="CX109">
        <f>ROUND(Y109*Source!I217,9)</f>
        <v>0</v>
      </c>
      <c r="CY109">
        <f>AA109</f>
        <v>202.92</v>
      </c>
      <c r="CZ109">
        <f>AE109</f>
        <v>38</v>
      </c>
      <c r="DA109">
        <f>AI109</f>
        <v>5.34</v>
      </c>
      <c r="DB109">
        <f t="shared" si="30"/>
        <v>0</v>
      </c>
      <c r="DC109">
        <f t="shared" si="31"/>
        <v>0</v>
      </c>
      <c r="DD109" t="s">
        <v>4</v>
      </c>
      <c r="DE109" t="s">
        <v>4</v>
      </c>
      <c r="DF109">
        <f>ROUND(ROUND(AE109*AI109,2)*CX109,2)</f>
        <v>0</v>
      </c>
      <c r="DG109">
        <f>ROUND(ROUND(AF109,2)*CX109,2)</f>
        <v>0</v>
      </c>
      <c r="DH109">
        <f>ROUND(ROUND(AG109,2)*CX109,2)</f>
        <v>0</v>
      </c>
      <c r="DI109">
        <f t="shared" si="32"/>
        <v>0</v>
      </c>
      <c r="DJ109">
        <f>DF109</f>
        <v>0</v>
      </c>
      <c r="DK109">
        <v>0</v>
      </c>
      <c r="DL109" t="s">
        <v>4</v>
      </c>
      <c r="DM109">
        <v>0</v>
      </c>
      <c r="DN109" t="s">
        <v>4</v>
      </c>
      <c r="DO109">
        <v>0</v>
      </c>
    </row>
    <row r="110" spans="1:119">
      <c r="A110">
        <f>ROW(Source!A217)</f>
        <v>217</v>
      </c>
      <c r="B110">
        <v>70305036</v>
      </c>
      <c r="C110">
        <v>70305824</v>
      </c>
      <c r="D110">
        <v>69351479</v>
      </c>
      <c r="E110">
        <v>1</v>
      </c>
      <c r="F110">
        <v>1</v>
      </c>
      <c r="G110">
        <v>1075</v>
      </c>
      <c r="H110">
        <v>3</v>
      </c>
      <c r="I110" t="s">
        <v>313</v>
      </c>
      <c r="J110" t="s">
        <v>315</v>
      </c>
      <c r="K110" t="s">
        <v>314</v>
      </c>
      <c r="L110">
        <v>1391</v>
      </c>
      <c r="N110">
        <v>1013</v>
      </c>
      <c r="O110" t="s">
        <v>237</v>
      </c>
      <c r="P110" t="s">
        <v>237</v>
      </c>
      <c r="Q110">
        <v>1</v>
      </c>
      <c r="W110">
        <v>0</v>
      </c>
      <c r="X110">
        <v>460640214</v>
      </c>
      <c r="Y110">
        <f t="shared" si="29"/>
        <v>0</v>
      </c>
      <c r="AA110">
        <v>58371.76</v>
      </c>
      <c r="AB110">
        <v>0</v>
      </c>
      <c r="AC110">
        <v>0</v>
      </c>
      <c r="AD110">
        <v>0</v>
      </c>
      <c r="AE110">
        <v>9414.7999999999993</v>
      </c>
      <c r="AF110">
        <v>0</v>
      </c>
      <c r="AG110">
        <v>0</v>
      </c>
      <c r="AH110">
        <v>0</v>
      </c>
      <c r="AI110">
        <v>6.2</v>
      </c>
      <c r="AJ110">
        <v>1</v>
      </c>
      <c r="AK110">
        <v>1</v>
      </c>
      <c r="AL110">
        <v>1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 t="s">
        <v>4</v>
      </c>
      <c r="AT110">
        <v>0</v>
      </c>
      <c r="AU110" t="s">
        <v>4</v>
      </c>
      <c r="AV110">
        <v>0</v>
      </c>
      <c r="AW110">
        <v>1</v>
      </c>
      <c r="AX110">
        <v>-1</v>
      </c>
      <c r="AY110">
        <v>0</v>
      </c>
      <c r="AZ110">
        <v>0</v>
      </c>
      <c r="BA110" t="s">
        <v>4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V110">
        <v>0</v>
      </c>
      <c r="CW110">
        <v>0</v>
      </c>
      <c r="CX110">
        <f>ROUND(Y110*Source!I217,9)</f>
        <v>0</v>
      </c>
      <c r="CY110">
        <f>AA110</f>
        <v>58371.76</v>
      </c>
      <c r="CZ110">
        <f>AE110</f>
        <v>9414.7999999999993</v>
      </c>
      <c r="DA110">
        <f>AI110</f>
        <v>6.2</v>
      </c>
      <c r="DB110">
        <f t="shared" si="30"/>
        <v>0</v>
      </c>
      <c r="DC110">
        <f t="shared" si="31"/>
        <v>0</v>
      </c>
      <c r="DD110" t="s">
        <v>4</v>
      </c>
      <c r="DE110" t="s">
        <v>4</v>
      </c>
      <c r="DF110">
        <f>ROUND(ROUND(AE110*AI110,2)*CX110,2)</f>
        <v>0</v>
      </c>
      <c r="DG110">
        <f>ROUND(ROUND(AF110,2)*CX110,2)</f>
        <v>0</v>
      </c>
      <c r="DH110">
        <f>ROUND(ROUND(AG110,2)*CX110,2)</f>
        <v>0</v>
      </c>
      <c r="DI110">
        <f t="shared" si="32"/>
        <v>0</v>
      </c>
      <c r="DJ110">
        <f>DF110</f>
        <v>0</v>
      </c>
      <c r="DK110">
        <v>0</v>
      </c>
      <c r="DL110" t="s">
        <v>4</v>
      </c>
      <c r="DM110">
        <v>0</v>
      </c>
      <c r="DN110" t="s">
        <v>4</v>
      </c>
      <c r="DO11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R384"/>
  <sheetViews>
    <sheetView workbookViewId="0"/>
  </sheetViews>
  <sheetFormatPr defaultColWidth="9.140625" defaultRowHeight="12.75"/>
  <cols>
    <col min="1" max="256" width="9.140625" customWidth="1"/>
  </cols>
  <sheetData>
    <row r="1" spans="1:44">
      <c r="A1">
        <f>ROW(Source!A28)</f>
        <v>28</v>
      </c>
      <c r="B1">
        <v>70305510</v>
      </c>
      <c r="C1">
        <v>70305505</v>
      </c>
      <c r="D1">
        <v>69275358</v>
      </c>
      <c r="E1">
        <v>1075</v>
      </c>
      <c r="F1">
        <v>1</v>
      </c>
      <c r="G1">
        <v>1075</v>
      </c>
      <c r="H1">
        <v>1</v>
      </c>
      <c r="I1" t="s">
        <v>332</v>
      </c>
      <c r="J1" t="s">
        <v>4</v>
      </c>
      <c r="K1" t="s">
        <v>333</v>
      </c>
      <c r="L1">
        <v>1191</v>
      </c>
      <c r="N1">
        <v>1013</v>
      </c>
      <c r="O1" t="s">
        <v>334</v>
      </c>
      <c r="P1" t="s">
        <v>334</v>
      </c>
      <c r="Q1">
        <v>1</v>
      </c>
      <c r="X1">
        <v>2.95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4</v>
      </c>
      <c r="AG1">
        <v>2.95</v>
      </c>
      <c r="AH1">
        <v>3</v>
      </c>
      <c r="AI1">
        <v>-1</v>
      </c>
      <c r="AJ1" t="s">
        <v>4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>
      <c r="A2">
        <f>ROW(Source!A28)</f>
        <v>28</v>
      </c>
      <c r="B2">
        <v>70305511</v>
      </c>
      <c r="C2">
        <v>70305505</v>
      </c>
      <c r="D2">
        <v>69363699</v>
      </c>
      <c r="E2">
        <v>1</v>
      </c>
      <c r="F2">
        <v>1</v>
      </c>
      <c r="G2">
        <v>1075</v>
      </c>
      <c r="H2">
        <v>2</v>
      </c>
      <c r="I2" t="s">
        <v>407</v>
      </c>
      <c r="J2" t="s">
        <v>408</v>
      </c>
      <c r="K2" t="s">
        <v>409</v>
      </c>
      <c r="L2">
        <v>1368</v>
      </c>
      <c r="N2">
        <v>1011</v>
      </c>
      <c r="O2" t="s">
        <v>338</v>
      </c>
      <c r="P2" t="s">
        <v>338</v>
      </c>
      <c r="Q2">
        <v>1</v>
      </c>
      <c r="X2">
        <v>7.4139999999999997</v>
      </c>
      <c r="Y2">
        <v>0</v>
      </c>
      <c r="Z2">
        <v>147.49</v>
      </c>
      <c r="AA2">
        <v>14.54</v>
      </c>
      <c r="AB2">
        <v>0</v>
      </c>
      <c r="AC2">
        <v>0</v>
      </c>
      <c r="AD2">
        <v>1</v>
      </c>
      <c r="AE2">
        <v>0</v>
      </c>
      <c r="AF2" t="s">
        <v>4</v>
      </c>
      <c r="AG2">
        <v>7.4139999999999997</v>
      </c>
      <c r="AH2">
        <v>3</v>
      </c>
      <c r="AI2">
        <v>-1</v>
      </c>
      <c r="AJ2" t="s">
        <v>4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>
      <c r="A3">
        <f>ROW(Source!A28)</f>
        <v>28</v>
      </c>
      <c r="B3">
        <v>70305512</v>
      </c>
      <c r="C3">
        <v>70305505</v>
      </c>
      <c r="D3">
        <v>69363708</v>
      </c>
      <c r="E3">
        <v>1</v>
      </c>
      <c r="F3">
        <v>1</v>
      </c>
      <c r="G3">
        <v>1075</v>
      </c>
      <c r="H3">
        <v>2</v>
      </c>
      <c r="I3" t="s">
        <v>410</v>
      </c>
      <c r="J3" t="s">
        <v>411</v>
      </c>
      <c r="K3" t="s">
        <v>412</v>
      </c>
      <c r="L3">
        <v>1368</v>
      </c>
      <c r="N3">
        <v>1011</v>
      </c>
      <c r="O3" t="s">
        <v>338</v>
      </c>
      <c r="P3" t="s">
        <v>338</v>
      </c>
      <c r="Q3">
        <v>1</v>
      </c>
      <c r="X3">
        <v>1.6975</v>
      </c>
      <c r="Y3">
        <v>0</v>
      </c>
      <c r="Z3">
        <v>145.59</v>
      </c>
      <c r="AA3">
        <v>14.54</v>
      </c>
      <c r="AB3">
        <v>0</v>
      </c>
      <c r="AC3">
        <v>0</v>
      </c>
      <c r="AD3">
        <v>1</v>
      </c>
      <c r="AE3">
        <v>0</v>
      </c>
      <c r="AF3" t="s">
        <v>4</v>
      </c>
      <c r="AG3">
        <v>1.6975</v>
      </c>
      <c r="AH3">
        <v>3</v>
      </c>
      <c r="AI3">
        <v>-1</v>
      </c>
      <c r="AJ3" t="s">
        <v>4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>
      <c r="A4">
        <f>ROW(Source!A29)</f>
        <v>29</v>
      </c>
      <c r="B4">
        <v>70305510</v>
      </c>
      <c r="C4">
        <v>70305505</v>
      </c>
      <c r="D4">
        <v>69275358</v>
      </c>
      <c r="E4">
        <v>1075</v>
      </c>
      <c r="F4">
        <v>1</v>
      </c>
      <c r="G4">
        <v>1075</v>
      </c>
      <c r="H4">
        <v>1</v>
      </c>
      <c r="I4" t="s">
        <v>332</v>
      </c>
      <c r="J4" t="s">
        <v>4</v>
      </c>
      <c r="K4" t="s">
        <v>333</v>
      </c>
      <c r="L4">
        <v>1191</v>
      </c>
      <c r="N4">
        <v>1013</v>
      </c>
      <c r="O4" t="s">
        <v>334</v>
      </c>
      <c r="P4" t="s">
        <v>334</v>
      </c>
      <c r="Q4">
        <v>1</v>
      </c>
      <c r="X4">
        <v>2.95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1</v>
      </c>
      <c r="AF4" t="s">
        <v>4</v>
      </c>
      <c r="AG4">
        <v>2.95</v>
      </c>
      <c r="AH4">
        <v>3</v>
      </c>
      <c r="AI4">
        <v>-1</v>
      </c>
      <c r="AJ4" t="s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>
      <c r="A5">
        <f>ROW(Source!A29)</f>
        <v>29</v>
      </c>
      <c r="B5">
        <v>70305511</v>
      </c>
      <c r="C5">
        <v>70305505</v>
      </c>
      <c r="D5">
        <v>69363699</v>
      </c>
      <c r="E5">
        <v>1</v>
      </c>
      <c r="F5">
        <v>1</v>
      </c>
      <c r="G5">
        <v>1075</v>
      </c>
      <c r="H5">
        <v>2</v>
      </c>
      <c r="I5" t="s">
        <v>407</v>
      </c>
      <c r="J5" t="s">
        <v>408</v>
      </c>
      <c r="K5" t="s">
        <v>409</v>
      </c>
      <c r="L5">
        <v>1368</v>
      </c>
      <c r="N5">
        <v>1011</v>
      </c>
      <c r="O5" t="s">
        <v>338</v>
      </c>
      <c r="P5" t="s">
        <v>338</v>
      </c>
      <c r="Q5">
        <v>1</v>
      </c>
      <c r="X5">
        <v>7.4139999999999997</v>
      </c>
      <c r="Y5">
        <v>0</v>
      </c>
      <c r="Z5">
        <v>147.49</v>
      </c>
      <c r="AA5">
        <v>14.54</v>
      </c>
      <c r="AB5">
        <v>0</v>
      </c>
      <c r="AC5">
        <v>0</v>
      </c>
      <c r="AD5">
        <v>1</v>
      </c>
      <c r="AE5">
        <v>0</v>
      </c>
      <c r="AF5" t="s">
        <v>4</v>
      </c>
      <c r="AG5">
        <v>7.4139999999999997</v>
      </c>
      <c r="AH5">
        <v>3</v>
      </c>
      <c r="AI5">
        <v>-1</v>
      </c>
      <c r="AJ5" t="s">
        <v>4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>
      <c r="A6">
        <f>ROW(Source!A29)</f>
        <v>29</v>
      </c>
      <c r="B6">
        <v>70305512</v>
      </c>
      <c r="C6">
        <v>70305505</v>
      </c>
      <c r="D6">
        <v>69363708</v>
      </c>
      <c r="E6">
        <v>1</v>
      </c>
      <c r="F6">
        <v>1</v>
      </c>
      <c r="G6">
        <v>1075</v>
      </c>
      <c r="H6">
        <v>2</v>
      </c>
      <c r="I6" t="s">
        <v>410</v>
      </c>
      <c r="J6" t="s">
        <v>411</v>
      </c>
      <c r="K6" t="s">
        <v>412</v>
      </c>
      <c r="L6">
        <v>1368</v>
      </c>
      <c r="N6">
        <v>1011</v>
      </c>
      <c r="O6" t="s">
        <v>338</v>
      </c>
      <c r="P6" t="s">
        <v>338</v>
      </c>
      <c r="Q6">
        <v>1</v>
      </c>
      <c r="X6">
        <v>1.6975</v>
      </c>
      <c r="Y6">
        <v>0</v>
      </c>
      <c r="Z6">
        <v>145.59</v>
      </c>
      <c r="AA6">
        <v>14.54</v>
      </c>
      <c r="AB6">
        <v>0</v>
      </c>
      <c r="AC6">
        <v>0</v>
      </c>
      <c r="AD6">
        <v>1</v>
      </c>
      <c r="AE6">
        <v>0</v>
      </c>
      <c r="AF6" t="s">
        <v>4</v>
      </c>
      <c r="AG6">
        <v>1.6975</v>
      </c>
      <c r="AH6">
        <v>3</v>
      </c>
      <c r="AI6">
        <v>-1</v>
      </c>
      <c r="AJ6" t="s">
        <v>4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>
      <c r="A7">
        <f>ROW(Source!A30)</f>
        <v>30</v>
      </c>
      <c r="B7">
        <v>70305516</v>
      </c>
      <c r="C7">
        <v>70305513</v>
      </c>
      <c r="D7">
        <v>69275358</v>
      </c>
      <c r="E7">
        <v>1075</v>
      </c>
      <c r="F7">
        <v>1</v>
      </c>
      <c r="G7">
        <v>1075</v>
      </c>
      <c r="H7">
        <v>1</v>
      </c>
      <c r="I7" t="s">
        <v>332</v>
      </c>
      <c r="J7" t="s">
        <v>4</v>
      </c>
      <c r="K7" t="s">
        <v>333</v>
      </c>
      <c r="L7">
        <v>1191</v>
      </c>
      <c r="N7">
        <v>1013</v>
      </c>
      <c r="O7" t="s">
        <v>334</v>
      </c>
      <c r="P7" t="s">
        <v>334</v>
      </c>
      <c r="Q7">
        <v>1</v>
      </c>
      <c r="X7">
        <v>1.19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31</v>
      </c>
      <c r="AG7">
        <v>1.4279999999999999</v>
      </c>
      <c r="AH7">
        <v>3</v>
      </c>
      <c r="AI7">
        <v>-1</v>
      </c>
      <c r="AJ7" t="s">
        <v>4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>
      <c r="A8">
        <f>ROW(Source!A30)</f>
        <v>30</v>
      </c>
      <c r="B8">
        <v>70305517</v>
      </c>
      <c r="C8">
        <v>70305513</v>
      </c>
      <c r="D8">
        <v>69363699</v>
      </c>
      <c r="E8">
        <v>1</v>
      </c>
      <c r="F8">
        <v>1</v>
      </c>
      <c r="G8">
        <v>1075</v>
      </c>
      <c r="H8">
        <v>2</v>
      </c>
      <c r="I8" t="s">
        <v>407</v>
      </c>
      <c r="J8" t="s">
        <v>408</v>
      </c>
      <c r="K8" t="s">
        <v>409</v>
      </c>
      <c r="L8">
        <v>1368</v>
      </c>
      <c r="N8">
        <v>1011</v>
      </c>
      <c r="O8" t="s">
        <v>338</v>
      </c>
      <c r="P8" t="s">
        <v>338</v>
      </c>
      <c r="Q8">
        <v>1</v>
      </c>
      <c r="X8">
        <v>6.3194999999999997</v>
      </c>
      <c r="Y8">
        <v>0</v>
      </c>
      <c r="Z8">
        <v>147.49</v>
      </c>
      <c r="AA8">
        <v>14.54</v>
      </c>
      <c r="AB8">
        <v>0</v>
      </c>
      <c r="AC8">
        <v>0</v>
      </c>
      <c r="AD8">
        <v>1</v>
      </c>
      <c r="AE8">
        <v>0</v>
      </c>
      <c r="AF8" t="s">
        <v>31</v>
      </c>
      <c r="AG8">
        <v>7.5833999999999993</v>
      </c>
      <c r="AH8">
        <v>3</v>
      </c>
      <c r="AI8">
        <v>-1</v>
      </c>
      <c r="AJ8" t="s">
        <v>4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>
      <c r="A9">
        <f>ROW(Source!A31)</f>
        <v>31</v>
      </c>
      <c r="B9">
        <v>70305516</v>
      </c>
      <c r="C9">
        <v>70305513</v>
      </c>
      <c r="D9">
        <v>69275358</v>
      </c>
      <c r="E9">
        <v>1075</v>
      </c>
      <c r="F9">
        <v>1</v>
      </c>
      <c r="G9">
        <v>1075</v>
      </c>
      <c r="H9">
        <v>1</v>
      </c>
      <c r="I9" t="s">
        <v>332</v>
      </c>
      <c r="J9" t="s">
        <v>4</v>
      </c>
      <c r="K9" t="s">
        <v>333</v>
      </c>
      <c r="L9">
        <v>1191</v>
      </c>
      <c r="N9">
        <v>1013</v>
      </c>
      <c r="O9" t="s">
        <v>334</v>
      </c>
      <c r="P9" t="s">
        <v>334</v>
      </c>
      <c r="Q9">
        <v>1</v>
      </c>
      <c r="X9">
        <v>1.19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31</v>
      </c>
      <c r="AG9">
        <v>1.4279999999999999</v>
      </c>
      <c r="AH9">
        <v>3</v>
      </c>
      <c r="AI9">
        <v>-1</v>
      </c>
      <c r="AJ9" t="s">
        <v>4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>
      <c r="A10">
        <f>ROW(Source!A31)</f>
        <v>31</v>
      </c>
      <c r="B10">
        <v>70305517</v>
      </c>
      <c r="C10">
        <v>70305513</v>
      </c>
      <c r="D10">
        <v>69363699</v>
      </c>
      <c r="E10">
        <v>1</v>
      </c>
      <c r="F10">
        <v>1</v>
      </c>
      <c r="G10">
        <v>1075</v>
      </c>
      <c r="H10">
        <v>2</v>
      </c>
      <c r="I10" t="s">
        <v>407</v>
      </c>
      <c r="J10" t="s">
        <v>408</v>
      </c>
      <c r="K10" t="s">
        <v>409</v>
      </c>
      <c r="L10">
        <v>1368</v>
      </c>
      <c r="N10">
        <v>1011</v>
      </c>
      <c r="O10" t="s">
        <v>338</v>
      </c>
      <c r="P10" t="s">
        <v>338</v>
      </c>
      <c r="Q10">
        <v>1</v>
      </c>
      <c r="X10">
        <v>6.3194999999999997</v>
      </c>
      <c r="Y10">
        <v>0</v>
      </c>
      <c r="Z10">
        <v>147.49</v>
      </c>
      <c r="AA10">
        <v>14.54</v>
      </c>
      <c r="AB10">
        <v>0</v>
      </c>
      <c r="AC10">
        <v>0</v>
      </c>
      <c r="AD10">
        <v>1</v>
      </c>
      <c r="AE10">
        <v>0</v>
      </c>
      <c r="AF10" t="s">
        <v>31</v>
      </c>
      <c r="AG10">
        <v>7.5833999999999993</v>
      </c>
      <c r="AH10">
        <v>3</v>
      </c>
      <c r="AI10">
        <v>-1</v>
      </c>
      <c r="AJ10" t="s">
        <v>4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>
      <c r="A11">
        <f>ROW(Source!A32)</f>
        <v>32</v>
      </c>
      <c r="B11">
        <v>70305520</v>
      </c>
      <c r="C11">
        <v>70305518</v>
      </c>
      <c r="D11">
        <v>69275358</v>
      </c>
      <c r="E11">
        <v>1075</v>
      </c>
      <c r="F11">
        <v>1</v>
      </c>
      <c r="G11">
        <v>1075</v>
      </c>
      <c r="H11">
        <v>1</v>
      </c>
      <c r="I11" t="s">
        <v>332</v>
      </c>
      <c r="J11" t="s">
        <v>4</v>
      </c>
      <c r="K11" t="s">
        <v>333</v>
      </c>
      <c r="L11">
        <v>1191</v>
      </c>
      <c r="N11">
        <v>1013</v>
      </c>
      <c r="O11" t="s">
        <v>334</v>
      </c>
      <c r="P11" t="s">
        <v>334</v>
      </c>
      <c r="Q11">
        <v>1</v>
      </c>
      <c r="X11">
        <v>192.7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4</v>
      </c>
      <c r="AG11">
        <v>192.7</v>
      </c>
      <c r="AH11">
        <v>3</v>
      </c>
      <c r="AI11">
        <v>-1</v>
      </c>
      <c r="AJ11" t="s">
        <v>4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>
      <c r="A12">
        <f>ROW(Source!A33)</f>
        <v>33</v>
      </c>
      <c r="B12">
        <v>70305520</v>
      </c>
      <c r="C12">
        <v>70305518</v>
      </c>
      <c r="D12">
        <v>69275358</v>
      </c>
      <c r="E12">
        <v>1075</v>
      </c>
      <c r="F12">
        <v>1</v>
      </c>
      <c r="G12">
        <v>1075</v>
      </c>
      <c r="H12">
        <v>1</v>
      </c>
      <c r="I12" t="s">
        <v>332</v>
      </c>
      <c r="J12" t="s">
        <v>4</v>
      </c>
      <c r="K12" t="s">
        <v>333</v>
      </c>
      <c r="L12">
        <v>1191</v>
      </c>
      <c r="N12">
        <v>1013</v>
      </c>
      <c r="O12" t="s">
        <v>334</v>
      </c>
      <c r="P12" t="s">
        <v>334</v>
      </c>
      <c r="Q12">
        <v>1</v>
      </c>
      <c r="X12">
        <v>192.7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4</v>
      </c>
      <c r="AG12">
        <v>192.7</v>
      </c>
      <c r="AH12">
        <v>3</v>
      </c>
      <c r="AI12">
        <v>-1</v>
      </c>
      <c r="AJ12" t="s">
        <v>4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>
      <c r="A13">
        <f>ROW(Source!A34)</f>
        <v>34</v>
      </c>
      <c r="B13">
        <v>70305523</v>
      </c>
      <c r="C13">
        <v>70305521</v>
      </c>
      <c r="D13">
        <v>69363710</v>
      </c>
      <c r="E13">
        <v>1</v>
      </c>
      <c r="F13">
        <v>1</v>
      </c>
      <c r="G13">
        <v>1075</v>
      </c>
      <c r="H13">
        <v>2</v>
      </c>
      <c r="I13" t="s">
        <v>413</v>
      </c>
      <c r="J13" t="s">
        <v>414</v>
      </c>
      <c r="K13" t="s">
        <v>415</v>
      </c>
      <c r="L13">
        <v>1368</v>
      </c>
      <c r="N13">
        <v>1011</v>
      </c>
      <c r="O13" t="s">
        <v>338</v>
      </c>
      <c r="P13" t="s">
        <v>338</v>
      </c>
      <c r="Q13">
        <v>1</v>
      </c>
      <c r="X13">
        <v>0.46060000000000001</v>
      </c>
      <c r="Y13">
        <v>0</v>
      </c>
      <c r="Z13">
        <v>213.15</v>
      </c>
      <c r="AA13">
        <v>16.93</v>
      </c>
      <c r="AB13">
        <v>0</v>
      </c>
      <c r="AC13">
        <v>0</v>
      </c>
      <c r="AD13">
        <v>1</v>
      </c>
      <c r="AE13">
        <v>0</v>
      </c>
      <c r="AF13" t="s">
        <v>4</v>
      </c>
      <c r="AG13">
        <v>0.46060000000000001</v>
      </c>
      <c r="AH13">
        <v>3</v>
      </c>
      <c r="AI13">
        <v>-1</v>
      </c>
      <c r="AJ13" t="s">
        <v>4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>
      <c r="A14">
        <f>ROW(Source!A35)</f>
        <v>35</v>
      </c>
      <c r="B14">
        <v>70305523</v>
      </c>
      <c r="C14">
        <v>70305521</v>
      </c>
      <c r="D14">
        <v>69363710</v>
      </c>
      <c r="E14">
        <v>1</v>
      </c>
      <c r="F14">
        <v>1</v>
      </c>
      <c r="G14">
        <v>1075</v>
      </c>
      <c r="H14">
        <v>2</v>
      </c>
      <c r="I14" t="s">
        <v>413</v>
      </c>
      <c r="J14" t="s">
        <v>414</v>
      </c>
      <c r="K14" t="s">
        <v>415</v>
      </c>
      <c r="L14">
        <v>1368</v>
      </c>
      <c r="N14">
        <v>1011</v>
      </c>
      <c r="O14" t="s">
        <v>338</v>
      </c>
      <c r="P14" t="s">
        <v>338</v>
      </c>
      <c r="Q14">
        <v>1</v>
      </c>
      <c r="X14">
        <v>0.46060000000000001</v>
      </c>
      <c r="Y14">
        <v>0</v>
      </c>
      <c r="Z14">
        <v>213.15</v>
      </c>
      <c r="AA14">
        <v>16.93</v>
      </c>
      <c r="AB14">
        <v>0</v>
      </c>
      <c r="AC14">
        <v>0</v>
      </c>
      <c r="AD14">
        <v>1</v>
      </c>
      <c r="AE14">
        <v>0</v>
      </c>
      <c r="AF14" t="s">
        <v>4</v>
      </c>
      <c r="AG14">
        <v>0.46060000000000001</v>
      </c>
      <c r="AH14">
        <v>3</v>
      </c>
      <c r="AI14">
        <v>-1</v>
      </c>
      <c r="AJ14" t="s">
        <v>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>
      <c r="A15">
        <f>ROW(Source!A36)</f>
        <v>36</v>
      </c>
      <c r="B15">
        <v>70305526</v>
      </c>
      <c r="C15">
        <v>70305524</v>
      </c>
      <c r="D15">
        <v>69275358</v>
      </c>
      <c r="E15">
        <v>1075</v>
      </c>
      <c r="F15">
        <v>1</v>
      </c>
      <c r="G15">
        <v>1075</v>
      </c>
      <c r="H15">
        <v>1</v>
      </c>
      <c r="I15" t="s">
        <v>332</v>
      </c>
      <c r="J15" t="s">
        <v>4</v>
      </c>
      <c r="K15" t="s">
        <v>333</v>
      </c>
      <c r="L15">
        <v>1191</v>
      </c>
      <c r="N15">
        <v>1013</v>
      </c>
      <c r="O15" t="s">
        <v>334</v>
      </c>
      <c r="P15" t="s">
        <v>334</v>
      </c>
      <c r="Q15">
        <v>1</v>
      </c>
      <c r="X15">
        <v>107.04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4</v>
      </c>
      <c r="AG15">
        <v>107.04</v>
      </c>
      <c r="AH15">
        <v>3</v>
      </c>
      <c r="AI15">
        <v>-1</v>
      </c>
      <c r="AJ15" t="s">
        <v>4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>
      <c r="A16">
        <f>ROW(Source!A37)</f>
        <v>37</v>
      </c>
      <c r="B16">
        <v>70305526</v>
      </c>
      <c r="C16">
        <v>70305524</v>
      </c>
      <c r="D16">
        <v>69275358</v>
      </c>
      <c r="E16">
        <v>1075</v>
      </c>
      <c r="F16">
        <v>1</v>
      </c>
      <c r="G16">
        <v>1075</v>
      </c>
      <c r="H16">
        <v>1</v>
      </c>
      <c r="I16" t="s">
        <v>332</v>
      </c>
      <c r="J16" t="s">
        <v>4</v>
      </c>
      <c r="K16" t="s">
        <v>333</v>
      </c>
      <c r="L16">
        <v>1191</v>
      </c>
      <c r="N16">
        <v>1013</v>
      </c>
      <c r="O16" t="s">
        <v>334</v>
      </c>
      <c r="P16" t="s">
        <v>334</v>
      </c>
      <c r="Q16">
        <v>1</v>
      </c>
      <c r="X16">
        <v>107.04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4</v>
      </c>
      <c r="AG16">
        <v>107.04</v>
      </c>
      <c r="AH16">
        <v>3</v>
      </c>
      <c r="AI16">
        <v>-1</v>
      </c>
      <c r="AJ16" t="s">
        <v>4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>
      <c r="A17">
        <f>ROW(Source!A40)</f>
        <v>40</v>
      </c>
      <c r="B17">
        <v>70305532</v>
      </c>
      <c r="C17">
        <v>70305528</v>
      </c>
      <c r="D17">
        <v>69275358</v>
      </c>
      <c r="E17">
        <v>1075</v>
      </c>
      <c r="F17">
        <v>1</v>
      </c>
      <c r="G17">
        <v>1075</v>
      </c>
      <c r="H17">
        <v>1</v>
      </c>
      <c r="I17" t="s">
        <v>332</v>
      </c>
      <c r="J17" t="s">
        <v>4</v>
      </c>
      <c r="K17" t="s">
        <v>333</v>
      </c>
      <c r="L17">
        <v>1191</v>
      </c>
      <c r="N17">
        <v>1013</v>
      </c>
      <c r="O17" t="s">
        <v>334</v>
      </c>
      <c r="P17" t="s">
        <v>334</v>
      </c>
      <c r="Q17">
        <v>1</v>
      </c>
      <c r="X17">
        <v>10.8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4</v>
      </c>
      <c r="AG17">
        <v>10.8</v>
      </c>
      <c r="AH17">
        <v>3</v>
      </c>
      <c r="AI17">
        <v>-1</v>
      </c>
      <c r="AJ17" t="s">
        <v>4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>
      <c r="A18">
        <f>ROW(Source!A40)</f>
        <v>40</v>
      </c>
      <c r="B18">
        <v>70305533</v>
      </c>
      <c r="C18">
        <v>70305528</v>
      </c>
      <c r="D18">
        <v>69364106</v>
      </c>
      <c r="E18">
        <v>1</v>
      </c>
      <c r="F18">
        <v>1</v>
      </c>
      <c r="G18">
        <v>1075</v>
      </c>
      <c r="H18">
        <v>2</v>
      </c>
      <c r="I18" t="s">
        <v>416</v>
      </c>
      <c r="J18" t="s">
        <v>417</v>
      </c>
      <c r="K18" t="s">
        <v>418</v>
      </c>
      <c r="L18">
        <v>1368</v>
      </c>
      <c r="N18">
        <v>1011</v>
      </c>
      <c r="O18" t="s">
        <v>338</v>
      </c>
      <c r="P18" t="s">
        <v>338</v>
      </c>
      <c r="Q18">
        <v>1</v>
      </c>
      <c r="X18">
        <v>10.5</v>
      </c>
      <c r="Y18">
        <v>0</v>
      </c>
      <c r="Z18">
        <v>41.45</v>
      </c>
      <c r="AA18">
        <v>12.62</v>
      </c>
      <c r="AB18">
        <v>0</v>
      </c>
      <c r="AC18">
        <v>0</v>
      </c>
      <c r="AD18">
        <v>1</v>
      </c>
      <c r="AE18">
        <v>0</v>
      </c>
      <c r="AF18" t="s">
        <v>4</v>
      </c>
      <c r="AG18">
        <v>10.5</v>
      </c>
      <c r="AH18">
        <v>3</v>
      </c>
      <c r="AI18">
        <v>-1</v>
      </c>
      <c r="AJ18" t="s">
        <v>4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>
      <c r="A19">
        <f>ROW(Source!A40)</f>
        <v>40</v>
      </c>
      <c r="B19">
        <v>70305534</v>
      </c>
      <c r="C19">
        <v>70305528</v>
      </c>
      <c r="D19">
        <v>69364553</v>
      </c>
      <c r="E19">
        <v>1</v>
      </c>
      <c r="F19">
        <v>1</v>
      </c>
      <c r="G19">
        <v>1075</v>
      </c>
      <c r="H19">
        <v>2</v>
      </c>
      <c r="I19" t="s">
        <v>419</v>
      </c>
      <c r="J19" t="s">
        <v>420</v>
      </c>
      <c r="K19" t="s">
        <v>421</v>
      </c>
      <c r="L19">
        <v>1368</v>
      </c>
      <c r="N19">
        <v>1011</v>
      </c>
      <c r="O19" t="s">
        <v>338</v>
      </c>
      <c r="P19" t="s">
        <v>338</v>
      </c>
      <c r="Q19">
        <v>1</v>
      </c>
      <c r="X19">
        <v>10.5</v>
      </c>
      <c r="Y19">
        <v>0</v>
      </c>
      <c r="Z19">
        <v>0.2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4</v>
      </c>
      <c r="AG19">
        <v>10.5</v>
      </c>
      <c r="AH19">
        <v>3</v>
      </c>
      <c r="AI19">
        <v>-1</v>
      </c>
      <c r="AJ19" t="s">
        <v>4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>
      <c r="A20">
        <f>ROW(Source!A41)</f>
        <v>41</v>
      </c>
      <c r="B20">
        <v>70305532</v>
      </c>
      <c r="C20">
        <v>70305528</v>
      </c>
      <c r="D20">
        <v>69275358</v>
      </c>
      <c r="E20">
        <v>1075</v>
      </c>
      <c r="F20">
        <v>1</v>
      </c>
      <c r="G20">
        <v>1075</v>
      </c>
      <c r="H20">
        <v>1</v>
      </c>
      <c r="I20" t="s">
        <v>332</v>
      </c>
      <c r="J20" t="s">
        <v>4</v>
      </c>
      <c r="K20" t="s">
        <v>333</v>
      </c>
      <c r="L20">
        <v>1191</v>
      </c>
      <c r="N20">
        <v>1013</v>
      </c>
      <c r="O20" t="s">
        <v>334</v>
      </c>
      <c r="P20" t="s">
        <v>334</v>
      </c>
      <c r="Q20">
        <v>1</v>
      </c>
      <c r="X20">
        <v>10.8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1</v>
      </c>
      <c r="AF20" t="s">
        <v>4</v>
      </c>
      <c r="AG20">
        <v>10.8</v>
      </c>
      <c r="AH20">
        <v>3</v>
      </c>
      <c r="AI20">
        <v>-1</v>
      </c>
      <c r="AJ20" t="s">
        <v>4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>
      <c r="A21">
        <f>ROW(Source!A41)</f>
        <v>41</v>
      </c>
      <c r="B21">
        <v>70305533</v>
      </c>
      <c r="C21">
        <v>70305528</v>
      </c>
      <c r="D21">
        <v>69364106</v>
      </c>
      <c r="E21">
        <v>1</v>
      </c>
      <c r="F21">
        <v>1</v>
      </c>
      <c r="G21">
        <v>1075</v>
      </c>
      <c r="H21">
        <v>2</v>
      </c>
      <c r="I21" t="s">
        <v>416</v>
      </c>
      <c r="J21" t="s">
        <v>417</v>
      </c>
      <c r="K21" t="s">
        <v>418</v>
      </c>
      <c r="L21">
        <v>1368</v>
      </c>
      <c r="N21">
        <v>1011</v>
      </c>
      <c r="O21" t="s">
        <v>338</v>
      </c>
      <c r="P21" t="s">
        <v>338</v>
      </c>
      <c r="Q21">
        <v>1</v>
      </c>
      <c r="X21">
        <v>10.5</v>
      </c>
      <c r="Y21">
        <v>0</v>
      </c>
      <c r="Z21">
        <v>41.45</v>
      </c>
      <c r="AA21">
        <v>12.62</v>
      </c>
      <c r="AB21">
        <v>0</v>
      </c>
      <c r="AC21">
        <v>0</v>
      </c>
      <c r="AD21">
        <v>1</v>
      </c>
      <c r="AE21">
        <v>0</v>
      </c>
      <c r="AF21" t="s">
        <v>4</v>
      </c>
      <c r="AG21">
        <v>10.5</v>
      </c>
      <c r="AH21">
        <v>3</v>
      </c>
      <c r="AI21">
        <v>-1</v>
      </c>
      <c r="AJ21" t="s">
        <v>4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>
      <c r="A22">
        <f>ROW(Source!A41)</f>
        <v>41</v>
      </c>
      <c r="B22">
        <v>70305534</v>
      </c>
      <c r="C22">
        <v>70305528</v>
      </c>
      <c r="D22">
        <v>69364553</v>
      </c>
      <c r="E22">
        <v>1</v>
      </c>
      <c r="F22">
        <v>1</v>
      </c>
      <c r="G22">
        <v>1075</v>
      </c>
      <c r="H22">
        <v>2</v>
      </c>
      <c r="I22" t="s">
        <v>419</v>
      </c>
      <c r="J22" t="s">
        <v>420</v>
      </c>
      <c r="K22" t="s">
        <v>421</v>
      </c>
      <c r="L22">
        <v>1368</v>
      </c>
      <c r="N22">
        <v>1011</v>
      </c>
      <c r="O22" t="s">
        <v>338</v>
      </c>
      <c r="P22" t="s">
        <v>338</v>
      </c>
      <c r="Q22">
        <v>1</v>
      </c>
      <c r="X22">
        <v>10.5</v>
      </c>
      <c r="Y22">
        <v>0</v>
      </c>
      <c r="Z22">
        <v>0.2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4</v>
      </c>
      <c r="AG22">
        <v>10.5</v>
      </c>
      <c r="AH22">
        <v>3</v>
      </c>
      <c r="AI22">
        <v>-1</v>
      </c>
      <c r="AJ22" t="s">
        <v>4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>
      <c r="A23">
        <f>ROW(Source!A78)</f>
        <v>78</v>
      </c>
      <c r="B23">
        <v>70310508</v>
      </c>
      <c r="C23">
        <v>70310504</v>
      </c>
      <c r="D23">
        <v>69275358</v>
      </c>
      <c r="E23">
        <v>1075</v>
      </c>
      <c r="F23">
        <v>1</v>
      </c>
      <c r="G23">
        <v>1075</v>
      </c>
      <c r="H23">
        <v>1</v>
      </c>
      <c r="I23" t="s">
        <v>332</v>
      </c>
      <c r="J23" t="s">
        <v>4</v>
      </c>
      <c r="K23" t="s">
        <v>333</v>
      </c>
      <c r="L23">
        <v>1191</v>
      </c>
      <c r="N23">
        <v>1013</v>
      </c>
      <c r="O23" t="s">
        <v>334</v>
      </c>
      <c r="P23" t="s">
        <v>334</v>
      </c>
      <c r="Q23">
        <v>1</v>
      </c>
      <c r="X23">
        <v>206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 t="s">
        <v>4</v>
      </c>
      <c r="AG23">
        <v>206</v>
      </c>
      <c r="AH23">
        <v>2</v>
      </c>
      <c r="AI23">
        <v>70310505</v>
      </c>
      <c r="AJ23">
        <v>1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>
      <c r="A24">
        <f>ROW(Source!A78)</f>
        <v>78</v>
      </c>
      <c r="B24">
        <v>70310509</v>
      </c>
      <c r="C24">
        <v>70310504</v>
      </c>
      <c r="D24">
        <v>69364109</v>
      </c>
      <c r="E24">
        <v>1</v>
      </c>
      <c r="F24">
        <v>1</v>
      </c>
      <c r="G24">
        <v>1075</v>
      </c>
      <c r="H24">
        <v>2</v>
      </c>
      <c r="I24" t="s">
        <v>335</v>
      </c>
      <c r="J24" t="s">
        <v>336</v>
      </c>
      <c r="K24" t="s">
        <v>337</v>
      </c>
      <c r="L24">
        <v>1368</v>
      </c>
      <c r="N24">
        <v>1011</v>
      </c>
      <c r="O24" t="s">
        <v>338</v>
      </c>
      <c r="P24" t="s">
        <v>338</v>
      </c>
      <c r="Q24">
        <v>1</v>
      </c>
      <c r="X24">
        <v>100</v>
      </c>
      <c r="Y24">
        <v>0</v>
      </c>
      <c r="Z24">
        <v>34.479999999999997</v>
      </c>
      <c r="AA24">
        <v>12.62</v>
      </c>
      <c r="AB24">
        <v>0</v>
      </c>
      <c r="AC24">
        <v>0</v>
      </c>
      <c r="AD24">
        <v>1</v>
      </c>
      <c r="AE24">
        <v>0</v>
      </c>
      <c r="AF24" t="s">
        <v>4</v>
      </c>
      <c r="AG24">
        <v>100</v>
      </c>
      <c r="AH24">
        <v>2</v>
      </c>
      <c r="AI24">
        <v>70310506</v>
      </c>
      <c r="AJ24">
        <v>2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>
      <c r="A25">
        <f>ROW(Source!A78)</f>
        <v>78</v>
      </c>
      <c r="B25">
        <v>70310510</v>
      </c>
      <c r="C25">
        <v>70310504</v>
      </c>
      <c r="D25">
        <v>69364591</v>
      </c>
      <c r="E25">
        <v>1</v>
      </c>
      <c r="F25">
        <v>1</v>
      </c>
      <c r="G25">
        <v>1075</v>
      </c>
      <c r="H25">
        <v>2</v>
      </c>
      <c r="I25" t="s">
        <v>339</v>
      </c>
      <c r="J25" t="s">
        <v>340</v>
      </c>
      <c r="K25" t="s">
        <v>341</v>
      </c>
      <c r="L25">
        <v>1368</v>
      </c>
      <c r="N25">
        <v>1011</v>
      </c>
      <c r="O25" t="s">
        <v>338</v>
      </c>
      <c r="P25" t="s">
        <v>338</v>
      </c>
      <c r="Q25">
        <v>1</v>
      </c>
      <c r="X25">
        <v>200</v>
      </c>
      <c r="Y25">
        <v>0</v>
      </c>
      <c r="Z25">
        <v>0.5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4</v>
      </c>
      <c r="AG25">
        <v>200</v>
      </c>
      <c r="AH25">
        <v>2</v>
      </c>
      <c r="AI25">
        <v>70310507</v>
      </c>
      <c r="AJ25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>
      <c r="A26">
        <f>ROW(Source!A79)</f>
        <v>79</v>
      </c>
      <c r="B26">
        <v>70310508</v>
      </c>
      <c r="C26">
        <v>70310504</v>
      </c>
      <c r="D26">
        <v>69275358</v>
      </c>
      <c r="E26">
        <v>1075</v>
      </c>
      <c r="F26">
        <v>1</v>
      </c>
      <c r="G26">
        <v>1075</v>
      </c>
      <c r="H26">
        <v>1</v>
      </c>
      <c r="I26" t="s">
        <v>332</v>
      </c>
      <c r="J26" t="s">
        <v>4</v>
      </c>
      <c r="K26" t="s">
        <v>333</v>
      </c>
      <c r="L26">
        <v>1191</v>
      </c>
      <c r="N26">
        <v>1013</v>
      </c>
      <c r="O26" t="s">
        <v>334</v>
      </c>
      <c r="P26" t="s">
        <v>334</v>
      </c>
      <c r="Q26">
        <v>1</v>
      </c>
      <c r="X26">
        <v>206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4</v>
      </c>
      <c r="AG26">
        <v>206</v>
      </c>
      <c r="AH26">
        <v>2</v>
      </c>
      <c r="AI26">
        <v>70310505</v>
      </c>
      <c r="AJ26">
        <v>4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>
      <c r="A27">
        <f>ROW(Source!A79)</f>
        <v>79</v>
      </c>
      <c r="B27">
        <v>70310509</v>
      </c>
      <c r="C27">
        <v>70310504</v>
      </c>
      <c r="D27">
        <v>69364109</v>
      </c>
      <c r="E27">
        <v>1</v>
      </c>
      <c r="F27">
        <v>1</v>
      </c>
      <c r="G27">
        <v>1075</v>
      </c>
      <c r="H27">
        <v>2</v>
      </c>
      <c r="I27" t="s">
        <v>335</v>
      </c>
      <c r="J27" t="s">
        <v>336</v>
      </c>
      <c r="K27" t="s">
        <v>337</v>
      </c>
      <c r="L27">
        <v>1368</v>
      </c>
      <c r="N27">
        <v>1011</v>
      </c>
      <c r="O27" t="s">
        <v>338</v>
      </c>
      <c r="P27" t="s">
        <v>338</v>
      </c>
      <c r="Q27">
        <v>1</v>
      </c>
      <c r="X27">
        <v>100</v>
      </c>
      <c r="Y27">
        <v>0</v>
      </c>
      <c r="Z27">
        <v>34.479999999999997</v>
      </c>
      <c r="AA27">
        <v>12.62</v>
      </c>
      <c r="AB27">
        <v>0</v>
      </c>
      <c r="AC27">
        <v>0</v>
      </c>
      <c r="AD27">
        <v>1</v>
      </c>
      <c r="AE27">
        <v>0</v>
      </c>
      <c r="AF27" t="s">
        <v>4</v>
      </c>
      <c r="AG27">
        <v>100</v>
      </c>
      <c r="AH27">
        <v>2</v>
      </c>
      <c r="AI27">
        <v>70310506</v>
      </c>
      <c r="AJ27">
        <v>5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>
      <c r="A28">
        <f>ROW(Source!A79)</f>
        <v>79</v>
      </c>
      <c r="B28">
        <v>70310510</v>
      </c>
      <c r="C28">
        <v>70310504</v>
      </c>
      <c r="D28">
        <v>69364591</v>
      </c>
      <c r="E28">
        <v>1</v>
      </c>
      <c r="F28">
        <v>1</v>
      </c>
      <c r="G28">
        <v>1075</v>
      </c>
      <c r="H28">
        <v>2</v>
      </c>
      <c r="I28" t="s">
        <v>339</v>
      </c>
      <c r="J28" t="s">
        <v>340</v>
      </c>
      <c r="K28" t="s">
        <v>341</v>
      </c>
      <c r="L28">
        <v>1368</v>
      </c>
      <c r="N28">
        <v>1011</v>
      </c>
      <c r="O28" t="s">
        <v>338</v>
      </c>
      <c r="P28" t="s">
        <v>338</v>
      </c>
      <c r="Q28">
        <v>1</v>
      </c>
      <c r="X28">
        <v>200</v>
      </c>
      <c r="Y28">
        <v>0</v>
      </c>
      <c r="Z28">
        <v>0.5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4</v>
      </c>
      <c r="AG28">
        <v>200</v>
      </c>
      <c r="AH28">
        <v>2</v>
      </c>
      <c r="AI28">
        <v>70310507</v>
      </c>
      <c r="AJ28">
        <v>6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>
      <c r="A29">
        <f>ROW(Source!A80)</f>
        <v>80</v>
      </c>
      <c r="B29">
        <v>70310518</v>
      </c>
      <c r="C29">
        <v>70310511</v>
      </c>
      <c r="D29">
        <v>69275358</v>
      </c>
      <c r="E29">
        <v>1075</v>
      </c>
      <c r="F29">
        <v>1</v>
      </c>
      <c r="G29">
        <v>1075</v>
      </c>
      <c r="H29">
        <v>1</v>
      </c>
      <c r="I29" t="s">
        <v>332</v>
      </c>
      <c r="J29" t="s">
        <v>4</v>
      </c>
      <c r="K29" t="s">
        <v>333</v>
      </c>
      <c r="L29">
        <v>1191</v>
      </c>
      <c r="N29">
        <v>1013</v>
      </c>
      <c r="O29" t="s">
        <v>334</v>
      </c>
      <c r="P29" t="s">
        <v>334</v>
      </c>
      <c r="Q29">
        <v>1</v>
      </c>
      <c r="X29">
        <v>175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4</v>
      </c>
      <c r="AG29">
        <v>175</v>
      </c>
      <c r="AH29">
        <v>2</v>
      </c>
      <c r="AI29">
        <v>70310512</v>
      </c>
      <c r="AJ29">
        <v>7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>
      <c r="A30">
        <f>ROW(Source!A80)</f>
        <v>80</v>
      </c>
      <c r="B30">
        <v>70310519</v>
      </c>
      <c r="C30">
        <v>70310511</v>
      </c>
      <c r="D30">
        <v>69333711</v>
      </c>
      <c r="E30">
        <v>1</v>
      </c>
      <c r="F30">
        <v>1</v>
      </c>
      <c r="G30">
        <v>1075</v>
      </c>
      <c r="H30">
        <v>3</v>
      </c>
      <c r="I30" t="s">
        <v>342</v>
      </c>
      <c r="J30" t="s">
        <v>343</v>
      </c>
      <c r="K30" t="s">
        <v>344</v>
      </c>
      <c r="L30">
        <v>1339</v>
      </c>
      <c r="N30">
        <v>1007</v>
      </c>
      <c r="O30" t="s">
        <v>52</v>
      </c>
      <c r="P30" t="s">
        <v>52</v>
      </c>
      <c r="Q30">
        <v>1</v>
      </c>
      <c r="X30">
        <v>0.08</v>
      </c>
      <c r="Y30">
        <v>2472.13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4</v>
      </c>
      <c r="AG30">
        <v>0.08</v>
      </c>
      <c r="AH30">
        <v>2</v>
      </c>
      <c r="AI30">
        <v>70310513</v>
      </c>
      <c r="AJ30">
        <v>8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>
      <c r="A31">
        <f>ROW(Source!A80)</f>
        <v>80</v>
      </c>
      <c r="B31">
        <v>70310520</v>
      </c>
      <c r="C31">
        <v>70310511</v>
      </c>
      <c r="D31">
        <v>69341947</v>
      </c>
      <c r="E31">
        <v>1</v>
      </c>
      <c r="F31">
        <v>1</v>
      </c>
      <c r="G31">
        <v>1075</v>
      </c>
      <c r="H31">
        <v>3</v>
      </c>
      <c r="I31" t="s">
        <v>133</v>
      </c>
      <c r="J31" t="s">
        <v>136</v>
      </c>
      <c r="K31" t="s">
        <v>134</v>
      </c>
      <c r="L31">
        <v>1301</v>
      </c>
      <c r="N31">
        <v>1003</v>
      </c>
      <c r="O31" t="s">
        <v>135</v>
      </c>
      <c r="P31" t="s">
        <v>135</v>
      </c>
      <c r="Q31">
        <v>1</v>
      </c>
      <c r="X31">
        <v>990</v>
      </c>
      <c r="Y31">
        <v>15.01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4</v>
      </c>
      <c r="AG31">
        <v>990</v>
      </c>
      <c r="AH31">
        <v>2</v>
      </c>
      <c r="AI31">
        <v>70310514</v>
      </c>
      <c r="AJ31">
        <v>9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>
      <c r="A32">
        <f>ROW(Source!A80)</f>
        <v>80</v>
      </c>
      <c r="B32">
        <v>70310521</v>
      </c>
      <c r="C32">
        <v>70310511</v>
      </c>
      <c r="D32">
        <v>69341979</v>
      </c>
      <c r="E32">
        <v>1</v>
      </c>
      <c r="F32">
        <v>1</v>
      </c>
      <c r="G32">
        <v>1075</v>
      </c>
      <c r="H32">
        <v>3</v>
      </c>
      <c r="I32" t="s">
        <v>345</v>
      </c>
      <c r="J32" t="s">
        <v>346</v>
      </c>
      <c r="K32" t="s">
        <v>347</v>
      </c>
      <c r="L32">
        <v>1358</v>
      </c>
      <c r="N32">
        <v>1010</v>
      </c>
      <c r="O32" t="s">
        <v>348</v>
      </c>
      <c r="P32" t="s">
        <v>348</v>
      </c>
      <c r="Q32">
        <v>10</v>
      </c>
      <c r="X32">
        <v>32</v>
      </c>
      <c r="Y32">
        <v>159.69999999999999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4</v>
      </c>
      <c r="AG32">
        <v>32</v>
      </c>
      <c r="AH32">
        <v>2</v>
      </c>
      <c r="AI32">
        <v>70310516</v>
      </c>
      <c r="AJ32">
        <v>11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>
      <c r="A33">
        <f>ROW(Source!A80)</f>
        <v>80</v>
      </c>
      <c r="B33">
        <v>70310522</v>
      </c>
      <c r="C33">
        <v>70310511</v>
      </c>
      <c r="D33">
        <v>69358067</v>
      </c>
      <c r="E33">
        <v>1</v>
      </c>
      <c r="F33">
        <v>1</v>
      </c>
      <c r="G33">
        <v>1075</v>
      </c>
      <c r="H33">
        <v>3</v>
      </c>
      <c r="I33" t="s">
        <v>349</v>
      </c>
      <c r="J33" t="s">
        <v>350</v>
      </c>
      <c r="K33" t="s">
        <v>351</v>
      </c>
      <c r="L33">
        <v>1339</v>
      </c>
      <c r="N33">
        <v>1007</v>
      </c>
      <c r="O33" t="s">
        <v>52</v>
      </c>
      <c r="P33" t="s">
        <v>52</v>
      </c>
      <c r="Q33">
        <v>1</v>
      </c>
      <c r="X33">
        <v>0.3</v>
      </c>
      <c r="Y33">
        <v>376.21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4</v>
      </c>
      <c r="AG33">
        <v>0.3</v>
      </c>
      <c r="AH33">
        <v>2</v>
      </c>
      <c r="AI33">
        <v>70310517</v>
      </c>
      <c r="AJ33">
        <v>12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>
      <c r="A34">
        <f>ROW(Source!A80)</f>
        <v>80</v>
      </c>
      <c r="B34">
        <v>70310523</v>
      </c>
      <c r="C34">
        <v>70310511</v>
      </c>
      <c r="D34">
        <v>69315624</v>
      </c>
      <c r="E34">
        <v>1075</v>
      </c>
      <c r="F34">
        <v>1</v>
      </c>
      <c r="G34">
        <v>1075</v>
      </c>
      <c r="H34">
        <v>3</v>
      </c>
      <c r="I34" t="s">
        <v>422</v>
      </c>
      <c r="J34" t="s">
        <v>4</v>
      </c>
      <c r="K34" t="s">
        <v>423</v>
      </c>
      <c r="L34">
        <v>1327</v>
      </c>
      <c r="N34">
        <v>1005</v>
      </c>
      <c r="O34" t="s">
        <v>164</v>
      </c>
      <c r="P34" t="s">
        <v>164</v>
      </c>
      <c r="Q34">
        <v>1</v>
      </c>
      <c r="X34">
        <v>15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 t="s">
        <v>4</v>
      </c>
      <c r="AG34">
        <v>15</v>
      </c>
      <c r="AH34">
        <v>3</v>
      </c>
      <c r="AI34">
        <v>-1</v>
      </c>
      <c r="AJ34" t="s">
        <v>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>
      <c r="A35">
        <f>ROW(Source!A81)</f>
        <v>81</v>
      </c>
      <c r="B35">
        <v>70310518</v>
      </c>
      <c r="C35">
        <v>70310511</v>
      </c>
      <c r="D35">
        <v>69275358</v>
      </c>
      <c r="E35">
        <v>1075</v>
      </c>
      <c r="F35">
        <v>1</v>
      </c>
      <c r="G35">
        <v>1075</v>
      </c>
      <c r="H35">
        <v>1</v>
      </c>
      <c r="I35" t="s">
        <v>332</v>
      </c>
      <c r="J35" t="s">
        <v>4</v>
      </c>
      <c r="K35" t="s">
        <v>333</v>
      </c>
      <c r="L35">
        <v>1191</v>
      </c>
      <c r="N35">
        <v>1013</v>
      </c>
      <c r="O35" t="s">
        <v>334</v>
      </c>
      <c r="P35" t="s">
        <v>334</v>
      </c>
      <c r="Q35">
        <v>1</v>
      </c>
      <c r="X35">
        <v>175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1</v>
      </c>
      <c r="AF35" t="s">
        <v>4</v>
      </c>
      <c r="AG35">
        <v>175</v>
      </c>
      <c r="AH35">
        <v>2</v>
      </c>
      <c r="AI35">
        <v>70310512</v>
      </c>
      <c r="AJ35">
        <v>13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>
      <c r="A36">
        <f>ROW(Source!A81)</f>
        <v>81</v>
      </c>
      <c r="B36">
        <v>70310519</v>
      </c>
      <c r="C36">
        <v>70310511</v>
      </c>
      <c r="D36">
        <v>69333711</v>
      </c>
      <c r="E36">
        <v>1</v>
      </c>
      <c r="F36">
        <v>1</v>
      </c>
      <c r="G36">
        <v>1075</v>
      </c>
      <c r="H36">
        <v>3</v>
      </c>
      <c r="I36" t="s">
        <v>342</v>
      </c>
      <c r="J36" t="s">
        <v>343</v>
      </c>
      <c r="K36" t="s">
        <v>344</v>
      </c>
      <c r="L36">
        <v>1339</v>
      </c>
      <c r="N36">
        <v>1007</v>
      </c>
      <c r="O36" t="s">
        <v>52</v>
      </c>
      <c r="P36" t="s">
        <v>52</v>
      </c>
      <c r="Q36">
        <v>1</v>
      </c>
      <c r="X36">
        <v>0.08</v>
      </c>
      <c r="Y36">
        <v>2472.13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4</v>
      </c>
      <c r="AG36">
        <v>0.08</v>
      </c>
      <c r="AH36">
        <v>2</v>
      </c>
      <c r="AI36">
        <v>70310513</v>
      </c>
      <c r="AJ36">
        <v>14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>
      <c r="A37">
        <f>ROW(Source!A81)</f>
        <v>81</v>
      </c>
      <c r="B37">
        <v>70310520</v>
      </c>
      <c r="C37">
        <v>70310511</v>
      </c>
      <c r="D37">
        <v>69341947</v>
      </c>
      <c r="E37">
        <v>1</v>
      </c>
      <c r="F37">
        <v>1</v>
      </c>
      <c r="G37">
        <v>1075</v>
      </c>
      <c r="H37">
        <v>3</v>
      </c>
      <c r="I37" t="s">
        <v>133</v>
      </c>
      <c r="J37" t="s">
        <v>136</v>
      </c>
      <c r="K37" t="s">
        <v>134</v>
      </c>
      <c r="L37">
        <v>1301</v>
      </c>
      <c r="N37">
        <v>1003</v>
      </c>
      <c r="O37" t="s">
        <v>135</v>
      </c>
      <c r="P37" t="s">
        <v>135</v>
      </c>
      <c r="Q37">
        <v>1</v>
      </c>
      <c r="X37">
        <v>990</v>
      </c>
      <c r="Y37">
        <v>15.01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4</v>
      </c>
      <c r="AG37">
        <v>990</v>
      </c>
      <c r="AH37">
        <v>2</v>
      </c>
      <c r="AI37">
        <v>70310514</v>
      </c>
      <c r="AJ37">
        <v>15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>
      <c r="A38">
        <f>ROW(Source!A81)</f>
        <v>81</v>
      </c>
      <c r="B38">
        <v>70310521</v>
      </c>
      <c r="C38">
        <v>70310511</v>
      </c>
      <c r="D38">
        <v>69341979</v>
      </c>
      <c r="E38">
        <v>1</v>
      </c>
      <c r="F38">
        <v>1</v>
      </c>
      <c r="G38">
        <v>1075</v>
      </c>
      <c r="H38">
        <v>3</v>
      </c>
      <c r="I38" t="s">
        <v>345</v>
      </c>
      <c r="J38" t="s">
        <v>346</v>
      </c>
      <c r="K38" t="s">
        <v>347</v>
      </c>
      <c r="L38">
        <v>1358</v>
      </c>
      <c r="N38">
        <v>1010</v>
      </c>
      <c r="O38" t="s">
        <v>348</v>
      </c>
      <c r="P38" t="s">
        <v>348</v>
      </c>
      <c r="Q38">
        <v>10</v>
      </c>
      <c r="X38">
        <v>32</v>
      </c>
      <c r="Y38">
        <v>159.69999999999999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4</v>
      </c>
      <c r="AG38">
        <v>32</v>
      </c>
      <c r="AH38">
        <v>2</v>
      </c>
      <c r="AI38">
        <v>70310516</v>
      </c>
      <c r="AJ38">
        <v>17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>
      <c r="A39">
        <f>ROW(Source!A81)</f>
        <v>81</v>
      </c>
      <c r="B39">
        <v>70310522</v>
      </c>
      <c r="C39">
        <v>70310511</v>
      </c>
      <c r="D39">
        <v>69358067</v>
      </c>
      <c r="E39">
        <v>1</v>
      </c>
      <c r="F39">
        <v>1</v>
      </c>
      <c r="G39">
        <v>1075</v>
      </c>
      <c r="H39">
        <v>3</v>
      </c>
      <c r="I39" t="s">
        <v>349</v>
      </c>
      <c r="J39" t="s">
        <v>350</v>
      </c>
      <c r="K39" t="s">
        <v>351</v>
      </c>
      <c r="L39">
        <v>1339</v>
      </c>
      <c r="N39">
        <v>1007</v>
      </c>
      <c r="O39" t="s">
        <v>52</v>
      </c>
      <c r="P39" t="s">
        <v>52</v>
      </c>
      <c r="Q39">
        <v>1</v>
      </c>
      <c r="X39">
        <v>0.3</v>
      </c>
      <c r="Y39">
        <v>376.21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4</v>
      </c>
      <c r="AG39">
        <v>0.3</v>
      </c>
      <c r="AH39">
        <v>2</v>
      </c>
      <c r="AI39">
        <v>70310517</v>
      </c>
      <c r="AJ39">
        <v>18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>
      <c r="A40">
        <f>ROW(Source!A81)</f>
        <v>81</v>
      </c>
      <c r="B40">
        <v>70310523</v>
      </c>
      <c r="C40">
        <v>70310511</v>
      </c>
      <c r="D40">
        <v>69315624</v>
      </c>
      <c r="E40">
        <v>1075</v>
      </c>
      <c r="F40">
        <v>1</v>
      </c>
      <c r="G40">
        <v>1075</v>
      </c>
      <c r="H40">
        <v>3</v>
      </c>
      <c r="I40" t="s">
        <v>422</v>
      </c>
      <c r="J40" t="s">
        <v>4</v>
      </c>
      <c r="K40" t="s">
        <v>423</v>
      </c>
      <c r="L40">
        <v>1327</v>
      </c>
      <c r="N40">
        <v>1005</v>
      </c>
      <c r="O40" t="s">
        <v>164</v>
      </c>
      <c r="P40" t="s">
        <v>164</v>
      </c>
      <c r="Q40">
        <v>1</v>
      </c>
      <c r="X40">
        <v>15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 t="s">
        <v>4</v>
      </c>
      <c r="AG40">
        <v>15</v>
      </c>
      <c r="AH40">
        <v>3</v>
      </c>
      <c r="AI40">
        <v>-1</v>
      </c>
      <c r="AJ40" t="s">
        <v>4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>
      <c r="A41">
        <f>ROW(Source!A86)</f>
        <v>86</v>
      </c>
      <c r="B41">
        <v>70310684</v>
      </c>
      <c r="C41">
        <v>70310669</v>
      </c>
      <c r="D41">
        <v>69275358</v>
      </c>
      <c r="E41">
        <v>1075</v>
      </c>
      <c r="F41">
        <v>1</v>
      </c>
      <c r="G41">
        <v>1075</v>
      </c>
      <c r="H41">
        <v>1</v>
      </c>
      <c r="I41" t="s">
        <v>332</v>
      </c>
      <c r="J41" t="s">
        <v>4</v>
      </c>
      <c r="K41" t="s">
        <v>333</v>
      </c>
      <c r="L41">
        <v>1191</v>
      </c>
      <c r="N41">
        <v>1013</v>
      </c>
      <c r="O41" t="s">
        <v>334</v>
      </c>
      <c r="P41" t="s">
        <v>334</v>
      </c>
      <c r="Q41">
        <v>1</v>
      </c>
      <c r="X41">
        <v>163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4</v>
      </c>
      <c r="AG41">
        <v>163</v>
      </c>
      <c r="AH41">
        <v>2</v>
      </c>
      <c r="AI41">
        <v>70310684</v>
      </c>
      <c r="AJ41">
        <v>19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>
      <c r="A42">
        <f>ROW(Source!A86)</f>
        <v>86</v>
      </c>
      <c r="B42">
        <v>70310685</v>
      </c>
      <c r="C42">
        <v>70310669</v>
      </c>
      <c r="D42">
        <v>69333711</v>
      </c>
      <c r="E42">
        <v>1</v>
      </c>
      <c r="F42">
        <v>1</v>
      </c>
      <c r="G42">
        <v>1075</v>
      </c>
      <c r="H42">
        <v>3</v>
      </c>
      <c r="I42" t="s">
        <v>342</v>
      </c>
      <c r="J42" t="s">
        <v>343</v>
      </c>
      <c r="K42" t="s">
        <v>344</v>
      </c>
      <c r="L42">
        <v>1339</v>
      </c>
      <c r="N42">
        <v>1007</v>
      </c>
      <c r="O42" t="s">
        <v>52</v>
      </c>
      <c r="P42" t="s">
        <v>52</v>
      </c>
      <c r="Q42">
        <v>1</v>
      </c>
      <c r="X42">
        <v>0.08</v>
      </c>
      <c r="Y42">
        <v>2472.13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4</v>
      </c>
      <c r="AG42">
        <v>0.08</v>
      </c>
      <c r="AH42">
        <v>2</v>
      </c>
      <c r="AI42">
        <v>70310685</v>
      </c>
      <c r="AJ42">
        <v>20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>
      <c r="A43">
        <f>ROW(Source!A86)</f>
        <v>86</v>
      </c>
      <c r="B43">
        <v>70310686</v>
      </c>
      <c r="C43">
        <v>70310669</v>
      </c>
      <c r="D43">
        <v>69341947</v>
      </c>
      <c r="E43">
        <v>1</v>
      </c>
      <c r="F43">
        <v>1</v>
      </c>
      <c r="G43">
        <v>1075</v>
      </c>
      <c r="H43">
        <v>3</v>
      </c>
      <c r="I43" t="s">
        <v>133</v>
      </c>
      <c r="J43" t="s">
        <v>136</v>
      </c>
      <c r="K43" t="s">
        <v>134</v>
      </c>
      <c r="L43">
        <v>1301</v>
      </c>
      <c r="N43">
        <v>1003</v>
      </c>
      <c r="O43" t="s">
        <v>135</v>
      </c>
      <c r="P43" t="s">
        <v>135</v>
      </c>
      <c r="Q43">
        <v>1</v>
      </c>
      <c r="X43">
        <v>990</v>
      </c>
      <c r="Y43">
        <v>15.01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4</v>
      </c>
      <c r="AG43">
        <v>990</v>
      </c>
      <c r="AH43">
        <v>2</v>
      </c>
      <c r="AI43">
        <v>70310686</v>
      </c>
      <c r="AJ43">
        <v>21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>
      <c r="A44">
        <f>ROW(Source!A86)</f>
        <v>86</v>
      </c>
      <c r="B44">
        <v>70310687</v>
      </c>
      <c r="C44">
        <v>70310669</v>
      </c>
      <c r="D44">
        <v>69341979</v>
      </c>
      <c r="E44">
        <v>1</v>
      </c>
      <c r="F44">
        <v>1</v>
      </c>
      <c r="G44">
        <v>1075</v>
      </c>
      <c r="H44">
        <v>3</v>
      </c>
      <c r="I44" t="s">
        <v>345</v>
      </c>
      <c r="J44" t="s">
        <v>346</v>
      </c>
      <c r="K44" t="s">
        <v>347</v>
      </c>
      <c r="L44">
        <v>1358</v>
      </c>
      <c r="N44">
        <v>1010</v>
      </c>
      <c r="O44" t="s">
        <v>348</v>
      </c>
      <c r="P44" t="s">
        <v>348</v>
      </c>
      <c r="Q44">
        <v>10</v>
      </c>
      <c r="X44">
        <v>32</v>
      </c>
      <c r="Y44">
        <v>159.69999999999999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4</v>
      </c>
      <c r="AG44">
        <v>32</v>
      </c>
      <c r="AH44">
        <v>2</v>
      </c>
      <c r="AI44">
        <v>70310687</v>
      </c>
      <c r="AJ44">
        <v>23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>
      <c r="A45">
        <f>ROW(Source!A86)</f>
        <v>86</v>
      </c>
      <c r="B45">
        <v>70310688</v>
      </c>
      <c r="C45">
        <v>70310669</v>
      </c>
      <c r="D45">
        <v>69358067</v>
      </c>
      <c r="E45">
        <v>1</v>
      </c>
      <c r="F45">
        <v>1</v>
      </c>
      <c r="G45">
        <v>1075</v>
      </c>
      <c r="H45">
        <v>3</v>
      </c>
      <c r="I45" t="s">
        <v>349</v>
      </c>
      <c r="J45" t="s">
        <v>350</v>
      </c>
      <c r="K45" t="s">
        <v>351</v>
      </c>
      <c r="L45">
        <v>1339</v>
      </c>
      <c r="N45">
        <v>1007</v>
      </c>
      <c r="O45" t="s">
        <v>52</v>
      </c>
      <c r="P45" t="s">
        <v>52</v>
      </c>
      <c r="Q45">
        <v>1</v>
      </c>
      <c r="X45">
        <v>0.3</v>
      </c>
      <c r="Y45">
        <v>376.21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4</v>
      </c>
      <c r="AG45">
        <v>0.3</v>
      </c>
      <c r="AH45">
        <v>2</v>
      </c>
      <c r="AI45">
        <v>70310688</v>
      </c>
      <c r="AJ45">
        <v>24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>
      <c r="A46">
        <f>ROW(Source!A86)</f>
        <v>86</v>
      </c>
      <c r="B46">
        <v>70310689</v>
      </c>
      <c r="C46">
        <v>70310669</v>
      </c>
      <c r="D46">
        <v>69315627</v>
      </c>
      <c r="E46">
        <v>1075</v>
      </c>
      <c r="F46">
        <v>1</v>
      </c>
      <c r="G46">
        <v>1075</v>
      </c>
      <c r="H46">
        <v>3</v>
      </c>
      <c r="I46" t="s">
        <v>422</v>
      </c>
      <c r="J46" t="s">
        <v>4</v>
      </c>
      <c r="K46" t="s">
        <v>423</v>
      </c>
      <c r="L46">
        <v>1327</v>
      </c>
      <c r="N46">
        <v>1005</v>
      </c>
      <c r="O46" t="s">
        <v>164</v>
      </c>
      <c r="P46" t="s">
        <v>164</v>
      </c>
      <c r="Q46">
        <v>1</v>
      </c>
      <c r="X46">
        <v>15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 t="s">
        <v>4</v>
      </c>
      <c r="AG46">
        <v>15</v>
      </c>
      <c r="AH46">
        <v>3</v>
      </c>
      <c r="AI46">
        <v>-1</v>
      </c>
      <c r="AJ46" t="s">
        <v>4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>
      <c r="A47">
        <f>ROW(Source!A87)</f>
        <v>87</v>
      </c>
      <c r="B47">
        <v>70310684</v>
      </c>
      <c r="C47">
        <v>70310669</v>
      </c>
      <c r="D47">
        <v>69275358</v>
      </c>
      <c r="E47">
        <v>1075</v>
      </c>
      <c r="F47">
        <v>1</v>
      </c>
      <c r="G47">
        <v>1075</v>
      </c>
      <c r="H47">
        <v>1</v>
      </c>
      <c r="I47" t="s">
        <v>332</v>
      </c>
      <c r="J47" t="s">
        <v>4</v>
      </c>
      <c r="K47" t="s">
        <v>333</v>
      </c>
      <c r="L47">
        <v>1191</v>
      </c>
      <c r="N47">
        <v>1013</v>
      </c>
      <c r="O47" t="s">
        <v>334</v>
      </c>
      <c r="P47" t="s">
        <v>334</v>
      </c>
      <c r="Q47">
        <v>1</v>
      </c>
      <c r="X47">
        <v>163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4</v>
      </c>
      <c r="AG47">
        <v>163</v>
      </c>
      <c r="AH47">
        <v>2</v>
      </c>
      <c r="AI47">
        <v>70310684</v>
      </c>
      <c r="AJ47">
        <v>25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>
      <c r="A48">
        <f>ROW(Source!A87)</f>
        <v>87</v>
      </c>
      <c r="B48">
        <v>70310685</v>
      </c>
      <c r="C48">
        <v>70310669</v>
      </c>
      <c r="D48">
        <v>69333711</v>
      </c>
      <c r="E48">
        <v>1</v>
      </c>
      <c r="F48">
        <v>1</v>
      </c>
      <c r="G48">
        <v>1075</v>
      </c>
      <c r="H48">
        <v>3</v>
      </c>
      <c r="I48" t="s">
        <v>342</v>
      </c>
      <c r="J48" t="s">
        <v>343</v>
      </c>
      <c r="K48" t="s">
        <v>344</v>
      </c>
      <c r="L48">
        <v>1339</v>
      </c>
      <c r="N48">
        <v>1007</v>
      </c>
      <c r="O48" t="s">
        <v>52</v>
      </c>
      <c r="P48" t="s">
        <v>52</v>
      </c>
      <c r="Q48">
        <v>1</v>
      </c>
      <c r="X48">
        <v>0.08</v>
      </c>
      <c r="Y48">
        <v>2472.13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4</v>
      </c>
      <c r="AG48">
        <v>0.08</v>
      </c>
      <c r="AH48">
        <v>2</v>
      </c>
      <c r="AI48">
        <v>70310685</v>
      </c>
      <c r="AJ48">
        <v>26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>
      <c r="A49">
        <f>ROW(Source!A87)</f>
        <v>87</v>
      </c>
      <c r="B49">
        <v>70310686</v>
      </c>
      <c r="C49">
        <v>70310669</v>
      </c>
      <c r="D49">
        <v>69341947</v>
      </c>
      <c r="E49">
        <v>1</v>
      </c>
      <c r="F49">
        <v>1</v>
      </c>
      <c r="G49">
        <v>1075</v>
      </c>
      <c r="H49">
        <v>3</v>
      </c>
      <c r="I49" t="s">
        <v>133</v>
      </c>
      <c r="J49" t="s">
        <v>136</v>
      </c>
      <c r="K49" t="s">
        <v>134</v>
      </c>
      <c r="L49">
        <v>1301</v>
      </c>
      <c r="N49">
        <v>1003</v>
      </c>
      <c r="O49" t="s">
        <v>135</v>
      </c>
      <c r="P49" t="s">
        <v>135</v>
      </c>
      <c r="Q49">
        <v>1</v>
      </c>
      <c r="X49">
        <v>990</v>
      </c>
      <c r="Y49">
        <v>15.01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4</v>
      </c>
      <c r="AG49">
        <v>990</v>
      </c>
      <c r="AH49">
        <v>2</v>
      </c>
      <c r="AI49">
        <v>70310686</v>
      </c>
      <c r="AJ49">
        <v>27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>
      <c r="A50">
        <f>ROW(Source!A87)</f>
        <v>87</v>
      </c>
      <c r="B50">
        <v>70310687</v>
      </c>
      <c r="C50">
        <v>70310669</v>
      </c>
      <c r="D50">
        <v>69341979</v>
      </c>
      <c r="E50">
        <v>1</v>
      </c>
      <c r="F50">
        <v>1</v>
      </c>
      <c r="G50">
        <v>1075</v>
      </c>
      <c r="H50">
        <v>3</v>
      </c>
      <c r="I50" t="s">
        <v>345</v>
      </c>
      <c r="J50" t="s">
        <v>346</v>
      </c>
      <c r="K50" t="s">
        <v>347</v>
      </c>
      <c r="L50">
        <v>1358</v>
      </c>
      <c r="N50">
        <v>1010</v>
      </c>
      <c r="O50" t="s">
        <v>348</v>
      </c>
      <c r="P50" t="s">
        <v>348</v>
      </c>
      <c r="Q50">
        <v>10</v>
      </c>
      <c r="X50">
        <v>32</v>
      </c>
      <c r="Y50">
        <v>159.69999999999999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4</v>
      </c>
      <c r="AG50">
        <v>32</v>
      </c>
      <c r="AH50">
        <v>2</v>
      </c>
      <c r="AI50">
        <v>70310687</v>
      </c>
      <c r="AJ50">
        <v>29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>
      <c r="A51">
        <f>ROW(Source!A87)</f>
        <v>87</v>
      </c>
      <c r="B51">
        <v>70310688</v>
      </c>
      <c r="C51">
        <v>70310669</v>
      </c>
      <c r="D51">
        <v>69358067</v>
      </c>
      <c r="E51">
        <v>1</v>
      </c>
      <c r="F51">
        <v>1</v>
      </c>
      <c r="G51">
        <v>1075</v>
      </c>
      <c r="H51">
        <v>3</v>
      </c>
      <c r="I51" t="s">
        <v>349</v>
      </c>
      <c r="J51" t="s">
        <v>350</v>
      </c>
      <c r="K51" t="s">
        <v>351</v>
      </c>
      <c r="L51">
        <v>1339</v>
      </c>
      <c r="N51">
        <v>1007</v>
      </c>
      <c r="O51" t="s">
        <v>52</v>
      </c>
      <c r="P51" t="s">
        <v>52</v>
      </c>
      <c r="Q51">
        <v>1</v>
      </c>
      <c r="X51">
        <v>0.3</v>
      </c>
      <c r="Y51">
        <v>376.21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4</v>
      </c>
      <c r="AG51">
        <v>0.3</v>
      </c>
      <c r="AH51">
        <v>2</v>
      </c>
      <c r="AI51">
        <v>70310688</v>
      </c>
      <c r="AJ51">
        <v>30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>
      <c r="A52">
        <f>ROW(Source!A87)</f>
        <v>87</v>
      </c>
      <c r="B52">
        <v>70310689</v>
      </c>
      <c r="C52">
        <v>70310669</v>
      </c>
      <c r="D52">
        <v>69315627</v>
      </c>
      <c r="E52">
        <v>1075</v>
      </c>
      <c r="F52">
        <v>1</v>
      </c>
      <c r="G52">
        <v>1075</v>
      </c>
      <c r="H52">
        <v>3</v>
      </c>
      <c r="I52" t="s">
        <v>422</v>
      </c>
      <c r="J52" t="s">
        <v>4</v>
      </c>
      <c r="K52" t="s">
        <v>423</v>
      </c>
      <c r="L52">
        <v>1327</v>
      </c>
      <c r="N52">
        <v>1005</v>
      </c>
      <c r="O52" t="s">
        <v>164</v>
      </c>
      <c r="P52" t="s">
        <v>164</v>
      </c>
      <c r="Q52">
        <v>1</v>
      </c>
      <c r="X52">
        <v>15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 t="s">
        <v>4</v>
      </c>
      <c r="AG52">
        <v>15</v>
      </c>
      <c r="AH52">
        <v>3</v>
      </c>
      <c r="AI52">
        <v>-1</v>
      </c>
      <c r="AJ52" t="s">
        <v>4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>
      <c r="A53">
        <f>ROW(Source!A92)</f>
        <v>92</v>
      </c>
      <c r="B53">
        <v>70310533</v>
      </c>
      <c r="C53">
        <v>70310526</v>
      </c>
      <c r="D53">
        <v>69275358</v>
      </c>
      <c r="E53">
        <v>1075</v>
      </c>
      <c r="F53">
        <v>1</v>
      </c>
      <c r="G53">
        <v>1075</v>
      </c>
      <c r="H53">
        <v>1</v>
      </c>
      <c r="I53" t="s">
        <v>332</v>
      </c>
      <c r="J53" t="s">
        <v>4</v>
      </c>
      <c r="K53" t="s">
        <v>333</v>
      </c>
      <c r="L53">
        <v>1191</v>
      </c>
      <c r="N53">
        <v>1013</v>
      </c>
      <c r="O53" t="s">
        <v>334</v>
      </c>
      <c r="P53" t="s">
        <v>334</v>
      </c>
      <c r="Q53">
        <v>1</v>
      </c>
      <c r="X53">
        <v>132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4</v>
      </c>
      <c r="AG53">
        <v>132</v>
      </c>
      <c r="AH53">
        <v>2</v>
      </c>
      <c r="AI53">
        <v>70310527</v>
      </c>
      <c r="AJ53">
        <v>31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>
      <c r="A54">
        <f>ROW(Source!A92)</f>
        <v>92</v>
      </c>
      <c r="B54">
        <v>70310534</v>
      </c>
      <c r="C54">
        <v>70310526</v>
      </c>
      <c r="D54">
        <v>69333752</v>
      </c>
      <c r="E54">
        <v>1</v>
      </c>
      <c r="F54">
        <v>1</v>
      </c>
      <c r="G54">
        <v>1075</v>
      </c>
      <c r="H54">
        <v>3</v>
      </c>
      <c r="I54" t="s">
        <v>352</v>
      </c>
      <c r="J54" t="s">
        <v>353</v>
      </c>
      <c r="K54" t="s">
        <v>354</v>
      </c>
      <c r="L54">
        <v>1348</v>
      </c>
      <c r="N54">
        <v>1009</v>
      </c>
      <c r="O54" t="s">
        <v>168</v>
      </c>
      <c r="P54" t="s">
        <v>168</v>
      </c>
      <c r="Q54">
        <v>1000</v>
      </c>
      <c r="X54">
        <v>6.0000000000000001E-3</v>
      </c>
      <c r="Y54">
        <v>6521.42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4</v>
      </c>
      <c r="AG54">
        <v>6.0000000000000001E-3</v>
      </c>
      <c r="AH54">
        <v>2</v>
      </c>
      <c r="AI54">
        <v>70310528</v>
      </c>
      <c r="AJ54">
        <v>32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>
      <c r="A55">
        <f>ROW(Source!A92)</f>
        <v>92</v>
      </c>
      <c r="B55">
        <v>70310535</v>
      </c>
      <c r="C55">
        <v>70310526</v>
      </c>
      <c r="D55">
        <v>69333827</v>
      </c>
      <c r="E55">
        <v>1</v>
      </c>
      <c r="F55">
        <v>1</v>
      </c>
      <c r="G55">
        <v>1075</v>
      </c>
      <c r="H55">
        <v>3</v>
      </c>
      <c r="I55" t="s">
        <v>355</v>
      </c>
      <c r="J55" t="s">
        <v>356</v>
      </c>
      <c r="K55" t="s">
        <v>357</v>
      </c>
      <c r="L55">
        <v>1339</v>
      </c>
      <c r="N55">
        <v>1007</v>
      </c>
      <c r="O55" t="s">
        <v>52</v>
      </c>
      <c r="P55" t="s">
        <v>52</v>
      </c>
      <c r="Q55">
        <v>1</v>
      </c>
      <c r="X55">
        <v>1.7999999999999999E-2</v>
      </c>
      <c r="Y55">
        <v>1828.56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4</v>
      </c>
      <c r="AG55">
        <v>1.7999999999999999E-2</v>
      </c>
      <c r="AH55">
        <v>2</v>
      </c>
      <c r="AI55">
        <v>70310529</v>
      </c>
      <c r="AJ55">
        <v>33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>
      <c r="A56">
        <f>ROW(Source!A92)</f>
        <v>92</v>
      </c>
      <c r="B56">
        <v>70310536</v>
      </c>
      <c r="C56">
        <v>70310526</v>
      </c>
      <c r="D56">
        <v>69333708</v>
      </c>
      <c r="E56">
        <v>1</v>
      </c>
      <c r="F56">
        <v>1</v>
      </c>
      <c r="G56">
        <v>1075</v>
      </c>
      <c r="H56">
        <v>3</v>
      </c>
      <c r="I56" t="s">
        <v>358</v>
      </c>
      <c r="J56" t="s">
        <v>359</v>
      </c>
      <c r="K56" t="s">
        <v>360</v>
      </c>
      <c r="L56">
        <v>1339</v>
      </c>
      <c r="N56">
        <v>1007</v>
      </c>
      <c r="O56" t="s">
        <v>52</v>
      </c>
      <c r="P56" t="s">
        <v>52</v>
      </c>
      <c r="Q56">
        <v>1</v>
      </c>
      <c r="X56">
        <v>0.3</v>
      </c>
      <c r="Y56">
        <v>2472.13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4</v>
      </c>
      <c r="AG56">
        <v>0.3</v>
      </c>
      <c r="AH56">
        <v>2</v>
      </c>
      <c r="AI56">
        <v>70310530</v>
      </c>
      <c r="AJ56">
        <v>34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>
      <c r="A57">
        <f>ROW(Source!A92)</f>
        <v>92</v>
      </c>
      <c r="B57">
        <v>70310537</v>
      </c>
      <c r="C57">
        <v>70310526</v>
      </c>
      <c r="D57">
        <v>69334307</v>
      </c>
      <c r="E57">
        <v>1</v>
      </c>
      <c r="F57">
        <v>1</v>
      </c>
      <c r="G57">
        <v>1075</v>
      </c>
      <c r="H57">
        <v>3</v>
      </c>
      <c r="I57" t="s">
        <v>361</v>
      </c>
      <c r="J57" t="s">
        <v>362</v>
      </c>
      <c r="K57" t="s">
        <v>363</v>
      </c>
      <c r="L57">
        <v>1348</v>
      </c>
      <c r="N57">
        <v>1009</v>
      </c>
      <c r="O57" t="s">
        <v>168</v>
      </c>
      <c r="P57" t="s">
        <v>168</v>
      </c>
      <c r="Q57">
        <v>1000</v>
      </c>
      <c r="X57">
        <v>5.4000000000000003E-3</v>
      </c>
      <c r="Y57">
        <v>9098.51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4</v>
      </c>
      <c r="AG57">
        <v>5.4000000000000003E-3</v>
      </c>
      <c r="AH57">
        <v>2</v>
      </c>
      <c r="AI57">
        <v>70310531</v>
      </c>
      <c r="AJ57">
        <v>35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>
      <c r="A58">
        <f>ROW(Source!A92)</f>
        <v>92</v>
      </c>
      <c r="B58">
        <v>70310538</v>
      </c>
      <c r="C58">
        <v>70310526</v>
      </c>
      <c r="D58">
        <v>69312178</v>
      </c>
      <c r="E58">
        <v>1075</v>
      </c>
      <c r="F58">
        <v>1</v>
      </c>
      <c r="G58">
        <v>1075</v>
      </c>
      <c r="H58">
        <v>3</v>
      </c>
      <c r="I58" t="s">
        <v>424</v>
      </c>
      <c r="J58" t="s">
        <v>4</v>
      </c>
      <c r="K58" t="s">
        <v>425</v>
      </c>
      <c r="L58">
        <v>1339</v>
      </c>
      <c r="N58">
        <v>1007</v>
      </c>
      <c r="O58" t="s">
        <v>52</v>
      </c>
      <c r="P58" t="s">
        <v>52</v>
      </c>
      <c r="Q58">
        <v>1</v>
      </c>
      <c r="X58">
        <v>0.41599999999999998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 t="s">
        <v>4</v>
      </c>
      <c r="AG58">
        <v>0.41599999999999998</v>
      </c>
      <c r="AH58">
        <v>3</v>
      </c>
      <c r="AI58">
        <v>-1</v>
      </c>
      <c r="AJ58" t="s">
        <v>4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>
      <c r="A59">
        <f>ROW(Source!A93)</f>
        <v>93</v>
      </c>
      <c r="B59">
        <v>70310533</v>
      </c>
      <c r="C59">
        <v>70310526</v>
      </c>
      <c r="D59">
        <v>69275358</v>
      </c>
      <c r="E59">
        <v>1075</v>
      </c>
      <c r="F59">
        <v>1</v>
      </c>
      <c r="G59">
        <v>1075</v>
      </c>
      <c r="H59">
        <v>1</v>
      </c>
      <c r="I59" t="s">
        <v>332</v>
      </c>
      <c r="J59" t="s">
        <v>4</v>
      </c>
      <c r="K59" t="s">
        <v>333</v>
      </c>
      <c r="L59">
        <v>1191</v>
      </c>
      <c r="N59">
        <v>1013</v>
      </c>
      <c r="O59" t="s">
        <v>334</v>
      </c>
      <c r="P59" t="s">
        <v>334</v>
      </c>
      <c r="Q59">
        <v>1</v>
      </c>
      <c r="X59">
        <v>132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4</v>
      </c>
      <c r="AG59">
        <v>132</v>
      </c>
      <c r="AH59">
        <v>2</v>
      </c>
      <c r="AI59">
        <v>70310527</v>
      </c>
      <c r="AJ59">
        <v>37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>
      <c r="A60">
        <f>ROW(Source!A93)</f>
        <v>93</v>
      </c>
      <c r="B60">
        <v>70310534</v>
      </c>
      <c r="C60">
        <v>70310526</v>
      </c>
      <c r="D60">
        <v>69333752</v>
      </c>
      <c r="E60">
        <v>1</v>
      </c>
      <c r="F60">
        <v>1</v>
      </c>
      <c r="G60">
        <v>1075</v>
      </c>
      <c r="H60">
        <v>3</v>
      </c>
      <c r="I60" t="s">
        <v>352</v>
      </c>
      <c r="J60" t="s">
        <v>353</v>
      </c>
      <c r="K60" t="s">
        <v>354</v>
      </c>
      <c r="L60">
        <v>1348</v>
      </c>
      <c r="N60">
        <v>1009</v>
      </c>
      <c r="O60" t="s">
        <v>168</v>
      </c>
      <c r="P60" t="s">
        <v>168</v>
      </c>
      <c r="Q60">
        <v>1000</v>
      </c>
      <c r="X60">
        <v>6.0000000000000001E-3</v>
      </c>
      <c r="Y60">
        <v>6521.42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4</v>
      </c>
      <c r="AG60">
        <v>6.0000000000000001E-3</v>
      </c>
      <c r="AH60">
        <v>2</v>
      </c>
      <c r="AI60">
        <v>70310528</v>
      </c>
      <c r="AJ60">
        <v>38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>
      <c r="A61">
        <f>ROW(Source!A93)</f>
        <v>93</v>
      </c>
      <c r="B61">
        <v>70310535</v>
      </c>
      <c r="C61">
        <v>70310526</v>
      </c>
      <c r="D61">
        <v>69333827</v>
      </c>
      <c r="E61">
        <v>1</v>
      </c>
      <c r="F61">
        <v>1</v>
      </c>
      <c r="G61">
        <v>1075</v>
      </c>
      <c r="H61">
        <v>3</v>
      </c>
      <c r="I61" t="s">
        <v>355</v>
      </c>
      <c r="J61" t="s">
        <v>356</v>
      </c>
      <c r="K61" t="s">
        <v>357</v>
      </c>
      <c r="L61">
        <v>1339</v>
      </c>
      <c r="N61">
        <v>1007</v>
      </c>
      <c r="O61" t="s">
        <v>52</v>
      </c>
      <c r="P61" t="s">
        <v>52</v>
      </c>
      <c r="Q61">
        <v>1</v>
      </c>
      <c r="X61">
        <v>1.7999999999999999E-2</v>
      </c>
      <c r="Y61">
        <v>1828.56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4</v>
      </c>
      <c r="AG61">
        <v>1.7999999999999999E-2</v>
      </c>
      <c r="AH61">
        <v>2</v>
      </c>
      <c r="AI61">
        <v>70310529</v>
      </c>
      <c r="AJ61">
        <v>39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>
      <c r="A62">
        <f>ROW(Source!A93)</f>
        <v>93</v>
      </c>
      <c r="B62">
        <v>70310536</v>
      </c>
      <c r="C62">
        <v>70310526</v>
      </c>
      <c r="D62">
        <v>69333708</v>
      </c>
      <c r="E62">
        <v>1</v>
      </c>
      <c r="F62">
        <v>1</v>
      </c>
      <c r="G62">
        <v>1075</v>
      </c>
      <c r="H62">
        <v>3</v>
      </c>
      <c r="I62" t="s">
        <v>358</v>
      </c>
      <c r="J62" t="s">
        <v>359</v>
      </c>
      <c r="K62" t="s">
        <v>360</v>
      </c>
      <c r="L62">
        <v>1339</v>
      </c>
      <c r="N62">
        <v>1007</v>
      </c>
      <c r="O62" t="s">
        <v>52</v>
      </c>
      <c r="P62" t="s">
        <v>52</v>
      </c>
      <c r="Q62">
        <v>1</v>
      </c>
      <c r="X62">
        <v>0.3</v>
      </c>
      <c r="Y62">
        <v>2472.13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4</v>
      </c>
      <c r="AG62">
        <v>0.3</v>
      </c>
      <c r="AH62">
        <v>2</v>
      </c>
      <c r="AI62">
        <v>70310530</v>
      </c>
      <c r="AJ62">
        <v>40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>
      <c r="A63">
        <f>ROW(Source!A93)</f>
        <v>93</v>
      </c>
      <c r="B63">
        <v>70310537</v>
      </c>
      <c r="C63">
        <v>70310526</v>
      </c>
      <c r="D63">
        <v>69334307</v>
      </c>
      <c r="E63">
        <v>1</v>
      </c>
      <c r="F63">
        <v>1</v>
      </c>
      <c r="G63">
        <v>1075</v>
      </c>
      <c r="H63">
        <v>3</v>
      </c>
      <c r="I63" t="s">
        <v>361</v>
      </c>
      <c r="J63" t="s">
        <v>362</v>
      </c>
      <c r="K63" t="s">
        <v>363</v>
      </c>
      <c r="L63">
        <v>1348</v>
      </c>
      <c r="N63">
        <v>1009</v>
      </c>
      <c r="O63" t="s">
        <v>168</v>
      </c>
      <c r="P63" t="s">
        <v>168</v>
      </c>
      <c r="Q63">
        <v>1000</v>
      </c>
      <c r="X63">
        <v>5.4000000000000003E-3</v>
      </c>
      <c r="Y63">
        <v>9098.51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4</v>
      </c>
      <c r="AG63">
        <v>5.4000000000000003E-3</v>
      </c>
      <c r="AH63">
        <v>2</v>
      </c>
      <c r="AI63">
        <v>70310531</v>
      </c>
      <c r="AJ63">
        <v>41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>
      <c r="A64">
        <f>ROW(Source!A93)</f>
        <v>93</v>
      </c>
      <c r="B64">
        <v>70310538</v>
      </c>
      <c r="C64">
        <v>70310526</v>
      </c>
      <c r="D64">
        <v>69312178</v>
      </c>
      <c r="E64">
        <v>1075</v>
      </c>
      <c r="F64">
        <v>1</v>
      </c>
      <c r="G64">
        <v>1075</v>
      </c>
      <c r="H64">
        <v>3</v>
      </c>
      <c r="I64" t="s">
        <v>424</v>
      </c>
      <c r="J64" t="s">
        <v>4</v>
      </c>
      <c r="K64" t="s">
        <v>425</v>
      </c>
      <c r="L64">
        <v>1339</v>
      </c>
      <c r="N64">
        <v>1007</v>
      </c>
      <c r="O64" t="s">
        <v>52</v>
      </c>
      <c r="P64" t="s">
        <v>52</v>
      </c>
      <c r="Q64">
        <v>1</v>
      </c>
      <c r="X64">
        <v>0.41599999999999998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 t="s">
        <v>4</v>
      </c>
      <c r="AG64">
        <v>0.41599999999999998</v>
      </c>
      <c r="AH64">
        <v>3</v>
      </c>
      <c r="AI64">
        <v>-1</v>
      </c>
      <c r="AJ64" t="s">
        <v>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>
      <c r="A65">
        <f>ROW(Source!A96)</f>
        <v>96</v>
      </c>
      <c r="B65">
        <v>70310548</v>
      </c>
      <c r="C65">
        <v>70310540</v>
      </c>
      <c r="D65">
        <v>69275358</v>
      </c>
      <c r="E65">
        <v>1075</v>
      </c>
      <c r="F65">
        <v>1</v>
      </c>
      <c r="G65">
        <v>1075</v>
      </c>
      <c r="H65">
        <v>1</v>
      </c>
      <c r="I65" t="s">
        <v>332</v>
      </c>
      <c r="J65" t="s">
        <v>4</v>
      </c>
      <c r="K65" t="s">
        <v>333</v>
      </c>
      <c r="L65">
        <v>1191</v>
      </c>
      <c r="N65">
        <v>1013</v>
      </c>
      <c r="O65" t="s">
        <v>334</v>
      </c>
      <c r="P65" t="s">
        <v>334</v>
      </c>
      <c r="Q65">
        <v>1</v>
      </c>
      <c r="X65">
        <v>46.8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4</v>
      </c>
      <c r="AG65">
        <v>46.8</v>
      </c>
      <c r="AH65">
        <v>2</v>
      </c>
      <c r="AI65">
        <v>70310541</v>
      </c>
      <c r="AJ65">
        <v>43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>
      <c r="A66">
        <f>ROW(Source!A96)</f>
        <v>96</v>
      </c>
      <c r="B66">
        <v>70310549</v>
      </c>
      <c r="C66">
        <v>70310540</v>
      </c>
      <c r="D66">
        <v>69364509</v>
      </c>
      <c r="E66">
        <v>1</v>
      </c>
      <c r="F66">
        <v>1</v>
      </c>
      <c r="G66">
        <v>1075</v>
      </c>
      <c r="H66">
        <v>2</v>
      </c>
      <c r="I66" t="s">
        <v>364</v>
      </c>
      <c r="J66" t="s">
        <v>365</v>
      </c>
      <c r="K66" t="s">
        <v>366</v>
      </c>
      <c r="L66">
        <v>1368</v>
      </c>
      <c r="N66">
        <v>1011</v>
      </c>
      <c r="O66" t="s">
        <v>338</v>
      </c>
      <c r="P66" t="s">
        <v>338</v>
      </c>
      <c r="Q66">
        <v>1</v>
      </c>
      <c r="X66">
        <v>0.55000000000000004</v>
      </c>
      <c r="Y66">
        <v>0</v>
      </c>
      <c r="Z66">
        <v>83.1</v>
      </c>
      <c r="AA66">
        <v>12.62</v>
      </c>
      <c r="AB66">
        <v>0</v>
      </c>
      <c r="AC66">
        <v>0</v>
      </c>
      <c r="AD66">
        <v>1</v>
      </c>
      <c r="AE66">
        <v>0</v>
      </c>
      <c r="AF66" t="s">
        <v>4</v>
      </c>
      <c r="AG66">
        <v>0.55000000000000004</v>
      </c>
      <c r="AH66">
        <v>2</v>
      </c>
      <c r="AI66">
        <v>70310542</v>
      </c>
      <c r="AJ66">
        <v>44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>
      <c r="A67">
        <f>ROW(Source!A96)</f>
        <v>96</v>
      </c>
      <c r="B67">
        <v>70310550</v>
      </c>
      <c r="C67">
        <v>70310540</v>
      </c>
      <c r="D67">
        <v>69363945</v>
      </c>
      <c r="E67">
        <v>1</v>
      </c>
      <c r="F67">
        <v>1</v>
      </c>
      <c r="G67">
        <v>1075</v>
      </c>
      <c r="H67">
        <v>2</v>
      </c>
      <c r="I67" t="s">
        <v>367</v>
      </c>
      <c r="J67" t="s">
        <v>368</v>
      </c>
      <c r="K67" t="s">
        <v>369</v>
      </c>
      <c r="L67">
        <v>1368</v>
      </c>
      <c r="N67">
        <v>1011</v>
      </c>
      <c r="O67" t="s">
        <v>338</v>
      </c>
      <c r="P67" t="s">
        <v>338</v>
      </c>
      <c r="Q67">
        <v>1</v>
      </c>
      <c r="X67">
        <v>3.58</v>
      </c>
      <c r="Y67">
        <v>0</v>
      </c>
      <c r="Z67">
        <v>12.32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4</v>
      </c>
      <c r="AG67">
        <v>3.58</v>
      </c>
      <c r="AH67">
        <v>2</v>
      </c>
      <c r="AI67">
        <v>70310543</v>
      </c>
      <c r="AJ67">
        <v>45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>
      <c r="A68">
        <f>ROW(Source!A96)</f>
        <v>96</v>
      </c>
      <c r="B68">
        <v>70310551</v>
      </c>
      <c r="C68">
        <v>70310540</v>
      </c>
      <c r="D68">
        <v>69333917</v>
      </c>
      <c r="E68">
        <v>1</v>
      </c>
      <c r="F68">
        <v>1</v>
      </c>
      <c r="G68">
        <v>1075</v>
      </c>
      <c r="H68">
        <v>3</v>
      </c>
      <c r="I68" t="s">
        <v>370</v>
      </c>
      <c r="J68" t="s">
        <v>371</v>
      </c>
      <c r="K68" t="s">
        <v>372</v>
      </c>
      <c r="L68">
        <v>1348</v>
      </c>
      <c r="N68">
        <v>1009</v>
      </c>
      <c r="O68" t="s">
        <v>168</v>
      </c>
      <c r="P68" t="s">
        <v>168</v>
      </c>
      <c r="Q68">
        <v>1000</v>
      </c>
      <c r="X68">
        <v>2.4E-2</v>
      </c>
      <c r="Y68">
        <v>7359.71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4</v>
      </c>
      <c r="AG68">
        <v>2.4E-2</v>
      </c>
      <c r="AH68">
        <v>2</v>
      </c>
      <c r="AI68">
        <v>70310545</v>
      </c>
      <c r="AJ68">
        <v>47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>
      <c r="A69">
        <f>ROW(Source!A96)</f>
        <v>96</v>
      </c>
      <c r="B69">
        <v>70310552</v>
      </c>
      <c r="C69">
        <v>70310540</v>
      </c>
      <c r="D69">
        <v>69333689</v>
      </c>
      <c r="E69">
        <v>1</v>
      </c>
      <c r="F69">
        <v>1</v>
      </c>
      <c r="G69">
        <v>1075</v>
      </c>
      <c r="H69">
        <v>3</v>
      </c>
      <c r="I69" t="s">
        <v>373</v>
      </c>
      <c r="J69" t="s">
        <v>374</v>
      </c>
      <c r="K69" t="s">
        <v>375</v>
      </c>
      <c r="L69">
        <v>1348</v>
      </c>
      <c r="N69">
        <v>1009</v>
      </c>
      <c r="O69" t="s">
        <v>168</v>
      </c>
      <c r="P69" t="s">
        <v>168</v>
      </c>
      <c r="Q69">
        <v>1000</v>
      </c>
      <c r="X69">
        <v>1.6E-2</v>
      </c>
      <c r="Y69">
        <v>3806.03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4</v>
      </c>
      <c r="AG69">
        <v>1.6E-2</v>
      </c>
      <c r="AH69">
        <v>2</v>
      </c>
      <c r="AI69">
        <v>70310546</v>
      </c>
      <c r="AJ69">
        <v>48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>
      <c r="A70">
        <f>ROW(Source!A96)</f>
        <v>96</v>
      </c>
      <c r="B70">
        <v>70310553</v>
      </c>
      <c r="C70">
        <v>70310540</v>
      </c>
      <c r="D70">
        <v>69315703</v>
      </c>
      <c r="E70">
        <v>1075</v>
      </c>
      <c r="F70">
        <v>1</v>
      </c>
      <c r="G70">
        <v>1075</v>
      </c>
      <c r="H70">
        <v>3</v>
      </c>
      <c r="I70" t="s">
        <v>426</v>
      </c>
      <c r="J70" t="s">
        <v>4</v>
      </c>
      <c r="K70" t="s">
        <v>427</v>
      </c>
      <c r="L70">
        <v>1327</v>
      </c>
      <c r="N70">
        <v>1005</v>
      </c>
      <c r="O70" t="s">
        <v>164</v>
      </c>
      <c r="P70" t="s">
        <v>164</v>
      </c>
      <c r="Q70">
        <v>1</v>
      </c>
      <c r="X70">
        <v>230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 t="s">
        <v>4</v>
      </c>
      <c r="AG70">
        <v>230</v>
      </c>
      <c r="AH70">
        <v>3</v>
      </c>
      <c r="AI70">
        <v>-1</v>
      </c>
      <c r="AJ70" t="s">
        <v>4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>
      <c r="A71">
        <f>ROW(Source!A96)</f>
        <v>96</v>
      </c>
      <c r="B71">
        <v>70310554</v>
      </c>
      <c r="C71">
        <v>70310540</v>
      </c>
      <c r="D71">
        <v>69315865</v>
      </c>
      <c r="E71">
        <v>1075</v>
      </c>
      <c r="F71">
        <v>1</v>
      </c>
      <c r="G71">
        <v>1075</v>
      </c>
      <c r="H71">
        <v>3</v>
      </c>
      <c r="I71" t="s">
        <v>428</v>
      </c>
      <c r="J71" t="s">
        <v>4</v>
      </c>
      <c r="K71" t="s">
        <v>429</v>
      </c>
      <c r="L71">
        <v>1348</v>
      </c>
      <c r="N71">
        <v>1009</v>
      </c>
      <c r="O71" t="s">
        <v>168</v>
      </c>
      <c r="P71" t="s">
        <v>168</v>
      </c>
      <c r="Q71">
        <v>1000</v>
      </c>
      <c r="X71">
        <v>0.44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 t="s">
        <v>4</v>
      </c>
      <c r="AG71">
        <v>0.44</v>
      </c>
      <c r="AH71">
        <v>3</v>
      </c>
      <c r="AI71">
        <v>-1</v>
      </c>
      <c r="AJ71" t="s">
        <v>4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>
      <c r="A72">
        <f>ROW(Source!A97)</f>
        <v>97</v>
      </c>
      <c r="B72">
        <v>70310548</v>
      </c>
      <c r="C72">
        <v>70310540</v>
      </c>
      <c r="D72">
        <v>69275358</v>
      </c>
      <c r="E72">
        <v>1075</v>
      </c>
      <c r="F72">
        <v>1</v>
      </c>
      <c r="G72">
        <v>1075</v>
      </c>
      <c r="H72">
        <v>1</v>
      </c>
      <c r="I72" t="s">
        <v>332</v>
      </c>
      <c r="J72" t="s">
        <v>4</v>
      </c>
      <c r="K72" t="s">
        <v>333</v>
      </c>
      <c r="L72">
        <v>1191</v>
      </c>
      <c r="N72">
        <v>1013</v>
      </c>
      <c r="O72" t="s">
        <v>334</v>
      </c>
      <c r="P72" t="s">
        <v>334</v>
      </c>
      <c r="Q72">
        <v>1</v>
      </c>
      <c r="X72">
        <v>46.8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4</v>
      </c>
      <c r="AG72">
        <v>46.8</v>
      </c>
      <c r="AH72">
        <v>2</v>
      </c>
      <c r="AI72">
        <v>70310541</v>
      </c>
      <c r="AJ72">
        <v>50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>
      <c r="A73">
        <f>ROW(Source!A97)</f>
        <v>97</v>
      </c>
      <c r="B73">
        <v>70310549</v>
      </c>
      <c r="C73">
        <v>70310540</v>
      </c>
      <c r="D73">
        <v>69364509</v>
      </c>
      <c r="E73">
        <v>1</v>
      </c>
      <c r="F73">
        <v>1</v>
      </c>
      <c r="G73">
        <v>1075</v>
      </c>
      <c r="H73">
        <v>2</v>
      </c>
      <c r="I73" t="s">
        <v>364</v>
      </c>
      <c r="J73" t="s">
        <v>365</v>
      </c>
      <c r="K73" t="s">
        <v>366</v>
      </c>
      <c r="L73">
        <v>1368</v>
      </c>
      <c r="N73">
        <v>1011</v>
      </c>
      <c r="O73" t="s">
        <v>338</v>
      </c>
      <c r="P73" t="s">
        <v>338</v>
      </c>
      <c r="Q73">
        <v>1</v>
      </c>
      <c r="X73">
        <v>0.55000000000000004</v>
      </c>
      <c r="Y73">
        <v>0</v>
      </c>
      <c r="Z73">
        <v>83.1</v>
      </c>
      <c r="AA73">
        <v>12.62</v>
      </c>
      <c r="AB73">
        <v>0</v>
      </c>
      <c r="AC73">
        <v>0</v>
      </c>
      <c r="AD73">
        <v>1</v>
      </c>
      <c r="AE73">
        <v>0</v>
      </c>
      <c r="AF73" t="s">
        <v>4</v>
      </c>
      <c r="AG73">
        <v>0.55000000000000004</v>
      </c>
      <c r="AH73">
        <v>2</v>
      </c>
      <c r="AI73">
        <v>70310542</v>
      </c>
      <c r="AJ73">
        <v>51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>
      <c r="A74">
        <f>ROW(Source!A97)</f>
        <v>97</v>
      </c>
      <c r="B74">
        <v>70310550</v>
      </c>
      <c r="C74">
        <v>70310540</v>
      </c>
      <c r="D74">
        <v>69363945</v>
      </c>
      <c r="E74">
        <v>1</v>
      </c>
      <c r="F74">
        <v>1</v>
      </c>
      <c r="G74">
        <v>1075</v>
      </c>
      <c r="H74">
        <v>2</v>
      </c>
      <c r="I74" t="s">
        <v>367</v>
      </c>
      <c r="J74" t="s">
        <v>368</v>
      </c>
      <c r="K74" t="s">
        <v>369</v>
      </c>
      <c r="L74">
        <v>1368</v>
      </c>
      <c r="N74">
        <v>1011</v>
      </c>
      <c r="O74" t="s">
        <v>338</v>
      </c>
      <c r="P74" t="s">
        <v>338</v>
      </c>
      <c r="Q74">
        <v>1</v>
      </c>
      <c r="X74">
        <v>3.58</v>
      </c>
      <c r="Y74">
        <v>0</v>
      </c>
      <c r="Z74">
        <v>12.32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4</v>
      </c>
      <c r="AG74">
        <v>3.58</v>
      </c>
      <c r="AH74">
        <v>2</v>
      </c>
      <c r="AI74">
        <v>70310543</v>
      </c>
      <c r="AJ74">
        <v>52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>
      <c r="A75">
        <f>ROW(Source!A97)</f>
        <v>97</v>
      </c>
      <c r="B75">
        <v>70310551</v>
      </c>
      <c r="C75">
        <v>70310540</v>
      </c>
      <c r="D75">
        <v>69333917</v>
      </c>
      <c r="E75">
        <v>1</v>
      </c>
      <c r="F75">
        <v>1</v>
      </c>
      <c r="G75">
        <v>1075</v>
      </c>
      <c r="H75">
        <v>3</v>
      </c>
      <c r="I75" t="s">
        <v>370</v>
      </c>
      <c r="J75" t="s">
        <v>371</v>
      </c>
      <c r="K75" t="s">
        <v>372</v>
      </c>
      <c r="L75">
        <v>1348</v>
      </c>
      <c r="N75">
        <v>1009</v>
      </c>
      <c r="O75" t="s">
        <v>168</v>
      </c>
      <c r="P75" t="s">
        <v>168</v>
      </c>
      <c r="Q75">
        <v>1000</v>
      </c>
      <c r="X75">
        <v>2.4E-2</v>
      </c>
      <c r="Y75">
        <v>7359.71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4</v>
      </c>
      <c r="AG75">
        <v>2.4E-2</v>
      </c>
      <c r="AH75">
        <v>2</v>
      </c>
      <c r="AI75">
        <v>70310545</v>
      </c>
      <c r="AJ75">
        <v>54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>
      <c r="A76">
        <f>ROW(Source!A97)</f>
        <v>97</v>
      </c>
      <c r="B76">
        <v>70310552</v>
      </c>
      <c r="C76">
        <v>70310540</v>
      </c>
      <c r="D76">
        <v>69333689</v>
      </c>
      <c r="E76">
        <v>1</v>
      </c>
      <c r="F76">
        <v>1</v>
      </c>
      <c r="G76">
        <v>1075</v>
      </c>
      <c r="H76">
        <v>3</v>
      </c>
      <c r="I76" t="s">
        <v>373</v>
      </c>
      <c r="J76" t="s">
        <v>374</v>
      </c>
      <c r="K76" t="s">
        <v>375</v>
      </c>
      <c r="L76">
        <v>1348</v>
      </c>
      <c r="N76">
        <v>1009</v>
      </c>
      <c r="O76" t="s">
        <v>168</v>
      </c>
      <c r="P76" t="s">
        <v>168</v>
      </c>
      <c r="Q76">
        <v>1000</v>
      </c>
      <c r="X76">
        <v>1.6E-2</v>
      </c>
      <c r="Y76">
        <v>3806.03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4</v>
      </c>
      <c r="AG76">
        <v>1.6E-2</v>
      </c>
      <c r="AH76">
        <v>2</v>
      </c>
      <c r="AI76">
        <v>70310546</v>
      </c>
      <c r="AJ76">
        <v>55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>
      <c r="A77">
        <f>ROW(Source!A97)</f>
        <v>97</v>
      </c>
      <c r="B77">
        <v>70310553</v>
      </c>
      <c r="C77">
        <v>70310540</v>
      </c>
      <c r="D77">
        <v>69315703</v>
      </c>
      <c r="E77">
        <v>1075</v>
      </c>
      <c r="F77">
        <v>1</v>
      </c>
      <c r="G77">
        <v>1075</v>
      </c>
      <c r="H77">
        <v>3</v>
      </c>
      <c r="I77" t="s">
        <v>426</v>
      </c>
      <c r="J77" t="s">
        <v>4</v>
      </c>
      <c r="K77" t="s">
        <v>427</v>
      </c>
      <c r="L77">
        <v>1327</v>
      </c>
      <c r="N77">
        <v>1005</v>
      </c>
      <c r="O77" t="s">
        <v>164</v>
      </c>
      <c r="P77" t="s">
        <v>164</v>
      </c>
      <c r="Q77">
        <v>1</v>
      </c>
      <c r="X77">
        <v>230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 t="s">
        <v>4</v>
      </c>
      <c r="AG77">
        <v>230</v>
      </c>
      <c r="AH77">
        <v>3</v>
      </c>
      <c r="AI77">
        <v>-1</v>
      </c>
      <c r="AJ77" t="s">
        <v>4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>
      <c r="A78">
        <f>ROW(Source!A97)</f>
        <v>97</v>
      </c>
      <c r="B78">
        <v>70310554</v>
      </c>
      <c r="C78">
        <v>70310540</v>
      </c>
      <c r="D78">
        <v>69315865</v>
      </c>
      <c r="E78">
        <v>1075</v>
      </c>
      <c r="F78">
        <v>1</v>
      </c>
      <c r="G78">
        <v>1075</v>
      </c>
      <c r="H78">
        <v>3</v>
      </c>
      <c r="I78" t="s">
        <v>428</v>
      </c>
      <c r="J78" t="s">
        <v>4</v>
      </c>
      <c r="K78" t="s">
        <v>429</v>
      </c>
      <c r="L78">
        <v>1348</v>
      </c>
      <c r="N78">
        <v>1009</v>
      </c>
      <c r="O78" t="s">
        <v>168</v>
      </c>
      <c r="P78" t="s">
        <v>168</v>
      </c>
      <c r="Q78">
        <v>1000</v>
      </c>
      <c r="X78">
        <v>0.44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 t="s">
        <v>4</v>
      </c>
      <c r="AG78">
        <v>0.44</v>
      </c>
      <c r="AH78">
        <v>3</v>
      </c>
      <c r="AI78">
        <v>-1</v>
      </c>
      <c r="AJ78" t="s">
        <v>4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>
      <c r="A79">
        <f>ROW(Source!A102)</f>
        <v>102</v>
      </c>
      <c r="B79">
        <v>70310694</v>
      </c>
      <c r="C79">
        <v>70310557</v>
      </c>
      <c r="D79">
        <v>69275358</v>
      </c>
      <c r="E79">
        <v>1075</v>
      </c>
      <c r="F79">
        <v>1</v>
      </c>
      <c r="G79">
        <v>1075</v>
      </c>
      <c r="H79">
        <v>1</v>
      </c>
      <c r="I79" t="s">
        <v>332</v>
      </c>
      <c r="J79" t="s">
        <v>4</v>
      </c>
      <c r="K79" t="s">
        <v>333</v>
      </c>
      <c r="L79">
        <v>1191</v>
      </c>
      <c r="N79">
        <v>1013</v>
      </c>
      <c r="O79" t="s">
        <v>334</v>
      </c>
      <c r="P79" t="s">
        <v>334</v>
      </c>
      <c r="Q79">
        <v>1</v>
      </c>
      <c r="X79">
        <v>147.85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1</v>
      </c>
      <c r="AF79" t="s">
        <v>4</v>
      </c>
      <c r="AG79">
        <v>147.85</v>
      </c>
      <c r="AH79">
        <v>2</v>
      </c>
      <c r="AI79">
        <v>70310694</v>
      </c>
      <c r="AJ79">
        <v>57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>
      <c r="A80">
        <f>ROW(Source!A102)</f>
        <v>102</v>
      </c>
      <c r="B80">
        <v>70310695</v>
      </c>
      <c r="C80">
        <v>70310557</v>
      </c>
      <c r="D80">
        <v>69364529</v>
      </c>
      <c r="E80">
        <v>1</v>
      </c>
      <c r="F80">
        <v>1</v>
      </c>
      <c r="G80">
        <v>1075</v>
      </c>
      <c r="H80">
        <v>2</v>
      </c>
      <c r="I80" t="s">
        <v>376</v>
      </c>
      <c r="J80" t="s">
        <v>377</v>
      </c>
      <c r="K80" t="s">
        <v>378</v>
      </c>
      <c r="L80">
        <v>1368</v>
      </c>
      <c r="N80">
        <v>1011</v>
      </c>
      <c r="O80" t="s">
        <v>338</v>
      </c>
      <c r="P80" t="s">
        <v>338</v>
      </c>
      <c r="Q80">
        <v>1</v>
      </c>
      <c r="X80">
        <v>0.73</v>
      </c>
      <c r="Y80">
        <v>0</v>
      </c>
      <c r="Z80">
        <v>15.54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4</v>
      </c>
      <c r="AG80">
        <v>0.73</v>
      </c>
      <c r="AH80">
        <v>2</v>
      </c>
      <c r="AI80">
        <v>70310695</v>
      </c>
      <c r="AJ80">
        <v>58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>
      <c r="A81">
        <f>ROW(Source!A102)</f>
        <v>102</v>
      </c>
      <c r="B81">
        <v>70310696</v>
      </c>
      <c r="C81">
        <v>70310557</v>
      </c>
      <c r="D81">
        <v>69364531</v>
      </c>
      <c r="E81">
        <v>1</v>
      </c>
      <c r="F81">
        <v>1</v>
      </c>
      <c r="G81">
        <v>1075</v>
      </c>
      <c r="H81">
        <v>2</v>
      </c>
      <c r="I81" t="s">
        <v>379</v>
      </c>
      <c r="J81" t="s">
        <v>380</v>
      </c>
      <c r="K81" t="s">
        <v>381</v>
      </c>
      <c r="L81">
        <v>1368</v>
      </c>
      <c r="N81">
        <v>1011</v>
      </c>
      <c r="O81" t="s">
        <v>338</v>
      </c>
      <c r="P81" t="s">
        <v>338</v>
      </c>
      <c r="Q81">
        <v>1</v>
      </c>
      <c r="X81">
        <v>0.73</v>
      </c>
      <c r="Y81">
        <v>0</v>
      </c>
      <c r="Z81">
        <v>81.150000000000006</v>
      </c>
      <c r="AA81">
        <v>14.54</v>
      </c>
      <c r="AB81">
        <v>0</v>
      </c>
      <c r="AC81">
        <v>0</v>
      </c>
      <c r="AD81">
        <v>1</v>
      </c>
      <c r="AE81">
        <v>0</v>
      </c>
      <c r="AF81" t="s">
        <v>4</v>
      </c>
      <c r="AG81">
        <v>0.73</v>
      </c>
      <c r="AH81">
        <v>2</v>
      </c>
      <c r="AI81">
        <v>70310696</v>
      </c>
      <c r="AJ81">
        <v>59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>
      <c r="A82">
        <f>ROW(Source!A102)</f>
        <v>102</v>
      </c>
      <c r="B82">
        <v>70310697</v>
      </c>
      <c r="C82">
        <v>70310557</v>
      </c>
      <c r="D82">
        <v>69363764</v>
      </c>
      <c r="E82">
        <v>1</v>
      </c>
      <c r="F82">
        <v>1</v>
      </c>
      <c r="G82">
        <v>1075</v>
      </c>
      <c r="H82">
        <v>2</v>
      </c>
      <c r="I82" t="s">
        <v>382</v>
      </c>
      <c r="J82" t="s">
        <v>383</v>
      </c>
      <c r="K82" t="s">
        <v>384</v>
      </c>
      <c r="L82">
        <v>1368</v>
      </c>
      <c r="N82">
        <v>1011</v>
      </c>
      <c r="O82" t="s">
        <v>338</v>
      </c>
      <c r="P82" t="s">
        <v>338</v>
      </c>
      <c r="Q82">
        <v>1</v>
      </c>
      <c r="X82">
        <v>1.05</v>
      </c>
      <c r="Y82">
        <v>0</v>
      </c>
      <c r="Z82">
        <v>179.17</v>
      </c>
      <c r="AA82">
        <v>16.93</v>
      </c>
      <c r="AB82">
        <v>0</v>
      </c>
      <c r="AC82">
        <v>0</v>
      </c>
      <c r="AD82">
        <v>1</v>
      </c>
      <c r="AE82">
        <v>0</v>
      </c>
      <c r="AF82" t="s">
        <v>4</v>
      </c>
      <c r="AG82">
        <v>1.05</v>
      </c>
      <c r="AH82">
        <v>2</v>
      </c>
      <c r="AI82">
        <v>70310697</v>
      </c>
      <c r="AJ82">
        <v>60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>
      <c r="A83">
        <f>ROW(Source!A102)</f>
        <v>102</v>
      </c>
      <c r="B83">
        <v>70310698</v>
      </c>
      <c r="C83">
        <v>70310557</v>
      </c>
      <c r="D83">
        <v>69288914</v>
      </c>
      <c r="E83">
        <v>1075</v>
      </c>
      <c r="F83">
        <v>1</v>
      </c>
      <c r="G83">
        <v>1075</v>
      </c>
      <c r="H83">
        <v>3</v>
      </c>
      <c r="I83" t="s">
        <v>430</v>
      </c>
      <c r="J83" t="s">
        <v>4</v>
      </c>
      <c r="K83" t="s">
        <v>431</v>
      </c>
      <c r="L83">
        <v>1301</v>
      </c>
      <c r="N83">
        <v>1003</v>
      </c>
      <c r="O83" t="s">
        <v>135</v>
      </c>
      <c r="P83" t="s">
        <v>135</v>
      </c>
      <c r="Q83">
        <v>1</v>
      </c>
      <c r="X83">
        <v>1025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 t="s">
        <v>4</v>
      </c>
      <c r="AG83">
        <v>1025</v>
      </c>
      <c r="AH83">
        <v>3</v>
      </c>
      <c r="AI83">
        <v>-1</v>
      </c>
      <c r="AJ83" t="s">
        <v>4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>
      <c r="A84">
        <f>ROW(Source!A103)</f>
        <v>103</v>
      </c>
      <c r="B84">
        <v>70310694</v>
      </c>
      <c r="C84">
        <v>70310557</v>
      </c>
      <c r="D84">
        <v>69275358</v>
      </c>
      <c r="E84">
        <v>1075</v>
      </c>
      <c r="F84">
        <v>1</v>
      </c>
      <c r="G84">
        <v>1075</v>
      </c>
      <c r="H84">
        <v>1</v>
      </c>
      <c r="I84" t="s">
        <v>332</v>
      </c>
      <c r="J84" t="s">
        <v>4</v>
      </c>
      <c r="K84" t="s">
        <v>333</v>
      </c>
      <c r="L84">
        <v>1191</v>
      </c>
      <c r="N84">
        <v>1013</v>
      </c>
      <c r="O84" t="s">
        <v>334</v>
      </c>
      <c r="P84" t="s">
        <v>334</v>
      </c>
      <c r="Q84">
        <v>1</v>
      </c>
      <c r="X84">
        <v>147.85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1</v>
      </c>
      <c r="AF84" t="s">
        <v>4</v>
      </c>
      <c r="AG84">
        <v>147.85</v>
      </c>
      <c r="AH84">
        <v>2</v>
      </c>
      <c r="AI84">
        <v>70310694</v>
      </c>
      <c r="AJ84">
        <v>62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>
      <c r="A85">
        <f>ROW(Source!A103)</f>
        <v>103</v>
      </c>
      <c r="B85">
        <v>70310695</v>
      </c>
      <c r="C85">
        <v>70310557</v>
      </c>
      <c r="D85">
        <v>69364529</v>
      </c>
      <c r="E85">
        <v>1</v>
      </c>
      <c r="F85">
        <v>1</v>
      </c>
      <c r="G85">
        <v>1075</v>
      </c>
      <c r="H85">
        <v>2</v>
      </c>
      <c r="I85" t="s">
        <v>376</v>
      </c>
      <c r="J85" t="s">
        <v>377</v>
      </c>
      <c r="K85" t="s">
        <v>378</v>
      </c>
      <c r="L85">
        <v>1368</v>
      </c>
      <c r="N85">
        <v>1011</v>
      </c>
      <c r="O85" t="s">
        <v>338</v>
      </c>
      <c r="P85" t="s">
        <v>338</v>
      </c>
      <c r="Q85">
        <v>1</v>
      </c>
      <c r="X85">
        <v>0.73</v>
      </c>
      <c r="Y85">
        <v>0</v>
      </c>
      <c r="Z85">
        <v>15.54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4</v>
      </c>
      <c r="AG85">
        <v>0.73</v>
      </c>
      <c r="AH85">
        <v>2</v>
      </c>
      <c r="AI85">
        <v>70310695</v>
      </c>
      <c r="AJ85">
        <v>63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>
      <c r="A86">
        <f>ROW(Source!A103)</f>
        <v>103</v>
      </c>
      <c r="B86">
        <v>70310696</v>
      </c>
      <c r="C86">
        <v>70310557</v>
      </c>
      <c r="D86">
        <v>69364531</v>
      </c>
      <c r="E86">
        <v>1</v>
      </c>
      <c r="F86">
        <v>1</v>
      </c>
      <c r="G86">
        <v>1075</v>
      </c>
      <c r="H86">
        <v>2</v>
      </c>
      <c r="I86" t="s">
        <v>379</v>
      </c>
      <c r="J86" t="s">
        <v>380</v>
      </c>
      <c r="K86" t="s">
        <v>381</v>
      </c>
      <c r="L86">
        <v>1368</v>
      </c>
      <c r="N86">
        <v>1011</v>
      </c>
      <c r="O86" t="s">
        <v>338</v>
      </c>
      <c r="P86" t="s">
        <v>338</v>
      </c>
      <c r="Q86">
        <v>1</v>
      </c>
      <c r="X86">
        <v>0.73</v>
      </c>
      <c r="Y86">
        <v>0</v>
      </c>
      <c r="Z86">
        <v>81.150000000000006</v>
      </c>
      <c r="AA86">
        <v>14.54</v>
      </c>
      <c r="AB86">
        <v>0</v>
      </c>
      <c r="AC86">
        <v>0</v>
      </c>
      <c r="AD86">
        <v>1</v>
      </c>
      <c r="AE86">
        <v>0</v>
      </c>
      <c r="AF86" t="s">
        <v>4</v>
      </c>
      <c r="AG86">
        <v>0.73</v>
      </c>
      <c r="AH86">
        <v>2</v>
      </c>
      <c r="AI86">
        <v>70310696</v>
      </c>
      <c r="AJ86">
        <v>64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>
      <c r="A87">
        <f>ROW(Source!A103)</f>
        <v>103</v>
      </c>
      <c r="B87">
        <v>70310697</v>
      </c>
      <c r="C87">
        <v>70310557</v>
      </c>
      <c r="D87">
        <v>69363764</v>
      </c>
      <c r="E87">
        <v>1</v>
      </c>
      <c r="F87">
        <v>1</v>
      </c>
      <c r="G87">
        <v>1075</v>
      </c>
      <c r="H87">
        <v>2</v>
      </c>
      <c r="I87" t="s">
        <v>382</v>
      </c>
      <c r="J87" t="s">
        <v>383</v>
      </c>
      <c r="K87" t="s">
        <v>384</v>
      </c>
      <c r="L87">
        <v>1368</v>
      </c>
      <c r="N87">
        <v>1011</v>
      </c>
      <c r="O87" t="s">
        <v>338</v>
      </c>
      <c r="P87" t="s">
        <v>338</v>
      </c>
      <c r="Q87">
        <v>1</v>
      </c>
      <c r="X87">
        <v>1.05</v>
      </c>
      <c r="Y87">
        <v>0</v>
      </c>
      <c r="Z87">
        <v>179.17</v>
      </c>
      <c r="AA87">
        <v>16.93</v>
      </c>
      <c r="AB87">
        <v>0</v>
      </c>
      <c r="AC87">
        <v>0</v>
      </c>
      <c r="AD87">
        <v>1</v>
      </c>
      <c r="AE87">
        <v>0</v>
      </c>
      <c r="AF87" t="s">
        <v>4</v>
      </c>
      <c r="AG87">
        <v>1.05</v>
      </c>
      <c r="AH87">
        <v>2</v>
      </c>
      <c r="AI87">
        <v>70310697</v>
      </c>
      <c r="AJ87">
        <v>65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>
      <c r="A88">
        <f>ROW(Source!A103)</f>
        <v>103</v>
      </c>
      <c r="B88">
        <v>70310698</v>
      </c>
      <c r="C88">
        <v>70310557</v>
      </c>
      <c r="D88">
        <v>69288914</v>
      </c>
      <c r="E88">
        <v>1075</v>
      </c>
      <c r="F88">
        <v>1</v>
      </c>
      <c r="G88">
        <v>1075</v>
      </c>
      <c r="H88">
        <v>3</v>
      </c>
      <c r="I88" t="s">
        <v>430</v>
      </c>
      <c r="J88" t="s">
        <v>4</v>
      </c>
      <c r="K88" t="s">
        <v>431</v>
      </c>
      <c r="L88">
        <v>1301</v>
      </c>
      <c r="N88">
        <v>1003</v>
      </c>
      <c r="O88" t="s">
        <v>135</v>
      </c>
      <c r="P88" t="s">
        <v>135</v>
      </c>
      <c r="Q88">
        <v>1</v>
      </c>
      <c r="X88">
        <v>1025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 t="s">
        <v>4</v>
      </c>
      <c r="AG88">
        <v>1025</v>
      </c>
      <c r="AH88">
        <v>3</v>
      </c>
      <c r="AI88">
        <v>-1</v>
      </c>
      <c r="AJ88" t="s">
        <v>4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>
      <c r="A89">
        <f>ROW(Source!A106)</f>
        <v>106</v>
      </c>
      <c r="B89">
        <v>70310700</v>
      </c>
      <c r="C89">
        <v>70310569</v>
      </c>
      <c r="D89">
        <v>69275358</v>
      </c>
      <c r="E89">
        <v>1075</v>
      </c>
      <c r="F89">
        <v>1</v>
      </c>
      <c r="G89">
        <v>1075</v>
      </c>
      <c r="H89">
        <v>1</v>
      </c>
      <c r="I89" t="s">
        <v>332</v>
      </c>
      <c r="J89" t="s">
        <v>4</v>
      </c>
      <c r="K89" t="s">
        <v>333</v>
      </c>
      <c r="L89">
        <v>1191</v>
      </c>
      <c r="N89">
        <v>1013</v>
      </c>
      <c r="O89" t="s">
        <v>334</v>
      </c>
      <c r="P89" t="s">
        <v>334</v>
      </c>
      <c r="Q89">
        <v>1</v>
      </c>
      <c r="X89">
        <v>107.8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1</v>
      </c>
      <c r="AF89" t="s">
        <v>4</v>
      </c>
      <c r="AG89">
        <v>107.8</v>
      </c>
      <c r="AH89">
        <v>2</v>
      </c>
      <c r="AI89">
        <v>70310700</v>
      </c>
      <c r="AJ89">
        <v>67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>
      <c r="A90">
        <f>ROW(Source!A106)</f>
        <v>106</v>
      </c>
      <c r="B90">
        <v>70310701</v>
      </c>
      <c r="C90">
        <v>70310569</v>
      </c>
      <c r="D90">
        <v>69364529</v>
      </c>
      <c r="E90">
        <v>1</v>
      </c>
      <c r="F90">
        <v>1</v>
      </c>
      <c r="G90">
        <v>1075</v>
      </c>
      <c r="H90">
        <v>2</v>
      </c>
      <c r="I90" t="s">
        <v>376</v>
      </c>
      <c r="J90" t="s">
        <v>377</v>
      </c>
      <c r="K90" t="s">
        <v>378</v>
      </c>
      <c r="L90">
        <v>1368</v>
      </c>
      <c r="N90">
        <v>1011</v>
      </c>
      <c r="O90" t="s">
        <v>338</v>
      </c>
      <c r="P90" t="s">
        <v>338</v>
      </c>
      <c r="Q90">
        <v>1</v>
      </c>
      <c r="X90">
        <v>0.72</v>
      </c>
      <c r="Y90">
        <v>0</v>
      </c>
      <c r="Z90">
        <v>15.54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4</v>
      </c>
      <c r="AG90">
        <v>0.72</v>
      </c>
      <c r="AH90">
        <v>2</v>
      </c>
      <c r="AI90">
        <v>70310701</v>
      </c>
      <c r="AJ90">
        <v>68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>
      <c r="A91">
        <f>ROW(Source!A106)</f>
        <v>106</v>
      </c>
      <c r="B91">
        <v>70310702</v>
      </c>
      <c r="C91">
        <v>70310569</v>
      </c>
      <c r="D91">
        <v>69364531</v>
      </c>
      <c r="E91">
        <v>1</v>
      </c>
      <c r="F91">
        <v>1</v>
      </c>
      <c r="G91">
        <v>1075</v>
      </c>
      <c r="H91">
        <v>2</v>
      </c>
      <c r="I91" t="s">
        <v>379</v>
      </c>
      <c r="J91" t="s">
        <v>380</v>
      </c>
      <c r="K91" t="s">
        <v>381</v>
      </c>
      <c r="L91">
        <v>1368</v>
      </c>
      <c r="N91">
        <v>1011</v>
      </c>
      <c r="O91" t="s">
        <v>338</v>
      </c>
      <c r="P91" t="s">
        <v>338</v>
      </c>
      <c r="Q91">
        <v>1</v>
      </c>
      <c r="X91">
        <v>0.72</v>
      </c>
      <c r="Y91">
        <v>0</v>
      </c>
      <c r="Z91">
        <v>81.150000000000006</v>
      </c>
      <c r="AA91">
        <v>14.54</v>
      </c>
      <c r="AB91">
        <v>0</v>
      </c>
      <c r="AC91">
        <v>0</v>
      </c>
      <c r="AD91">
        <v>1</v>
      </c>
      <c r="AE91">
        <v>0</v>
      </c>
      <c r="AF91" t="s">
        <v>4</v>
      </c>
      <c r="AG91">
        <v>0.72</v>
      </c>
      <c r="AH91">
        <v>2</v>
      </c>
      <c r="AI91">
        <v>70310702</v>
      </c>
      <c r="AJ91">
        <v>69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>
      <c r="A92">
        <f>ROW(Source!A106)</f>
        <v>106</v>
      </c>
      <c r="B92">
        <v>70310703</v>
      </c>
      <c r="C92">
        <v>70310569</v>
      </c>
      <c r="D92">
        <v>69363764</v>
      </c>
      <c r="E92">
        <v>1</v>
      </c>
      <c r="F92">
        <v>1</v>
      </c>
      <c r="G92">
        <v>1075</v>
      </c>
      <c r="H92">
        <v>2</v>
      </c>
      <c r="I92" t="s">
        <v>382</v>
      </c>
      <c r="J92" t="s">
        <v>383</v>
      </c>
      <c r="K92" t="s">
        <v>384</v>
      </c>
      <c r="L92">
        <v>1368</v>
      </c>
      <c r="N92">
        <v>1011</v>
      </c>
      <c r="O92" t="s">
        <v>338</v>
      </c>
      <c r="P92" t="s">
        <v>338</v>
      </c>
      <c r="Q92">
        <v>1</v>
      </c>
      <c r="X92">
        <v>1.04</v>
      </c>
      <c r="Y92">
        <v>0</v>
      </c>
      <c r="Z92">
        <v>179.17</v>
      </c>
      <c r="AA92">
        <v>16.93</v>
      </c>
      <c r="AB92">
        <v>0</v>
      </c>
      <c r="AC92">
        <v>0</v>
      </c>
      <c r="AD92">
        <v>1</v>
      </c>
      <c r="AE92">
        <v>0</v>
      </c>
      <c r="AF92" t="s">
        <v>4</v>
      </c>
      <c r="AG92">
        <v>1.04</v>
      </c>
      <c r="AH92">
        <v>2</v>
      </c>
      <c r="AI92">
        <v>70310703</v>
      </c>
      <c r="AJ92">
        <v>70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>
      <c r="A93">
        <f>ROW(Source!A106)</f>
        <v>106</v>
      </c>
      <c r="B93">
        <v>70310704</v>
      </c>
      <c r="C93">
        <v>70310569</v>
      </c>
      <c r="D93">
        <v>69277202</v>
      </c>
      <c r="E93">
        <v>1075</v>
      </c>
      <c r="F93">
        <v>1</v>
      </c>
      <c r="G93">
        <v>1075</v>
      </c>
      <c r="H93">
        <v>2</v>
      </c>
      <c r="I93" t="s">
        <v>385</v>
      </c>
      <c r="J93" t="s">
        <v>4</v>
      </c>
      <c r="K93" t="s">
        <v>386</v>
      </c>
      <c r="L93">
        <v>1344</v>
      </c>
      <c r="N93">
        <v>1008</v>
      </c>
      <c r="O93" t="s">
        <v>387</v>
      </c>
      <c r="P93" t="s">
        <v>387</v>
      </c>
      <c r="Q93">
        <v>1</v>
      </c>
      <c r="X93">
        <v>0.02</v>
      </c>
      <c r="Y93">
        <v>0</v>
      </c>
      <c r="Z93">
        <v>1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4</v>
      </c>
      <c r="AG93">
        <v>0.02</v>
      </c>
      <c r="AH93">
        <v>2</v>
      </c>
      <c r="AI93">
        <v>70310704</v>
      </c>
      <c r="AJ93">
        <v>71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>
      <c r="A94">
        <f>ROW(Source!A106)</f>
        <v>106</v>
      </c>
      <c r="B94">
        <v>70310705</v>
      </c>
      <c r="C94">
        <v>70310569</v>
      </c>
      <c r="D94">
        <v>69288914</v>
      </c>
      <c r="E94">
        <v>1075</v>
      </c>
      <c r="F94">
        <v>1</v>
      </c>
      <c r="G94">
        <v>1075</v>
      </c>
      <c r="H94">
        <v>3</v>
      </c>
      <c r="I94" t="s">
        <v>430</v>
      </c>
      <c r="J94" t="s">
        <v>4</v>
      </c>
      <c r="K94" t="s">
        <v>431</v>
      </c>
      <c r="L94">
        <v>1301</v>
      </c>
      <c r="N94">
        <v>1003</v>
      </c>
      <c r="O94" t="s">
        <v>135</v>
      </c>
      <c r="P94" t="s">
        <v>135</v>
      </c>
      <c r="Q94">
        <v>1</v>
      </c>
      <c r="X94">
        <v>1025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 t="s">
        <v>4</v>
      </c>
      <c r="AG94">
        <v>1025</v>
      </c>
      <c r="AH94">
        <v>3</v>
      </c>
      <c r="AI94">
        <v>-1</v>
      </c>
      <c r="AJ94" t="s">
        <v>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>
      <c r="A95">
        <f>ROW(Source!A107)</f>
        <v>107</v>
      </c>
      <c r="B95">
        <v>70310700</v>
      </c>
      <c r="C95">
        <v>70310569</v>
      </c>
      <c r="D95">
        <v>69275358</v>
      </c>
      <c r="E95">
        <v>1075</v>
      </c>
      <c r="F95">
        <v>1</v>
      </c>
      <c r="G95">
        <v>1075</v>
      </c>
      <c r="H95">
        <v>1</v>
      </c>
      <c r="I95" t="s">
        <v>332</v>
      </c>
      <c r="J95" t="s">
        <v>4</v>
      </c>
      <c r="K95" t="s">
        <v>333</v>
      </c>
      <c r="L95">
        <v>1191</v>
      </c>
      <c r="N95">
        <v>1013</v>
      </c>
      <c r="O95" t="s">
        <v>334</v>
      </c>
      <c r="P95" t="s">
        <v>334</v>
      </c>
      <c r="Q95">
        <v>1</v>
      </c>
      <c r="X95">
        <v>107.8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4</v>
      </c>
      <c r="AG95">
        <v>107.8</v>
      </c>
      <c r="AH95">
        <v>2</v>
      </c>
      <c r="AI95">
        <v>70310700</v>
      </c>
      <c r="AJ95">
        <v>73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>
      <c r="A96">
        <f>ROW(Source!A107)</f>
        <v>107</v>
      </c>
      <c r="B96">
        <v>70310701</v>
      </c>
      <c r="C96">
        <v>70310569</v>
      </c>
      <c r="D96">
        <v>69364529</v>
      </c>
      <c r="E96">
        <v>1</v>
      </c>
      <c r="F96">
        <v>1</v>
      </c>
      <c r="G96">
        <v>1075</v>
      </c>
      <c r="H96">
        <v>2</v>
      </c>
      <c r="I96" t="s">
        <v>376</v>
      </c>
      <c r="J96" t="s">
        <v>377</v>
      </c>
      <c r="K96" t="s">
        <v>378</v>
      </c>
      <c r="L96">
        <v>1368</v>
      </c>
      <c r="N96">
        <v>1011</v>
      </c>
      <c r="O96" t="s">
        <v>338</v>
      </c>
      <c r="P96" t="s">
        <v>338</v>
      </c>
      <c r="Q96">
        <v>1</v>
      </c>
      <c r="X96">
        <v>0.72</v>
      </c>
      <c r="Y96">
        <v>0</v>
      </c>
      <c r="Z96">
        <v>15.54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4</v>
      </c>
      <c r="AG96">
        <v>0.72</v>
      </c>
      <c r="AH96">
        <v>2</v>
      </c>
      <c r="AI96">
        <v>70310701</v>
      </c>
      <c r="AJ96">
        <v>74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>
      <c r="A97">
        <f>ROW(Source!A107)</f>
        <v>107</v>
      </c>
      <c r="B97">
        <v>70310702</v>
      </c>
      <c r="C97">
        <v>70310569</v>
      </c>
      <c r="D97">
        <v>69364531</v>
      </c>
      <c r="E97">
        <v>1</v>
      </c>
      <c r="F97">
        <v>1</v>
      </c>
      <c r="G97">
        <v>1075</v>
      </c>
      <c r="H97">
        <v>2</v>
      </c>
      <c r="I97" t="s">
        <v>379</v>
      </c>
      <c r="J97" t="s">
        <v>380</v>
      </c>
      <c r="K97" t="s">
        <v>381</v>
      </c>
      <c r="L97">
        <v>1368</v>
      </c>
      <c r="N97">
        <v>1011</v>
      </c>
      <c r="O97" t="s">
        <v>338</v>
      </c>
      <c r="P97" t="s">
        <v>338</v>
      </c>
      <c r="Q97">
        <v>1</v>
      </c>
      <c r="X97">
        <v>0.72</v>
      </c>
      <c r="Y97">
        <v>0</v>
      </c>
      <c r="Z97">
        <v>81.150000000000006</v>
      </c>
      <c r="AA97">
        <v>14.54</v>
      </c>
      <c r="AB97">
        <v>0</v>
      </c>
      <c r="AC97">
        <v>0</v>
      </c>
      <c r="AD97">
        <v>1</v>
      </c>
      <c r="AE97">
        <v>0</v>
      </c>
      <c r="AF97" t="s">
        <v>4</v>
      </c>
      <c r="AG97">
        <v>0.72</v>
      </c>
      <c r="AH97">
        <v>2</v>
      </c>
      <c r="AI97">
        <v>70310702</v>
      </c>
      <c r="AJ97">
        <v>75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>
      <c r="A98">
        <f>ROW(Source!A107)</f>
        <v>107</v>
      </c>
      <c r="B98">
        <v>70310703</v>
      </c>
      <c r="C98">
        <v>70310569</v>
      </c>
      <c r="D98">
        <v>69363764</v>
      </c>
      <c r="E98">
        <v>1</v>
      </c>
      <c r="F98">
        <v>1</v>
      </c>
      <c r="G98">
        <v>1075</v>
      </c>
      <c r="H98">
        <v>2</v>
      </c>
      <c r="I98" t="s">
        <v>382</v>
      </c>
      <c r="J98" t="s">
        <v>383</v>
      </c>
      <c r="K98" t="s">
        <v>384</v>
      </c>
      <c r="L98">
        <v>1368</v>
      </c>
      <c r="N98">
        <v>1011</v>
      </c>
      <c r="O98" t="s">
        <v>338</v>
      </c>
      <c r="P98" t="s">
        <v>338</v>
      </c>
      <c r="Q98">
        <v>1</v>
      </c>
      <c r="X98">
        <v>1.04</v>
      </c>
      <c r="Y98">
        <v>0</v>
      </c>
      <c r="Z98">
        <v>179.17</v>
      </c>
      <c r="AA98">
        <v>16.93</v>
      </c>
      <c r="AB98">
        <v>0</v>
      </c>
      <c r="AC98">
        <v>0</v>
      </c>
      <c r="AD98">
        <v>1</v>
      </c>
      <c r="AE98">
        <v>0</v>
      </c>
      <c r="AF98" t="s">
        <v>4</v>
      </c>
      <c r="AG98">
        <v>1.04</v>
      </c>
      <c r="AH98">
        <v>2</v>
      </c>
      <c r="AI98">
        <v>70310703</v>
      </c>
      <c r="AJ98">
        <v>76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>
      <c r="A99">
        <f>ROW(Source!A107)</f>
        <v>107</v>
      </c>
      <c r="B99">
        <v>70310704</v>
      </c>
      <c r="C99">
        <v>70310569</v>
      </c>
      <c r="D99">
        <v>69277202</v>
      </c>
      <c r="E99">
        <v>1075</v>
      </c>
      <c r="F99">
        <v>1</v>
      </c>
      <c r="G99">
        <v>1075</v>
      </c>
      <c r="H99">
        <v>2</v>
      </c>
      <c r="I99" t="s">
        <v>385</v>
      </c>
      <c r="J99" t="s">
        <v>4</v>
      </c>
      <c r="K99" t="s">
        <v>386</v>
      </c>
      <c r="L99">
        <v>1344</v>
      </c>
      <c r="N99">
        <v>1008</v>
      </c>
      <c r="O99" t="s">
        <v>387</v>
      </c>
      <c r="P99" t="s">
        <v>387</v>
      </c>
      <c r="Q99">
        <v>1</v>
      </c>
      <c r="X99">
        <v>0.02</v>
      </c>
      <c r="Y99">
        <v>0</v>
      </c>
      <c r="Z99">
        <v>1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4</v>
      </c>
      <c r="AG99">
        <v>0.02</v>
      </c>
      <c r="AH99">
        <v>2</v>
      </c>
      <c r="AI99">
        <v>70310704</v>
      </c>
      <c r="AJ99">
        <v>77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>
      <c r="A100">
        <f>ROW(Source!A107)</f>
        <v>107</v>
      </c>
      <c r="B100">
        <v>70310705</v>
      </c>
      <c r="C100">
        <v>70310569</v>
      </c>
      <c r="D100">
        <v>69288914</v>
      </c>
      <c r="E100">
        <v>1075</v>
      </c>
      <c r="F100">
        <v>1</v>
      </c>
      <c r="G100">
        <v>1075</v>
      </c>
      <c r="H100">
        <v>3</v>
      </c>
      <c r="I100" t="s">
        <v>430</v>
      </c>
      <c r="J100" t="s">
        <v>4</v>
      </c>
      <c r="K100" t="s">
        <v>431</v>
      </c>
      <c r="L100">
        <v>1301</v>
      </c>
      <c r="N100">
        <v>1003</v>
      </c>
      <c r="O100" t="s">
        <v>135</v>
      </c>
      <c r="P100" t="s">
        <v>135</v>
      </c>
      <c r="Q100">
        <v>1</v>
      </c>
      <c r="X100">
        <v>1025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 t="s">
        <v>4</v>
      </c>
      <c r="AG100">
        <v>1025</v>
      </c>
      <c r="AH100">
        <v>3</v>
      </c>
      <c r="AI100">
        <v>-1</v>
      </c>
      <c r="AJ100" t="s">
        <v>4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>
      <c r="A101">
        <f>ROW(Source!A112)</f>
        <v>112</v>
      </c>
      <c r="B101">
        <v>70310586</v>
      </c>
      <c r="C101">
        <v>70310581</v>
      </c>
      <c r="D101">
        <v>69275358</v>
      </c>
      <c r="E101">
        <v>1075</v>
      </c>
      <c r="F101">
        <v>1</v>
      </c>
      <c r="G101">
        <v>1075</v>
      </c>
      <c r="H101">
        <v>1</v>
      </c>
      <c r="I101" t="s">
        <v>332</v>
      </c>
      <c r="J101" t="s">
        <v>4</v>
      </c>
      <c r="K101" t="s">
        <v>333</v>
      </c>
      <c r="L101">
        <v>1191</v>
      </c>
      <c r="N101">
        <v>1013</v>
      </c>
      <c r="O101" t="s">
        <v>334</v>
      </c>
      <c r="P101" t="s">
        <v>334</v>
      </c>
      <c r="Q101">
        <v>1</v>
      </c>
      <c r="X101">
        <v>1.1499999999999999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1</v>
      </c>
      <c r="AF101" t="s">
        <v>4</v>
      </c>
      <c r="AG101">
        <v>1.1499999999999999</v>
      </c>
      <c r="AH101">
        <v>2</v>
      </c>
      <c r="AI101">
        <v>70310582</v>
      </c>
      <c r="AJ101">
        <v>79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>
      <c r="A102">
        <f>ROW(Source!A112)</f>
        <v>112</v>
      </c>
      <c r="B102">
        <v>70310587</v>
      </c>
      <c r="C102">
        <v>70310581</v>
      </c>
      <c r="D102">
        <v>69364230</v>
      </c>
      <c r="E102">
        <v>1</v>
      </c>
      <c r="F102">
        <v>1</v>
      </c>
      <c r="G102">
        <v>1075</v>
      </c>
      <c r="H102">
        <v>2</v>
      </c>
      <c r="I102" t="s">
        <v>388</v>
      </c>
      <c r="J102" t="s">
        <v>389</v>
      </c>
      <c r="K102" t="s">
        <v>390</v>
      </c>
      <c r="L102">
        <v>1368</v>
      </c>
      <c r="N102">
        <v>1011</v>
      </c>
      <c r="O102" t="s">
        <v>338</v>
      </c>
      <c r="P102" t="s">
        <v>338</v>
      </c>
      <c r="Q102">
        <v>1</v>
      </c>
      <c r="X102">
        <v>0.56000000000000005</v>
      </c>
      <c r="Y102">
        <v>0</v>
      </c>
      <c r="Z102">
        <v>4.01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4</v>
      </c>
      <c r="AG102">
        <v>0.56000000000000005</v>
      </c>
      <c r="AH102">
        <v>2</v>
      </c>
      <c r="AI102">
        <v>70310583</v>
      </c>
      <c r="AJ102">
        <v>80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>
      <c r="A103">
        <f>ROW(Source!A112)</f>
        <v>112</v>
      </c>
      <c r="B103">
        <v>70310588</v>
      </c>
      <c r="C103">
        <v>70310581</v>
      </c>
      <c r="D103">
        <v>69334387</v>
      </c>
      <c r="E103">
        <v>1</v>
      </c>
      <c r="F103">
        <v>1</v>
      </c>
      <c r="G103">
        <v>1075</v>
      </c>
      <c r="H103">
        <v>3</v>
      </c>
      <c r="I103" t="s">
        <v>391</v>
      </c>
      <c r="J103" t="s">
        <v>392</v>
      </c>
      <c r="K103" t="s">
        <v>393</v>
      </c>
      <c r="L103">
        <v>1346</v>
      </c>
      <c r="N103">
        <v>1009</v>
      </c>
      <c r="O103" t="s">
        <v>394</v>
      </c>
      <c r="P103" t="s">
        <v>394</v>
      </c>
      <c r="Q103">
        <v>1</v>
      </c>
      <c r="X103">
        <v>6.6699999999999995E-2</v>
      </c>
      <c r="Y103">
        <v>11.25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4</v>
      </c>
      <c r="AG103">
        <v>6.6699999999999995E-2</v>
      </c>
      <c r="AH103">
        <v>2</v>
      </c>
      <c r="AI103">
        <v>70310584</v>
      </c>
      <c r="AJ103">
        <v>81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>
      <c r="A104">
        <f>ROW(Source!A112)</f>
        <v>112</v>
      </c>
      <c r="B104">
        <v>70310589</v>
      </c>
      <c r="C104">
        <v>70310581</v>
      </c>
      <c r="D104">
        <v>69333737</v>
      </c>
      <c r="E104">
        <v>1</v>
      </c>
      <c r="F104">
        <v>1</v>
      </c>
      <c r="G104">
        <v>1075</v>
      </c>
      <c r="H104">
        <v>3</v>
      </c>
      <c r="I104" t="s">
        <v>395</v>
      </c>
      <c r="J104" t="s">
        <v>396</v>
      </c>
      <c r="K104" t="s">
        <v>397</v>
      </c>
      <c r="L104">
        <v>1346</v>
      </c>
      <c r="N104">
        <v>1009</v>
      </c>
      <c r="O104" t="s">
        <v>394</v>
      </c>
      <c r="P104" t="s">
        <v>394</v>
      </c>
      <c r="Q104">
        <v>1</v>
      </c>
      <c r="X104">
        <v>0.1</v>
      </c>
      <c r="Y104">
        <v>1.61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4</v>
      </c>
      <c r="AG104">
        <v>0.1</v>
      </c>
      <c r="AH104">
        <v>2</v>
      </c>
      <c r="AI104">
        <v>70310585</v>
      </c>
      <c r="AJ104">
        <v>82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>
      <c r="A105">
        <f>ROW(Source!A113)</f>
        <v>113</v>
      </c>
      <c r="B105">
        <v>70310586</v>
      </c>
      <c r="C105">
        <v>70310581</v>
      </c>
      <c r="D105">
        <v>69275358</v>
      </c>
      <c r="E105">
        <v>1075</v>
      </c>
      <c r="F105">
        <v>1</v>
      </c>
      <c r="G105">
        <v>1075</v>
      </c>
      <c r="H105">
        <v>1</v>
      </c>
      <c r="I105" t="s">
        <v>332</v>
      </c>
      <c r="J105" t="s">
        <v>4</v>
      </c>
      <c r="K105" t="s">
        <v>333</v>
      </c>
      <c r="L105">
        <v>1191</v>
      </c>
      <c r="N105">
        <v>1013</v>
      </c>
      <c r="O105" t="s">
        <v>334</v>
      </c>
      <c r="P105" t="s">
        <v>334</v>
      </c>
      <c r="Q105">
        <v>1</v>
      </c>
      <c r="X105">
        <v>1.1499999999999999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1</v>
      </c>
      <c r="AF105" t="s">
        <v>4</v>
      </c>
      <c r="AG105">
        <v>1.1499999999999999</v>
      </c>
      <c r="AH105">
        <v>2</v>
      </c>
      <c r="AI105">
        <v>70310582</v>
      </c>
      <c r="AJ105">
        <v>83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>
      <c r="A106">
        <f>ROW(Source!A113)</f>
        <v>113</v>
      </c>
      <c r="B106">
        <v>70310587</v>
      </c>
      <c r="C106">
        <v>70310581</v>
      </c>
      <c r="D106">
        <v>69364230</v>
      </c>
      <c r="E106">
        <v>1</v>
      </c>
      <c r="F106">
        <v>1</v>
      </c>
      <c r="G106">
        <v>1075</v>
      </c>
      <c r="H106">
        <v>2</v>
      </c>
      <c r="I106" t="s">
        <v>388</v>
      </c>
      <c r="J106" t="s">
        <v>389</v>
      </c>
      <c r="K106" t="s">
        <v>390</v>
      </c>
      <c r="L106">
        <v>1368</v>
      </c>
      <c r="N106">
        <v>1011</v>
      </c>
      <c r="O106" t="s">
        <v>338</v>
      </c>
      <c r="P106" t="s">
        <v>338</v>
      </c>
      <c r="Q106">
        <v>1</v>
      </c>
      <c r="X106">
        <v>0.56000000000000005</v>
      </c>
      <c r="Y106">
        <v>0</v>
      </c>
      <c r="Z106">
        <v>4.01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4</v>
      </c>
      <c r="AG106">
        <v>0.56000000000000005</v>
      </c>
      <c r="AH106">
        <v>2</v>
      </c>
      <c r="AI106">
        <v>70310583</v>
      </c>
      <c r="AJ106">
        <v>84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>
      <c r="A107">
        <f>ROW(Source!A113)</f>
        <v>113</v>
      </c>
      <c r="B107">
        <v>70310588</v>
      </c>
      <c r="C107">
        <v>70310581</v>
      </c>
      <c r="D107">
        <v>69334387</v>
      </c>
      <c r="E107">
        <v>1</v>
      </c>
      <c r="F107">
        <v>1</v>
      </c>
      <c r="G107">
        <v>1075</v>
      </c>
      <c r="H107">
        <v>3</v>
      </c>
      <c r="I107" t="s">
        <v>391</v>
      </c>
      <c r="J107" t="s">
        <v>392</v>
      </c>
      <c r="K107" t="s">
        <v>393</v>
      </c>
      <c r="L107">
        <v>1346</v>
      </c>
      <c r="N107">
        <v>1009</v>
      </c>
      <c r="O107" t="s">
        <v>394</v>
      </c>
      <c r="P107" t="s">
        <v>394</v>
      </c>
      <c r="Q107">
        <v>1</v>
      </c>
      <c r="X107">
        <v>6.6699999999999995E-2</v>
      </c>
      <c r="Y107">
        <v>11.25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4</v>
      </c>
      <c r="AG107">
        <v>6.6699999999999995E-2</v>
      </c>
      <c r="AH107">
        <v>2</v>
      </c>
      <c r="AI107">
        <v>70310584</v>
      </c>
      <c r="AJ107">
        <v>85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>
      <c r="A108">
        <f>ROW(Source!A113)</f>
        <v>113</v>
      </c>
      <c r="B108">
        <v>70310589</v>
      </c>
      <c r="C108">
        <v>70310581</v>
      </c>
      <c r="D108">
        <v>69333737</v>
      </c>
      <c r="E108">
        <v>1</v>
      </c>
      <c r="F108">
        <v>1</v>
      </c>
      <c r="G108">
        <v>1075</v>
      </c>
      <c r="H108">
        <v>3</v>
      </c>
      <c r="I108" t="s">
        <v>395</v>
      </c>
      <c r="J108" t="s">
        <v>396</v>
      </c>
      <c r="K108" t="s">
        <v>397</v>
      </c>
      <c r="L108">
        <v>1346</v>
      </c>
      <c r="N108">
        <v>1009</v>
      </c>
      <c r="O108" t="s">
        <v>394</v>
      </c>
      <c r="P108" t="s">
        <v>394</v>
      </c>
      <c r="Q108">
        <v>1</v>
      </c>
      <c r="X108">
        <v>0.1</v>
      </c>
      <c r="Y108">
        <v>1.61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4</v>
      </c>
      <c r="AG108">
        <v>0.1</v>
      </c>
      <c r="AH108">
        <v>2</v>
      </c>
      <c r="AI108">
        <v>70310585</v>
      </c>
      <c r="AJ108">
        <v>86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>
      <c r="A109">
        <f>ROW(Source!A114)</f>
        <v>114</v>
      </c>
      <c r="B109">
        <v>70310592</v>
      </c>
      <c r="C109">
        <v>70310590</v>
      </c>
      <c r="D109">
        <v>69275358</v>
      </c>
      <c r="E109">
        <v>1075</v>
      </c>
      <c r="F109">
        <v>1</v>
      </c>
      <c r="G109">
        <v>1075</v>
      </c>
      <c r="H109">
        <v>1</v>
      </c>
      <c r="I109" t="s">
        <v>332</v>
      </c>
      <c r="J109" t="s">
        <v>4</v>
      </c>
      <c r="K109" t="s">
        <v>333</v>
      </c>
      <c r="L109">
        <v>1191</v>
      </c>
      <c r="N109">
        <v>1013</v>
      </c>
      <c r="O109" t="s">
        <v>334</v>
      </c>
      <c r="P109" t="s">
        <v>334</v>
      </c>
      <c r="Q109">
        <v>1</v>
      </c>
      <c r="X109">
        <v>135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1</v>
      </c>
      <c r="AF109" t="s">
        <v>4</v>
      </c>
      <c r="AG109">
        <v>135</v>
      </c>
      <c r="AH109">
        <v>3</v>
      </c>
      <c r="AI109">
        <v>-1</v>
      </c>
      <c r="AJ109" t="s">
        <v>4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>
      <c r="A110">
        <f>ROW(Source!A114)</f>
        <v>114</v>
      </c>
      <c r="B110">
        <v>70310593</v>
      </c>
      <c r="C110">
        <v>70310590</v>
      </c>
      <c r="D110">
        <v>69364183</v>
      </c>
      <c r="E110">
        <v>1</v>
      </c>
      <c r="F110">
        <v>1</v>
      </c>
      <c r="G110">
        <v>1075</v>
      </c>
      <c r="H110">
        <v>2</v>
      </c>
      <c r="I110" t="s">
        <v>432</v>
      </c>
      <c r="J110" t="s">
        <v>433</v>
      </c>
      <c r="K110" t="s">
        <v>434</v>
      </c>
      <c r="L110">
        <v>1368</v>
      </c>
      <c r="N110">
        <v>1011</v>
      </c>
      <c r="O110" t="s">
        <v>338</v>
      </c>
      <c r="P110" t="s">
        <v>338</v>
      </c>
      <c r="Q110">
        <v>1</v>
      </c>
      <c r="X110">
        <v>8</v>
      </c>
      <c r="Y110">
        <v>0</v>
      </c>
      <c r="Z110">
        <v>24.95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4</v>
      </c>
      <c r="AG110">
        <v>8</v>
      </c>
      <c r="AH110">
        <v>3</v>
      </c>
      <c r="AI110">
        <v>-1</v>
      </c>
      <c r="AJ110" t="s">
        <v>4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>
      <c r="A111">
        <f>ROW(Source!A114)</f>
        <v>114</v>
      </c>
      <c r="B111">
        <v>70310594</v>
      </c>
      <c r="C111">
        <v>70310590</v>
      </c>
      <c r="D111">
        <v>69364244</v>
      </c>
      <c r="E111">
        <v>1</v>
      </c>
      <c r="F111">
        <v>1</v>
      </c>
      <c r="G111">
        <v>1075</v>
      </c>
      <c r="H111">
        <v>2</v>
      </c>
      <c r="I111" t="s">
        <v>435</v>
      </c>
      <c r="J111" t="s">
        <v>436</v>
      </c>
      <c r="K111" t="s">
        <v>437</v>
      </c>
      <c r="L111">
        <v>1368</v>
      </c>
      <c r="N111">
        <v>1011</v>
      </c>
      <c r="O111" t="s">
        <v>338</v>
      </c>
      <c r="P111" t="s">
        <v>338</v>
      </c>
      <c r="Q111">
        <v>1</v>
      </c>
      <c r="X111">
        <v>2</v>
      </c>
      <c r="Y111">
        <v>0</v>
      </c>
      <c r="Z111">
        <v>4.6900000000000004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4</v>
      </c>
      <c r="AG111">
        <v>2</v>
      </c>
      <c r="AH111">
        <v>3</v>
      </c>
      <c r="AI111">
        <v>-1</v>
      </c>
      <c r="AJ111" t="s">
        <v>4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>
      <c r="A112">
        <f>ROW(Source!A114)</f>
        <v>114</v>
      </c>
      <c r="B112">
        <v>70310595</v>
      </c>
      <c r="C112">
        <v>70310590</v>
      </c>
      <c r="D112">
        <v>69364382</v>
      </c>
      <c r="E112">
        <v>1</v>
      </c>
      <c r="F112">
        <v>1</v>
      </c>
      <c r="G112">
        <v>1075</v>
      </c>
      <c r="H112">
        <v>2</v>
      </c>
      <c r="I112" t="s">
        <v>438</v>
      </c>
      <c r="J112" t="s">
        <v>439</v>
      </c>
      <c r="K112" t="s">
        <v>440</v>
      </c>
      <c r="L112">
        <v>1368</v>
      </c>
      <c r="N112">
        <v>1011</v>
      </c>
      <c r="O112" t="s">
        <v>338</v>
      </c>
      <c r="P112" t="s">
        <v>338</v>
      </c>
      <c r="Q112">
        <v>1</v>
      </c>
      <c r="X112">
        <v>30</v>
      </c>
      <c r="Y112">
        <v>0</v>
      </c>
      <c r="Z112">
        <v>6.1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4</v>
      </c>
      <c r="AG112">
        <v>30</v>
      </c>
      <c r="AH112">
        <v>3</v>
      </c>
      <c r="AI112">
        <v>-1</v>
      </c>
      <c r="AJ112" t="s">
        <v>4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>
      <c r="A113">
        <f>ROW(Source!A114)</f>
        <v>114</v>
      </c>
      <c r="B113">
        <v>70310596</v>
      </c>
      <c r="C113">
        <v>70310590</v>
      </c>
      <c r="D113">
        <v>69364509</v>
      </c>
      <c r="E113">
        <v>1</v>
      </c>
      <c r="F113">
        <v>1</v>
      </c>
      <c r="G113">
        <v>1075</v>
      </c>
      <c r="H113">
        <v>2</v>
      </c>
      <c r="I113" t="s">
        <v>364</v>
      </c>
      <c r="J113" t="s">
        <v>365</v>
      </c>
      <c r="K113" t="s">
        <v>366</v>
      </c>
      <c r="L113">
        <v>1368</v>
      </c>
      <c r="N113">
        <v>1011</v>
      </c>
      <c r="O113" t="s">
        <v>338</v>
      </c>
      <c r="P113" t="s">
        <v>338</v>
      </c>
      <c r="Q113">
        <v>1</v>
      </c>
      <c r="X113">
        <v>0.02</v>
      </c>
      <c r="Y113">
        <v>0</v>
      </c>
      <c r="Z113">
        <v>83.1</v>
      </c>
      <c r="AA113">
        <v>12.62</v>
      </c>
      <c r="AB113">
        <v>0</v>
      </c>
      <c r="AC113">
        <v>0</v>
      </c>
      <c r="AD113">
        <v>1</v>
      </c>
      <c r="AE113">
        <v>0</v>
      </c>
      <c r="AF113" t="s">
        <v>4</v>
      </c>
      <c r="AG113">
        <v>0.02</v>
      </c>
      <c r="AH113">
        <v>3</v>
      </c>
      <c r="AI113">
        <v>-1</v>
      </c>
      <c r="AJ113" t="s">
        <v>4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>
      <c r="A114">
        <f>ROW(Source!A114)</f>
        <v>114</v>
      </c>
      <c r="B114">
        <v>70310598</v>
      </c>
      <c r="C114">
        <v>70310590</v>
      </c>
      <c r="D114">
        <v>69364627</v>
      </c>
      <c r="E114">
        <v>1</v>
      </c>
      <c r="F114">
        <v>1</v>
      </c>
      <c r="G114">
        <v>1075</v>
      </c>
      <c r="H114">
        <v>2</v>
      </c>
      <c r="I114" t="s">
        <v>441</v>
      </c>
      <c r="J114" t="s">
        <v>442</v>
      </c>
      <c r="K114" t="s">
        <v>443</v>
      </c>
      <c r="L114">
        <v>1368</v>
      </c>
      <c r="N114">
        <v>1011</v>
      </c>
      <c r="O114" t="s">
        <v>338</v>
      </c>
      <c r="P114" t="s">
        <v>338</v>
      </c>
      <c r="Q114">
        <v>1</v>
      </c>
      <c r="X114">
        <v>3</v>
      </c>
      <c r="Y114">
        <v>0</v>
      </c>
      <c r="Z114">
        <v>0.8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4</v>
      </c>
      <c r="AG114">
        <v>3</v>
      </c>
      <c r="AH114">
        <v>3</v>
      </c>
      <c r="AI114">
        <v>-1</v>
      </c>
      <c r="AJ114" t="s">
        <v>4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>
      <c r="A115">
        <f>ROW(Source!A114)</f>
        <v>114</v>
      </c>
      <c r="B115">
        <v>70310597</v>
      </c>
      <c r="C115">
        <v>70310590</v>
      </c>
      <c r="D115">
        <v>69363764</v>
      </c>
      <c r="E115">
        <v>1</v>
      </c>
      <c r="F115">
        <v>1</v>
      </c>
      <c r="G115">
        <v>1075</v>
      </c>
      <c r="H115">
        <v>2</v>
      </c>
      <c r="I115" t="s">
        <v>382</v>
      </c>
      <c r="J115" t="s">
        <v>383</v>
      </c>
      <c r="K115" t="s">
        <v>384</v>
      </c>
      <c r="L115">
        <v>1368</v>
      </c>
      <c r="N115">
        <v>1011</v>
      </c>
      <c r="O115" t="s">
        <v>338</v>
      </c>
      <c r="P115" t="s">
        <v>338</v>
      </c>
      <c r="Q115">
        <v>1</v>
      </c>
      <c r="X115">
        <v>0.02</v>
      </c>
      <c r="Y115">
        <v>0</v>
      </c>
      <c r="Z115">
        <v>179.17</v>
      </c>
      <c r="AA115">
        <v>16.93</v>
      </c>
      <c r="AB115">
        <v>0</v>
      </c>
      <c r="AC115">
        <v>0</v>
      </c>
      <c r="AD115">
        <v>1</v>
      </c>
      <c r="AE115">
        <v>0</v>
      </c>
      <c r="AF115" t="s">
        <v>4</v>
      </c>
      <c r="AG115">
        <v>0.02</v>
      </c>
      <c r="AH115">
        <v>3</v>
      </c>
      <c r="AI115">
        <v>-1</v>
      </c>
      <c r="AJ115" t="s">
        <v>4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>
      <c r="A116">
        <f>ROW(Source!A114)</f>
        <v>114</v>
      </c>
      <c r="B116">
        <v>70310599</v>
      </c>
      <c r="C116">
        <v>70310590</v>
      </c>
      <c r="D116">
        <v>69333737</v>
      </c>
      <c r="E116">
        <v>1</v>
      </c>
      <c r="F116">
        <v>1</v>
      </c>
      <c r="G116">
        <v>1075</v>
      </c>
      <c r="H116">
        <v>3</v>
      </c>
      <c r="I116" t="s">
        <v>395</v>
      </c>
      <c r="J116" t="s">
        <v>396</v>
      </c>
      <c r="K116" t="s">
        <v>397</v>
      </c>
      <c r="L116">
        <v>1346</v>
      </c>
      <c r="N116">
        <v>1009</v>
      </c>
      <c r="O116" t="s">
        <v>394</v>
      </c>
      <c r="P116" t="s">
        <v>394</v>
      </c>
      <c r="Q116">
        <v>1</v>
      </c>
      <c r="X116">
        <v>0.8</v>
      </c>
      <c r="Y116">
        <v>1.61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4</v>
      </c>
      <c r="AG116">
        <v>0.8</v>
      </c>
      <c r="AH116">
        <v>3</v>
      </c>
      <c r="AI116">
        <v>-1</v>
      </c>
      <c r="AJ116" t="s">
        <v>4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>
      <c r="A117">
        <f>ROW(Source!A114)</f>
        <v>114</v>
      </c>
      <c r="B117">
        <v>70310600</v>
      </c>
      <c r="C117">
        <v>70310590</v>
      </c>
      <c r="D117">
        <v>69334221</v>
      </c>
      <c r="E117">
        <v>1</v>
      </c>
      <c r="F117">
        <v>1</v>
      </c>
      <c r="G117">
        <v>1075</v>
      </c>
      <c r="H117">
        <v>3</v>
      </c>
      <c r="I117" t="s">
        <v>444</v>
      </c>
      <c r="J117" t="s">
        <v>445</v>
      </c>
      <c r="K117" t="s">
        <v>446</v>
      </c>
      <c r="L117">
        <v>1327</v>
      </c>
      <c r="N117">
        <v>1005</v>
      </c>
      <c r="O117" t="s">
        <v>164</v>
      </c>
      <c r="P117" t="s">
        <v>164</v>
      </c>
      <c r="Q117">
        <v>1</v>
      </c>
      <c r="X117">
        <v>140</v>
      </c>
      <c r="Y117">
        <v>3.66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4</v>
      </c>
      <c r="AG117">
        <v>140</v>
      </c>
      <c r="AH117">
        <v>3</v>
      </c>
      <c r="AI117">
        <v>-1</v>
      </c>
      <c r="AJ117" t="s">
        <v>4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>
      <c r="A118">
        <f>ROW(Source!A114)</f>
        <v>114</v>
      </c>
      <c r="B118">
        <v>70310601</v>
      </c>
      <c r="C118">
        <v>70310590</v>
      </c>
      <c r="D118">
        <v>69334338</v>
      </c>
      <c r="E118">
        <v>1</v>
      </c>
      <c r="F118">
        <v>1</v>
      </c>
      <c r="G118">
        <v>1075</v>
      </c>
      <c r="H118">
        <v>3</v>
      </c>
      <c r="I118" t="s">
        <v>447</v>
      </c>
      <c r="J118" t="s">
        <v>448</v>
      </c>
      <c r="K118" t="s">
        <v>449</v>
      </c>
      <c r="L118">
        <v>1348</v>
      </c>
      <c r="N118">
        <v>1009</v>
      </c>
      <c r="O118" t="s">
        <v>168</v>
      </c>
      <c r="P118" t="s">
        <v>168</v>
      </c>
      <c r="Q118">
        <v>1000</v>
      </c>
      <c r="X118">
        <v>2.0000000000000001E-4</v>
      </c>
      <c r="Y118">
        <v>13609.41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4</v>
      </c>
      <c r="AG118">
        <v>2.0000000000000001E-4</v>
      </c>
      <c r="AH118">
        <v>3</v>
      </c>
      <c r="AI118">
        <v>-1</v>
      </c>
      <c r="AJ118" t="s">
        <v>4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>
      <c r="A119">
        <f>ROW(Source!A114)</f>
        <v>114</v>
      </c>
      <c r="B119">
        <v>70310602</v>
      </c>
      <c r="C119">
        <v>70310590</v>
      </c>
      <c r="D119">
        <v>69315594</v>
      </c>
      <c r="E119">
        <v>1075</v>
      </c>
      <c r="F119">
        <v>1</v>
      </c>
      <c r="G119">
        <v>1075</v>
      </c>
      <c r="H119">
        <v>3</v>
      </c>
      <c r="I119" t="s">
        <v>450</v>
      </c>
      <c r="J119" t="s">
        <v>4</v>
      </c>
      <c r="K119" t="s">
        <v>451</v>
      </c>
      <c r="L119">
        <v>1348</v>
      </c>
      <c r="N119">
        <v>1009</v>
      </c>
      <c r="O119" t="s">
        <v>168</v>
      </c>
      <c r="P119" t="s">
        <v>168</v>
      </c>
      <c r="Q119">
        <v>1000</v>
      </c>
      <c r="X119">
        <v>0.1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 t="s">
        <v>4</v>
      </c>
      <c r="AG119">
        <v>0.1</v>
      </c>
      <c r="AH119">
        <v>3</v>
      </c>
      <c r="AI119">
        <v>-1</v>
      </c>
      <c r="AJ119" t="s">
        <v>4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>
      <c r="A120">
        <f>ROW(Source!A115)</f>
        <v>115</v>
      </c>
      <c r="B120">
        <v>70310592</v>
      </c>
      <c r="C120">
        <v>70310590</v>
      </c>
      <c r="D120">
        <v>69275358</v>
      </c>
      <c r="E120">
        <v>1075</v>
      </c>
      <c r="F120">
        <v>1</v>
      </c>
      <c r="G120">
        <v>1075</v>
      </c>
      <c r="H120">
        <v>1</v>
      </c>
      <c r="I120" t="s">
        <v>332</v>
      </c>
      <c r="J120" t="s">
        <v>4</v>
      </c>
      <c r="K120" t="s">
        <v>333</v>
      </c>
      <c r="L120">
        <v>1191</v>
      </c>
      <c r="N120">
        <v>1013</v>
      </c>
      <c r="O120" t="s">
        <v>334</v>
      </c>
      <c r="P120" t="s">
        <v>334</v>
      </c>
      <c r="Q120">
        <v>1</v>
      </c>
      <c r="X120">
        <v>135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1</v>
      </c>
      <c r="AF120" t="s">
        <v>4</v>
      </c>
      <c r="AG120">
        <v>135</v>
      </c>
      <c r="AH120">
        <v>3</v>
      </c>
      <c r="AI120">
        <v>-1</v>
      </c>
      <c r="AJ120" t="s">
        <v>4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>
      <c r="A121">
        <f>ROW(Source!A115)</f>
        <v>115</v>
      </c>
      <c r="B121">
        <v>70310593</v>
      </c>
      <c r="C121">
        <v>70310590</v>
      </c>
      <c r="D121">
        <v>69364183</v>
      </c>
      <c r="E121">
        <v>1</v>
      </c>
      <c r="F121">
        <v>1</v>
      </c>
      <c r="G121">
        <v>1075</v>
      </c>
      <c r="H121">
        <v>2</v>
      </c>
      <c r="I121" t="s">
        <v>432</v>
      </c>
      <c r="J121" t="s">
        <v>433</v>
      </c>
      <c r="K121" t="s">
        <v>434</v>
      </c>
      <c r="L121">
        <v>1368</v>
      </c>
      <c r="N121">
        <v>1011</v>
      </c>
      <c r="O121" t="s">
        <v>338</v>
      </c>
      <c r="P121" t="s">
        <v>338</v>
      </c>
      <c r="Q121">
        <v>1</v>
      </c>
      <c r="X121">
        <v>8</v>
      </c>
      <c r="Y121">
        <v>0</v>
      </c>
      <c r="Z121">
        <v>24.95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4</v>
      </c>
      <c r="AG121">
        <v>8</v>
      </c>
      <c r="AH121">
        <v>3</v>
      </c>
      <c r="AI121">
        <v>-1</v>
      </c>
      <c r="AJ121" t="s">
        <v>4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>
      <c r="A122">
        <f>ROW(Source!A115)</f>
        <v>115</v>
      </c>
      <c r="B122">
        <v>70310594</v>
      </c>
      <c r="C122">
        <v>70310590</v>
      </c>
      <c r="D122">
        <v>69364244</v>
      </c>
      <c r="E122">
        <v>1</v>
      </c>
      <c r="F122">
        <v>1</v>
      </c>
      <c r="G122">
        <v>1075</v>
      </c>
      <c r="H122">
        <v>2</v>
      </c>
      <c r="I122" t="s">
        <v>435</v>
      </c>
      <c r="J122" t="s">
        <v>436</v>
      </c>
      <c r="K122" t="s">
        <v>437</v>
      </c>
      <c r="L122">
        <v>1368</v>
      </c>
      <c r="N122">
        <v>1011</v>
      </c>
      <c r="O122" t="s">
        <v>338</v>
      </c>
      <c r="P122" t="s">
        <v>338</v>
      </c>
      <c r="Q122">
        <v>1</v>
      </c>
      <c r="X122">
        <v>2</v>
      </c>
      <c r="Y122">
        <v>0</v>
      </c>
      <c r="Z122">
        <v>4.6900000000000004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4</v>
      </c>
      <c r="AG122">
        <v>2</v>
      </c>
      <c r="AH122">
        <v>3</v>
      </c>
      <c r="AI122">
        <v>-1</v>
      </c>
      <c r="AJ122" t="s">
        <v>4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>
      <c r="A123">
        <f>ROW(Source!A115)</f>
        <v>115</v>
      </c>
      <c r="B123">
        <v>70310595</v>
      </c>
      <c r="C123">
        <v>70310590</v>
      </c>
      <c r="D123">
        <v>69364382</v>
      </c>
      <c r="E123">
        <v>1</v>
      </c>
      <c r="F123">
        <v>1</v>
      </c>
      <c r="G123">
        <v>1075</v>
      </c>
      <c r="H123">
        <v>2</v>
      </c>
      <c r="I123" t="s">
        <v>438</v>
      </c>
      <c r="J123" t="s">
        <v>439</v>
      </c>
      <c r="K123" t="s">
        <v>440</v>
      </c>
      <c r="L123">
        <v>1368</v>
      </c>
      <c r="N123">
        <v>1011</v>
      </c>
      <c r="O123" t="s">
        <v>338</v>
      </c>
      <c r="P123" t="s">
        <v>338</v>
      </c>
      <c r="Q123">
        <v>1</v>
      </c>
      <c r="X123">
        <v>30</v>
      </c>
      <c r="Y123">
        <v>0</v>
      </c>
      <c r="Z123">
        <v>6.1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4</v>
      </c>
      <c r="AG123">
        <v>30</v>
      </c>
      <c r="AH123">
        <v>3</v>
      </c>
      <c r="AI123">
        <v>-1</v>
      </c>
      <c r="AJ123" t="s">
        <v>4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>
      <c r="A124">
        <f>ROW(Source!A115)</f>
        <v>115</v>
      </c>
      <c r="B124">
        <v>70310596</v>
      </c>
      <c r="C124">
        <v>70310590</v>
      </c>
      <c r="D124">
        <v>69364509</v>
      </c>
      <c r="E124">
        <v>1</v>
      </c>
      <c r="F124">
        <v>1</v>
      </c>
      <c r="G124">
        <v>1075</v>
      </c>
      <c r="H124">
        <v>2</v>
      </c>
      <c r="I124" t="s">
        <v>364</v>
      </c>
      <c r="J124" t="s">
        <v>365</v>
      </c>
      <c r="K124" t="s">
        <v>366</v>
      </c>
      <c r="L124">
        <v>1368</v>
      </c>
      <c r="N124">
        <v>1011</v>
      </c>
      <c r="O124" t="s">
        <v>338</v>
      </c>
      <c r="P124" t="s">
        <v>338</v>
      </c>
      <c r="Q124">
        <v>1</v>
      </c>
      <c r="X124">
        <v>0.02</v>
      </c>
      <c r="Y124">
        <v>0</v>
      </c>
      <c r="Z124">
        <v>83.1</v>
      </c>
      <c r="AA124">
        <v>12.62</v>
      </c>
      <c r="AB124">
        <v>0</v>
      </c>
      <c r="AC124">
        <v>0</v>
      </c>
      <c r="AD124">
        <v>1</v>
      </c>
      <c r="AE124">
        <v>0</v>
      </c>
      <c r="AF124" t="s">
        <v>4</v>
      </c>
      <c r="AG124">
        <v>0.02</v>
      </c>
      <c r="AH124">
        <v>3</v>
      </c>
      <c r="AI124">
        <v>-1</v>
      </c>
      <c r="AJ124" t="s">
        <v>4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>
      <c r="A125">
        <f>ROW(Source!A115)</f>
        <v>115</v>
      </c>
      <c r="B125">
        <v>70310598</v>
      </c>
      <c r="C125">
        <v>70310590</v>
      </c>
      <c r="D125">
        <v>69364627</v>
      </c>
      <c r="E125">
        <v>1</v>
      </c>
      <c r="F125">
        <v>1</v>
      </c>
      <c r="G125">
        <v>1075</v>
      </c>
      <c r="H125">
        <v>2</v>
      </c>
      <c r="I125" t="s">
        <v>441</v>
      </c>
      <c r="J125" t="s">
        <v>442</v>
      </c>
      <c r="K125" t="s">
        <v>443</v>
      </c>
      <c r="L125">
        <v>1368</v>
      </c>
      <c r="N125">
        <v>1011</v>
      </c>
      <c r="O125" t="s">
        <v>338</v>
      </c>
      <c r="P125" t="s">
        <v>338</v>
      </c>
      <c r="Q125">
        <v>1</v>
      </c>
      <c r="X125">
        <v>3</v>
      </c>
      <c r="Y125">
        <v>0</v>
      </c>
      <c r="Z125">
        <v>0.8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4</v>
      </c>
      <c r="AG125">
        <v>3</v>
      </c>
      <c r="AH125">
        <v>3</v>
      </c>
      <c r="AI125">
        <v>-1</v>
      </c>
      <c r="AJ125" t="s">
        <v>4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>
      <c r="A126">
        <f>ROW(Source!A115)</f>
        <v>115</v>
      </c>
      <c r="B126">
        <v>70310597</v>
      </c>
      <c r="C126">
        <v>70310590</v>
      </c>
      <c r="D126">
        <v>69363764</v>
      </c>
      <c r="E126">
        <v>1</v>
      </c>
      <c r="F126">
        <v>1</v>
      </c>
      <c r="G126">
        <v>1075</v>
      </c>
      <c r="H126">
        <v>2</v>
      </c>
      <c r="I126" t="s">
        <v>382</v>
      </c>
      <c r="J126" t="s">
        <v>383</v>
      </c>
      <c r="K126" t="s">
        <v>384</v>
      </c>
      <c r="L126">
        <v>1368</v>
      </c>
      <c r="N126">
        <v>1011</v>
      </c>
      <c r="O126" t="s">
        <v>338</v>
      </c>
      <c r="P126" t="s">
        <v>338</v>
      </c>
      <c r="Q126">
        <v>1</v>
      </c>
      <c r="X126">
        <v>0.02</v>
      </c>
      <c r="Y126">
        <v>0</v>
      </c>
      <c r="Z126">
        <v>179.17</v>
      </c>
      <c r="AA126">
        <v>16.93</v>
      </c>
      <c r="AB126">
        <v>0</v>
      </c>
      <c r="AC126">
        <v>0</v>
      </c>
      <c r="AD126">
        <v>1</v>
      </c>
      <c r="AE126">
        <v>0</v>
      </c>
      <c r="AF126" t="s">
        <v>4</v>
      </c>
      <c r="AG126">
        <v>0.02</v>
      </c>
      <c r="AH126">
        <v>3</v>
      </c>
      <c r="AI126">
        <v>-1</v>
      </c>
      <c r="AJ126" t="s">
        <v>4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>
      <c r="A127">
        <f>ROW(Source!A115)</f>
        <v>115</v>
      </c>
      <c r="B127">
        <v>70310599</v>
      </c>
      <c r="C127">
        <v>70310590</v>
      </c>
      <c r="D127">
        <v>69333737</v>
      </c>
      <c r="E127">
        <v>1</v>
      </c>
      <c r="F127">
        <v>1</v>
      </c>
      <c r="G127">
        <v>1075</v>
      </c>
      <c r="H127">
        <v>3</v>
      </c>
      <c r="I127" t="s">
        <v>395</v>
      </c>
      <c r="J127" t="s">
        <v>396</v>
      </c>
      <c r="K127" t="s">
        <v>397</v>
      </c>
      <c r="L127">
        <v>1346</v>
      </c>
      <c r="N127">
        <v>1009</v>
      </c>
      <c r="O127" t="s">
        <v>394</v>
      </c>
      <c r="P127" t="s">
        <v>394</v>
      </c>
      <c r="Q127">
        <v>1</v>
      </c>
      <c r="X127">
        <v>0.8</v>
      </c>
      <c r="Y127">
        <v>1.61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4</v>
      </c>
      <c r="AG127">
        <v>0.8</v>
      </c>
      <c r="AH127">
        <v>3</v>
      </c>
      <c r="AI127">
        <v>-1</v>
      </c>
      <c r="AJ127" t="s">
        <v>4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>
      <c r="A128">
        <f>ROW(Source!A115)</f>
        <v>115</v>
      </c>
      <c r="B128">
        <v>70310600</v>
      </c>
      <c r="C128">
        <v>70310590</v>
      </c>
      <c r="D128">
        <v>69334221</v>
      </c>
      <c r="E128">
        <v>1</v>
      </c>
      <c r="F128">
        <v>1</v>
      </c>
      <c r="G128">
        <v>1075</v>
      </c>
      <c r="H128">
        <v>3</v>
      </c>
      <c r="I128" t="s">
        <v>444</v>
      </c>
      <c r="J128" t="s">
        <v>445</v>
      </c>
      <c r="K128" t="s">
        <v>446</v>
      </c>
      <c r="L128">
        <v>1327</v>
      </c>
      <c r="N128">
        <v>1005</v>
      </c>
      <c r="O128" t="s">
        <v>164</v>
      </c>
      <c r="P128" t="s">
        <v>164</v>
      </c>
      <c r="Q128">
        <v>1</v>
      </c>
      <c r="X128">
        <v>140</v>
      </c>
      <c r="Y128">
        <v>3.66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4</v>
      </c>
      <c r="AG128">
        <v>140</v>
      </c>
      <c r="AH128">
        <v>3</v>
      </c>
      <c r="AI128">
        <v>-1</v>
      </c>
      <c r="AJ128" t="s">
        <v>4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>
      <c r="A129">
        <f>ROW(Source!A115)</f>
        <v>115</v>
      </c>
      <c r="B129">
        <v>70310601</v>
      </c>
      <c r="C129">
        <v>70310590</v>
      </c>
      <c r="D129">
        <v>69334338</v>
      </c>
      <c r="E129">
        <v>1</v>
      </c>
      <c r="F129">
        <v>1</v>
      </c>
      <c r="G129">
        <v>1075</v>
      </c>
      <c r="H129">
        <v>3</v>
      </c>
      <c r="I129" t="s">
        <v>447</v>
      </c>
      <c r="J129" t="s">
        <v>448</v>
      </c>
      <c r="K129" t="s">
        <v>449</v>
      </c>
      <c r="L129">
        <v>1348</v>
      </c>
      <c r="N129">
        <v>1009</v>
      </c>
      <c r="O129" t="s">
        <v>168</v>
      </c>
      <c r="P129" t="s">
        <v>168</v>
      </c>
      <c r="Q129">
        <v>1000</v>
      </c>
      <c r="X129">
        <v>2.0000000000000001E-4</v>
      </c>
      <c r="Y129">
        <v>13609.41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4</v>
      </c>
      <c r="AG129">
        <v>2.0000000000000001E-4</v>
      </c>
      <c r="AH129">
        <v>3</v>
      </c>
      <c r="AI129">
        <v>-1</v>
      </c>
      <c r="AJ129" t="s">
        <v>4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>
      <c r="A130">
        <f>ROW(Source!A115)</f>
        <v>115</v>
      </c>
      <c r="B130">
        <v>70310602</v>
      </c>
      <c r="C130">
        <v>70310590</v>
      </c>
      <c r="D130">
        <v>69315594</v>
      </c>
      <c r="E130">
        <v>1075</v>
      </c>
      <c r="F130">
        <v>1</v>
      </c>
      <c r="G130">
        <v>1075</v>
      </c>
      <c r="H130">
        <v>3</v>
      </c>
      <c r="I130" t="s">
        <v>450</v>
      </c>
      <c r="J130" t="s">
        <v>4</v>
      </c>
      <c r="K130" t="s">
        <v>451</v>
      </c>
      <c r="L130">
        <v>1348</v>
      </c>
      <c r="N130">
        <v>1009</v>
      </c>
      <c r="O130" t="s">
        <v>168</v>
      </c>
      <c r="P130" t="s">
        <v>168</v>
      </c>
      <c r="Q130">
        <v>1000</v>
      </c>
      <c r="X130">
        <v>0.1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 t="s">
        <v>4</v>
      </c>
      <c r="AG130">
        <v>0.1</v>
      </c>
      <c r="AH130">
        <v>3</v>
      </c>
      <c r="AI130">
        <v>-1</v>
      </c>
      <c r="AJ130" t="s">
        <v>4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>
      <c r="A131">
        <f>ROW(Source!A163)</f>
        <v>163</v>
      </c>
      <c r="B131">
        <v>70305650</v>
      </c>
      <c r="C131">
        <v>70305649</v>
      </c>
      <c r="D131">
        <v>69275358</v>
      </c>
      <c r="E131">
        <v>1075</v>
      </c>
      <c r="F131">
        <v>1</v>
      </c>
      <c r="G131">
        <v>1075</v>
      </c>
      <c r="H131">
        <v>1</v>
      </c>
      <c r="I131" t="s">
        <v>332</v>
      </c>
      <c r="J131" t="s">
        <v>4</v>
      </c>
      <c r="K131" t="s">
        <v>333</v>
      </c>
      <c r="L131">
        <v>1191</v>
      </c>
      <c r="N131">
        <v>1013</v>
      </c>
      <c r="O131" t="s">
        <v>334</v>
      </c>
      <c r="P131" t="s">
        <v>334</v>
      </c>
      <c r="Q131">
        <v>1</v>
      </c>
      <c r="X131">
        <v>54.12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1</v>
      </c>
      <c r="AF131" t="s">
        <v>4</v>
      </c>
      <c r="AG131">
        <v>54.12</v>
      </c>
      <c r="AH131">
        <v>3</v>
      </c>
      <c r="AI131">
        <v>-1</v>
      </c>
      <c r="AJ131" t="s">
        <v>4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>
      <c r="A132">
        <f>ROW(Source!A163)</f>
        <v>163</v>
      </c>
      <c r="B132">
        <v>70305651</v>
      </c>
      <c r="C132">
        <v>70305649</v>
      </c>
      <c r="D132">
        <v>69364511</v>
      </c>
      <c r="E132">
        <v>1</v>
      </c>
      <c r="F132">
        <v>1</v>
      </c>
      <c r="G132">
        <v>1075</v>
      </c>
      <c r="H132">
        <v>2</v>
      </c>
      <c r="I132" t="s">
        <v>452</v>
      </c>
      <c r="J132" t="s">
        <v>453</v>
      </c>
      <c r="K132" t="s">
        <v>454</v>
      </c>
      <c r="L132">
        <v>1368</v>
      </c>
      <c r="N132">
        <v>1011</v>
      </c>
      <c r="O132" t="s">
        <v>338</v>
      </c>
      <c r="P132" t="s">
        <v>338</v>
      </c>
      <c r="Q132">
        <v>1</v>
      </c>
      <c r="X132">
        <v>0.79</v>
      </c>
      <c r="Y132">
        <v>0</v>
      </c>
      <c r="Z132">
        <v>119.07</v>
      </c>
      <c r="AA132">
        <v>12.62</v>
      </c>
      <c r="AB132">
        <v>0</v>
      </c>
      <c r="AC132">
        <v>0</v>
      </c>
      <c r="AD132">
        <v>1</v>
      </c>
      <c r="AE132">
        <v>0</v>
      </c>
      <c r="AF132" t="s">
        <v>4</v>
      </c>
      <c r="AG132">
        <v>0.79</v>
      </c>
      <c r="AH132">
        <v>3</v>
      </c>
      <c r="AI132">
        <v>-1</v>
      </c>
      <c r="AJ132" t="s">
        <v>4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>
      <c r="A133">
        <f>ROW(Source!A163)</f>
        <v>163</v>
      </c>
      <c r="B133">
        <v>70305652</v>
      </c>
      <c r="C133">
        <v>70305649</v>
      </c>
      <c r="D133">
        <v>69363844</v>
      </c>
      <c r="E133">
        <v>1</v>
      </c>
      <c r="F133">
        <v>1</v>
      </c>
      <c r="G133">
        <v>1075</v>
      </c>
      <c r="H133">
        <v>2</v>
      </c>
      <c r="I133" t="s">
        <v>455</v>
      </c>
      <c r="J133" t="s">
        <v>456</v>
      </c>
      <c r="K133" t="s">
        <v>457</v>
      </c>
      <c r="L133">
        <v>1368</v>
      </c>
      <c r="N133">
        <v>1011</v>
      </c>
      <c r="O133" t="s">
        <v>338</v>
      </c>
      <c r="P133" t="s">
        <v>338</v>
      </c>
      <c r="Q133">
        <v>1</v>
      </c>
      <c r="X133">
        <v>0.86</v>
      </c>
      <c r="Y133">
        <v>0</v>
      </c>
      <c r="Z133">
        <v>6.68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4</v>
      </c>
      <c r="AG133">
        <v>0.86</v>
      </c>
      <c r="AH133">
        <v>3</v>
      </c>
      <c r="AI133">
        <v>-1</v>
      </c>
      <c r="AJ133" t="s">
        <v>4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>
      <c r="A134">
        <f>ROW(Source!A163)</f>
        <v>163</v>
      </c>
      <c r="B134">
        <v>70305653</v>
      </c>
      <c r="C134">
        <v>70305649</v>
      </c>
      <c r="D134">
        <v>69363851</v>
      </c>
      <c r="E134">
        <v>1</v>
      </c>
      <c r="F134">
        <v>1</v>
      </c>
      <c r="G134">
        <v>1075</v>
      </c>
      <c r="H134">
        <v>2</v>
      </c>
      <c r="I134" t="s">
        <v>458</v>
      </c>
      <c r="J134" t="s">
        <v>459</v>
      </c>
      <c r="K134" t="s">
        <v>460</v>
      </c>
      <c r="L134">
        <v>1368</v>
      </c>
      <c r="N134">
        <v>1011</v>
      </c>
      <c r="O134" t="s">
        <v>338</v>
      </c>
      <c r="P134" t="s">
        <v>338</v>
      </c>
      <c r="Q134">
        <v>1</v>
      </c>
      <c r="X134">
        <v>2.4300000000000002</v>
      </c>
      <c r="Y134">
        <v>0</v>
      </c>
      <c r="Z134">
        <v>0.54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4</v>
      </c>
      <c r="AG134">
        <v>2.4300000000000002</v>
      </c>
      <c r="AH134">
        <v>3</v>
      </c>
      <c r="AI134">
        <v>-1</v>
      </c>
      <c r="AJ134" t="s">
        <v>4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>
      <c r="A135">
        <f>ROW(Source!A163)</f>
        <v>163</v>
      </c>
      <c r="B135">
        <v>70305654</v>
      </c>
      <c r="C135">
        <v>70305649</v>
      </c>
      <c r="D135">
        <v>69364066</v>
      </c>
      <c r="E135">
        <v>1</v>
      </c>
      <c r="F135">
        <v>1</v>
      </c>
      <c r="G135">
        <v>1075</v>
      </c>
      <c r="H135">
        <v>2</v>
      </c>
      <c r="I135" t="s">
        <v>461</v>
      </c>
      <c r="J135" t="s">
        <v>462</v>
      </c>
      <c r="K135" t="s">
        <v>463</v>
      </c>
      <c r="L135">
        <v>1368</v>
      </c>
      <c r="N135">
        <v>1011</v>
      </c>
      <c r="O135" t="s">
        <v>338</v>
      </c>
      <c r="P135" t="s">
        <v>338</v>
      </c>
      <c r="Q135">
        <v>1</v>
      </c>
      <c r="X135">
        <v>0.86</v>
      </c>
      <c r="Y135">
        <v>0</v>
      </c>
      <c r="Z135">
        <v>141.16</v>
      </c>
      <c r="AA135">
        <v>14.54</v>
      </c>
      <c r="AB135">
        <v>0</v>
      </c>
      <c r="AC135">
        <v>0</v>
      </c>
      <c r="AD135">
        <v>1</v>
      </c>
      <c r="AE135">
        <v>0</v>
      </c>
      <c r="AF135" t="s">
        <v>4</v>
      </c>
      <c r="AG135">
        <v>0.86</v>
      </c>
      <c r="AH135">
        <v>3</v>
      </c>
      <c r="AI135">
        <v>-1</v>
      </c>
      <c r="AJ135" t="s">
        <v>4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>
      <c r="A136">
        <f>ROW(Source!A163)</f>
        <v>163</v>
      </c>
      <c r="B136">
        <v>70305655</v>
      </c>
      <c r="C136">
        <v>70305649</v>
      </c>
      <c r="D136">
        <v>69364069</v>
      </c>
      <c r="E136">
        <v>1</v>
      </c>
      <c r="F136">
        <v>1</v>
      </c>
      <c r="G136">
        <v>1075</v>
      </c>
      <c r="H136">
        <v>2</v>
      </c>
      <c r="I136" t="s">
        <v>464</v>
      </c>
      <c r="J136" t="s">
        <v>465</v>
      </c>
      <c r="K136" t="s">
        <v>466</v>
      </c>
      <c r="L136">
        <v>1368</v>
      </c>
      <c r="N136">
        <v>1011</v>
      </c>
      <c r="O136" t="s">
        <v>338</v>
      </c>
      <c r="P136" t="s">
        <v>338</v>
      </c>
      <c r="Q136">
        <v>1</v>
      </c>
      <c r="X136">
        <v>0.76</v>
      </c>
      <c r="Y136">
        <v>0</v>
      </c>
      <c r="Z136">
        <v>3.95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4</v>
      </c>
      <c r="AG136">
        <v>0.76</v>
      </c>
      <c r="AH136">
        <v>3</v>
      </c>
      <c r="AI136">
        <v>-1</v>
      </c>
      <c r="AJ136" t="s">
        <v>4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>
      <c r="A137">
        <f>ROW(Source!A163)</f>
        <v>163</v>
      </c>
      <c r="B137">
        <v>70305656</v>
      </c>
      <c r="C137">
        <v>70305649</v>
      </c>
      <c r="D137">
        <v>69333752</v>
      </c>
      <c r="E137">
        <v>1</v>
      </c>
      <c r="F137">
        <v>1</v>
      </c>
      <c r="G137">
        <v>1075</v>
      </c>
      <c r="H137">
        <v>3</v>
      </c>
      <c r="I137" t="s">
        <v>352</v>
      </c>
      <c r="J137" t="s">
        <v>353</v>
      </c>
      <c r="K137" t="s">
        <v>354</v>
      </c>
      <c r="L137">
        <v>1348</v>
      </c>
      <c r="N137">
        <v>1009</v>
      </c>
      <c r="O137" t="s">
        <v>168</v>
      </c>
      <c r="P137" t="s">
        <v>168</v>
      </c>
      <c r="Q137">
        <v>1000</v>
      </c>
      <c r="X137">
        <v>1E-4</v>
      </c>
      <c r="Y137">
        <v>6521.42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4</v>
      </c>
      <c r="AG137">
        <v>1E-4</v>
      </c>
      <c r="AH137">
        <v>3</v>
      </c>
      <c r="AI137">
        <v>-1</v>
      </c>
      <c r="AJ137" t="s">
        <v>4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>
      <c r="A138">
        <f>ROW(Source!A163)</f>
        <v>163</v>
      </c>
      <c r="B138">
        <v>70305657</v>
      </c>
      <c r="C138">
        <v>70305649</v>
      </c>
      <c r="D138">
        <v>69334877</v>
      </c>
      <c r="E138">
        <v>1</v>
      </c>
      <c r="F138">
        <v>1</v>
      </c>
      <c r="G138">
        <v>1075</v>
      </c>
      <c r="H138">
        <v>3</v>
      </c>
      <c r="I138" t="s">
        <v>467</v>
      </c>
      <c r="J138" t="s">
        <v>468</v>
      </c>
      <c r="K138" t="s">
        <v>469</v>
      </c>
      <c r="L138">
        <v>1346</v>
      </c>
      <c r="N138">
        <v>1009</v>
      </c>
      <c r="O138" t="s">
        <v>394</v>
      </c>
      <c r="P138" t="s">
        <v>394</v>
      </c>
      <c r="Q138">
        <v>1</v>
      </c>
      <c r="X138">
        <v>0.09</v>
      </c>
      <c r="Y138">
        <v>18.149999999999999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4</v>
      </c>
      <c r="AG138">
        <v>0.09</v>
      </c>
      <c r="AH138">
        <v>3</v>
      </c>
      <c r="AI138">
        <v>-1</v>
      </c>
      <c r="AJ138" t="s">
        <v>4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>
      <c r="A139">
        <f>ROW(Source!A163)</f>
        <v>163</v>
      </c>
      <c r="B139">
        <v>70305658</v>
      </c>
      <c r="C139">
        <v>70305649</v>
      </c>
      <c r="D139">
        <v>69333818</v>
      </c>
      <c r="E139">
        <v>1</v>
      </c>
      <c r="F139">
        <v>1</v>
      </c>
      <c r="G139">
        <v>1075</v>
      </c>
      <c r="H139">
        <v>3</v>
      </c>
      <c r="I139" t="s">
        <v>470</v>
      </c>
      <c r="J139" t="s">
        <v>471</v>
      </c>
      <c r="K139" t="s">
        <v>472</v>
      </c>
      <c r="L139">
        <v>1339</v>
      </c>
      <c r="N139">
        <v>1007</v>
      </c>
      <c r="O139" t="s">
        <v>52</v>
      </c>
      <c r="P139" t="s">
        <v>52</v>
      </c>
      <c r="Q139">
        <v>1</v>
      </c>
      <c r="X139">
        <v>0.01</v>
      </c>
      <c r="Y139">
        <v>1183.5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4</v>
      </c>
      <c r="AG139">
        <v>0.01</v>
      </c>
      <c r="AH139">
        <v>3</v>
      </c>
      <c r="AI139">
        <v>-1</v>
      </c>
      <c r="AJ139" t="s">
        <v>4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>
      <c r="A140">
        <f>ROW(Source!A163)</f>
        <v>163</v>
      </c>
      <c r="B140">
        <v>70305659</v>
      </c>
      <c r="C140">
        <v>70305649</v>
      </c>
      <c r="D140">
        <v>69333692</v>
      </c>
      <c r="E140">
        <v>1</v>
      </c>
      <c r="F140">
        <v>1</v>
      </c>
      <c r="G140">
        <v>1075</v>
      </c>
      <c r="H140">
        <v>3</v>
      </c>
      <c r="I140" t="s">
        <v>473</v>
      </c>
      <c r="J140" t="s">
        <v>474</v>
      </c>
      <c r="K140" t="s">
        <v>475</v>
      </c>
      <c r="L140">
        <v>1348</v>
      </c>
      <c r="N140">
        <v>1009</v>
      </c>
      <c r="O140" t="s">
        <v>168</v>
      </c>
      <c r="P140" t="s">
        <v>168</v>
      </c>
      <c r="Q140">
        <v>1000</v>
      </c>
      <c r="X140">
        <v>2.8700000000000002E-3</v>
      </c>
      <c r="Y140">
        <v>24618.39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4</v>
      </c>
      <c r="AG140">
        <v>2.8700000000000002E-3</v>
      </c>
      <c r="AH140">
        <v>3</v>
      </c>
      <c r="AI140">
        <v>-1</v>
      </c>
      <c r="AJ140" t="s">
        <v>4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>
      <c r="A141">
        <f>ROW(Source!A163)</f>
        <v>163</v>
      </c>
      <c r="B141">
        <v>70305660</v>
      </c>
      <c r="C141">
        <v>70305649</v>
      </c>
      <c r="D141">
        <v>69334282</v>
      </c>
      <c r="E141">
        <v>1</v>
      </c>
      <c r="F141">
        <v>1</v>
      </c>
      <c r="G141">
        <v>1075</v>
      </c>
      <c r="H141">
        <v>3</v>
      </c>
      <c r="I141" t="s">
        <v>476</v>
      </c>
      <c r="J141" t="s">
        <v>477</v>
      </c>
      <c r="K141" t="s">
        <v>478</v>
      </c>
      <c r="L141">
        <v>1348</v>
      </c>
      <c r="N141">
        <v>1009</v>
      </c>
      <c r="O141" t="s">
        <v>168</v>
      </c>
      <c r="P141" t="s">
        <v>168</v>
      </c>
      <c r="Q141">
        <v>1000</v>
      </c>
      <c r="X141">
        <v>9.4000000000000004E-3</v>
      </c>
      <c r="Y141">
        <v>6870.66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0</v>
      </c>
      <c r="AF141" t="s">
        <v>4</v>
      </c>
      <c r="AG141">
        <v>9.4000000000000004E-3</v>
      </c>
      <c r="AH141">
        <v>3</v>
      </c>
      <c r="AI141">
        <v>-1</v>
      </c>
      <c r="AJ141" t="s">
        <v>4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>
      <c r="A142">
        <f>ROW(Source!A163)</f>
        <v>163</v>
      </c>
      <c r="B142">
        <v>70305661</v>
      </c>
      <c r="C142">
        <v>70305649</v>
      </c>
      <c r="D142">
        <v>69334307</v>
      </c>
      <c r="E142">
        <v>1</v>
      </c>
      <c r="F142">
        <v>1</v>
      </c>
      <c r="G142">
        <v>1075</v>
      </c>
      <c r="H142">
        <v>3</v>
      </c>
      <c r="I142" t="s">
        <v>361</v>
      </c>
      <c r="J142" t="s">
        <v>362</v>
      </c>
      <c r="K142" t="s">
        <v>363</v>
      </c>
      <c r="L142">
        <v>1348</v>
      </c>
      <c r="N142">
        <v>1009</v>
      </c>
      <c r="O142" t="s">
        <v>168</v>
      </c>
      <c r="P142" t="s">
        <v>168</v>
      </c>
      <c r="Q142">
        <v>1000</v>
      </c>
      <c r="X142">
        <v>4.0000000000000003E-5</v>
      </c>
      <c r="Y142">
        <v>9098.51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4</v>
      </c>
      <c r="AG142">
        <v>4.0000000000000003E-5</v>
      </c>
      <c r="AH142">
        <v>3</v>
      </c>
      <c r="AI142">
        <v>-1</v>
      </c>
      <c r="AJ142" t="s">
        <v>4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>
      <c r="A143">
        <f>ROW(Source!A163)</f>
        <v>163</v>
      </c>
      <c r="B143">
        <v>70305662</v>
      </c>
      <c r="C143">
        <v>70305649</v>
      </c>
      <c r="D143">
        <v>69351457</v>
      </c>
      <c r="E143">
        <v>1</v>
      </c>
      <c r="F143">
        <v>1</v>
      </c>
      <c r="G143">
        <v>1075</v>
      </c>
      <c r="H143">
        <v>3</v>
      </c>
      <c r="I143" t="s">
        <v>479</v>
      </c>
      <c r="J143" t="s">
        <v>480</v>
      </c>
      <c r="K143" t="s">
        <v>481</v>
      </c>
      <c r="L143">
        <v>1356</v>
      </c>
      <c r="N143">
        <v>1010</v>
      </c>
      <c r="O143" t="s">
        <v>286</v>
      </c>
      <c r="P143" t="s">
        <v>286</v>
      </c>
      <c r="Q143">
        <v>1000</v>
      </c>
      <c r="X143">
        <v>4.1000000000000003E-3</v>
      </c>
      <c r="Y143">
        <v>56.17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4</v>
      </c>
      <c r="AG143">
        <v>4.1000000000000003E-3</v>
      </c>
      <c r="AH143">
        <v>3</v>
      </c>
      <c r="AI143">
        <v>-1</v>
      </c>
      <c r="AJ143" t="s">
        <v>4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>
      <c r="A144">
        <f>ROW(Source!A163)</f>
        <v>163</v>
      </c>
      <c r="B144">
        <v>70305663</v>
      </c>
      <c r="C144">
        <v>70305649</v>
      </c>
      <c r="D144">
        <v>69351232</v>
      </c>
      <c r="E144">
        <v>1</v>
      </c>
      <c r="F144">
        <v>1</v>
      </c>
      <c r="G144">
        <v>1075</v>
      </c>
      <c r="H144">
        <v>3</v>
      </c>
      <c r="I144" t="s">
        <v>482</v>
      </c>
      <c r="J144" t="s">
        <v>483</v>
      </c>
      <c r="K144" t="s">
        <v>484</v>
      </c>
      <c r="L144">
        <v>1355</v>
      </c>
      <c r="N144">
        <v>1010</v>
      </c>
      <c r="O144" t="s">
        <v>485</v>
      </c>
      <c r="P144" t="s">
        <v>485</v>
      </c>
      <c r="Q144">
        <v>100</v>
      </c>
      <c r="X144">
        <v>0.66669999999999996</v>
      </c>
      <c r="Y144">
        <v>57.81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4</v>
      </c>
      <c r="AG144">
        <v>0.66669999999999996</v>
      </c>
      <c r="AH144">
        <v>3</v>
      </c>
      <c r="AI144">
        <v>-1</v>
      </c>
      <c r="AJ144" t="s">
        <v>4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>
      <c r="A145">
        <f>ROW(Source!A163)</f>
        <v>163</v>
      </c>
      <c r="B145">
        <v>70305664</v>
      </c>
      <c r="C145">
        <v>70305649</v>
      </c>
      <c r="D145">
        <v>69298822</v>
      </c>
      <c r="E145">
        <v>1075</v>
      </c>
      <c r="F145">
        <v>1</v>
      </c>
      <c r="G145">
        <v>1075</v>
      </c>
      <c r="H145">
        <v>3</v>
      </c>
      <c r="I145" t="s">
        <v>486</v>
      </c>
      <c r="J145" t="s">
        <v>4</v>
      </c>
      <c r="K145" t="s">
        <v>487</v>
      </c>
      <c r="L145">
        <v>1303</v>
      </c>
      <c r="N145">
        <v>1003</v>
      </c>
      <c r="O145" t="s">
        <v>209</v>
      </c>
      <c r="P145" t="s">
        <v>209</v>
      </c>
      <c r="Q145">
        <v>1000</v>
      </c>
      <c r="X145">
        <v>0.30599999999999999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 t="s">
        <v>4</v>
      </c>
      <c r="AG145">
        <v>0.30599999999999999</v>
      </c>
      <c r="AH145">
        <v>3</v>
      </c>
      <c r="AI145">
        <v>-1</v>
      </c>
      <c r="AJ145" t="s">
        <v>4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>
      <c r="A146">
        <f>ROW(Source!A164)</f>
        <v>164</v>
      </c>
      <c r="B146">
        <v>70305650</v>
      </c>
      <c r="C146">
        <v>70305649</v>
      </c>
      <c r="D146">
        <v>69275358</v>
      </c>
      <c r="E146">
        <v>1075</v>
      </c>
      <c r="F146">
        <v>1</v>
      </c>
      <c r="G146">
        <v>1075</v>
      </c>
      <c r="H146">
        <v>1</v>
      </c>
      <c r="I146" t="s">
        <v>332</v>
      </c>
      <c r="J146" t="s">
        <v>4</v>
      </c>
      <c r="K146" t="s">
        <v>333</v>
      </c>
      <c r="L146">
        <v>1191</v>
      </c>
      <c r="N146">
        <v>1013</v>
      </c>
      <c r="O146" t="s">
        <v>334</v>
      </c>
      <c r="P146" t="s">
        <v>334</v>
      </c>
      <c r="Q146">
        <v>1</v>
      </c>
      <c r="X146">
        <v>54.12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1</v>
      </c>
      <c r="AF146" t="s">
        <v>4</v>
      </c>
      <c r="AG146">
        <v>54.12</v>
      </c>
      <c r="AH146">
        <v>3</v>
      </c>
      <c r="AI146">
        <v>-1</v>
      </c>
      <c r="AJ146" t="s">
        <v>4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>
      <c r="A147">
        <f>ROW(Source!A164)</f>
        <v>164</v>
      </c>
      <c r="B147">
        <v>70305651</v>
      </c>
      <c r="C147">
        <v>70305649</v>
      </c>
      <c r="D147">
        <v>69364511</v>
      </c>
      <c r="E147">
        <v>1</v>
      </c>
      <c r="F147">
        <v>1</v>
      </c>
      <c r="G147">
        <v>1075</v>
      </c>
      <c r="H147">
        <v>2</v>
      </c>
      <c r="I147" t="s">
        <v>452</v>
      </c>
      <c r="J147" t="s">
        <v>453</v>
      </c>
      <c r="K147" t="s">
        <v>454</v>
      </c>
      <c r="L147">
        <v>1368</v>
      </c>
      <c r="N147">
        <v>1011</v>
      </c>
      <c r="O147" t="s">
        <v>338</v>
      </c>
      <c r="P147" t="s">
        <v>338</v>
      </c>
      <c r="Q147">
        <v>1</v>
      </c>
      <c r="X147">
        <v>0.79</v>
      </c>
      <c r="Y147">
        <v>0</v>
      </c>
      <c r="Z147">
        <v>119.07</v>
      </c>
      <c r="AA147">
        <v>12.62</v>
      </c>
      <c r="AB147">
        <v>0</v>
      </c>
      <c r="AC147">
        <v>0</v>
      </c>
      <c r="AD147">
        <v>1</v>
      </c>
      <c r="AE147">
        <v>0</v>
      </c>
      <c r="AF147" t="s">
        <v>4</v>
      </c>
      <c r="AG147">
        <v>0.79</v>
      </c>
      <c r="AH147">
        <v>3</v>
      </c>
      <c r="AI147">
        <v>-1</v>
      </c>
      <c r="AJ147" t="s">
        <v>4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>
      <c r="A148">
        <f>ROW(Source!A164)</f>
        <v>164</v>
      </c>
      <c r="B148">
        <v>70305652</v>
      </c>
      <c r="C148">
        <v>70305649</v>
      </c>
      <c r="D148">
        <v>69363844</v>
      </c>
      <c r="E148">
        <v>1</v>
      </c>
      <c r="F148">
        <v>1</v>
      </c>
      <c r="G148">
        <v>1075</v>
      </c>
      <c r="H148">
        <v>2</v>
      </c>
      <c r="I148" t="s">
        <v>455</v>
      </c>
      <c r="J148" t="s">
        <v>456</v>
      </c>
      <c r="K148" t="s">
        <v>457</v>
      </c>
      <c r="L148">
        <v>1368</v>
      </c>
      <c r="N148">
        <v>1011</v>
      </c>
      <c r="O148" t="s">
        <v>338</v>
      </c>
      <c r="P148" t="s">
        <v>338</v>
      </c>
      <c r="Q148">
        <v>1</v>
      </c>
      <c r="X148">
        <v>0.86</v>
      </c>
      <c r="Y148">
        <v>0</v>
      </c>
      <c r="Z148">
        <v>6.68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4</v>
      </c>
      <c r="AG148">
        <v>0.86</v>
      </c>
      <c r="AH148">
        <v>3</v>
      </c>
      <c r="AI148">
        <v>-1</v>
      </c>
      <c r="AJ148" t="s">
        <v>4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>
      <c r="A149">
        <f>ROW(Source!A164)</f>
        <v>164</v>
      </c>
      <c r="B149">
        <v>70305653</v>
      </c>
      <c r="C149">
        <v>70305649</v>
      </c>
      <c r="D149">
        <v>69363851</v>
      </c>
      <c r="E149">
        <v>1</v>
      </c>
      <c r="F149">
        <v>1</v>
      </c>
      <c r="G149">
        <v>1075</v>
      </c>
      <c r="H149">
        <v>2</v>
      </c>
      <c r="I149" t="s">
        <v>458</v>
      </c>
      <c r="J149" t="s">
        <v>459</v>
      </c>
      <c r="K149" t="s">
        <v>460</v>
      </c>
      <c r="L149">
        <v>1368</v>
      </c>
      <c r="N149">
        <v>1011</v>
      </c>
      <c r="O149" t="s">
        <v>338</v>
      </c>
      <c r="P149" t="s">
        <v>338</v>
      </c>
      <c r="Q149">
        <v>1</v>
      </c>
      <c r="X149">
        <v>2.4300000000000002</v>
      </c>
      <c r="Y149">
        <v>0</v>
      </c>
      <c r="Z149">
        <v>0.54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4</v>
      </c>
      <c r="AG149">
        <v>2.4300000000000002</v>
      </c>
      <c r="AH149">
        <v>3</v>
      </c>
      <c r="AI149">
        <v>-1</v>
      </c>
      <c r="AJ149" t="s">
        <v>4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>
      <c r="A150">
        <f>ROW(Source!A164)</f>
        <v>164</v>
      </c>
      <c r="B150">
        <v>70305654</v>
      </c>
      <c r="C150">
        <v>70305649</v>
      </c>
      <c r="D150">
        <v>69364066</v>
      </c>
      <c r="E150">
        <v>1</v>
      </c>
      <c r="F150">
        <v>1</v>
      </c>
      <c r="G150">
        <v>1075</v>
      </c>
      <c r="H150">
        <v>2</v>
      </c>
      <c r="I150" t="s">
        <v>461</v>
      </c>
      <c r="J150" t="s">
        <v>462</v>
      </c>
      <c r="K150" t="s">
        <v>463</v>
      </c>
      <c r="L150">
        <v>1368</v>
      </c>
      <c r="N150">
        <v>1011</v>
      </c>
      <c r="O150" t="s">
        <v>338</v>
      </c>
      <c r="P150" t="s">
        <v>338</v>
      </c>
      <c r="Q150">
        <v>1</v>
      </c>
      <c r="X150">
        <v>0.86</v>
      </c>
      <c r="Y150">
        <v>0</v>
      </c>
      <c r="Z150">
        <v>141.16</v>
      </c>
      <c r="AA150">
        <v>14.54</v>
      </c>
      <c r="AB150">
        <v>0</v>
      </c>
      <c r="AC150">
        <v>0</v>
      </c>
      <c r="AD150">
        <v>1</v>
      </c>
      <c r="AE150">
        <v>0</v>
      </c>
      <c r="AF150" t="s">
        <v>4</v>
      </c>
      <c r="AG150">
        <v>0.86</v>
      </c>
      <c r="AH150">
        <v>3</v>
      </c>
      <c r="AI150">
        <v>-1</v>
      </c>
      <c r="AJ150" t="s">
        <v>4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>
      <c r="A151">
        <f>ROW(Source!A164)</f>
        <v>164</v>
      </c>
      <c r="B151">
        <v>70305655</v>
      </c>
      <c r="C151">
        <v>70305649</v>
      </c>
      <c r="D151">
        <v>69364069</v>
      </c>
      <c r="E151">
        <v>1</v>
      </c>
      <c r="F151">
        <v>1</v>
      </c>
      <c r="G151">
        <v>1075</v>
      </c>
      <c r="H151">
        <v>2</v>
      </c>
      <c r="I151" t="s">
        <v>464</v>
      </c>
      <c r="J151" t="s">
        <v>465</v>
      </c>
      <c r="K151" t="s">
        <v>466</v>
      </c>
      <c r="L151">
        <v>1368</v>
      </c>
      <c r="N151">
        <v>1011</v>
      </c>
      <c r="O151" t="s">
        <v>338</v>
      </c>
      <c r="P151" t="s">
        <v>338</v>
      </c>
      <c r="Q151">
        <v>1</v>
      </c>
      <c r="X151">
        <v>0.76</v>
      </c>
      <c r="Y151">
        <v>0</v>
      </c>
      <c r="Z151">
        <v>3.95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4</v>
      </c>
      <c r="AG151">
        <v>0.76</v>
      </c>
      <c r="AH151">
        <v>3</v>
      </c>
      <c r="AI151">
        <v>-1</v>
      </c>
      <c r="AJ151" t="s">
        <v>4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>
      <c r="A152">
        <f>ROW(Source!A164)</f>
        <v>164</v>
      </c>
      <c r="B152">
        <v>70305656</v>
      </c>
      <c r="C152">
        <v>70305649</v>
      </c>
      <c r="D152">
        <v>69333752</v>
      </c>
      <c r="E152">
        <v>1</v>
      </c>
      <c r="F152">
        <v>1</v>
      </c>
      <c r="G152">
        <v>1075</v>
      </c>
      <c r="H152">
        <v>3</v>
      </c>
      <c r="I152" t="s">
        <v>352</v>
      </c>
      <c r="J152" t="s">
        <v>353</v>
      </c>
      <c r="K152" t="s">
        <v>354</v>
      </c>
      <c r="L152">
        <v>1348</v>
      </c>
      <c r="N152">
        <v>1009</v>
      </c>
      <c r="O152" t="s">
        <v>168</v>
      </c>
      <c r="P152" t="s">
        <v>168</v>
      </c>
      <c r="Q152">
        <v>1000</v>
      </c>
      <c r="X152">
        <v>1E-4</v>
      </c>
      <c r="Y152">
        <v>6521.42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4</v>
      </c>
      <c r="AG152">
        <v>1E-4</v>
      </c>
      <c r="AH152">
        <v>3</v>
      </c>
      <c r="AI152">
        <v>-1</v>
      </c>
      <c r="AJ152" t="s">
        <v>4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>
      <c r="A153">
        <f>ROW(Source!A164)</f>
        <v>164</v>
      </c>
      <c r="B153">
        <v>70305657</v>
      </c>
      <c r="C153">
        <v>70305649</v>
      </c>
      <c r="D153">
        <v>69334877</v>
      </c>
      <c r="E153">
        <v>1</v>
      </c>
      <c r="F153">
        <v>1</v>
      </c>
      <c r="G153">
        <v>1075</v>
      </c>
      <c r="H153">
        <v>3</v>
      </c>
      <c r="I153" t="s">
        <v>467</v>
      </c>
      <c r="J153" t="s">
        <v>468</v>
      </c>
      <c r="K153" t="s">
        <v>469</v>
      </c>
      <c r="L153">
        <v>1346</v>
      </c>
      <c r="N153">
        <v>1009</v>
      </c>
      <c r="O153" t="s">
        <v>394</v>
      </c>
      <c r="P153" t="s">
        <v>394</v>
      </c>
      <c r="Q153">
        <v>1</v>
      </c>
      <c r="X153">
        <v>0.09</v>
      </c>
      <c r="Y153">
        <v>18.149999999999999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4</v>
      </c>
      <c r="AG153">
        <v>0.09</v>
      </c>
      <c r="AH153">
        <v>3</v>
      </c>
      <c r="AI153">
        <v>-1</v>
      </c>
      <c r="AJ153" t="s">
        <v>4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>
      <c r="A154">
        <f>ROW(Source!A164)</f>
        <v>164</v>
      </c>
      <c r="B154">
        <v>70305658</v>
      </c>
      <c r="C154">
        <v>70305649</v>
      </c>
      <c r="D154">
        <v>69333818</v>
      </c>
      <c r="E154">
        <v>1</v>
      </c>
      <c r="F154">
        <v>1</v>
      </c>
      <c r="G154">
        <v>1075</v>
      </c>
      <c r="H154">
        <v>3</v>
      </c>
      <c r="I154" t="s">
        <v>470</v>
      </c>
      <c r="J154" t="s">
        <v>471</v>
      </c>
      <c r="K154" t="s">
        <v>472</v>
      </c>
      <c r="L154">
        <v>1339</v>
      </c>
      <c r="N154">
        <v>1007</v>
      </c>
      <c r="O154" t="s">
        <v>52</v>
      </c>
      <c r="P154" t="s">
        <v>52</v>
      </c>
      <c r="Q154">
        <v>1</v>
      </c>
      <c r="X154">
        <v>0.01</v>
      </c>
      <c r="Y154">
        <v>1183.5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4</v>
      </c>
      <c r="AG154">
        <v>0.01</v>
      </c>
      <c r="AH154">
        <v>3</v>
      </c>
      <c r="AI154">
        <v>-1</v>
      </c>
      <c r="AJ154" t="s">
        <v>4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>
      <c r="A155">
        <f>ROW(Source!A164)</f>
        <v>164</v>
      </c>
      <c r="B155">
        <v>70305659</v>
      </c>
      <c r="C155">
        <v>70305649</v>
      </c>
      <c r="D155">
        <v>69333692</v>
      </c>
      <c r="E155">
        <v>1</v>
      </c>
      <c r="F155">
        <v>1</v>
      </c>
      <c r="G155">
        <v>1075</v>
      </c>
      <c r="H155">
        <v>3</v>
      </c>
      <c r="I155" t="s">
        <v>473</v>
      </c>
      <c r="J155" t="s">
        <v>474</v>
      </c>
      <c r="K155" t="s">
        <v>475</v>
      </c>
      <c r="L155">
        <v>1348</v>
      </c>
      <c r="N155">
        <v>1009</v>
      </c>
      <c r="O155" t="s">
        <v>168</v>
      </c>
      <c r="P155" t="s">
        <v>168</v>
      </c>
      <c r="Q155">
        <v>1000</v>
      </c>
      <c r="X155">
        <v>2.8700000000000002E-3</v>
      </c>
      <c r="Y155">
        <v>24618.39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4</v>
      </c>
      <c r="AG155">
        <v>2.8700000000000002E-3</v>
      </c>
      <c r="AH155">
        <v>3</v>
      </c>
      <c r="AI155">
        <v>-1</v>
      </c>
      <c r="AJ155" t="s">
        <v>4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>
      <c r="A156">
        <f>ROW(Source!A164)</f>
        <v>164</v>
      </c>
      <c r="B156">
        <v>70305660</v>
      </c>
      <c r="C156">
        <v>70305649</v>
      </c>
      <c r="D156">
        <v>69334282</v>
      </c>
      <c r="E156">
        <v>1</v>
      </c>
      <c r="F156">
        <v>1</v>
      </c>
      <c r="G156">
        <v>1075</v>
      </c>
      <c r="H156">
        <v>3</v>
      </c>
      <c r="I156" t="s">
        <v>476</v>
      </c>
      <c r="J156" t="s">
        <v>477</v>
      </c>
      <c r="K156" t="s">
        <v>478</v>
      </c>
      <c r="L156">
        <v>1348</v>
      </c>
      <c r="N156">
        <v>1009</v>
      </c>
      <c r="O156" t="s">
        <v>168</v>
      </c>
      <c r="P156" t="s">
        <v>168</v>
      </c>
      <c r="Q156">
        <v>1000</v>
      </c>
      <c r="X156">
        <v>9.4000000000000004E-3</v>
      </c>
      <c r="Y156">
        <v>6870.66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4</v>
      </c>
      <c r="AG156">
        <v>9.4000000000000004E-3</v>
      </c>
      <c r="AH156">
        <v>3</v>
      </c>
      <c r="AI156">
        <v>-1</v>
      </c>
      <c r="AJ156" t="s">
        <v>4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>
      <c r="A157">
        <f>ROW(Source!A164)</f>
        <v>164</v>
      </c>
      <c r="B157">
        <v>70305661</v>
      </c>
      <c r="C157">
        <v>70305649</v>
      </c>
      <c r="D157">
        <v>69334307</v>
      </c>
      <c r="E157">
        <v>1</v>
      </c>
      <c r="F157">
        <v>1</v>
      </c>
      <c r="G157">
        <v>1075</v>
      </c>
      <c r="H157">
        <v>3</v>
      </c>
      <c r="I157" t="s">
        <v>361</v>
      </c>
      <c r="J157" t="s">
        <v>362</v>
      </c>
      <c r="K157" t="s">
        <v>363</v>
      </c>
      <c r="L157">
        <v>1348</v>
      </c>
      <c r="N157">
        <v>1009</v>
      </c>
      <c r="O157" t="s">
        <v>168</v>
      </c>
      <c r="P157" t="s">
        <v>168</v>
      </c>
      <c r="Q157">
        <v>1000</v>
      </c>
      <c r="X157">
        <v>4.0000000000000003E-5</v>
      </c>
      <c r="Y157">
        <v>9098.51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4</v>
      </c>
      <c r="AG157">
        <v>4.0000000000000003E-5</v>
      </c>
      <c r="AH157">
        <v>3</v>
      </c>
      <c r="AI157">
        <v>-1</v>
      </c>
      <c r="AJ157" t="s">
        <v>4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>
      <c r="A158">
        <f>ROW(Source!A164)</f>
        <v>164</v>
      </c>
      <c r="B158">
        <v>70305662</v>
      </c>
      <c r="C158">
        <v>70305649</v>
      </c>
      <c r="D158">
        <v>69351457</v>
      </c>
      <c r="E158">
        <v>1</v>
      </c>
      <c r="F158">
        <v>1</v>
      </c>
      <c r="G158">
        <v>1075</v>
      </c>
      <c r="H158">
        <v>3</v>
      </c>
      <c r="I158" t="s">
        <v>479</v>
      </c>
      <c r="J158" t="s">
        <v>480</v>
      </c>
      <c r="K158" t="s">
        <v>481</v>
      </c>
      <c r="L158">
        <v>1356</v>
      </c>
      <c r="N158">
        <v>1010</v>
      </c>
      <c r="O158" t="s">
        <v>286</v>
      </c>
      <c r="P158" t="s">
        <v>286</v>
      </c>
      <c r="Q158">
        <v>1000</v>
      </c>
      <c r="X158">
        <v>4.1000000000000003E-3</v>
      </c>
      <c r="Y158">
        <v>56.17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4</v>
      </c>
      <c r="AG158">
        <v>4.1000000000000003E-3</v>
      </c>
      <c r="AH158">
        <v>3</v>
      </c>
      <c r="AI158">
        <v>-1</v>
      </c>
      <c r="AJ158" t="s">
        <v>4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>
      <c r="A159">
        <f>ROW(Source!A164)</f>
        <v>164</v>
      </c>
      <c r="B159">
        <v>70305663</v>
      </c>
      <c r="C159">
        <v>70305649</v>
      </c>
      <c r="D159">
        <v>69351232</v>
      </c>
      <c r="E159">
        <v>1</v>
      </c>
      <c r="F159">
        <v>1</v>
      </c>
      <c r="G159">
        <v>1075</v>
      </c>
      <c r="H159">
        <v>3</v>
      </c>
      <c r="I159" t="s">
        <v>482</v>
      </c>
      <c r="J159" t="s">
        <v>483</v>
      </c>
      <c r="K159" t="s">
        <v>484</v>
      </c>
      <c r="L159">
        <v>1355</v>
      </c>
      <c r="N159">
        <v>1010</v>
      </c>
      <c r="O159" t="s">
        <v>485</v>
      </c>
      <c r="P159" t="s">
        <v>485</v>
      </c>
      <c r="Q159">
        <v>100</v>
      </c>
      <c r="X159">
        <v>0.66669999999999996</v>
      </c>
      <c r="Y159">
        <v>57.81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4</v>
      </c>
      <c r="AG159">
        <v>0.66669999999999996</v>
      </c>
      <c r="AH159">
        <v>3</v>
      </c>
      <c r="AI159">
        <v>-1</v>
      </c>
      <c r="AJ159" t="s">
        <v>4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>
      <c r="A160">
        <f>ROW(Source!A164)</f>
        <v>164</v>
      </c>
      <c r="B160">
        <v>70305664</v>
      </c>
      <c r="C160">
        <v>70305649</v>
      </c>
      <c r="D160">
        <v>69298822</v>
      </c>
      <c r="E160">
        <v>1075</v>
      </c>
      <c r="F160">
        <v>1</v>
      </c>
      <c r="G160">
        <v>1075</v>
      </c>
      <c r="H160">
        <v>3</v>
      </c>
      <c r="I160" t="s">
        <v>486</v>
      </c>
      <c r="J160" t="s">
        <v>4</v>
      </c>
      <c r="K160" t="s">
        <v>487</v>
      </c>
      <c r="L160">
        <v>1303</v>
      </c>
      <c r="N160">
        <v>1003</v>
      </c>
      <c r="O160" t="s">
        <v>209</v>
      </c>
      <c r="P160" t="s">
        <v>209</v>
      </c>
      <c r="Q160">
        <v>1000</v>
      </c>
      <c r="X160">
        <v>0.30599999999999999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 t="s">
        <v>4</v>
      </c>
      <c r="AG160">
        <v>0.30599999999999999</v>
      </c>
      <c r="AH160">
        <v>3</v>
      </c>
      <c r="AI160">
        <v>-1</v>
      </c>
      <c r="AJ160" t="s">
        <v>4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>
      <c r="A161">
        <f>ROW(Source!A167)</f>
        <v>167</v>
      </c>
      <c r="B161">
        <v>70305667</v>
      </c>
      <c r="C161">
        <v>70305666</v>
      </c>
      <c r="D161">
        <v>69275358</v>
      </c>
      <c r="E161">
        <v>1075</v>
      </c>
      <c r="F161">
        <v>1</v>
      </c>
      <c r="G161">
        <v>1075</v>
      </c>
      <c r="H161">
        <v>1</v>
      </c>
      <c r="I161" t="s">
        <v>332</v>
      </c>
      <c r="J161" t="s">
        <v>4</v>
      </c>
      <c r="K161" t="s">
        <v>333</v>
      </c>
      <c r="L161">
        <v>1191</v>
      </c>
      <c r="N161">
        <v>1013</v>
      </c>
      <c r="O161" t="s">
        <v>334</v>
      </c>
      <c r="P161" t="s">
        <v>334</v>
      </c>
      <c r="Q161">
        <v>1</v>
      </c>
      <c r="X161">
        <v>155.88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1</v>
      </c>
      <c r="AF161" t="s">
        <v>4</v>
      </c>
      <c r="AG161">
        <v>155.88</v>
      </c>
      <c r="AH161">
        <v>3</v>
      </c>
      <c r="AI161">
        <v>-1</v>
      </c>
      <c r="AJ161" t="s">
        <v>4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>
      <c r="A162">
        <f>ROW(Source!A167)</f>
        <v>167</v>
      </c>
      <c r="B162">
        <v>70305668</v>
      </c>
      <c r="C162">
        <v>70305666</v>
      </c>
      <c r="D162">
        <v>69364351</v>
      </c>
      <c r="E162">
        <v>1</v>
      </c>
      <c r="F162">
        <v>1</v>
      </c>
      <c r="G162">
        <v>1075</v>
      </c>
      <c r="H162">
        <v>2</v>
      </c>
      <c r="I162" t="s">
        <v>488</v>
      </c>
      <c r="J162" t="s">
        <v>489</v>
      </c>
      <c r="K162" t="s">
        <v>490</v>
      </c>
      <c r="L162">
        <v>1368</v>
      </c>
      <c r="N162">
        <v>1011</v>
      </c>
      <c r="O162" t="s">
        <v>338</v>
      </c>
      <c r="P162" t="s">
        <v>338</v>
      </c>
      <c r="Q162">
        <v>1</v>
      </c>
      <c r="X162">
        <v>19.72</v>
      </c>
      <c r="Y162">
        <v>0</v>
      </c>
      <c r="Z162">
        <v>36.08</v>
      </c>
      <c r="AA162">
        <v>3.1</v>
      </c>
      <c r="AB162">
        <v>0</v>
      </c>
      <c r="AC162">
        <v>0</v>
      </c>
      <c r="AD162">
        <v>1</v>
      </c>
      <c r="AE162">
        <v>0</v>
      </c>
      <c r="AF162" t="s">
        <v>4</v>
      </c>
      <c r="AG162">
        <v>19.72</v>
      </c>
      <c r="AH162">
        <v>3</v>
      </c>
      <c r="AI162">
        <v>-1</v>
      </c>
      <c r="AJ162" t="s">
        <v>4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>
      <c r="A163">
        <f>ROW(Source!A167)</f>
        <v>167</v>
      </c>
      <c r="B163">
        <v>70305669</v>
      </c>
      <c r="C163">
        <v>70305666</v>
      </c>
      <c r="D163">
        <v>69364509</v>
      </c>
      <c r="E163">
        <v>1</v>
      </c>
      <c r="F163">
        <v>1</v>
      </c>
      <c r="G163">
        <v>1075</v>
      </c>
      <c r="H163">
        <v>2</v>
      </c>
      <c r="I163" t="s">
        <v>364</v>
      </c>
      <c r="J163" t="s">
        <v>365</v>
      </c>
      <c r="K163" t="s">
        <v>366</v>
      </c>
      <c r="L163">
        <v>1368</v>
      </c>
      <c r="N163">
        <v>1011</v>
      </c>
      <c r="O163" t="s">
        <v>338</v>
      </c>
      <c r="P163" t="s">
        <v>338</v>
      </c>
      <c r="Q163">
        <v>1</v>
      </c>
      <c r="X163">
        <v>0.05</v>
      </c>
      <c r="Y163">
        <v>0</v>
      </c>
      <c r="Z163">
        <v>83.1</v>
      </c>
      <c r="AA163">
        <v>12.62</v>
      </c>
      <c r="AB163">
        <v>0</v>
      </c>
      <c r="AC163">
        <v>0</v>
      </c>
      <c r="AD163">
        <v>1</v>
      </c>
      <c r="AE163">
        <v>0</v>
      </c>
      <c r="AF163" t="s">
        <v>4</v>
      </c>
      <c r="AG163">
        <v>0.05</v>
      </c>
      <c r="AH163">
        <v>3</v>
      </c>
      <c r="AI163">
        <v>-1</v>
      </c>
      <c r="AJ163" t="s">
        <v>4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>
      <c r="A164">
        <f>ROW(Source!A167)</f>
        <v>167</v>
      </c>
      <c r="B164">
        <v>70305670</v>
      </c>
      <c r="C164">
        <v>70305666</v>
      </c>
      <c r="D164">
        <v>69333737</v>
      </c>
      <c r="E164">
        <v>1</v>
      </c>
      <c r="F164">
        <v>1</v>
      </c>
      <c r="G164">
        <v>1075</v>
      </c>
      <c r="H164">
        <v>3</v>
      </c>
      <c r="I164" t="s">
        <v>395</v>
      </c>
      <c r="J164" t="s">
        <v>396</v>
      </c>
      <c r="K164" t="s">
        <v>397</v>
      </c>
      <c r="L164">
        <v>1346</v>
      </c>
      <c r="N164">
        <v>1009</v>
      </c>
      <c r="O164" t="s">
        <v>394</v>
      </c>
      <c r="P164" t="s">
        <v>394</v>
      </c>
      <c r="Q164">
        <v>1</v>
      </c>
      <c r="X164">
        <v>10</v>
      </c>
      <c r="Y164">
        <v>1.61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4</v>
      </c>
      <c r="AG164">
        <v>10</v>
      </c>
      <c r="AH164">
        <v>3</v>
      </c>
      <c r="AI164">
        <v>-1</v>
      </c>
      <c r="AJ164" t="s">
        <v>4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>
      <c r="A165">
        <f>ROW(Source!A167)</f>
        <v>167</v>
      </c>
      <c r="B165">
        <v>70305671</v>
      </c>
      <c r="C165">
        <v>70305666</v>
      </c>
      <c r="D165">
        <v>69334717</v>
      </c>
      <c r="E165">
        <v>1</v>
      </c>
      <c r="F165">
        <v>1</v>
      </c>
      <c r="G165">
        <v>1075</v>
      </c>
      <c r="H165">
        <v>3</v>
      </c>
      <c r="I165" t="s">
        <v>491</v>
      </c>
      <c r="J165" t="s">
        <v>492</v>
      </c>
      <c r="K165" t="s">
        <v>493</v>
      </c>
      <c r="L165">
        <v>1327</v>
      </c>
      <c r="N165">
        <v>1005</v>
      </c>
      <c r="O165" t="s">
        <v>164</v>
      </c>
      <c r="P165" t="s">
        <v>164</v>
      </c>
      <c r="Q165">
        <v>1</v>
      </c>
      <c r="X165">
        <v>1</v>
      </c>
      <c r="Y165">
        <v>127.33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4</v>
      </c>
      <c r="AG165">
        <v>1</v>
      </c>
      <c r="AH165">
        <v>3</v>
      </c>
      <c r="AI165">
        <v>-1</v>
      </c>
      <c r="AJ165" t="s">
        <v>4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>
      <c r="A166">
        <f>ROW(Source!A167)</f>
        <v>167</v>
      </c>
      <c r="B166">
        <v>70305672</v>
      </c>
      <c r="C166">
        <v>70305666</v>
      </c>
      <c r="D166">
        <v>69335565</v>
      </c>
      <c r="E166">
        <v>1</v>
      </c>
      <c r="F166">
        <v>1</v>
      </c>
      <c r="G166">
        <v>1075</v>
      </c>
      <c r="H166">
        <v>3</v>
      </c>
      <c r="I166" t="s">
        <v>404</v>
      </c>
      <c r="J166" t="s">
        <v>405</v>
      </c>
      <c r="K166" t="s">
        <v>406</v>
      </c>
      <c r="L166">
        <v>1346</v>
      </c>
      <c r="N166">
        <v>1009</v>
      </c>
      <c r="O166" t="s">
        <v>394</v>
      </c>
      <c r="P166" t="s">
        <v>394</v>
      </c>
      <c r="Q166">
        <v>1</v>
      </c>
      <c r="X166">
        <v>30.6</v>
      </c>
      <c r="Y166">
        <v>6.27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4</v>
      </c>
      <c r="AG166">
        <v>30.6</v>
      </c>
      <c r="AH166">
        <v>3</v>
      </c>
      <c r="AI166">
        <v>-1</v>
      </c>
      <c r="AJ166" t="s">
        <v>4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>
      <c r="A167">
        <f>ROW(Source!A167)</f>
        <v>167</v>
      </c>
      <c r="B167">
        <v>70305673</v>
      </c>
      <c r="C167">
        <v>70305666</v>
      </c>
      <c r="D167">
        <v>69340777</v>
      </c>
      <c r="E167">
        <v>1</v>
      </c>
      <c r="F167">
        <v>1</v>
      </c>
      <c r="G167">
        <v>1075</v>
      </c>
      <c r="H167">
        <v>3</v>
      </c>
      <c r="I167" t="s">
        <v>494</v>
      </c>
      <c r="J167" t="s">
        <v>495</v>
      </c>
      <c r="K167" t="s">
        <v>496</v>
      </c>
      <c r="L167">
        <v>1296</v>
      </c>
      <c r="N167">
        <v>1002</v>
      </c>
      <c r="O167" t="s">
        <v>497</v>
      </c>
      <c r="P167" t="s">
        <v>497</v>
      </c>
      <c r="Q167">
        <v>1</v>
      </c>
      <c r="X167">
        <v>5</v>
      </c>
      <c r="Y167">
        <v>16.260000000000002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0</v>
      </c>
      <c r="AF167" t="s">
        <v>4</v>
      </c>
      <c r="AG167">
        <v>5</v>
      </c>
      <c r="AH167">
        <v>3</v>
      </c>
      <c r="AI167">
        <v>-1</v>
      </c>
      <c r="AJ167" t="s">
        <v>4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>
      <c r="A168">
        <f>ROW(Source!A167)</f>
        <v>167</v>
      </c>
      <c r="B168">
        <v>70305674</v>
      </c>
      <c r="C168">
        <v>70305666</v>
      </c>
      <c r="D168">
        <v>69351412</v>
      </c>
      <c r="E168">
        <v>1</v>
      </c>
      <c r="F168">
        <v>1</v>
      </c>
      <c r="G168">
        <v>1075</v>
      </c>
      <c r="H168">
        <v>3</v>
      </c>
      <c r="I168" t="s">
        <v>498</v>
      </c>
      <c r="J168" t="s">
        <v>499</v>
      </c>
      <c r="K168" t="s">
        <v>500</v>
      </c>
      <c r="L168">
        <v>1355</v>
      </c>
      <c r="N168">
        <v>1010</v>
      </c>
      <c r="O168" t="s">
        <v>485</v>
      </c>
      <c r="P168" t="s">
        <v>485</v>
      </c>
      <c r="Q168">
        <v>100</v>
      </c>
      <c r="X168">
        <v>2</v>
      </c>
      <c r="Y168">
        <v>59.47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4</v>
      </c>
      <c r="AG168">
        <v>2</v>
      </c>
      <c r="AH168">
        <v>3</v>
      </c>
      <c r="AI168">
        <v>-1</v>
      </c>
      <c r="AJ168" t="s">
        <v>4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>
      <c r="A169">
        <f>ROW(Source!A167)</f>
        <v>167</v>
      </c>
      <c r="B169">
        <v>70305675</v>
      </c>
      <c r="C169">
        <v>70305666</v>
      </c>
      <c r="D169">
        <v>69310500</v>
      </c>
      <c r="E169">
        <v>1075</v>
      </c>
      <c r="F169">
        <v>1</v>
      </c>
      <c r="G169">
        <v>1075</v>
      </c>
      <c r="H169">
        <v>3</v>
      </c>
      <c r="I169" t="s">
        <v>501</v>
      </c>
      <c r="J169" t="s">
        <v>4</v>
      </c>
      <c r="K169" t="s">
        <v>502</v>
      </c>
      <c r="L169">
        <v>1391</v>
      </c>
      <c r="N169">
        <v>1013</v>
      </c>
      <c r="O169" t="s">
        <v>237</v>
      </c>
      <c r="P169" t="s">
        <v>237</v>
      </c>
      <c r="Q169">
        <v>1</v>
      </c>
      <c r="X169">
        <v>100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 t="s">
        <v>4</v>
      </c>
      <c r="AG169">
        <v>100</v>
      </c>
      <c r="AH169">
        <v>3</v>
      </c>
      <c r="AI169">
        <v>-1</v>
      </c>
      <c r="AJ169" t="s">
        <v>4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>
      <c r="A170">
        <f>ROW(Source!A168)</f>
        <v>168</v>
      </c>
      <c r="B170">
        <v>70305667</v>
      </c>
      <c r="C170">
        <v>70305666</v>
      </c>
      <c r="D170">
        <v>69275358</v>
      </c>
      <c r="E170">
        <v>1075</v>
      </c>
      <c r="F170">
        <v>1</v>
      </c>
      <c r="G170">
        <v>1075</v>
      </c>
      <c r="H170">
        <v>1</v>
      </c>
      <c r="I170" t="s">
        <v>332</v>
      </c>
      <c r="J170" t="s">
        <v>4</v>
      </c>
      <c r="K170" t="s">
        <v>333</v>
      </c>
      <c r="L170">
        <v>1191</v>
      </c>
      <c r="N170">
        <v>1013</v>
      </c>
      <c r="O170" t="s">
        <v>334</v>
      </c>
      <c r="P170" t="s">
        <v>334</v>
      </c>
      <c r="Q170">
        <v>1</v>
      </c>
      <c r="X170">
        <v>155.88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1</v>
      </c>
      <c r="AF170" t="s">
        <v>4</v>
      </c>
      <c r="AG170">
        <v>155.88</v>
      </c>
      <c r="AH170">
        <v>3</v>
      </c>
      <c r="AI170">
        <v>-1</v>
      </c>
      <c r="AJ170" t="s">
        <v>4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>
      <c r="A171">
        <f>ROW(Source!A168)</f>
        <v>168</v>
      </c>
      <c r="B171">
        <v>70305668</v>
      </c>
      <c r="C171">
        <v>70305666</v>
      </c>
      <c r="D171">
        <v>69364351</v>
      </c>
      <c r="E171">
        <v>1</v>
      </c>
      <c r="F171">
        <v>1</v>
      </c>
      <c r="G171">
        <v>1075</v>
      </c>
      <c r="H171">
        <v>2</v>
      </c>
      <c r="I171" t="s">
        <v>488</v>
      </c>
      <c r="J171" t="s">
        <v>489</v>
      </c>
      <c r="K171" t="s">
        <v>490</v>
      </c>
      <c r="L171">
        <v>1368</v>
      </c>
      <c r="N171">
        <v>1011</v>
      </c>
      <c r="O171" t="s">
        <v>338</v>
      </c>
      <c r="P171" t="s">
        <v>338</v>
      </c>
      <c r="Q171">
        <v>1</v>
      </c>
      <c r="X171">
        <v>19.72</v>
      </c>
      <c r="Y171">
        <v>0</v>
      </c>
      <c r="Z171">
        <v>36.08</v>
      </c>
      <c r="AA171">
        <v>3.1</v>
      </c>
      <c r="AB171">
        <v>0</v>
      </c>
      <c r="AC171">
        <v>0</v>
      </c>
      <c r="AD171">
        <v>1</v>
      </c>
      <c r="AE171">
        <v>0</v>
      </c>
      <c r="AF171" t="s">
        <v>4</v>
      </c>
      <c r="AG171">
        <v>19.72</v>
      </c>
      <c r="AH171">
        <v>3</v>
      </c>
      <c r="AI171">
        <v>-1</v>
      </c>
      <c r="AJ171" t="s">
        <v>4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>
      <c r="A172">
        <f>ROW(Source!A168)</f>
        <v>168</v>
      </c>
      <c r="B172">
        <v>70305669</v>
      </c>
      <c r="C172">
        <v>70305666</v>
      </c>
      <c r="D172">
        <v>69364509</v>
      </c>
      <c r="E172">
        <v>1</v>
      </c>
      <c r="F172">
        <v>1</v>
      </c>
      <c r="G172">
        <v>1075</v>
      </c>
      <c r="H172">
        <v>2</v>
      </c>
      <c r="I172" t="s">
        <v>364</v>
      </c>
      <c r="J172" t="s">
        <v>365</v>
      </c>
      <c r="K172" t="s">
        <v>366</v>
      </c>
      <c r="L172">
        <v>1368</v>
      </c>
      <c r="N172">
        <v>1011</v>
      </c>
      <c r="O172" t="s">
        <v>338</v>
      </c>
      <c r="P172" t="s">
        <v>338</v>
      </c>
      <c r="Q172">
        <v>1</v>
      </c>
      <c r="X172">
        <v>0.05</v>
      </c>
      <c r="Y172">
        <v>0</v>
      </c>
      <c r="Z172">
        <v>83.1</v>
      </c>
      <c r="AA172">
        <v>12.62</v>
      </c>
      <c r="AB172">
        <v>0</v>
      </c>
      <c r="AC172">
        <v>0</v>
      </c>
      <c r="AD172">
        <v>1</v>
      </c>
      <c r="AE172">
        <v>0</v>
      </c>
      <c r="AF172" t="s">
        <v>4</v>
      </c>
      <c r="AG172">
        <v>0.05</v>
      </c>
      <c r="AH172">
        <v>3</v>
      </c>
      <c r="AI172">
        <v>-1</v>
      </c>
      <c r="AJ172" t="s">
        <v>4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>
      <c r="A173">
        <f>ROW(Source!A168)</f>
        <v>168</v>
      </c>
      <c r="B173">
        <v>70305670</v>
      </c>
      <c r="C173">
        <v>70305666</v>
      </c>
      <c r="D173">
        <v>69333737</v>
      </c>
      <c r="E173">
        <v>1</v>
      </c>
      <c r="F173">
        <v>1</v>
      </c>
      <c r="G173">
        <v>1075</v>
      </c>
      <c r="H173">
        <v>3</v>
      </c>
      <c r="I173" t="s">
        <v>395</v>
      </c>
      <c r="J173" t="s">
        <v>396</v>
      </c>
      <c r="K173" t="s">
        <v>397</v>
      </c>
      <c r="L173">
        <v>1346</v>
      </c>
      <c r="N173">
        <v>1009</v>
      </c>
      <c r="O173" t="s">
        <v>394</v>
      </c>
      <c r="P173" t="s">
        <v>394</v>
      </c>
      <c r="Q173">
        <v>1</v>
      </c>
      <c r="X173">
        <v>10</v>
      </c>
      <c r="Y173">
        <v>1.61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4</v>
      </c>
      <c r="AG173">
        <v>10</v>
      </c>
      <c r="AH173">
        <v>3</v>
      </c>
      <c r="AI173">
        <v>-1</v>
      </c>
      <c r="AJ173" t="s">
        <v>4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>
      <c r="A174">
        <f>ROW(Source!A168)</f>
        <v>168</v>
      </c>
      <c r="B174">
        <v>70305671</v>
      </c>
      <c r="C174">
        <v>70305666</v>
      </c>
      <c r="D174">
        <v>69334717</v>
      </c>
      <c r="E174">
        <v>1</v>
      </c>
      <c r="F174">
        <v>1</v>
      </c>
      <c r="G174">
        <v>1075</v>
      </c>
      <c r="H174">
        <v>3</v>
      </c>
      <c r="I174" t="s">
        <v>491</v>
      </c>
      <c r="J174" t="s">
        <v>492</v>
      </c>
      <c r="K174" t="s">
        <v>493</v>
      </c>
      <c r="L174">
        <v>1327</v>
      </c>
      <c r="N174">
        <v>1005</v>
      </c>
      <c r="O174" t="s">
        <v>164</v>
      </c>
      <c r="P174" t="s">
        <v>164</v>
      </c>
      <c r="Q174">
        <v>1</v>
      </c>
      <c r="X174">
        <v>1</v>
      </c>
      <c r="Y174">
        <v>127.33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4</v>
      </c>
      <c r="AG174">
        <v>1</v>
      </c>
      <c r="AH174">
        <v>3</v>
      </c>
      <c r="AI174">
        <v>-1</v>
      </c>
      <c r="AJ174" t="s">
        <v>4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>
      <c r="A175">
        <f>ROW(Source!A168)</f>
        <v>168</v>
      </c>
      <c r="B175">
        <v>70305672</v>
      </c>
      <c r="C175">
        <v>70305666</v>
      </c>
      <c r="D175">
        <v>69335565</v>
      </c>
      <c r="E175">
        <v>1</v>
      </c>
      <c r="F175">
        <v>1</v>
      </c>
      <c r="G175">
        <v>1075</v>
      </c>
      <c r="H175">
        <v>3</v>
      </c>
      <c r="I175" t="s">
        <v>404</v>
      </c>
      <c r="J175" t="s">
        <v>405</v>
      </c>
      <c r="K175" t="s">
        <v>406</v>
      </c>
      <c r="L175">
        <v>1346</v>
      </c>
      <c r="N175">
        <v>1009</v>
      </c>
      <c r="O175" t="s">
        <v>394</v>
      </c>
      <c r="P175" t="s">
        <v>394</v>
      </c>
      <c r="Q175">
        <v>1</v>
      </c>
      <c r="X175">
        <v>30.6</v>
      </c>
      <c r="Y175">
        <v>6.27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0</v>
      </c>
      <c r="AF175" t="s">
        <v>4</v>
      </c>
      <c r="AG175">
        <v>30.6</v>
      </c>
      <c r="AH175">
        <v>3</v>
      </c>
      <c r="AI175">
        <v>-1</v>
      </c>
      <c r="AJ175" t="s">
        <v>4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>
      <c r="A176">
        <f>ROW(Source!A168)</f>
        <v>168</v>
      </c>
      <c r="B176">
        <v>70305673</v>
      </c>
      <c r="C176">
        <v>70305666</v>
      </c>
      <c r="D176">
        <v>69340777</v>
      </c>
      <c r="E176">
        <v>1</v>
      </c>
      <c r="F176">
        <v>1</v>
      </c>
      <c r="G176">
        <v>1075</v>
      </c>
      <c r="H176">
        <v>3</v>
      </c>
      <c r="I176" t="s">
        <v>494</v>
      </c>
      <c r="J176" t="s">
        <v>495</v>
      </c>
      <c r="K176" t="s">
        <v>496</v>
      </c>
      <c r="L176">
        <v>1296</v>
      </c>
      <c r="N176">
        <v>1002</v>
      </c>
      <c r="O176" t="s">
        <v>497</v>
      </c>
      <c r="P176" t="s">
        <v>497</v>
      </c>
      <c r="Q176">
        <v>1</v>
      </c>
      <c r="X176">
        <v>5</v>
      </c>
      <c r="Y176">
        <v>16.260000000000002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4</v>
      </c>
      <c r="AG176">
        <v>5</v>
      </c>
      <c r="AH176">
        <v>3</v>
      </c>
      <c r="AI176">
        <v>-1</v>
      </c>
      <c r="AJ176" t="s">
        <v>4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>
      <c r="A177">
        <f>ROW(Source!A168)</f>
        <v>168</v>
      </c>
      <c r="B177">
        <v>70305674</v>
      </c>
      <c r="C177">
        <v>70305666</v>
      </c>
      <c r="D177">
        <v>69351412</v>
      </c>
      <c r="E177">
        <v>1</v>
      </c>
      <c r="F177">
        <v>1</v>
      </c>
      <c r="G177">
        <v>1075</v>
      </c>
      <c r="H177">
        <v>3</v>
      </c>
      <c r="I177" t="s">
        <v>498</v>
      </c>
      <c r="J177" t="s">
        <v>499</v>
      </c>
      <c r="K177" t="s">
        <v>500</v>
      </c>
      <c r="L177">
        <v>1355</v>
      </c>
      <c r="N177">
        <v>1010</v>
      </c>
      <c r="O177" t="s">
        <v>485</v>
      </c>
      <c r="P177" t="s">
        <v>485</v>
      </c>
      <c r="Q177">
        <v>100</v>
      </c>
      <c r="X177">
        <v>2</v>
      </c>
      <c r="Y177">
        <v>59.47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4</v>
      </c>
      <c r="AG177">
        <v>2</v>
      </c>
      <c r="AH177">
        <v>3</v>
      </c>
      <c r="AI177">
        <v>-1</v>
      </c>
      <c r="AJ177" t="s">
        <v>4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>
      <c r="A178">
        <f>ROW(Source!A168)</f>
        <v>168</v>
      </c>
      <c r="B178">
        <v>70305675</v>
      </c>
      <c r="C178">
        <v>70305666</v>
      </c>
      <c r="D178">
        <v>69310500</v>
      </c>
      <c r="E178">
        <v>1075</v>
      </c>
      <c r="F178">
        <v>1</v>
      </c>
      <c r="G178">
        <v>1075</v>
      </c>
      <c r="H178">
        <v>3</v>
      </c>
      <c r="I178" t="s">
        <v>501</v>
      </c>
      <c r="J178" t="s">
        <v>4</v>
      </c>
      <c r="K178" t="s">
        <v>502</v>
      </c>
      <c r="L178">
        <v>1391</v>
      </c>
      <c r="N178">
        <v>1013</v>
      </c>
      <c r="O178" t="s">
        <v>237</v>
      </c>
      <c r="P178" t="s">
        <v>237</v>
      </c>
      <c r="Q178">
        <v>1</v>
      </c>
      <c r="X178">
        <v>100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 t="s">
        <v>4</v>
      </c>
      <c r="AG178">
        <v>100</v>
      </c>
      <c r="AH178">
        <v>3</v>
      </c>
      <c r="AI178">
        <v>-1</v>
      </c>
      <c r="AJ178" t="s">
        <v>4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>
      <c r="A179">
        <f>ROW(Source!A172)</f>
        <v>172</v>
      </c>
      <c r="B179">
        <v>70305681</v>
      </c>
      <c r="C179">
        <v>70305678</v>
      </c>
      <c r="D179">
        <v>69275358</v>
      </c>
      <c r="E179">
        <v>1075</v>
      </c>
      <c r="F179">
        <v>1</v>
      </c>
      <c r="G179">
        <v>1075</v>
      </c>
      <c r="H179">
        <v>1</v>
      </c>
      <c r="I179" t="s">
        <v>332</v>
      </c>
      <c r="J179" t="s">
        <v>4</v>
      </c>
      <c r="K179" t="s">
        <v>333</v>
      </c>
      <c r="L179">
        <v>1191</v>
      </c>
      <c r="N179">
        <v>1013</v>
      </c>
      <c r="O179" t="s">
        <v>334</v>
      </c>
      <c r="P179" t="s">
        <v>334</v>
      </c>
      <c r="Q179">
        <v>1</v>
      </c>
      <c r="X179">
        <v>54.12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1</v>
      </c>
      <c r="AF179" t="s">
        <v>4</v>
      </c>
      <c r="AG179">
        <v>54.12</v>
      </c>
      <c r="AH179">
        <v>3</v>
      </c>
      <c r="AI179">
        <v>-1</v>
      </c>
      <c r="AJ179" t="s">
        <v>4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>
      <c r="A180">
        <f>ROW(Source!A172)</f>
        <v>172</v>
      </c>
      <c r="B180">
        <v>70305682</v>
      </c>
      <c r="C180">
        <v>70305678</v>
      </c>
      <c r="D180">
        <v>69364511</v>
      </c>
      <c r="E180">
        <v>1</v>
      </c>
      <c r="F180">
        <v>1</v>
      </c>
      <c r="G180">
        <v>1075</v>
      </c>
      <c r="H180">
        <v>2</v>
      </c>
      <c r="I180" t="s">
        <v>452</v>
      </c>
      <c r="J180" t="s">
        <v>453</v>
      </c>
      <c r="K180" t="s">
        <v>454</v>
      </c>
      <c r="L180">
        <v>1368</v>
      </c>
      <c r="N180">
        <v>1011</v>
      </c>
      <c r="O180" t="s">
        <v>338</v>
      </c>
      <c r="P180" t="s">
        <v>338</v>
      </c>
      <c r="Q180">
        <v>1</v>
      </c>
      <c r="X180">
        <v>0.79</v>
      </c>
      <c r="Y180">
        <v>0</v>
      </c>
      <c r="Z180">
        <v>119.07</v>
      </c>
      <c r="AA180">
        <v>12.62</v>
      </c>
      <c r="AB180">
        <v>0</v>
      </c>
      <c r="AC180">
        <v>0</v>
      </c>
      <c r="AD180">
        <v>1</v>
      </c>
      <c r="AE180">
        <v>0</v>
      </c>
      <c r="AF180" t="s">
        <v>4</v>
      </c>
      <c r="AG180">
        <v>0.79</v>
      </c>
      <c r="AH180">
        <v>3</v>
      </c>
      <c r="AI180">
        <v>-1</v>
      </c>
      <c r="AJ180" t="s">
        <v>4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>
      <c r="A181">
        <f>ROW(Source!A172)</f>
        <v>172</v>
      </c>
      <c r="B181">
        <v>70305683</v>
      </c>
      <c r="C181">
        <v>70305678</v>
      </c>
      <c r="D181">
        <v>69363844</v>
      </c>
      <c r="E181">
        <v>1</v>
      </c>
      <c r="F181">
        <v>1</v>
      </c>
      <c r="G181">
        <v>1075</v>
      </c>
      <c r="H181">
        <v>2</v>
      </c>
      <c r="I181" t="s">
        <v>455</v>
      </c>
      <c r="J181" t="s">
        <v>456</v>
      </c>
      <c r="K181" t="s">
        <v>457</v>
      </c>
      <c r="L181">
        <v>1368</v>
      </c>
      <c r="N181">
        <v>1011</v>
      </c>
      <c r="O181" t="s">
        <v>338</v>
      </c>
      <c r="P181" t="s">
        <v>338</v>
      </c>
      <c r="Q181">
        <v>1</v>
      </c>
      <c r="X181">
        <v>0.86</v>
      </c>
      <c r="Y181">
        <v>0</v>
      </c>
      <c r="Z181">
        <v>6.68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4</v>
      </c>
      <c r="AG181">
        <v>0.86</v>
      </c>
      <c r="AH181">
        <v>3</v>
      </c>
      <c r="AI181">
        <v>-1</v>
      </c>
      <c r="AJ181" t="s">
        <v>4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>
      <c r="A182">
        <f>ROW(Source!A172)</f>
        <v>172</v>
      </c>
      <c r="B182">
        <v>70305684</v>
      </c>
      <c r="C182">
        <v>70305678</v>
      </c>
      <c r="D182">
        <v>69363851</v>
      </c>
      <c r="E182">
        <v>1</v>
      </c>
      <c r="F182">
        <v>1</v>
      </c>
      <c r="G182">
        <v>1075</v>
      </c>
      <c r="H182">
        <v>2</v>
      </c>
      <c r="I182" t="s">
        <v>458</v>
      </c>
      <c r="J182" t="s">
        <v>459</v>
      </c>
      <c r="K182" t="s">
        <v>460</v>
      </c>
      <c r="L182">
        <v>1368</v>
      </c>
      <c r="N182">
        <v>1011</v>
      </c>
      <c r="O182" t="s">
        <v>338</v>
      </c>
      <c r="P182" t="s">
        <v>338</v>
      </c>
      <c r="Q182">
        <v>1</v>
      </c>
      <c r="X182">
        <v>2.4300000000000002</v>
      </c>
      <c r="Y182">
        <v>0</v>
      </c>
      <c r="Z182">
        <v>0.54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4</v>
      </c>
      <c r="AG182">
        <v>2.4300000000000002</v>
      </c>
      <c r="AH182">
        <v>3</v>
      </c>
      <c r="AI182">
        <v>-1</v>
      </c>
      <c r="AJ182" t="s">
        <v>4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>
      <c r="A183">
        <f>ROW(Source!A172)</f>
        <v>172</v>
      </c>
      <c r="B183">
        <v>70305685</v>
      </c>
      <c r="C183">
        <v>70305678</v>
      </c>
      <c r="D183">
        <v>69364066</v>
      </c>
      <c r="E183">
        <v>1</v>
      </c>
      <c r="F183">
        <v>1</v>
      </c>
      <c r="G183">
        <v>1075</v>
      </c>
      <c r="H183">
        <v>2</v>
      </c>
      <c r="I183" t="s">
        <v>461</v>
      </c>
      <c r="J183" t="s">
        <v>462</v>
      </c>
      <c r="K183" t="s">
        <v>463</v>
      </c>
      <c r="L183">
        <v>1368</v>
      </c>
      <c r="N183">
        <v>1011</v>
      </c>
      <c r="O183" t="s">
        <v>338</v>
      </c>
      <c r="P183" t="s">
        <v>338</v>
      </c>
      <c r="Q183">
        <v>1</v>
      </c>
      <c r="X183">
        <v>0.86</v>
      </c>
      <c r="Y183">
        <v>0</v>
      </c>
      <c r="Z183">
        <v>141.16</v>
      </c>
      <c r="AA183">
        <v>14.54</v>
      </c>
      <c r="AB183">
        <v>0</v>
      </c>
      <c r="AC183">
        <v>0</v>
      </c>
      <c r="AD183">
        <v>1</v>
      </c>
      <c r="AE183">
        <v>0</v>
      </c>
      <c r="AF183" t="s">
        <v>4</v>
      </c>
      <c r="AG183">
        <v>0.86</v>
      </c>
      <c r="AH183">
        <v>3</v>
      </c>
      <c r="AI183">
        <v>-1</v>
      </c>
      <c r="AJ183" t="s">
        <v>4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>
      <c r="A184">
        <f>ROW(Source!A172)</f>
        <v>172</v>
      </c>
      <c r="B184">
        <v>70305686</v>
      </c>
      <c r="C184">
        <v>70305678</v>
      </c>
      <c r="D184">
        <v>69364069</v>
      </c>
      <c r="E184">
        <v>1</v>
      </c>
      <c r="F184">
        <v>1</v>
      </c>
      <c r="G184">
        <v>1075</v>
      </c>
      <c r="H184">
        <v>2</v>
      </c>
      <c r="I184" t="s">
        <v>464</v>
      </c>
      <c r="J184" t="s">
        <v>465</v>
      </c>
      <c r="K184" t="s">
        <v>466</v>
      </c>
      <c r="L184">
        <v>1368</v>
      </c>
      <c r="N184">
        <v>1011</v>
      </c>
      <c r="O184" t="s">
        <v>338</v>
      </c>
      <c r="P184" t="s">
        <v>338</v>
      </c>
      <c r="Q184">
        <v>1</v>
      </c>
      <c r="X184">
        <v>0.76</v>
      </c>
      <c r="Y184">
        <v>0</v>
      </c>
      <c r="Z184">
        <v>3.95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4</v>
      </c>
      <c r="AG184">
        <v>0.76</v>
      </c>
      <c r="AH184">
        <v>3</v>
      </c>
      <c r="AI184">
        <v>-1</v>
      </c>
      <c r="AJ184" t="s">
        <v>4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>
      <c r="A185">
        <f>ROW(Source!A172)</f>
        <v>172</v>
      </c>
      <c r="B185">
        <v>70305687</v>
      </c>
      <c r="C185">
        <v>70305678</v>
      </c>
      <c r="D185">
        <v>69333752</v>
      </c>
      <c r="E185">
        <v>1</v>
      </c>
      <c r="F185">
        <v>1</v>
      </c>
      <c r="G185">
        <v>1075</v>
      </c>
      <c r="H185">
        <v>3</v>
      </c>
      <c r="I185" t="s">
        <v>352</v>
      </c>
      <c r="J185" t="s">
        <v>353</v>
      </c>
      <c r="K185" t="s">
        <v>354</v>
      </c>
      <c r="L185">
        <v>1348</v>
      </c>
      <c r="N185">
        <v>1009</v>
      </c>
      <c r="O185" t="s">
        <v>168</v>
      </c>
      <c r="P185" t="s">
        <v>168</v>
      </c>
      <c r="Q185">
        <v>1000</v>
      </c>
      <c r="X185">
        <v>1E-4</v>
      </c>
      <c r="Y185">
        <v>6521.42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4</v>
      </c>
      <c r="AG185">
        <v>1E-4</v>
      </c>
      <c r="AH185">
        <v>3</v>
      </c>
      <c r="AI185">
        <v>-1</v>
      </c>
      <c r="AJ185" t="s">
        <v>4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>
      <c r="A186">
        <f>ROW(Source!A172)</f>
        <v>172</v>
      </c>
      <c r="B186">
        <v>70305688</v>
      </c>
      <c r="C186">
        <v>70305678</v>
      </c>
      <c r="D186">
        <v>69334877</v>
      </c>
      <c r="E186">
        <v>1</v>
      </c>
      <c r="F186">
        <v>1</v>
      </c>
      <c r="G186">
        <v>1075</v>
      </c>
      <c r="H186">
        <v>3</v>
      </c>
      <c r="I186" t="s">
        <v>467</v>
      </c>
      <c r="J186" t="s">
        <v>468</v>
      </c>
      <c r="K186" t="s">
        <v>469</v>
      </c>
      <c r="L186">
        <v>1346</v>
      </c>
      <c r="N186">
        <v>1009</v>
      </c>
      <c r="O186" t="s">
        <v>394</v>
      </c>
      <c r="P186" t="s">
        <v>394</v>
      </c>
      <c r="Q186">
        <v>1</v>
      </c>
      <c r="X186">
        <v>0.09</v>
      </c>
      <c r="Y186">
        <v>18.149999999999999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4</v>
      </c>
      <c r="AG186">
        <v>0.09</v>
      </c>
      <c r="AH186">
        <v>3</v>
      </c>
      <c r="AI186">
        <v>-1</v>
      </c>
      <c r="AJ186" t="s">
        <v>4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>
      <c r="A187">
        <f>ROW(Source!A172)</f>
        <v>172</v>
      </c>
      <c r="B187">
        <v>70305689</v>
      </c>
      <c r="C187">
        <v>70305678</v>
      </c>
      <c r="D187">
        <v>69333818</v>
      </c>
      <c r="E187">
        <v>1</v>
      </c>
      <c r="F187">
        <v>1</v>
      </c>
      <c r="G187">
        <v>1075</v>
      </c>
      <c r="H187">
        <v>3</v>
      </c>
      <c r="I187" t="s">
        <v>470</v>
      </c>
      <c r="J187" t="s">
        <v>471</v>
      </c>
      <c r="K187" t="s">
        <v>472</v>
      </c>
      <c r="L187">
        <v>1339</v>
      </c>
      <c r="N187">
        <v>1007</v>
      </c>
      <c r="O187" t="s">
        <v>52</v>
      </c>
      <c r="P187" t="s">
        <v>52</v>
      </c>
      <c r="Q187">
        <v>1</v>
      </c>
      <c r="X187">
        <v>0.01</v>
      </c>
      <c r="Y187">
        <v>1183.5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0</v>
      </c>
      <c r="AF187" t="s">
        <v>4</v>
      </c>
      <c r="AG187">
        <v>0.01</v>
      </c>
      <c r="AH187">
        <v>3</v>
      </c>
      <c r="AI187">
        <v>-1</v>
      </c>
      <c r="AJ187" t="s">
        <v>4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>
      <c r="A188">
        <f>ROW(Source!A172)</f>
        <v>172</v>
      </c>
      <c r="B188">
        <v>70305690</v>
      </c>
      <c r="C188">
        <v>70305678</v>
      </c>
      <c r="D188">
        <v>69333692</v>
      </c>
      <c r="E188">
        <v>1</v>
      </c>
      <c r="F188">
        <v>1</v>
      </c>
      <c r="G188">
        <v>1075</v>
      </c>
      <c r="H188">
        <v>3</v>
      </c>
      <c r="I188" t="s">
        <v>473</v>
      </c>
      <c r="J188" t="s">
        <v>474</v>
      </c>
      <c r="K188" t="s">
        <v>475</v>
      </c>
      <c r="L188">
        <v>1348</v>
      </c>
      <c r="N188">
        <v>1009</v>
      </c>
      <c r="O188" t="s">
        <v>168</v>
      </c>
      <c r="P188" t="s">
        <v>168</v>
      </c>
      <c r="Q188">
        <v>1000</v>
      </c>
      <c r="X188">
        <v>2.8700000000000002E-3</v>
      </c>
      <c r="Y188">
        <v>24618.39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4</v>
      </c>
      <c r="AG188">
        <v>2.8700000000000002E-3</v>
      </c>
      <c r="AH188">
        <v>3</v>
      </c>
      <c r="AI188">
        <v>-1</v>
      </c>
      <c r="AJ188" t="s">
        <v>4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>
      <c r="A189">
        <f>ROW(Source!A172)</f>
        <v>172</v>
      </c>
      <c r="B189">
        <v>70305691</v>
      </c>
      <c r="C189">
        <v>70305678</v>
      </c>
      <c r="D189">
        <v>69334282</v>
      </c>
      <c r="E189">
        <v>1</v>
      </c>
      <c r="F189">
        <v>1</v>
      </c>
      <c r="G189">
        <v>1075</v>
      </c>
      <c r="H189">
        <v>3</v>
      </c>
      <c r="I189" t="s">
        <v>476</v>
      </c>
      <c r="J189" t="s">
        <v>477</v>
      </c>
      <c r="K189" t="s">
        <v>478</v>
      </c>
      <c r="L189">
        <v>1348</v>
      </c>
      <c r="N189">
        <v>1009</v>
      </c>
      <c r="O189" t="s">
        <v>168</v>
      </c>
      <c r="P189" t="s">
        <v>168</v>
      </c>
      <c r="Q189">
        <v>1000</v>
      </c>
      <c r="X189">
        <v>9.4000000000000004E-3</v>
      </c>
      <c r="Y189">
        <v>6870.66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0</v>
      </c>
      <c r="AF189" t="s">
        <v>4</v>
      </c>
      <c r="AG189">
        <v>9.4000000000000004E-3</v>
      </c>
      <c r="AH189">
        <v>3</v>
      </c>
      <c r="AI189">
        <v>-1</v>
      </c>
      <c r="AJ189" t="s">
        <v>4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>
      <c r="A190">
        <f>ROW(Source!A172)</f>
        <v>172</v>
      </c>
      <c r="B190">
        <v>70305692</v>
      </c>
      <c r="C190">
        <v>70305678</v>
      </c>
      <c r="D190">
        <v>69334307</v>
      </c>
      <c r="E190">
        <v>1</v>
      </c>
      <c r="F190">
        <v>1</v>
      </c>
      <c r="G190">
        <v>1075</v>
      </c>
      <c r="H190">
        <v>3</v>
      </c>
      <c r="I190" t="s">
        <v>361</v>
      </c>
      <c r="J190" t="s">
        <v>362</v>
      </c>
      <c r="K190" t="s">
        <v>363</v>
      </c>
      <c r="L190">
        <v>1348</v>
      </c>
      <c r="N190">
        <v>1009</v>
      </c>
      <c r="O190" t="s">
        <v>168</v>
      </c>
      <c r="P190" t="s">
        <v>168</v>
      </c>
      <c r="Q190">
        <v>1000</v>
      </c>
      <c r="X190">
        <v>4.0000000000000003E-5</v>
      </c>
      <c r="Y190">
        <v>9098.51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0</v>
      </c>
      <c r="AF190" t="s">
        <v>4</v>
      </c>
      <c r="AG190">
        <v>4.0000000000000003E-5</v>
      </c>
      <c r="AH190">
        <v>3</v>
      </c>
      <c r="AI190">
        <v>-1</v>
      </c>
      <c r="AJ190" t="s">
        <v>4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>
      <c r="A191">
        <f>ROW(Source!A172)</f>
        <v>172</v>
      </c>
      <c r="B191">
        <v>70305693</v>
      </c>
      <c r="C191">
        <v>70305678</v>
      </c>
      <c r="D191">
        <v>69351457</v>
      </c>
      <c r="E191">
        <v>1</v>
      </c>
      <c r="F191">
        <v>1</v>
      </c>
      <c r="G191">
        <v>1075</v>
      </c>
      <c r="H191">
        <v>3</v>
      </c>
      <c r="I191" t="s">
        <v>479</v>
      </c>
      <c r="J191" t="s">
        <v>480</v>
      </c>
      <c r="K191" t="s">
        <v>481</v>
      </c>
      <c r="L191">
        <v>1356</v>
      </c>
      <c r="N191">
        <v>1010</v>
      </c>
      <c r="O191" t="s">
        <v>286</v>
      </c>
      <c r="P191" t="s">
        <v>286</v>
      </c>
      <c r="Q191">
        <v>1000</v>
      </c>
      <c r="X191">
        <v>4.1000000000000003E-3</v>
      </c>
      <c r="Y191">
        <v>56.17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0</v>
      </c>
      <c r="AF191" t="s">
        <v>4</v>
      </c>
      <c r="AG191">
        <v>4.1000000000000003E-3</v>
      </c>
      <c r="AH191">
        <v>3</v>
      </c>
      <c r="AI191">
        <v>-1</v>
      </c>
      <c r="AJ191" t="s">
        <v>4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>
      <c r="A192">
        <f>ROW(Source!A172)</f>
        <v>172</v>
      </c>
      <c r="B192">
        <v>70305694</v>
      </c>
      <c r="C192">
        <v>70305678</v>
      </c>
      <c r="D192">
        <v>69351232</v>
      </c>
      <c r="E192">
        <v>1</v>
      </c>
      <c r="F192">
        <v>1</v>
      </c>
      <c r="G192">
        <v>1075</v>
      </c>
      <c r="H192">
        <v>3</v>
      </c>
      <c r="I192" t="s">
        <v>482</v>
      </c>
      <c r="J192" t="s">
        <v>483</v>
      </c>
      <c r="K192" t="s">
        <v>484</v>
      </c>
      <c r="L192">
        <v>1355</v>
      </c>
      <c r="N192">
        <v>1010</v>
      </c>
      <c r="O192" t="s">
        <v>485</v>
      </c>
      <c r="P192" t="s">
        <v>485</v>
      </c>
      <c r="Q192">
        <v>100</v>
      </c>
      <c r="X192">
        <v>0.66669999999999996</v>
      </c>
      <c r="Y192">
        <v>57.81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4</v>
      </c>
      <c r="AG192">
        <v>0.66669999999999996</v>
      </c>
      <c r="AH192">
        <v>3</v>
      </c>
      <c r="AI192">
        <v>-1</v>
      </c>
      <c r="AJ192" t="s">
        <v>4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>
      <c r="A193">
        <f>ROW(Source!A172)</f>
        <v>172</v>
      </c>
      <c r="B193">
        <v>70305695</v>
      </c>
      <c r="C193">
        <v>70305678</v>
      </c>
      <c r="D193">
        <v>69298822</v>
      </c>
      <c r="E193">
        <v>1075</v>
      </c>
      <c r="F193">
        <v>1</v>
      </c>
      <c r="G193">
        <v>1075</v>
      </c>
      <c r="H193">
        <v>3</v>
      </c>
      <c r="I193" t="s">
        <v>486</v>
      </c>
      <c r="J193" t="s">
        <v>4</v>
      </c>
      <c r="K193" t="s">
        <v>487</v>
      </c>
      <c r="L193">
        <v>1303</v>
      </c>
      <c r="N193">
        <v>1003</v>
      </c>
      <c r="O193" t="s">
        <v>209</v>
      </c>
      <c r="P193" t="s">
        <v>209</v>
      </c>
      <c r="Q193">
        <v>1000</v>
      </c>
      <c r="X193">
        <v>0.30599999999999999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 t="s">
        <v>4</v>
      </c>
      <c r="AG193">
        <v>0.30599999999999999</v>
      </c>
      <c r="AH193">
        <v>3</v>
      </c>
      <c r="AI193">
        <v>-1</v>
      </c>
      <c r="AJ193" t="s">
        <v>4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>
      <c r="A194">
        <f>ROW(Source!A173)</f>
        <v>173</v>
      </c>
      <c r="B194">
        <v>70305681</v>
      </c>
      <c r="C194">
        <v>70305678</v>
      </c>
      <c r="D194">
        <v>69275358</v>
      </c>
      <c r="E194">
        <v>1075</v>
      </c>
      <c r="F194">
        <v>1</v>
      </c>
      <c r="G194">
        <v>1075</v>
      </c>
      <c r="H194">
        <v>1</v>
      </c>
      <c r="I194" t="s">
        <v>332</v>
      </c>
      <c r="J194" t="s">
        <v>4</v>
      </c>
      <c r="K194" t="s">
        <v>333</v>
      </c>
      <c r="L194">
        <v>1191</v>
      </c>
      <c r="N194">
        <v>1013</v>
      </c>
      <c r="O194" t="s">
        <v>334</v>
      </c>
      <c r="P194" t="s">
        <v>334</v>
      </c>
      <c r="Q194">
        <v>1</v>
      </c>
      <c r="X194">
        <v>54.12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1</v>
      </c>
      <c r="AF194" t="s">
        <v>4</v>
      </c>
      <c r="AG194">
        <v>54.12</v>
      </c>
      <c r="AH194">
        <v>3</v>
      </c>
      <c r="AI194">
        <v>-1</v>
      </c>
      <c r="AJ194" t="s">
        <v>4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>
      <c r="A195">
        <f>ROW(Source!A173)</f>
        <v>173</v>
      </c>
      <c r="B195">
        <v>70305682</v>
      </c>
      <c r="C195">
        <v>70305678</v>
      </c>
      <c r="D195">
        <v>69364511</v>
      </c>
      <c r="E195">
        <v>1</v>
      </c>
      <c r="F195">
        <v>1</v>
      </c>
      <c r="G195">
        <v>1075</v>
      </c>
      <c r="H195">
        <v>2</v>
      </c>
      <c r="I195" t="s">
        <v>452</v>
      </c>
      <c r="J195" t="s">
        <v>453</v>
      </c>
      <c r="K195" t="s">
        <v>454</v>
      </c>
      <c r="L195">
        <v>1368</v>
      </c>
      <c r="N195">
        <v>1011</v>
      </c>
      <c r="O195" t="s">
        <v>338</v>
      </c>
      <c r="P195" t="s">
        <v>338</v>
      </c>
      <c r="Q195">
        <v>1</v>
      </c>
      <c r="X195">
        <v>0.79</v>
      </c>
      <c r="Y195">
        <v>0</v>
      </c>
      <c r="Z195">
        <v>119.07</v>
      </c>
      <c r="AA195">
        <v>12.62</v>
      </c>
      <c r="AB195">
        <v>0</v>
      </c>
      <c r="AC195">
        <v>0</v>
      </c>
      <c r="AD195">
        <v>1</v>
      </c>
      <c r="AE195">
        <v>0</v>
      </c>
      <c r="AF195" t="s">
        <v>4</v>
      </c>
      <c r="AG195">
        <v>0.79</v>
      </c>
      <c r="AH195">
        <v>3</v>
      </c>
      <c r="AI195">
        <v>-1</v>
      </c>
      <c r="AJ195" t="s">
        <v>4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>
      <c r="A196">
        <f>ROW(Source!A173)</f>
        <v>173</v>
      </c>
      <c r="B196">
        <v>70305683</v>
      </c>
      <c r="C196">
        <v>70305678</v>
      </c>
      <c r="D196">
        <v>69363844</v>
      </c>
      <c r="E196">
        <v>1</v>
      </c>
      <c r="F196">
        <v>1</v>
      </c>
      <c r="G196">
        <v>1075</v>
      </c>
      <c r="H196">
        <v>2</v>
      </c>
      <c r="I196" t="s">
        <v>455</v>
      </c>
      <c r="J196" t="s">
        <v>456</v>
      </c>
      <c r="K196" t="s">
        <v>457</v>
      </c>
      <c r="L196">
        <v>1368</v>
      </c>
      <c r="N196">
        <v>1011</v>
      </c>
      <c r="O196" t="s">
        <v>338</v>
      </c>
      <c r="P196" t="s">
        <v>338</v>
      </c>
      <c r="Q196">
        <v>1</v>
      </c>
      <c r="X196">
        <v>0.86</v>
      </c>
      <c r="Y196">
        <v>0</v>
      </c>
      <c r="Z196">
        <v>6.68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4</v>
      </c>
      <c r="AG196">
        <v>0.86</v>
      </c>
      <c r="AH196">
        <v>3</v>
      </c>
      <c r="AI196">
        <v>-1</v>
      </c>
      <c r="AJ196" t="s">
        <v>4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>
      <c r="A197">
        <f>ROW(Source!A173)</f>
        <v>173</v>
      </c>
      <c r="B197">
        <v>70305684</v>
      </c>
      <c r="C197">
        <v>70305678</v>
      </c>
      <c r="D197">
        <v>69363851</v>
      </c>
      <c r="E197">
        <v>1</v>
      </c>
      <c r="F197">
        <v>1</v>
      </c>
      <c r="G197">
        <v>1075</v>
      </c>
      <c r="H197">
        <v>2</v>
      </c>
      <c r="I197" t="s">
        <v>458</v>
      </c>
      <c r="J197" t="s">
        <v>459</v>
      </c>
      <c r="K197" t="s">
        <v>460</v>
      </c>
      <c r="L197">
        <v>1368</v>
      </c>
      <c r="N197">
        <v>1011</v>
      </c>
      <c r="O197" t="s">
        <v>338</v>
      </c>
      <c r="P197" t="s">
        <v>338</v>
      </c>
      <c r="Q197">
        <v>1</v>
      </c>
      <c r="X197">
        <v>2.4300000000000002</v>
      </c>
      <c r="Y197">
        <v>0</v>
      </c>
      <c r="Z197">
        <v>0.54</v>
      </c>
      <c r="AA197">
        <v>0</v>
      </c>
      <c r="AB197">
        <v>0</v>
      </c>
      <c r="AC197">
        <v>0</v>
      </c>
      <c r="AD197">
        <v>1</v>
      </c>
      <c r="AE197">
        <v>0</v>
      </c>
      <c r="AF197" t="s">
        <v>4</v>
      </c>
      <c r="AG197">
        <v>2.4300000000000002</v>
      </c>
      <c r="AH197">
        <v>3</v>
      </c>
      <c r="AI197">
        <v>-1</v>
      </c>
      <c r="AJ197" t="s">
        <v>4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>
      <c r="A198">
        <f>ROW(Source!A173)</f>
        <v>173</v>
      </c>
      <c r="B198">
        <v>70305685</v>
      </c>
      <c r="C198">
        <v>70305678</v>
      </c>
      <c r="D198">
        <v>69364066</v>
      </c>
      <c r="E198">
        <v>1</v>
      </c>
      <c r="F198">
        <v>1</v>
      </c>
      <c r="G198">
        <v>1075</v>
      </c>
      <c r="H198">
        <v>2</v>
      </c>
      <c r="I198" t="s">
        <v>461</v>
      </c>
      <c r="J198" t="s">
        <v>462</v>
      </c>
      <c r="K198" t="s">
        <v>463</v>
      </c>
      <c r="L198">
        <v>1368</v>
      </c>
      <c r="N198">
        <v>1011</v>
      </c>
      <c r="O198" t="s">
        <v>338</v>
      </c>
      <c r="P198" t="s">
        <v>338</v>
      </c>
      <c r="Q198">
        <v>1</v>
      </c>
      <c r="X198">
        <v>0.86</v>
      </c>
      <c r="Y198">
        <v>0</v>
      </c>
      <c r="Z198">
        <v>141.16</v>
      </c>
      <c r="AA198">
        <v>14.54</v>
      </c>
      <c r="AB198">
        <v>0</v>
      </c>
      <c r="AC198">
        <v>0</v>
      </c>
      <c r="AD198">
        <v>1</v>
      </c>
      <c r="AE198">
        <v>0</v>
      </c>
      <c r="AF198" t="s">
        <v>4</v>
      </c>
      <c r="AG198">
        <v>0.86</v>
      </c>
      <c r="AH198">
        <v>3</v>
      </c>
      <c r="AI198">
        <v>-1</v>
      </c>
      <c r="AJ198" t="s">
        <v>4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>
      <c r="A199">
        <f>ROW(Source!A173)</f>
        <v>173</v>
      </c>
      <c r="B199">
        <v>70305686</v>
      </c>
      <c r="C199">
        <v>70305678</v>
      </c>
      <c r="D199">
        <v>69364069</v>
      </c>
      <c r="E199">
        <v>1</v>
      </c>
      <c r="F199">
        <v>1</v>
      </c>
      <c r="G199">
        <v>1075</v>
      </c>
      <c r="H199">
        <v>2</v>
      </c>
      <c r="I199" t="s">
        <v>464</v>
      </c>
      <c r="J199" t="s">
        <v>465</v>
      </c>
      <c r="K199" t="s">
        <v>466</v>
      </c>
      <c r="L199">
        <v>1368</v>
      </c>
      <c r="N199">
        <v>1011</v>
      </c>
      <c r="O199" t="s">
        <v>338</v>
      </c>
      <c r="P199" t="s">
        <v>338</v>
      </c>
      <c r="Q199">
        <v>1</v>
      </c>
      <c r="X199">
        <v>0.76</v>
      </c>
      <c r="Y199">
        <v>0</v>
      </c>
      <c r="Z199">
        <v>3.95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4</v>
      </c>
      <c r="AG199">
        <v>0.76</v>
      </c>
      <c r="AH199">
        <v>3</v>
      </c>
      <c r="AI199">
        <v>-1</v>
      </c>
      <c r="AJ199" t="s">
        <v>4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>
      <c r="A200">
        <f>ROW(Source!A173)</f>
        <v>173</v>
      </c>
      <c r="B200">
        <v>70305687</v>
      </c>
      <c r="C200">
        <v>70305678</v>
      </c>
      <c r="D200">
        <v>69333752</v>
      </c>
      <c r="E200">
        <v>1</v>
      </c>
      <c r="F200">
        <v>1</v>
      </c>
      <c r="G200">
        <v>1075</v>
      </c>
      <c r="H200">
        <v>3</v>
      </c>
      <c r="I200" t="s">
        <v>352</v>
      </c>
      <c r="J200" t="s">
        <v>353</v>
      </c>
      <c r="K200" t="s">
        <v>354</v>
      </c>
      <c r="L200">
        <v>1348</v>
      </c>
      <c r="N200">
        <v>1009</v>
      </c>
      <c r="O200" t="s">
        <v>168</v>
      </c>
      <c r="P200" t="s">
        <v>168</v>
      </c>
      <c r="Q200">
        <v>1000</v>
      </c>
      <c r="X200">
        <v>1E-4</v>
      </c>
      <c r="Y200">
        <v>6521.42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4</v>
      </c>
      <c r="AG200">
        <v>1E-4</v>
      </c>
      <c r="AH200">
        <v>3</v>
      </c>
      <c r="AI200">
        <v>-1</v>
      </c>
      <c r="AJ200" t="s">
        <v>4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>
      <c r="A201">
        <f>ROW(Source!A173)</f>
        <v>173</v>
      </c>
      <c r="B201">
        <v>70305688</v>
      </c>
      <c r="C201">
        <v>70305678</v>
      </c>
      <c r="D201">
        <v>69334877</v>
      </c>
      <c r="E201">
        <v>1</v>
      </c>
      <c r="F201">
        <v>1</v>
      </c>
      <c r="G201">
        <v>1075</v>
      </c>
      <c r="H201">
        <v>3</v>
      </c>
      <c r="I201" t="s">
        <v>467</v>
      </c>
      <c r="J201" t="s">
        <v>468</v>
      </c>
      <c r="K201" t="s">
        <v>469</v>
      </c>
      <c r="L201">
        <v>1346</v>
      </c>
      <c r="N201">
        <v>1009</v>
      </c>
      <c r="O201" t="s">
        <v>394</v>
      </c>
      <c r="P201" t="s">
        <v>394</v>
      </c>
      <c r="Q201">
        <v>1</v>
      </c>
      <c r="X201">
        <v>0.09</v>
      </c>
      <c r="Y201">
        <v>18.149999999999999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0</v>
      </c>
      <c r="AF201" t="s">
        <v>4</v>
      </c>
      <c r="AG201">
        <v>0.09</v>
      </c>
      <c r="AH201">
        <v>3</v>
      </c>
      <c r="AI201">
        <v>-1</v>
      </c>
      <c r="AJ201" t="s">
        <v>4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>
      <c r="A202">
        <f>ROW(Source!A173)</f>
        <v>173</v>
      </c>
      <c r="B202">
        <v>70305689</v>
      </c>
      <c r="C202">
        <v>70305678</v>
      </c>
      <c r="D202">
        <v>69333818</v>
      </c>
      <c r="E202">
        <v>1</v>
      </c>
      <c r="F202">
        <v>1</v>
      </c>
      <c r="G202">
        <v>1075</v>
      </c>
      <c r="H202">
        <v>3</v>
      </c>
      <c r="I202" t="s">
        <v>470</v>
      </c>
      <c r="J202" t="s">
        <v>471</v>
      </c>
      <c r="K202" t="s">
        <v>472</v>
      </c>
      <c r="L202">
        <v>1339</v>
      </c>
      <c r="N202">
        <v>1007</v>
      </c>
      <c r="O202" t="s">
        <v>52</v>
      </c>
      <c r="P202" t="s">
        <v>52</v>
      </c>
      <c r="Q202">
        <v>1</v>
      </c>
      <c r="X202">
        <v>0.01</v>
      </c>
      <c r="Y202">
        <v>1183.5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0</v>
      </c>
      <c r="AF202" t="s">
        <v>4</v>
      </c>
      <c r="AG202">
        <v>0.01</v>
      </c>
      <c r="AH202">
        <v>3</v>
      </c>
      <c r="AI202">
        <v>-1</v>
      </c>
      <c r="AJ202" t="s">
        <v>4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>
      <c r="A203">
        <f>ROW(Source!A173)</f>
        <v>173</v>
      </c>
      <c r="B203">
        <v>70305690</v>
      </c>
      <c r="C203">
        <v>70305678</v>
      </c>
      <c r="D203">
        <v>69333692</v>
      </c>
      <c r="E203">
        <v>1</v>
      </c>
      <c r="F203">
        <v>1</v>
      </c>
      <c r="G203">
        <v>1075</v>
      </c>
      <c r="H203">
        <v>3</v>
      </c>
      <c r="I203" t="s">
        <v>473</v>
      </c>
      <c r="J203" t="s">
        <v>474</v>
      </c>
      <c r="K203" t="s">
        <v>475</v>
      </c>
      <c r="L203">
        <v>1348</v>
      </c>
      <c r="N203">
        <v>1009</v>
      </c>
      <c r="O203" t="s">
        <v>168</v>
      </c>
      <c r="P203" t="s">
        <v>168</v>
      </c>
      <c r="Q203">
        <v>1000</v>
      </c>
      <c r="X203">
        <v>2.8700000000000002E-3</v>
      </c>
      <c r="Y203">
        <v>24618.39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4</v>
      </c>
      <c r="AG203">
        <v>2.8700000000000002E-3</v>
      </c>
      <c r="AH203">
        <v>3</v>
      </c>
      <c r="AI203">
        <v>-1</v>
      </c>
      <c r="AJ203" t="s">
        <v>4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>
      <c r="A204">
        <f>ROW(Source!A173)</f>
        <v>173</v>
      </c>
      <c r="B204">
        <v>70305691</v>
      </c>
      <c r="C204">
        <v>70305678</v>
      </c>
      <c r="D204">
        <v>69334282</v>
      </c>
      <c r="E204">
        <v>1</v>
      </c>
      <c r="F204">
        <v>1</v>
      </c>
      <c r="G204">
        <v>1075</v>
      </c>
      <c r="H204">
        <v>3</v>
      </c>
      <c r="I204" t="s">
        <v>476</v>
      </c>
      <c r="J204" t="s">
        <v>477</v>
      </c>
      <c r="K204" t="s">
        <v>478</v>
      </c>
      <c r="L204">
        <v>1348</v>
      </c>
      <c r="N204">
        <v>1009</v>
      </c>
      <c r="O204" t="s">
        <v>168</v>
      </c>
      <c r="P204" t="s">
        <v>168</v>
      </c>
      <c r="Q204">
        <v>1000</v>
      </c>
      <c r="X204">
        <v>9.4000000000000004E-3</v>
      </c>
      <c r="Y204">
        <v>6870.66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0</v>
      </c>
      <c r="AF204" t="s">
        <v>4</v>
      </c>
      <c r="AG204">
        <v>9.4000000000000004E-3</v>
      </c>
      <c r="AH204">
        <v>3</v>
      </c>
      <c r="AI204">
        <v>-1</v>
      </c>
      <c r="AJ204" t="s">
        <v>4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>
      <c r="A205">
        <f>ROW(Source!A173)</f>
        <v>173</v>
      </c>
      <c r="B205">
        <v>70305692</v>
      </c>
      <c r="C205">
        <v>70305678</v>
      </c>
      <c r="D205">
        <v>69334307</v>
      </c>
      <c r="E205">
        <v>1</v>
      </c>
      <c r="F205">
        <v>1</v>
      </c>
      <c r="G205">
        <v>1075</v>
      </c>
      <c r="H205">
        <v>3</v>
      </c>
      <c r="I205" t="s">
        <v>361</v>
      </c>
      <c r="J205" t="s">
        <v>362</v>
      </c>
      <c r="K205" t="s">
        <v>363</v>
      </c>
      <c r="L205">
        <v>1348</v>
      </c>
      <c r="N205">
        <v>1009</v>
      </c>
      <c r="O205" t="s">
        <v>168</v>
      </c>
      <c r="P205" t="s">
        <v>168</v>
      </c>
      <c r="Q205">
        <v>1000</v>
      </c>
      <c r="X205">
        <v>4.0000000000000003E-5</v>
      </c>
      <c r="Y205">
        <v>9098.51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4</v>
      </c>
      <c r="AG205">
        <v>4.0000000000000003E-5</v>
      </c>
      <c r="AH205">
        <v>3</v>
      </c>
      <c r="AI205">
        <v>-1</v>
      </c>
      <c r="AJ205" t="s">
        <v>4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>
      <c r="A206">
        <f>ROW(Source!A173)</f>
        <v>173</v>
      </c>
      <c r="B206">
        <v>70305693</v>
      </c>
      <c r="C206">
        <v>70305678</v>
      </c>
      <c r="D206">
        <v>69351457</v>
      </c>
      <c r="E206">
        <v>1</v>
      </c>
      <c r="F206">
        <v>1</v>
      </c>
      <c r="G206">
        <v>1075</v>
      </c>
      <c r="H206">
        <v>3</v>
      </c>
      <c r="I206" t="s">
        <v>479</v>
      </c>
      <c r="J206" t="s">
        <v>480</v>
      </c>
      <c r="K206" t="s">
        <v>481</v>
      </c>
      <c r="L206">
        <v>1356</v>
      </c>
      <c r="N206">
        <v>1010</v>
      </c>
      <c r="O206" t="s">
        <v>286</v>
      </c>
      <c r="P206" t="s">
        <v>286</v>
      </c>
      <c r="Q206">
        <v>1000</v>
      </c>
      <c r="X206">
        <v>4.1000000000000003E-3</v>
      </c>
      <c r="Y206">
        <v>56.17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0</v>
      </c>
      <c r="AF206" t="s">
        <v>4</v>
      </c>
      <c r="AG206">
        <v>4.1000000000000003E-3</v>
      </c>
      <c r="AH206">
        <v>3</v>
      </c>
      <c r="AI206">
        <v>-1</v>
      </c>
      <c r="AJ206" t="s">
        <v>4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>
      <c r="A207">
        <f>ROW(Source!A173)</f>
        <v>173</v>
      </c>
      <c r="B207">
        <v>70305694</v>
      </c>
      <c r="C207">
        <v>70305678</v>
      </c>
      <c r="D207">
        <v>69351232</v>
      </c>
      <c r="E207">
        <v>1</v>
      </c>
      <c r="F207">
        <v>1</v>
      </c>
      <c r="G207">
        <v>1075</v>
      </c>
      <c r="H207">
        <v>3</v>
      </c>
      <c r="I207" t="s">
        <v>482</v>
      </c>
      <c r="J207" t="s">
        <v>483</v>
      </c>
      <c r="K207" t="s">
        <v>484</v>
      </c>
      <c r="L207">
        <v>1355</v>
      </c>
      <c r="N207">
        <v>1010</v>
      </c>
      <c r="O207" t="s">
        <v>485</v>
      </c>
      <c r="P207" t="s">
        <v>485</v>
      </c>
      <c r="Q207">
        <v>100</v>
      </c>
      <c r="X207">
        <v>0.66669999999999996</v>
      </c>
      <c r="Y207">
        <v>57.81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0</v>
      </c>
      <c r="AF207" t="s">
        <v>4</v>
      </c>
      <c r="AG207">
        <v>0.66669999999999996</v>
      </c>
      <c r="AH207">
        <v>3</v>
      </c>
      <c r="AI207">
        <v>-1</v>
      </c>
      <c r="AJ207" t="s">
        <v>4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>
      <c r="A208">
        <f>ROW(Source!A173)</f>
        <v>173</v>
      </c>
      <c r="B208">
        <v>70305695</v>
      </c>
      <c r="C208">
        <v>70305678</v>
      </c>
      <c r="D208">
        <v>69298822</v>
      </c>
      <c r="E208">
        <v>1075</v>
      </c>
      <c r="F208">
        <v>1</v>
      </c>
      <c r="G208">
        <v>1075</v>
      </c>
      <c r="H208">
        <v>3</v>
      </c>
      <c r="I208" t="s">
        <v>486</v>
      </c>
      <c r="J208" t="s">
        <v>4</v>
      </c>
      <c r="K208" t="s">
        <v>487</v>
      </c>
      <c r="L208">
        <v>1303</v>
      </c>
      <c r="N208">
        <v>1003</v>
      </c>
      <c r="O208" t="s">
        <v>209</v>
      </c>
      <c r="P208" t="s">
        <v>209</v>
      </c>
      <c r="Q208">
        <v>1000</v>
      </c>
      <c r="X208">
        <v>0.30599999999999999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 t="s">
        <v>4</v>
      </c>
      <c r="AG208">
        <v>0.30599999999999999</v>
      </c>
      <c r="AH208">
        <v>3</v>
      </c>
      <c r="AI208">
        <v>-1</v>
      </c>
      <c r="AJ208" t="s">
        <v>4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>
      <c r="A209">
        <f>ROW(Source!A176)</f>
        <v>176</v>
      </c>
      <c r="B209">
        <v>70305700</v>
      </c>
      <c r="C209">
        <v>70305697</v>
      </c>
      <c r="D209">
        <v>69275358</v>
      </c>
      <c r="E209">
        <v>1075</v>
      </c>
      <c r="F209">
        <v>1</v>
      </c>
      <c r="G209">
        <v>1075</v>
      </c>
      <c r="H209">
        <v>1</v>
      </c>
      <c r="I209" t="s">
        <v>332</v>
      </c>
      <c r="J209" t="s">
        <v>4</v>
      </c>
      <c r="K209" t="s">
        <v>333</v>
      </c>
      <c r="L209">
        <v>1191</v>
      </c>
      <c r="N209">
        <v>1013</v>
      </c>
      <c r="O209" t="s">
        <v>334</v>
      </c>
      <c r="P209" t="s">
        <v>334</v>
      </c>
      <c r="Q209">
        <v>1</v>
      </c>
      <c r="X209">
        <v>155.88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1</v>
      </c>
      <c r="AF209" t="s">
        <v>4</v>
      </c>
      <c r="AG209">
        <v>155.88</v>
      </c>
      <c r="AH209">
        <v>3</v>
      </c>
      <c r="AI209">
        <v>-1</v>
      </c>
      <c r="AJ209" t="s">
        <v>4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>
      <c r="A210">
        <f>ROW(Source!A176)</f>
        <v>176</v>
      </c>
      <c r="B210">
        <v>70305701</v>
      </c>
      <c r="C210">
        <v>70305697</v>
      </c>
      <c r="D210">
        <v>69364351</v>
      </c>
      <c r="E210">
        <v>1</v>
      </c>
      <c r="F210">
        <v>1</v>
      </c>
      <c r="G210">
        <v>1075</v>
      </c>
      <c r="H210">
        <v>2</v>
      </c>
      <c r="I210" t="s">
        <v>488</v>
      </c>
      <c r="J210" t="s">
        <v>489</v>
      </c>
      <c r="K210" t="s">
        <v>490</v>
      </c>
      <c r="L210">
        <v>1368</v>
      </c>
      <c r="N210">
        <v>1011</v>
      </c>
      <c r="O210" t="s">
        <v>338</v>
      </c>
      <c r="P210" t="s">
        <v>338</v>
      </c>
      <c r="Q210">
        <v>1</v>
      </c>
      <c r="X210">
        <v>19.72</v>
      </c>
      <c r="Y210">
        <v>0</v>
      </c>
      <c r="Z210">
        <v>36.08</v>
      </c>
      <c r="AA210">
        <v>3.1</v>
      </c>
      <c r="AB210">
        <v>0</v>
      </c>
      <c r="AC210">
        <v>0</v>
      </c>
      <c r="AD210">
        <v>1</v>
      </c>
      <c r="AE210">
        <v>0</v>
      </c>
      <c r="AF210" t="s">
        <v>4</v>
      </c>
      <c r="AG210">
        <v>19.72</v>
      </c>
      <c r="AH210">
        <v>3</v>
      </c>
      <c r="AI210">
        <v>-1</v>
      </c>
      <c r="AJ210" t="s">
        <v>4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>
      <c r="A211">
        <f>ROW(Source!A176)</f>
        <v>176</v>
      </c>
      <c r="B211">
        <v>70305702</v>
      </c>
      <c r="C211">
        <v>70305697</v>
      </c>
      <c r="D211">
        <v>69364509</v>
      </c>
      <c r="E211">
        <v>1</v>
      </c>
      <c r="F211">
        <v>1</v>
      </c>
      <c r="G211">
        <v>1075</v>
      </c>
      <c r="H211">
        <v>2</v>
      </c>
      <c r="I211" t="s">
        <v>364</v>
      </c>
      <c r="J211" t="s">
        <v>365</v>
      </c>
      <c r="K211" t="s">
        <v>366</v>
      </c>
      <c r="L211">
        <v>1368</v>
      </c>
      <c r="N211">
        <v>1011</v>
      </c>
      <c r="O211" t="s">
        <v>338</v>
      </c>
      <c r="P211" t="s">
        <v>338</v>
      </c>
      <c r="Q211">
        <v>1</v>
      </c>
      <c r="X211">
        <v>0.05</v>
      </c>
      <c r="Y211">
        <v>0</v>
      </c>
      <c r="Z211">
        <v>83.1</v>
      </c>
      <c r="AA211">
        <v>12.62</v>
      </c>
      <c r="AB211">
        <v>0</v>
      </c>
      <c r="AC211">
        <v>0</v>
      </c>
      <c r="AD211">
        <v>1</v>
      </c>
      <c r="AE211">
        <v>0</v>
      </c>
      <c r="AF211" t="s">
        <v>4</v>
      </c>
      <c r="AG211">
        <v>0.05</v>
      </c>
      <c r="AH211">
        <v>3</v>
      </c>
      <c r="AI211">
        <v>-1</v>
      </c>
      <c r="AJ211" t="s">
        <v>4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>
      <c r="A212">
        <f>ROW(Source!A176)</f>
        <v>176</v>
      </c>
      <c r="B212">
        <v>70305703</v>
      </c>
      <c r="C212">
        <v>70305697</v>
      </c>
      <c r="D212">
        <v>69333737</v>
      </c>
      <c r="E212">
        <v>1</v>
      </c>
      <c r="F212">
        <v>1</v>
      </c>
      <c r="G212">
        <v>1075</v>
      </c>
      <c r="H212">
        <v>3</v>
      </c>
      <c r="I212" t="s">
        <v>395</v>
      </c>
      <c r="J212" t="s">
        <v>396</v>
      </c>
      <c r="K212" t="s">
        <v>397</v>
      </c>
      <c r="L212">
        <v>1346</v>
      </c>
      <c r="N212">
        <v>1009</v>
      </c>
      <c r="O212" t="s">
        <v>394</v>
      </c>
      <c r="P212" t="s">
        <v>394</v>
      </c>
      <c r="Q212">
        <v>1</v>
      </c>
      <c r="X212">
        <v>10</v>
      </c>
      <c r="Y212">
        <v>1.61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4</v>
      </c>
      <c r="AG212">
        <v>10</v>
      </c>
      <c r="AH212">
        <v>3</v>
      </c>
      <c r="AI212">
        <v>-1</v>
      </c>
      <c r="AJ212" t="s">
        <v>4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>
      <c r="A213">
        <f>ROW(Source!A176)</f>
        <v>176</v>
      </c>
      <c r="B213">
        <v>70305704</v>
      </c>
      <c r="C213">
        <v>70305697</v>
      </c>
      <c r="D213">
        <v>69334717</v>
      </c>
      <c r="E213">
        <v>1</v>
      </c>
      <c r="F213">
        <v>1</v>
      </c>
      <c r="G213">
        <v>1075</v>
      </c>
      <c r="H213">
        <v>3</v>
      </c>
      <c r="I213" t="s">
        <v>491</v>
      </c>
      <c r="J213" t="s">
        <v>492</v>
      </c>
      <c r="K213" t="s">
        <v>493</v>
      </c>
      <c r="L213">
        <v>1327</v>
      </c>
      <c r="N213">
        <v>1005</v>
      </c>
      <c r="O213" t="s">
        <v>164</v>
      </c>
      <c r="P213" t="s">
        <v>164</v>
      </c>
      <c r="Q213">
        <v>1</v>
      </c>
      <c r="X213">
        <v>1</v>
      </c>
      <c r="Y213">
        <v>127.33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4</v>
      </c>
      <c r="AG213">
        <v>1</v>
      </c>
      <c r="AH213">
        <v>3</v>
      </c>
      <c r="AI213">
        <v>-1</v>
      </c>
      <c r="AJ213" t="s">
        <v>4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>
      <c r="A214">
        <f>ROW(Source!A176)</f>
        <v>176</v>
      </c>
      <c r="B214">
        <v>70305705</v>
      </c>
      <c r="C214">
        <v>70305697</v>
      </c>
      <c r="D214">
        <v>69335565</v>
      </c>
      <c r="E214">
        <v>1</v>
      </c>
      <c r="F214">
        <v>1</v>
      </c>
      <c r="G214">
        <v>1075</v>
      </c>
      <c r="H214">
        <v>3</v>
      </c>
      <c r="I214" t="s">
        <v>404</v>
      </c>
      <c r="J214" t="s">
        <v>405</v>
      </c>
      <c r="K214" t="s">
        <v>406</v>
      </c>
      <c r="L214">
        <v>1346</v>
      </c>
      <c r="N214">
        <v>1009</v>
      </c>
      <c r="O214" t="s">
        <v>394</v>
      </c>
      <c r="P214" t="s">
        <v>394</v>
      </c>
      <c r="Q214">
        <v>1</v>
      </c>
      <c r="X214">
        <v>30.6</v>
      </c>
      <c r="Y214">
        <v>6.27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4</v>
      </c>
      <c r="AG214">
        <v>30.6</v>
      </c>
      <c r="AH214">
        <v>3</v>
      </c>
      <c r="AI214">
        <v>-1</v>
      </c>
      <c r="AJ214" t="s">
        <v>4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>
      <c r="A215">
        <f>ROW(Source!A176)</f>
        <v>176</v>
      </c>
      <c r="B215">
        <v>70305706</v>
      </c>
      <c r="C215">
        <v>70305697</v>
      </c>
      <c r="D215">
        <v>69340777</v>
      </c>
      <c r="E215">
        <v>1</v>
      </c>
      <c r="F215">
        <v>1</v>
      </c>
      <c r="G215">
        <v>1075</v>
      </c>
      <c r="H215">
        <v>3</v>
      </c>
      <c r="I215" t="s">
        <v>494</v>
      </c>
      <c r="J215" t="s">
        <v>495</v>
      </c>
      <c r="K215" t="s">
        <v>496</v>
      </c>
      <c r="L215">
        <v>1296</v>
      </c>
      <c r="N215">
        <v>1002</v>
      </c>
      <c r="O215" t="s">
        <v>497</v>
      </c>
      <c r="P215" t="s">
        <v>497</v>
      </c>
      <c r="Q215">
        <v>1</v>
      </c>
      <c r="X215">
        <v>5</v>
      </c>
      <c r="Y215">
        <v>16.260000000000002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4</v>
      </c>
      <c r="AG215">
        <v>5</v>
      </c>
      <c r="AH215">
        <v>3</v>
      </c>
      <c r="AI215">
        <v>-1</v>
      </c>
      <c r="AJ215" t="s">
        <v>4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>
      <c r="A216">
        <f>ROW(Source!A176)</f>
        <v>176</v>
      </c>
      <c r="B216">
        <v>70305707</v>
      </c>
      <c r="C216">
        <v>70305697</v>
      </c>
      <c r="D216">
        <v>69351412</v>
      </c>
      <c r="E216">
        <v>1</v>
      </c>
      <c r="F216">
        <v>1</v>
      </c>
      <c r="G216">
        <v>1075</v>
      </c>
      <c r="H216">
        <v>3</v>
      </c>
      <c r="I216" t="s">
        <v>498</v>
      </c>
      <c r="J216" t="s">
        <v>499</v>
      </c>
      <c r="K216" t="s">
        <v>500</v>
      </c>
      <c r="L216">
        <v>1355</v>
      </c>
      <c r="N216">
        <v>1010</v>
      </c>
      <c r="O216" t="s">
        <v>485</v>
      </c>
      <c r="P216" t="s">
        <v>485</v>
      </c>
      <c r="Q216">
        <v>100</v>
      </c>
      <c r="X216">
        <v>2</v>
      </c>
      <c r="Y216">
        <v>59.47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4</v>
      </c>
      <c r="AG216">
        <v>2</v>
      </c>
      <c r="AH216">
        <v>3</v>
      </c>
      <c r="AI216">
        <v>-1</v>
      </c>
      <c r="AJ216" t="s">
        <v>4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>
      <c r="A217">
        <f>ROW(Source!A176)</f>
        <v>176</v>
      </c>
      <c r="B217">
        <v>70305708</v>
      </c>
      <c r="C217">
        <v>70305697</v>
      </c>
      <c r="D217">
        <v>69310500</v>
      </c>
      <c r="E217">
        <v>1075</v>
      </c>
      <c r="F217">
        <v>1</v>
      </c>
      <c r="G217">
        <v>1075</v>
      </c>
      <c r="H217">
        <v>3</v>
      </c>
      <c r="I217" t="s">
        <v>501</v>
      </c>
      <c r="J217" t="s">
        <v>4</v>
      </c>
      <c r="K217" t="s">
        <v>502</v>
      </c>
      <c r="L217">
        <v>1391</v>
      </c>
      <c r="N217">
        <v>1013</v>
      </c>
      <c r="O217" t="s">
        <v>237</v>
      </c>
      <c r="P217" t="s">
        <v>237</v>
      </c>
      <c r="Q217">
        <v>1</v>
      </c>
      <c r="X217">
        <v>100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 t="s">
        <v>4</v>
      </c>
      <c r="AG217">
        <v>100</v>
      </c>
      <c r="AH217">
        <v>3</v>
      </c>
      <c r="AI217">
        <v>-1</v>
      </c>
      <c r="AJ217" t="s">
        <v>4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>
      <c r="A218">
        <f>ROW(Source!A177)</f>
        <v>177</v>
      </c>
      <c r="B218">
        <v>70305700</v>
      </c>
      <c r="C218">
        <v>70305697</v>
      </c>
      <c r="D218">
        <v>69275358</v>
      </c>
      <c r="E218">
        <v>1075</v>
      </c>
      <c r="F218">
        <v>1</v>
      </c>
      <c r="G218">
        <v>1075</v>
      </c>
      <c r="H218">
        <v>1</v>
      </c>
      <c r="I218" t="s">
        <v>332</v>
      </c>
      <c r="J218" t="s">
        <v>4</v>
      </c>
      <c r="K218" t="s">
        <v>333</v>
      </c>
      <c r="L218">
        <v>1191</v>
      </c>
      <c r="N218">
        <v>1013</v>
      </c>
      <c r="O218" t="s">
        <v>334</v>
      </c>
      <c r="P218" t="s">
        <v>334</v>
      </c>
      <c r="Q218">
        <v>1</v>
      </c>
      <c r="X218">
        <v>155.88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1</v>
      </c>
      <c r="AF218" t="s">
        <v>4</v>
      </c>
      <c r="AG218">
        <v>155.88</v>
      </c>
      <c r="AH218">
        <v>3</v>
      </c>
      <c r="AI218">
        <v>-1</v>
      </c>
      <c r="AJ218" t="s">
        <v>4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>
      <c r="A219">
        <f>ROW(Source!A177)</f>
        <v>177</v>
      </c>
      <c r="B219">
        <v>70305701</v>
      </c>
      <c r="C219">
        <v>70305697</v>
      </c>
      <c r="D219">
        <v>69364351</v>
      </c>
      <c r="E219">
        <v>1</v>
      </c>
      <c r="F219">
        <v>1</v>
      </c>
      <c r="G219">
        <v>1075</v>
      </c>
      <c r="H219">
        <v>2</v>
      </c>
      <c r="I219" t="s">
        <v>488</v>
      </c>
      <c r="J219" t="s">
        <v>489</v>
      </c>
      <c r="K219" t="s">
        <v>490</v>
      </c>
      <c r="L219">
        <v>1368</v>
      </c>
      <c r="N219">
        <v>1011</v>
      </c>
      <c r="O219" t="s">
        <v>338</v>
      </c>
      <c r="P219" t="s">
        <v>338</v>
      </c>
      <c r="Q219">
        <v>1</v>
      </c>
      <c r="X219">
        <v>19.72</v>
      </c>
      <c r="Y219">
        <v>0</v>
      </c>
      <c r="Z219">
        <v>36.08</v>
      </c>
      <c r="AA219">
        <v>3.1</v>
      </c>
      <c r="AB219">
        <v>0</v>
      </c>
      <c r="AC219">
        <v>0</v>
      </c>
      <c r="AD219">
        <v>1</v>
      </c>
      <c r="AE219">
        <v>0</v>
      </c>
      <c r="AF219" t="s">
        <v>4</v>
      </c>
      <c r="AG219">
        <v>19.72</v>
      </c>
      <c r="AH219">
        <v>3</v>
      </c>
      <c r="AI219">
        <v>-1</v>
      </c>
      <c r="AJ219" t="s">
        <v>4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>
      <c r="A220">
        <f>ROW(Source!A177)</f>
        <v>177</v>
      </c>
      <c r="B220">
        <v>70305702</v>
      </c>
      <c r="C220">
        <v>70305697</v>
      </c>
      <c r="D220">
        <v>69364509</v>
      </c>
      <c r="E220">
        <v>1</v>
      </c>
      <c r="F220">
        <v>1</v>
      </c>
      <c r="G220">
        <v>1075</v>
      </c>
      <c r="H220">
        <v>2</v>
      </c>
      <c r="I220" t="s">
        <v>364</v>
      </c>
      <c r="J220" t="s">
        <v>365</v>
      </c>
      <c r="K220" t="s">
        <v>366</v>
      </c>
      <c r="L220">
        <v>1368</v>
      </c>
      <c r="N220">
        <v>1011</v>
      </c>
      <c r="O220" t="s">
        <v>338</v>
      </c>
      <c r="P220" t="s">
        <v>338</v>
      </c>
      <c r="Q220">
        <v>1</v>
      </c>
      <c r="X220">
        <v>0.05</v>
      </c>
      <c r="Y220">
        <v>0</v>
      </c>
      <c r="Z220">
        <v>83.1</v>
      </c>
      <c r="AA220">
        <v>12.62</v>
      </c>
      <c r="AB220">
        <v>0</v>
      </c>
      <c r="AC220">
        <v>0</v>
      </c>
      <c r="AD220">
        <v>1</v>
      </c>
      <c r="AE220">
        <v>0</v>
      </c>
      <c r="AF220" t="s">
        <v>4</v>
      </c>
      <c r="AG220">
        <v>0.05</v>
      </c>
      <c r="AH220">
        <v>3</v>
      </c>
      <c r="AI220">
        <v>-1</v>
      </c>
      <c r="AJ220" t="s">
        <v>4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>
      <c r="A221">
        <f>ROW(Source!A177)</f>
        <v>177</v>
      </c>
      <c r="B221">
        <v>70305703</v>
      </c>
      <c r="C221">
        <v>70305697</v>
      </c>
      <c r="D221">
        <v>69333737</v>
      </c>
      <c r="E221">
        <v>1</v>
      </c>
      <c r="F221">
        <v>1</v>
      </c>
      <c r="G221">
        <v>1075</v>
      </c>
      <c r="H221">
        <v>3</v>
      </c>
      <c r="I221" t="s">
        <v>395</v>
      </c>
      <c r="J221" t="s">
        <v>396</v>
      </c>
      <c r="K221" t="s">
        <v>397</v>
      </c>
      <c r="L221">
        <v>1346</v>
      </c>
      <c r="N221">
        <v>1009</v>
      </c>
      <c r="O221" t="s">
        <v>394</v>
      </c>
      <c r="P221" t="s">
        <v>394</v>
      </c>
      <c r="Q221">
        <v>1</v>
      </c>
      <c r="X221">
        <v>10</v>
      </c>
      <c r="Y221">
        <v>1.61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0</v>
      </c>
      <c r="AF221" t="s">
        <v>4</v>
      </c>
      <c r="AG221">
        <v>10</v>
      </c>
      <c r="AH221">
        <v>3</v>
      </c>
      <c r="AI221">
        <v>-1</v>
      </c>
      <c r="AJ221" t="s">
        <v>4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>
      <c r="A222">
        <f>ROW(Source!A177)</f>
        <v>177</v>
      </c>
      <c r="B222">
        <v>70305704</v>
      </c>
      <c r="C222">
        <v>70305697</v>
      </c>
      <c r="D222">
        <v>69334717</v>
      </c>
      <c r="E222">
        <v>1</v>
      </c>
      <c r="F222">
        <v>1</v>
      </c>
      <c r="G222">
        <v>1075</v>
      </c>
      <c r="H222">
        <v>3</v>
      </c>
      <c r="I222" t="s">
        <v>491</v>
      </c>
      <c r="J222" t="s">
        <v>492</v>
      </c>
      <c r="K222" t="s">
        <v>493</v>
      </c>
      <c r="L222">
        <v>1327</v>
      </c>
      <c r="N222">
        <v>1005</v>
      </c>
      <c r="O222" t="s">
        <v>164</v>
      </c>
      <c r="P222" t="s">
        <v>164</v>
      </c>
      <c r="Q222">
        <v>1</v>
      </c>
      <c r="X222">
        <v>1</v>
      </c>
      <c r="Y222">
        <v>127.33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0</v>
      </c>
      <c r="AF222" t="s">
        <v>4</v>
      </c>
      <c r="AG222">
        <v>1</v>
      </c>
      <c r="AH222">
        <v>3</v>
      </c>
      <c r="AI222">
        <v>-1</v>
      </c>
      <c r="AJ222" t="s">
        <v>4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>
      <c r="A223">
        <f>ROW(Source!A177)</f>
        <v>177</v>
      </c>
      <c r="B223">
        <v>70305705</v>
      </c>
      <c r="C223">
        <v>70305697</v>
      </c>
      <c r="D223">
        <v>69335565</v>
      </c>
      <c r="E223">
        <v>1</v>
      </c>
      <c r="F223">
        <v>1</v>
      </c>
      <c r="G223">
        <v>1075</v>
      </c>
      <c r="H223">
        <v>3</v>
      </c>
      <c r="I223" t="s">
        <v>404</v>
      </c>
      <c r="J223" t="s">
        <v>405</v>
      </c>
      <c r="K223" t="s">
        <v>406</v>
      </c>
      <c r="L223">
        <v>1346</v>
      </c>
      <c r="N223">
        <v>1009</v>
      </c>
      <c r="O223" t="s">
        <v>394</v>
      </c>
      <c r="P223" t="s">
        <v>394</v>
      </c>
      <c r="Q223">
        <v>1</v>
      </c>
      <c r="X223">
        <v>30.6</v>
      </c>
      <c r="Y223">
        <v>6.27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0</v>
      </c>
      <c r="AF223" t="s">
        <v>4</v>
      </c>
      <c r="AG223">
        <v>30.6</v>
      </c>
      <c r="AH223">
        <v>3</v>
      </c>
      <c r="AI223">
        <v>-1</v>
      </c>
      <c r="AJ223" t="s">
        <v>4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>
      <c r="A224">
        <f>ROW(Source!A177)</f>
        <v>177</v>
      </c>
      <c r="B224">
        <v>70305706</v>
      </c>
      <c r="C224">
        <v>70305697</v>
      </c>
      <c r="D224">
        <v>69340777</v>
      </c>
      <c r="E224">
        <v>1</v>
      </c>
      <c r="F224">
        <v>1</v>
      </c>
      <c r="G224">
        <v>1075</v>
      </c>
      <c r="H224">
        <v>3</v>
      </c>
      <c r="I224" t="s">
        <v>494</v>
      </c>
      <c r="J224" t="s">
        <v>495</v>
      </c>
      <c r="K224" t="s">
        <v>496</v>
      </c>
      <c r="L224">
        <v>1296</v>
      </c>
      <c r="N224">
        <v>1002</v>
      </c>
      <c r="O224" t="s">
        <v>497</v>
      </c>
      <c r="P224" t="s">
        <v>497</v>
      </c>
      <c r="Q224">
        <v>1</v>
      </c>
      <c r="X224">
        <v>5</v>
      </c>
      <c r="Y224">
        <v>16.260000000000002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0</v>
      </c>
      <c r="AF224" t="s">
        <v>4</v>
      </c>
      <c r="AG224">
        <v>5</v>
      </c>
      <c r="AH224">
        <v>3</v>
      </c>
      <c r="AI224">
        <v>-1</v>
      </c>
      <c r="AJ224" t="s">
        <v>4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>
      <c r="A225">
        <f>ROW(Source!A177)</f>
        <v>177</v>
      </c>
      <c r="B225">
        <v>70305707</v>
      </c>
      <c r="C225">
        <v>70305697</v>
      </c>
      <c r="D225">
        <v>69351412</v>
      </c>
      <c r="E225">
        <v>1</v>
      </c>
      <c r="F225">
        <v>1</v>
      </c>
      <c r="G225">
        <v>1075</v>
      </c>
      <c r="H225">
        <v>3</v>
      </c>
      <c r="I225" t="s">
        <v>498</v>
      </c>
      <c r="J225" t="s">
        <v>499</v>
      </c>
      <c r="K225" t="s">
        <v>500</v>
      </c>
      <c r="L225">
        <v>1355</v>
      </c>
      <c r="N225">
        <v>1010</v>
      </c>
      <c r="O225" t="s">
        <v>485</v>
      </c>
      <c r="P225" t="s">
        <v>485</v>
      </c>
      <c r="Q225">
        <v>100</v>
      </c>
      <c r="X225">
        <v>2</v>
      </c>
      <c r="Y225">
        <v>59.47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0</v>
      </c>
      <c r="AF225" t="s">
        <v>4</v>
      </c>
      <c r="AG225">
        <v>2</v>
      </c>
      <c r="AH225">
        <v>3</v>
      </c>
      <c r="AI225">
        <v>-1</v>
      </c>
      <c r="AJ225" t="s">
        <v>4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>
      <c r="A226">
        <f>ROW(Source!A177)</f>
        <v>177</v>
      </c>
      <c r="B226">
        <v>70305708</v>
      </c>
      <c r="C226">
        <v>70305697</v>
      </c>
      <c r="D226">
        <v>69310500</v>
      </c>
      <c r="E226">
        <v>1075</v>
      </c>
      <c r="F226">
        <v>1</v>
      </c>
      <c r="G226">
        <v>1075</v>
      </c>
      <c r="H226">
        <v>3</v>
      </c>
      <c r="I226" t="s">
        <v>501</v>
      </c>
      <c r="J226" t="s">
        <v>4</v>
      </c>
      <c r="K226" t="s">
        <v>502</v>
      </c>
      <c r="L226">
        <v>1391</v>
      </c>
      <c r="N226">
        <v>1013</v>
      </c>
      <c r="O226" t="s">
        <v>237</v>
      </c>
      <c r="P226" t="s">
        <v>237</v>
      </c>
      <c r="Q226">
        <v>1</v>
      </c>
      <c r="X226">
        <v>100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 t="s">
        <v>4</v>
      </c>
      <c r="AG226">
        <v>100</v>
      </c>
      <c r="AH226">
        <v>3</v>
      </c>
      <c r="AI226">
        <v>-1</v>
      </c>
      <c r="AJ226" t="s">
        <v>4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>
      <c r="A227">
        <f>ROW(Source!A181)</f>
        <v>181</v>
      </c>
      <c r="B227">
        <v>70305713</v>
      </c>
      <c r="C227">
        <v>70305711</v>
      </c>
      <c r="D227">
        <v>69275358</v>
      </c>
      <c r="E227">
        <v>1075</v>
      </c>
      <c r="F227">
        <v>1</v>
      </c>
      <c r="G227">
        <v>1075</v>
      </c>
      <c r="H227">
        <v>1</v>
      </c>
      <c r="I227" t="s">
        <v>332</v>
      </c>
      <c r="J227" t="s">
        <v>4</v>
      </c>
      <c r="K227" t="s">
        <v>333</v>
      </c>
      <c r="L227">
        <v>1191</v>
      </c>
      <c r="N227">
        <v>1013</v>
      </c>
      <c r="O227" t="s">
        <v>334</v>
      </c>
      <c r="P227" t="s">
        <v>334</v>
      </c>
      <c r="Q227">
        <v>1</v>
      </c>
      <c r="X227">
        <v>6.08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1</v>
      </c>
      <c r="AF227" t="s">
        <v>4</v>
      </c>
      <c r="AG227">
        <v>6.08</v>
      </c>
      <c r="AH227">
        <v>3</v>
      </c>
      <c r="AI227">
        <v>-1</v>
      </c>
      <c r="AJ227" t="s">
        <v>4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>
      <c r="A228">
        <f>ROW(Source!A181)</f>
        <v>181</v>
      </c>
      <c r="B228">
        <v>70305714</v>
      </c>
      <c r="C228">
        <v>70305711</v>
      </c>
      <c r="D228">
        <v>69364509</v>
      </c>
      <c r="E228">
        <v>1</v>
      </c>
      <c r="F228">
        <v>1</v>
      </c>
      <c r="G228">
        <v>1075</v>
      </c>
      <c r="H228">
        <v>2</v>
      </c>
      <c r="I228" t="s">
        <v>364</v>
      </c>
      <c r="J228" t="s">
        <v>365</v>
      </c>
      <c r="K228" t="s">
        <v>366</v>
      </c>
      <c r="L228">
        <v>1368</v>
      </c>
      <c r="N228">
        <v>1011</v>
      </c>
      <c r="O228" t="s">
        <v>338</v>
      </c>
      <c r="P228" t="s">
        <v>338</v>
      </c>
      <c r="Q228">
        <v>1</v>
      </c>
      <c r="X228">
        <v>4.57</v>
      </c>
      <c r="Y228">
        <v>0</v>
      </c>
      <c r="Z228">
        <v>83.1</v>
      </c>
      <c r="AA228">
        <v>12.62</v>
      </c>
      <c r="AB228">
        <v>0</v>
      </c>
      <c r="AC228">
        <v>0</v>
      </c>
      <c r="AD228">
        <v>1</v>
      </c>
      <c r="AE228">
        <v>0</v>
      </c>
      <c r="AF228" t="s">
        <v>4</v>
      </c>
      <c r="AG228">
        <v>4.57</v>
      </c>
      <c r="AH228">
        <v>3</v>
      </c>
      <c r="AI228">
        <v>-1</v>
      </c>
      <c r="AJ228" t="s">
        <v>4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>
      <c r="A229">
        <f>ROW(Source!A181)</f>
        <v>181</v>
      </c>
      <c r="B229">
        <v>70305715</v>
      </c>
      <c r="C229">
        <v>70305711</v>
      </c>
      <c r="D229">
        <v>69311485</v>
      </c>
      <c r="E229">
        <v>1075</v>
      </c>
      <c r="F229">
        <v>1</v>
      </c>
      <c r="G229">
        <v>1075</v>
      </c>
      <c r="H229">
        <v>3</v>
      </c>
      <c r="I229" t="s">
        <v>503</v>
      </c>
      <c r="J229" t="s">
        <v>4</v>
      </c>
      <c r="K229" t="s">
        <v>504</v>
      </c>
      <c r="L229">
        <v>1339</v>
      </c>
      <c r="N229">
        <v>1007</v>
      </c>
      <c r="O229" t="s">
        <v>52</v>
      </c>
      <c r="P229" t="s">
        <v>52</v>
      </c>
      <c r="Q229">
        <v>1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 t="s">
        <v>4</v>
      </c>
      <c r="AG229">
        <v>0</v>
      </c>
      <c r="AH229">
        <v>3</v>
      </c>
      <c r="AI229">
        <v>-1</v>
      </c>
      <c r="AJ229" t="s">
        <v>4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>
      <c r="A230">
        <f>ROW(Source!A182)</f>
        <v>182</v>
      </c>
      <c r="B230">
        <v>70305713</v>
      </c>
      <c r="C230">
        <v>70305711</v>
      </c>
      <c r="D230">
        <v>69275358</v>
      </c>
      <c r="E230">
        <v>1075</v>
      </c>
      <c r="F230">
        <v>1</v>
      </c>
      <c r="G230">
        <v>1075</v>
      </c>
      <c r="H230">
        <v>1</v>
      </c>
      <c r="I230" t="s">
        <v>332</v>
      </c>
      <c r="J230" t="s">
        <v>4</v>
      </c>
      <c r="K230" t="s">
        <v>333</v>
      </c>
      <c r="L230">
        <v>1191</v>
      </c>
      <c r="N230">
        <v>1013</v>
      </c>
      <c r="O230" t="s">
        <v>334</v>
      </c>
      <c r="P230" t="s">
        <v>334</v>
      </c>
      <c r="Q230">
        <v>1</v>
      </c>
      <c r="X230">
        <v>6.08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1</v>
      </c>
      <c r="AF230" t="s">
        <v>4</v>
      </c>
      <c r="AG230">
        <v>6.08</v>
      </c>
      <c r="AH230">
        <v>3</v>
      </c>
      <c r="AI230">
        <v>-1</v>
      </c>
      <c r="AJ230" t="s">
        <v>4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>
      <c r="A231">
        <f>ROW(Source!A182)</f>
        <v>182</v>
      </c>
      <c r="B231">
        <v>70305714</v>
      </c>
      <c r="C231">
        <v>70305711</v>
      </c>
      <c r="D231">
        <v>69364509</v>
      </c>
      <c r="E231">
        <v>1</v>
      </c>
      <c r="F231">
        <v>1</v>
      </c>
      <c r="G231">
        <v>1075</v>
      </c>
      <c r="H231">
        <v>2</v>
      </c>
      <c r="I231" t="s">
        <v>364</v>
      </c>
      <c r="J231" t="s">
        <v>365</v>
      </c>
      <c r="K231" t="s">
        <v>366</v>
      </c>
      <c r="L231">
        <v>1368</v>
      </c>
      <c r="N231">
        <v>1011</v>
      </c>
      <c r="O231" t="s">
        <v>338</v>
      </c>
      <c r="P231" t="s">
        <v>338</v>
      </c>
      <c r="Q231">
        <v>1</v>
      </c>
      <c r="X231">
        <v>4.57</v>
      </c>
      <c r="Y231">
        <v>0</v>
      </c>
      <c r="Z231">
        <v>83.1</v>
      </c>
      <c r="AA231">
        <v>12.62</v>
      </c>
      <c r="AB231">
        <v>0</v>
      </c>
      <c r="AC231">
        <v>0</v>
      </c>
      <c r="AD231">
        <v>1</v>
      </c>
      <c r="AE231">
        <v>0</v>
      </c>
      <c r="AF231" t="s">
        <v>4</v>
      </c>
      <c r="AG231">
        <v>4.57</v>
      </c>
      <c r="AH231">
        <v>3</v>
      </c>
      <c r="AI231">
        <v>-1</v>
      </c>
      <c r="AJ231" t="s">
        <v>4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>
      <c r="A232">
        <f>ROW(Source!A182)</f>
        <v>182</v>
      </c>
      <c r="B232">
        <v>70305715</v>
      </c>
      <c r="C232">
        <v>70305711</v>
      </c>
      <c r="D232">
        <v>69311485</v>
      </c>
      <c r="E232">
        <v>1075</v>
      </c>
      <c r="F232">
        <v>1</v>
      </c>
      <c r="G232">
        <v>1075</v>
      </c>
      <c r="H232">
        <v>3</v>
      </c>
      <c r="I232" t="s">
        <v>503</v>
      </c>
      <c r="J232" t="s">
        <v>4</v>
      </c>
      <c r="K232" t="s">
        <v>504</v>
      </c>
      <c r="L232">
        <v>1339</v>
      </c>
      <c r="N232">
        <v>1007</v>
      </c>
      <c r="O232" t="s">
        <v>52</v>
      </c>
      <c r="P232" t="s">
        <v>52</v>
      </c>
      <c r="Q232">
        <v>1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 t="s">
        <v>4</v>
      </c>
      <c r="AG232">
        <v>0</v>
      </c>
      <c r="AH232">
        <v>3</v>
      </c>
      <c r="AI232">
        <v>-1</v>
      </c>
      <c r="AJ232" t="s">
        <v>4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>
      <c r="A233">
        <f>ROW(Source!A183)</f>
        <v>183</v>
      </c>
      <c r="B233">
        <v>70305718</v>
      </c>
      <c r="C233">
        <v>70305716</v>
      </c>
      <c r="D233">
        <v>69275358</v>
      </c>
      <c r="E233">
        <v>1075</v>
      </c>
      <c r="F233">
        <v>1</v>
      </c>
      <c r="G233">
        <v>1075</v>
      </c>
      <c r="H233">
        <v>1</v>
      </c>
      <c r="I233" t="s">
        <v>332</v>
      </c>
      <c r="J233" t="s">
        <v>4</v>
      </c>
      <c r="K233" t="s">
        <v>333</v>
      </c>
      <c r="L233">
        <v>1191</v>
      </c>
      <c r="N233">
        <v>1013</v>
      </c>
      <c r="O233" t="s">
        <v>334</v>
      </c>
      <c r="P233" t="s">
        <v>334</v>
      </c>
      <c r="Q233">
        <v>1</v>
      </c>
      <c r="X233">
        <v>2.2799999999999998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1</v>
      </c>
      <c r="AF233" t="s">
        <v>4</v>
      </c>
      <c r="AG233">
        <v>2.2799999999999998</v>
      </c>
      <c r="AH233">
        <v>3</v>
      </c>
      <c r="AI233">
        <v>-1</v>
      </c>
      <c r="AJ233" t="s">
        <v>4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>
      <c r="A234">
        <f>ROW(Source!A183)</f>
        <v>183</v>
      </c>
      <c r="B234">
        <v>70305719</v>
      </c>
      <c r="C234">
        <v>70305716</v>
      </c>
      <c r="D234">
        <v>69364509</v>
      </c>
      <c r="E234">
        <v>1</v>
      </c>
      <c r="F234">
        <v>1</v>
      </c>
      <c r="G234">
        <v>1075</v>
      </c>
      <c r="H234">
        <v>2</v>
      </c>
      <c r="I234" t="s">
        <v>364</v>
      </c>
      <c r="J234" t="s">
        <v>365</v>
      </c>
      <c r="K234" t="s">
        <v>366</v>
      </c>
      <c r="L234">
        <v>1368</v>
      </c>
      <c r="N234">
        <v>1011</v>
      </c>
      <c r="O234" t="s">
        <v>338</v>
      </c>
      <c r="P234" t="s">
        <v>338</v>
      </c>
      <c r="Q234">
        <v>1</v>
      </c>
      <c r="X234">
        <v>1.31</v>
      </c>
      <c r="Y234">
        <v>0</v>
      </c>
      <c r="Z234">
        <v>83.1</v>
      </c>
      <c r="AA234">
        <v>12.62</v>
      </c>
      <c r="AB234">
        <v>0</v>
      </c>
      <c r="AC234">
        <v>0</v>
      </c>
      <c r="AD234">
        <v>1</v>
      </c>
      <c r="AE234">
        <v>0</v>
      </c>
      <c r="AF234" t="s">
        <v>4</v>
      </c>
      <c r="AG234">
        <v>1.31</v>
      </c>
      <c r="AH234">
        <v>3</v>
      </c>
      <c r="AI234">
        <v>-1</v>
      </c>
      <c r="AJ234" t="s">
        <v>4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>
      <c r="A235">
        <f>ROW(Source!A183)</f>
        <v>183</v>
      </c>
      <c r="B235">
        <v>70305720</v>
      </c>
      <c r="C235">
        <v>70305716</v>
      </c>
      <c r="D235">
        <v>69311485</v>
      </c>
      <c r="E235">
        <v>1075</v>
      </c>
      <c r="F235">
        <v>1</v>
      </c>
      <c r="G235">
        <v>1075</v>
      </c>
      <c r="H235">
        <v>3</v>
      </c>
      <c r="I235" t="s">
        <v>503</v>
      </c>
      <c r="J235" t="s">
        <v>4</v>
      </c>
      <c r="K235" t="s">
        <v>504</v>
      </c>
      <c r="L235">
        <v>1339</v>
      </c>
      <c r="N235">
        <v>1007</v>
      </c>
      <c r="O235" t="s">
        <v>52</v>
      </c>
      <c r="P235" t="s">
        <v>52</v>
      </c>
      <c r="Q235">
        <v>1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 t="s">
        <v>4</v>
      </c>
      <c r="AG235">
        <v>0</v>
      </c>
      <c r="AH235">
        <v>3</v>
      </c>
      <c r="AI235">
        <v>-1</v>
      </c>
      <c r="AJ235" t="s">
        <v>4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>
      <c r="A236">
        <f>ROW(Source!A184)</f>
        <v>184</v>
      </c>
      <c r="B236">
        <v>70305718</v>
      </c>
      <c r="C236">
        <v>70305716</v>
      </c>
      <c r="D236">
        <v>69275358</v>
      </c>
      <c r="E236">
        <v>1075</v>
      </c>
      <c r="F236">
        <v>1</v>
      </c>
      <c r="G236">
        <v>1075</v>
      </c>
      <c r="H236">
        <v>1</v>
      </c>
      <c r="I236" t="s">
        <v>332</v>
      </c>
      <c r="J236" t="s">
        <v>4</v>
      </c>
      <c r="K236" t="s">
        <v>333</v>
      </c>
      <c r="L236">
        <v>1191</v>
      </c>
      <c r="N236">
        <v>1013</v>
      </c>
      <c r="O236" t="s">
        <v>334</v>
      </c>
      <c r="P236" t="s">
        <v>334</v>
      </c>
      <c r="Q236">
        <v>1</v>
      </c>
      <c r="X236">
        <v>2.2799999999999998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1</v>
      </c>
      <c r="AF236" t="s">
        <v>4</v>
      </c>
      <c r="AG236">
        <v>2.2799999999999998</v>
      </c>
      <c r="AH236">
        <v>3</v>
      </c>
      <c r="AI236">
        <v>-1</v>
      </c>
      <c r="AJ236" t="s">
        <v>4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>
      <c r="A237">
        <f>ROW(Source!A184)</f>
        <v>184</v>
      </c>
      <c r="B237">
        <v>70305719</v>
      </c>
      <c r="C237">
        <v>70305716</v>
      </c>
      <c r="D237">
        <v>69364509</v>
      </c>
      <c r="E237">
        <v>1</v>
      </c>
      <c r="F237">
        <v>1</v>
      </c>
      <c r="G237">
        <v>1075</v>
      </c>
      <c r="H237">
        <v>2</v>
      </c>
      <c r="I237" t="s">
        <v>364</v>
      </c>
      <c r="J237" t="s">
        <v>365</v>
      </c>
      <c r="K237" t="s">
        <v>366</v>
      </c>
      <c r="L237">
        <v>1368</v>
      </c>
      <c r="N237">
        <v>1011</v>
      </c>
      <c r="O237" t="s">
        <v>338</v>
      </c>
      <c r="P237" t="s">
        <v>338</v>
      </c>
      <c r="Q237">
        <v>1</v>
      </c>
      <c r="X237">
        <v>1.31</v>
      </c>
      <c r="Y237">
        <v>0</v>
      </c>
      <c r="Z237">
        <v>83.1</v>
      </c>
      <c r="AA237">
        <v>12.62</v>
      </c>
      <c r="AB237">
        <v>0</v>
      </c>
      <c r="AC237">
        <v>0</v>
      </c>
      <c r="AD237">
        <v>1</v>
      </c>
      <c r="AE237">
        <v>0</v>
      </c>
      <c r="AF237" t="s">
        <v>4</v>
      </c>
      <c r="AG237">
        <v>1.31</v>
      </c>
      <c r="AH237">
        <v>3</v>
      </c>
      <c r="AI237">
        <v>-1</v>
      </c>
      <c r="AJ237" t="s">
        <v>4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>
      <c r="A238">
        <f>ROW(Source!A184)</f>
        <v>184</v>
      </c>
      <c r="B238">
        <v>70305720</v>
      </c>
      <c r="C238">
        <v>70305716</v>
      </c>
      <c r="D238">
        <v>69311485</v>
      </c>
      <c r="E238">
        <v>1075</v>
      </c>
      <c r="F238">
        <v>1</v>
      </c>
      <c r="G238">
        <v>1075</v>
      </c>
      <c r="H238">
        <v>3</v>
      </c>
      <c r="I238" t="s">
        <v>503</v>
      </c>
      <c r="J238" t="s">
        <v>4</v>
      </c>
      <c r="K238" t="s">
        <v>504</v>
      </c>
      <c r="L238">
        <v>1339</v>
      </c>
      <c r="N238">
        <v>1007</v>
      </c>
      <c r="O238" t="s">
        <v>52</v>
      </c>
      <c r="P238" t="s">
        <v>52</v>
      </c>
      <c r="Q238">
        <v>1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 t="s">
        <v>4</v>
      </c>
      <c r="AG238">
        <v>0</v>
      </c>
      <c r="AH238">
        <v>3</v>
      </c>
      <c r="AI238">
        <v>-1</v>
      </c>
      <c r="AJ238" t="s">
        <v>4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>
      <c r="A239">
        <f>ROW(Source!A187)</f>
        <v>187</v>
      </c>
      <c r="B239">
        <v>70305725</v>
      </c>
      <c r="C239">
        <v>70305722</v>
      </c>
      <c r="D239">
        <v>69275358</v>
      </c>
      <c r="E239">
        <v>1075</v>
      </c>
      <c r="F239">
        <v>1</v>
      </c>
      <c r="G239">
        <v>1075</v>
      </c>
      <c r="H239">
        <v>1</v>
      </c>
      <c r="I239" t="s">
        <v>332</v>
      </c>
      <c r="J239" t="s">
        <v>4</v>
      </c>
      <c r="K239" t="s">
        <v>333</v>
      </c>
      <c r="L239">
        <v>1191</v>
      </c>
      <c r="N239">
        <v>1013</v>
      </c>
      <c r="O239" t="s">
        <v>334</v>
      </c>
      <c r="P239" t="s">
        <v>334</v>
      </c>
      <c r="Q239">
        <v>1</v>
      </c>
      <c r="X239">
        <v>30.93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1</v>
      </c>
      <c r="AF239" t="s">
        <v>4</v>
      </c>
      <c r="AG239">
        <v>30.93</v>
      </c>
      <c r="AH239">
        <v>3</v>
      </c>
      <c r="AI239">
        <v>-1</v>
      </c>
      <c r="AJ239" t="s">
        <v>4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>
      <c r="A240">
        <f>ROW(Source!A187)</f>
        <v>187</v>
      </c>
      <c r="B240">
        <v>70305726</v>
      </c>
      <c r="C240">
        <v>70305722</v>
      </c>
      <c r="D240">
        <v>69364511</v>
      </c>
      <c r="E240">
        <v>1</v>
      </c>
      <c r="F240">
        <v>1</v>
      </c>
      <c r="G240">
        <v>1075</v>
      </c>
      <c r="H240">
        <v>2</v>
      </c>
      <c r="I240" t="s">
        <v>452</v>
      </c>
      <c r="J240" t="s">
        <v>453</v>
      </c>
      <c r="K240" t="s">
        <v>454</v>
      </c>
      <c r="L240">
        <v>1368</v>
      </c>
      <c r="N240">
        <v>1011</v>
      </c>
      <c r="O240" t="s">
        <v>338</v>
      </c>
      <c r="P240" t="s">
        <v>338</v>
      </c>
      <c r="Q240">
        <v>1</v>
      </c>
      <c r="X240">
        <v>0.77</v>
      </c>
      <c r="Y240">
        <v>0</v>
      </c>
      <c r="Z240">
        <v>119.07</v>
      </c>
      <c r="AA240">
        <v>12.62</v>
      </c>
      <c r="AB240">
        <v>0</v>
      </c>
      <c r="AC240">
        <v>0</v>
      </c>
      <c r="AD240">
        <v>1</v>
      </c>
      <c r="AE240">
        <v>0</v>
      </c>
      <c r="AF240" t="s">
        <v>4</v>
      </c>
      <c r="AG240">
        <v>0.77</v>
      </c>
      <c r="AH240">
        <v>3</v>
      </c>
      <c r="AI240">
        <v>-1</v>
      </c>
      <c r="AJ240" t="s">
        <v>4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>
      <c r="A241">
        <f>ROW(Source!A187)</f>
        <v>187</v>
      </c>
      <c r="B241">
        <v>70305727</v>
      </c>
      <c r="C241">
        <v>70305722</v>
      </c>
      <c r="D241">
        <v>69363844</v>
      </c>
      <c r="E241">
        <v>1</v>
      </c>
      <c r="F241">
        <v>1</v>
      </c>
      <c r="G241">
        <v>1075</v>
      </c>
      <c r="H241">
        <v>2</v>
      </c>
      <c r="I241" t="s">
        <v>455</v>
      </c>
      <c r="J241" t="s">
        <v>456</v>
      </c>
      <c r="K241" t="s">
        <v>457</v>
      </c>
      <c r="L241">
        <v>1368</v>
      </c>
      <c r="N241">
        <v>1011</v>
      </c>
      <c r="O241" t="s">
        <v>338</v>
      </c>
      <c r="P241" t="s">
        <v>338</v>
      </c>
      <c r="Q241">
        <v>1</v>
      </c>
      <c r="X241">
        <v>0.7</v>
      </c>
      <c r="Y241">
        <v>0</v>
      </c>
      <c r="Z241">
        <v>6.68</v>
      </c>
      <c r="AA241">
        <v>0</v>
      </c>
      <c r="AB241">
        <v>0</v>
      </c>
      <c r="AC241">
        <v>0</v>
      </c>
      <c r="AD241">
        <v>1</v>
      </c>
      <c r="AE241">
        <v>0</v>
      </c>
      <c r="AF241" t="s">
        <v>4</v>
      </c>
      <c r="AG241">
        <v>0.7</v>
      </c>
      <c r="AH241">
        <v>3</v>
      </c>
      <c r="AI241">
        <v>-1</v>
      </c>
      <c r="AJ241" t="s">
        <v>4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>
      <c r="A242">
        <f>ROW(Source!A187)</f>
        <v>187</v>
      </c>
      <c r="B242">
        <v>70305728</v>
      </c>
      <c r="C242">
        <v>70305722</v>
      </c>
      <c r="D242">
        <v>69363851</v>
      </c>
      <c r="E242">
        <v>1</v>
      </c>
      <c r="F242">
        <v>1</v>
      </c>
      <c r="G242">
        <v>1075</v>
      </c>
      <c r="H242">
        <v>2</v>
      </c>
      <c r="I242" t="s">
        <v>458</v>
      </c>
      <c r="J242" t="s">
        <v>459</v>
      </c>
      <c r="K242" t="s">
        <v>460</v>
      </c>
      <c r="L242">
        <v>1368</v>
      </c>
      <c r="N242">
        <v>1011</v>
      </c>
      <c r="O242" t="s">
        <v>338</v>
      </c>
      <c r="P242" t="s">
        <v>338</v>
      </c>
      <c r="Q242">
        <v>1</v>
      </c>
      <c r="X242">
        <v>2.04</v>
      </c>
      <c r="Y242">
        <v>0</v>
      </c>
      <c r="Z242">
        <v>0.54</v>
      </c>
      <c r="AA242">
        <v>0</v>
      </c>
      <c r="AB242">
        <v>0</v>
      </c>
      <c r="AC242">
        <v>0</v>
      </c>
      <c r="AD242">
        <v>1</v>
      </c>
      <c r="AE242">
        <v>0</v>
      </c>
      <c r="AF242" t="s">
        <v>4</v>
      </c>
      <c r="AG242">
        <v>2.04</v>
      </c>
      <c r="AH242">
        <v>3</v>
      </c>
      <c r="AI242">
        <v>-1</v>
      </c>
      <c r="AJ242" t="s">
        <v>4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>
      <c r="A243">
        <f>ROW(Source!A187)</f>
        <v>187</v>
      </c>
      <c r="B243">
        <v>70305729</v>
      </c>
      <c r="C243">
        <v>70305722</v>
      </c>
      <c r="D243">
        <v>69364066</v>
      </c>
      <c r="E243">
        <v>1</v>
      </c>
      <c r="F243">
        <v>1</v>
      </c>
      <c r="G243">
        <v>1075</v>
      </c>
      <c r="H243">
        <v>2</v>
      </c>
      <c r="I243" t="s">
        <v>461</v>
      </c>
      <c r="J243" t="s">
        <v>462</v>
      </c>
      <c r="K243" t="s">
        <v>463</v>
      </c>
      <c r="L243">
        <v>1368</v>
      </c>
      <c r="N243">
        <v>1011</v>
      </c>
      <c r="O243" t="s">
        <v>338</v>
      </c>
      <c r="P243" t="s">
        <v>338</v>
      </c>
      <c r="Q243">
        <v>1</v>
      </c>
      <c r="X243">
        <v>0.7</v>
      </c>
      <c r="Y243">
        <v>0</v>
      </c>
      <c r="Z243">
        <v>141.16</v>
      </c>
      <c r="AA243">
        <v>14.54</v>
      </c>
      <c r="AB243">
        <v>0</v>
      </c>
      <c r="AC243">
        <v>0</v>
      </c>
      <c r="AD243">
        <v>1</v>
      </c>
      <c r="AE243">
        <v>0</v>
      </c>
      <c r="AF243" t="s">
        <v>4</v>
      </c>
      <c r="AG243">
        <v>0.7</v>
      </c>
      <c r="AH243">
        <v>3</v>
      </c>
      <c r="AI243">
        <v>-1</v>
      </c>
      <c r="AJ243" t="s">
        <v>4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>
      <c r="A244">
        <f>ROW(Source!A187)</f>
        <v>187</v>
      </c>
      <c r="B244">
        <v>70305730</v>
      </c>
      <c r="C244">
        <v>70305722</v>
      </c>
      <c r="D244">
        <v>69364069</v>
      </c>
      <c r="E244">
        <v>1</v>
      </c>
      <c r="F244">
        <v>1</v>
      </c>
      <c r="G244">
        <v>1075</v>
      </c>
      <c r="H244">
        <v>2</v>
      </c>
      <c r="I244" t="s">
        <v>464</v>
      </c>
      <c r="J244" t="s">
        <v>465</v>
      </c>
      <c r="K244" t="s">
        <v>466</v>
      </c>
      <c r="L244">
        <v>1368</v>
      </c>
      <c r="N244">
        <v>1011</v>
      </c>
      <c r="O244" t="s">
        <v>338</v>
      </c>
      <c r="P244" t="s">
        <v>338</v>
      </c>
      <c r="Q244">
        <v>1</v>
      </c>
      <c r="X244">
        <v>0.76</v>
      </c>
      <c r="Y244">
        <v>0</v>
      </c>
      <c r="Z244">
        <v>3.95</v>
      </c>
      <c r="AA244">
        <v>0</v>
      </c>
      <c r="AB244">
        <v>0</v>
      </c>
      <c r="AC244">
        <v>0</v>
      </c>
      <c r="AD244">
        <v>1</v>
      </c>
      <c r="AE244">
        <v>0</v>
      </c>
      <c r="AF244" t="s">
        <v>4</v>
      </c>
      <c r="AG244">
        <v>0.76</v>
      </c>
      <c r="AH244">
        <v>3</v>
      </c>
      <c r="AI244">
        <v>-1</v>
      </c>
      <c r="AJ244" t="s">
        <v>4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>
      <c r="A245">
        <f>ROW(Source!A187)</f>
        <v>187</v>
      </c>
      <c r="B245">
        <v>70305731</v>
      </c>
      <c r="C245">
        <v>70305722</v>
      </c>
      <c r="D245">
        <v>69333752</v>
      </c>
      <c r="E245">
        <v>1</v>
      </c>
      <c r="F245">
        <v>1</v>
      </c>
      <c r="G245">
        <v>1075</v>
      </c>
      <c r="H245">
        <v>3</v>
      </c>
      <c r="I245" t="s">
        <v>352</v>
      </c>
      <c r="J245" t="s">
        <v>353</v>
      </c>
      <c r="K245" t="s">
        <v>354</v>
      </c>
      <c r="L245">
        <v>1348</v>
      </c>
      <c r="N245">
        <v>1009</v>
      </c>
      <c r="O245" t="s">
        <v>168</v>
      </c>
      <c r="P245" t="s">
        <v>168</v>
      </c>
      <c r="Q245">
        <v>1000</v>
      </c>
      <c r="X245">
        <v>1E-4</v>
      </c>
      <c r="Y245">
        <v>6521.42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0</v>
      </c>
      <c r="AF245" t="s">
        <v>4</v>
      </c>
      <c r="AG245">
        <v>1E-4</v>
      </c>
      <c r="AH245">
        <v>3</v>
      </c>
      <c r="AI245">
        <v>-1</v>
      </c>
      <c r="AJ245" t="s">
        <v>4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>
      <c r="A246">
        <f>ROW(Source!A187)</f>
        <v>187</v>
      </c>
      <c r="B246">
        <v>70305732</v>
      </c>
      <c r="C246">
        <v>70305722</v>
      </c>
      <c r="D246">
        <v>69333818</v>
      </c>
      <c r="E246">
        <v>1</v>
      </c>
      <c r="F246">
        <v>1</v>
      </c>
      <c r="G246">
        <v>1075</v>
      </c>
      <c r="H246">
        <v>3</v>
      </c>
      <c r="I246" t="s">
        <v>470</v>
      </c>
      <c r="J246" t="s">
        <v>471</v>
      </c>
      <c r="K246" t="s">
        <v>472</v>
      </c>
      <c r="L246">
        <v>1339</v>
      </c>
      <c r="N246">
        <v>1007</v>
      </c>
      <c r="O246" t="s">
        <v>52</v>
      </c>
      <c r="P246" t="s">
        <v>52</v>
      </c>
      <c r="Q246">
        <v>1</v>
      </c>
      <c r="X246">
        <v>0.01</v>
      </c>
      <c r="Y246">
        <v>1183.5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0</v>
      </c>
      <c r="AF246" t="s">
        <v>4</v>
      </c>
      <c r="AG246">
        <v>0.01</v>
      </c>
      <c r="AH246">
        <v>3</v>
      </c>
      <c r="AI246">
        <v>-1</v>
      </c>
      <c r="AJ246" t="s">
        <v>4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>
      <c r="A247">
        <f>ROW(Source!A187)</f>
        <v>187</v>
      </c>
      <c r="B247">
        <v>70305733</v>
      </c>
      <c r="C247">
        <v>70305722</v>
      </c>
      <c r="D247">
        <v>69334307</v>
      </c>
      <c r="E247">
        <v>1</v>
      </c>
      <c r="F247">
        <v>1</v>
      </c>
      <c r="G247">
        <v>1075</v>
      </c>
      <c r="H247">
        <v>3</v>
      </c>
      <c r="I247" t="s">
        <v>361</v>
      </c>
      <c r="J247" t="s">
        <v>362</v>
      </c>
      <c r="K247" t="s">
        <v>363</v>
      </c>
      <c r="L247">
        <v>1348</v>
      </c>
      <c r="N247">
        <v>1009</v>
      </c>
      <c r="O247" t="s">
        <v>168</v>
      </c>
      <c r="P247" t="s">
        <v>168</v>
      </c>
      <c r="Q247">
        <v>1000</v>
      </c>
      <c r="X247">
        <v>4.0000000000000003E-5</v>
      </c>
      <c r="Y247">
        <v>9098.51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0</v>
      </c>
      <c r="AF247" t="s">
        <v>4</v>
      </c>
      <c r="AG247">
        <v>4.0000000000000003E-5</v>
      </c>
      <c r="AH247">
        <v>3</v>
      </c>
      <c r="AI247">
        <v>-1</v>
      </c>
      <c r="AJ247" t="s">
        <v>4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>
      <c r="A248">
        <f>ROW(Source!A187)</f>
        <v>187</v>
      </c>
      <c r="B248">
        <v>70305734</v>
      </c>
      <c r="C248">
        <v>70305722</v>
      </c>
      <c r="D248">
        <v>69351457</v>
      </c>
      <c r="E248">
        <v>1</v>
      </c>
      <c r="F248">
        <v>1</v>
      </c>
      <c r="G248">
        <v>1075</v>
      </c>
      <c r="H248">
        <v>3</v>
      </c>
      <c r="I248" t="s">
        <v>479</v>
      </c>
      <c r="J248" t="s">
        <v>480</v>
      </c>
      <c r="K248" t="s">
        <v>481</v>
      </c>
      <c r="L248">
        <v>1356</v>
      </c>
      <c r="N248">
        <v>1010</v>
      </c>
      <c r="O248" t="s">
        <v>286</v>
      </c>
      <c r="P248" t="s">
        <v>286</v>
      </c>
      <c r="Q248">
        <v>1000</v>
      </c>
      <c r="X248">
        <v>4.1000000000000003E-3</v>
      </c>
      <c r="Y248">
        <v>56.17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0</v>
      </c>
      <c r="AF248" t="s">
        <v>4</v>
      </c>
      <c r="AG248">
        <v>4.1000000000000003E-3</v>
      </c>
      <c r="AH248">
        <v>3</v>
      </c>
      <c r="AI248">
        <v>-1</v>
      </c>
      <c r="AJ248" t="s">
        <v>4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>
      <c r="A249">
        <f>ROW(Source!A187)</f>
        <v>187</v>
      </c>
      <c r="B249">
        <v>70305735</v>
      </c>
      <c r="C249">
        <v>70305722</v>
      </c>
      <c r="D249">
        <v>69351232</v>
      </c>
      <c r="E249">
        <v>1</v>
      </c>
      <c r="F249">
        <v>1</v>
      </c>
      <c r="G249">
        <v>1075</v>
      </c>
      <c r="H249">
        <v>3</v>
      </c>
      <c r="I249" t="s">
        <v>482</v>
      </c>
      <c r="J249" t="s">
        <v>483</v>
      </c>
      <c r="K249" t="s">
        <v>484</v>
      </c>
      <c r="L249">
        <v>1355</v>
      </c>
      <c r="N249">
        <v>1010</v>
      </c>
      <c r="O249" t="s">
        <v>485</v>
      </c>
      <c r="P249" t="s">
        <v>485</v>
      </c>
      <c r="Q249">
        <v>100</v>
      </c>
      <c r="X249">
        <v>0.66669999999999996</v>
      </c>
      <c r="Y249">
        <v>57.81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0</v>
      </c>
      <c r="AF249" t="s">
        <v>4</v>
      </c>
      <c r="AG249">
        <v>0.66669999999999996</v>
      </c>
      <c r="AH249">
        <v>3</v>
      </c>
      <c r="AI249">
        <v>-1</v>
      </c>
      <c r="AJ249" t="s">
        <v>4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>
      <c r="A250">
        <f>ROW(Source!A187)</f>
        <v>187</v>
      </c>
      <c r="B250">
        <v>70305736</v>
      </c>
      <c r="C250">
        <v>70305722</v>
      </c>
      <c r="D250">
        <v>69298822</v>
      </c>
      <c r="E250">
        <v>1075</v>
      </c>
      <c r="F250">
        <v>1</v>
      </c>
      <c r="G250">
        <v>1075</v>
      </c>
      <c r="H250">
        <v>3</v>
      </c>
      <c r="I250" t="s">
        <v>486</v>
      </c>
      <c r="J250" t="s">
        <v>4</v>
      </c>
      <c r="K250" t="s">
        <v>487</v>
      </c>
      <c r="L250">
        <v>1303</v>
      </c>
      <c r="N250">
        <v>1003</v>
      </c>
      <c r="O250" t="s">
        <v>209</v>
      </c>
      <c r="P250" t="s">
        <v>209</v>
      </c>
      <c r="Q250">
        <v>1000</v>
      </c>
      <c r="X250">
        <v>0.30599999999999999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 t="s">
        <v>4</v>
      </c>
      <c r="AG250">
        <v>0.30599999999999999</v>
      </c>
      <c r="AH250">
        <v>3</v>
      </c>
      <c r="AI250">
        <v>-1</v>
      </c>
      <c r="AJ250" t="s">
        <v>4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>
      <c r="A251">
        <f>ROW(Source!A188)</f>
        <v>188</v>
      </c>
      <c r="B251">
        <v>70305725</v>
      </c>
      <c r="C251">
        <v>70305722</v>
      </c>
      <c r="D251">
        <v>69275358</v>
      </c>
      <c r="E251">
        <v>1075</v>
      </c>
      <c r="F251">
        <v>1</v>
      </c>
      <c r="G251">
        <v>1075</v>
      </c>
      <c r="H251">
        <v>1</v>
      </c>
      <c r="I251" t="s">
        <v>332</v>
      </c>
      <c r="J251" t="s">
        <v>4</v>
      </c>
      <c r="K251" t="s">
        <v>333</v>
      </c>
      <c r="L251">
        <v>1191</v>
      </c>
      <c r="N251">
        <v>1013</v>
      </c>
      <c r="O251" t="s">
        <v>334</v>
      </c>
      <c r="P251" t="s">
        <v>334</v>
      </c>
      <c r="Q251">
        <v>1</v>
      </c>
      <c r="X251">
        <v>30.93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1</v>
      </c>
      <c r="AF251" t="s">
        <v>4</v>
      </c>
      <c r="AG251">
        <v>30.93</v>
      </c>
      <c r="AH251">
        <v>3</v>
      </c>
      <c r="AI251">
        <v>-1</v>
      </c>
      <c r="AJ251" t="s">
        <v>4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>
      <c r="A252">
        <f>ROW(Source!A188)</f>
        <v>188</v>
      </c>
      <c r="B252">
        <v>70305726</v>
      </c>
      <c r="C252">
        <v>70305722</v>
      </c>
      <c r="D252">
        <v>69364511</v>
      </c>
      <c r="E252">
        <v>1</v>
      </c>
      <c r="F252">
        <v>1</v>
      </c>
      <c r="G252">
        <v>1075</v>
      </c>
      <c r="H252">
        <v>2</v>
      </c>
      <c r="I252" t="s">
        <v>452</v>
      </c>
      <c r="J252" t="s">
        <v>453</v>
      </c>
      <c r="K252" t="s">
        <v>454</v>
      </c>
      <c r="L252">
        <v>1368</v>
      </c>
      <c r="N252">
        <v>1011</v>
      </c>
      <c r="O252" t="s">
        <v>338</v>
      </c>
      <c r="P252" t="s">
        <v>338</v>
      </c>
      <c r="Q252">
        <v>1</v>
      </c>
      <c r="X252">
        <v>0.77</v>
      </c>
      <c r="Y252">
        <v>0</v>
      </c>
      <c r="Z252">
        <v>119.07</v>
      </c>
      <c r="AA252">
        <v>12.62</v>
      </c>
      <c r="AB252">
        <v>0</v>
      </c>
      <c r="AC252">
        <v>0</v>
      </c>
      <c r="AD252">
        <v>1</v>
      </c>
      <c r="AE252">
        <v>0</v>
      </c>
      <c r="AF252" t="s">
        <v>4</v>
      </c>
      <c r="AG252">
        <v>0.77</v>
      </c>
      <c r="AH252">
        <v>3</v>
      </c>
      <c r="AI252">
        <v>-1</v>
      </c>
      <c r="AJ252" t="s">
        <v>4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>
      <c r="A253">
        <f>ROW(Source!A188)</f>
        <v>188</v>
      </c>
      <c r="B253">
        <v>70305727</v>
      </c>
      <c r="C253">
        <v>70305722</v>
      </c>
      <c r="D253">
        <v>69363844</v>
      </c>
      <c r="E253">
        <v>1</v>
      </c>
      <c r="F253">
        <v>1</v>
      </c>
      <c r="G253">
        <v>1075</v>
      </c>
      <c r="H253">
        <v>2</v>
      </c>
      <c r="I253" t="s">
        <v>455</v>
      </c>
      <c r="J253" t="s">
        <v>456</v>
      </c>
      <c r="K253" t="s">
        <v>457</v>
      </c>
      <c r="L253">
        <v>1368</v>
      </c>
      <c r="N253">
        <v>1011</v>
      </c>
      <c r="O253" t="s">
        <v>338</v>
      </c>
      <c r="P253" t="s">
        <v>338</v>
      </c>
      <c r="Q253">
        <v>1</v>
      </c>
      <c r="X253">
        <v>0.7</v>
      </c>
      <c r="Y253">
        <v>0</v>
      </c>
      <c r="Z253">
        <v>6.68</v>
      </c>
      <c r="AA253">
        <v>0</v>
      </c>
      <c r="AB253">
        <v>0</v>
      </c>
      <c r="AC253">
        <v>0</v>
      </c>
      <c r="AD253">
        <v>1</v>
      </c>
      <c r="AE253">
        <v>0</v>
      </c>
      <c r="AF253" t="s">
        <v>4</v>
      </c>
      <c r="AG253">
        <v>0.7</v>
      </c>
      <c r="AH253">
        <v>3</v>
      </c>
      <c r="AI253">
        <v>-1</v>
      </c>
      <c r="AJ253" t="s">
        <v>4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>
      <c r="A254">
        <f>ROW(Source!A188)</f>
        <v>188</v>
      </c>
      <c r="B254">
        <v>70305728</v>
      </c>
      <c r="C254">
        <v>70305722</v>
      </c>
      <c r="D254">
        <v>69363851</v>
      </c>
      <c r="E254">
        <v>1</v>
      </c>
      <c r="F254">
        <v>1</v>
      </c>
      <c r="G254">
        <v>1075</v>
      </c>
      <c r="H254">
        <v>2</v>
      </c>
      <c r="I254" t="s">
        <v>458</v>
      </c>
      <c r="J254" t="s">
        <v>459</v>
      </c>
      <c r="K254" t="s">
        <v>460</v>
      </c>
      <c r="L254">
        <v>1368</v>
      </c>
      <c r="N254">
        <v>1011</v>
      </c>
      <c r="O254" t="s">
        <v>338</v>
      </c>
      <c r="P254" t="s">
        <v>338</v>
      </c>
      <c r="Q254">
        <v>1</v>
      </c>
      <c r="X254">
        <v>2.04</v>
      </c>
      <c r="Y254">
        <v>0</v>
      </c>
      <c r="Z254">
        <v>0.54</v>
      </c>
      <c r="AA254">
        <v>0</v>
      </c>
      <c r="AB254">
        <v>0</v>
      </c>
      <c r="AC254">
        <v>0</v>
      </c>
      <c r="AD254">
        <v>1</v>
      </c>
      <c r="AE254">
        <v>0</v>
      </c>
      <c r="AF254" t="s">
        <v>4</v>
      </c>
      <c r="AG254">
        <v>2.04</v>
      </c>
      <c r="AH254">
        <v>3</v>
      </c>
      <c r="AI254">
        <v>-1</v>
      </c>
      <c r="AJ254" t="s">
        <v>4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>
      <c r="A255">
        <f>ROW(Source!A188)</f>
        <v>188</v>
      </c>
      <c r="B255">
        <v>70305729</v>
      </c>
      <c r="C255">
        <v>70305722</v>
      </c>
      <c r="D255">
        <v>69364066</v>
      </c>
      <c r="E255">
        <v>1</v>
      </c>
      <c r="F255">
        <v>1</v>
      </c>
      <c r="G255">
        <v>1075</v>
      </c>
      <c r="H255">
        <v>2</v>
      </c>
      <c r="I255" t="s">
        <v>461</v>
      </c>
      <c r="J255" t="s">
        <v>462</v>
      </c>
      <c r="K255" t="s">
        <v>463</v>
      </c>
      <c r="L255">
        <v>1368</v>
      </c>
      <c r="N255">
        <v>1011</v>
      </c>
      <c r="O255" t="s">
        <v>338</v>
      </c>
      <c r="P255" t="s">
        <v>338</v>
      </c>
      <c r="Q255">
        <v>1</v>
      </c>
      <c r="X255">
        <v>0.7</v>
      </c>
      <c r="Y255">
        <v>0</v>
      </c>
      <c r="Z255">
        <v>141.16</v>
      </c>
      <c r="AA255">
        <v>14.54</v>
      </c>
      <c r="AB255">
        <v>0</v>
      </c>
      <c r="AC255">
        <v>0</v>
      </c>
      <c r="AD255">
        <v>1</v>
      </c>
      <c r="AE255">
        <v>0</v>
      </c>
      <c r="AF255" t="s">
        <v>4</v>
      </c>
      <c r="AG255">
        <v>0.7</v>
      </c>
      <c r="AH255">
        <v>3</v>
      </c>
      <c r="AI255">
        <v>-1</v>
      </c>
      <c r="AJ255" t="s">
        <v>4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>
      <c r="A256">
        <f>ROW(Source!A188)</f>
        <v>188</v>
      </c>
      <c r="B256">
        <v>70305730</v>
      </c>
      <c r="C256">
        <v>70305722</v>
      </c>
      <c r="D256">
        <v>69364069</v>
      </c>
      <c r="E256">
        <v>1</v>
      </c>
      <c r="F256">
        <v>1</v>
      </c>
      <c r="G256">
        <v>1075</v>
      </c>
      <c r="H256">
        <v>2</v>
      </c>
      <c r="I256" t="s">
        <v>464</v>
      </c>
      <c r="J256" t="s">
        <v>465</v>
      </c>
      <c r="K256" t="s">
        <v>466</v>
      </c>
      <c r="L256">
        <v>1368</v>
      </c>
      <c r="N256">
        <v>1011</v>
      </c>
      <c r="O256" t="s">
        <v>338</v>
      </c>
      <c r="P256" t="s">
        <v>338</v>
      </c>
      <c r="Q256">
        <v>1</v>
      </c>
      <c r="X256">
        <v>0.76</v>
      </c>
      <c r="Y256">
        <v>0</v>
      </c>
      <c r="Z256">
        <v>3.95</v>
      </c>
      <c r="AA256">
        <v>0</v>
      </c>
      <c r="AB256">
        <v>0</v>
      </c>
      <c r="AC256">
        <v>0</v>
      </c>
      <c r="AD256">
        <v>1</v>
      </c>
      <c r="AE256">
        <v>0</v>
      </c>
      <c r="AF256" t="s">
        <v>4</v>
      </c>
      <c r="AG256">
        <v>0.76</v>
      </c>
      <c r="AH256">
        <v>3</v>
      </c>
      <c r="AI256">
        <v>-1</v>
      </c>
      <c r="AJ256" t="s">
        <v>4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>
      <c r="A257">
        <f>ROW(Source!A188)</f>
        <v>188</v>
      </c>
      <c r="B257">
        <v>70305731</v>
      </c>
      <c r="C257">
        <v>70305722</v>
      </c>
      <c r="D257">
        <v>69333752</v>
      </c>
      <c r="E257">
        <v>1</v>
      </c>
      <c r="F257">
        <v>1</v>
      </c>
      <c r="G257">
        <v>1075</v>
      </c>
      <c r="H257">
        <v>3</v>
      </c>
      <c r="I257" t="s">
        <v>352</v>
      </c>
      <c r="J257" t="s">
        <v>353</v>
      </c>
      <c r="K257" t="s">
        <v>354</v>
      </c>
      <c r="L257">
        <v>1348</v>
      </c>
      <c r="N257">
        <v>1009</v>
      </c>
      <c r="O257" t="s">
        <v>168</v>
      </c>
      <c r="P257" t="s">
        <v>168</v>
      </c>
      <c r="Q257">
        <v>1000</v>
      </c>
      <c r="X257">
        <v>1E-4</v>
      </c>
      <c r="Y257">
        <v>6521.42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4</v>
      </c>
      <c r="AG257">
        <v>1E-4</v>
      </c>
      <c r="AH257">
        <v>3</v>
      </c>
      <c r="AI257">
        <v>-1</v>
      </c>
      <c r="AJ257" t="s">
        <v>4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>
      <c r="A258">
        <f>ROW(Source!A188)</f>
        <v>188</v>
      </c>
      <c r="B258">
        <v>70305732</v>
      </c>
      <c r="C258">
        <v>70305722</v>
      </c>
      <c r="D258">
        <v>69333818</v>
      </c>
      <c r="E258">
        <v>1</v>
      </c>
      <c r="F258">
        <v>1</v>
      </c>
      <c r="G258">
        <v>1075</v>
      </c>
      <c r="H258">
        <v>3</v>
      </c>
      <c r="I258" t="s">
        <v>470</v>
      </c>
      <c r="J258" t="s">
        <v>471</v>
      </c>
      <c r="K258" t="s">
        <v>472</v>
      </c>
      <c r="L258">
        <v>1339</v>
      </c>
      <c r="N258">
        <v>1007</v>
      </c>
      <c r="O258" t="s">
        <v>52</v>
      </c>
      <c r="P258" t="s">
        <v>52</v>
      </c>
      <c r="Q258">
        <v>1</v>
      </c>
      <c r="X258">
        <v>0.01</v>
      </c>
      <c r="Y258">
        <v>1183.5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0</v>
      </c>
      <c r="AF258" t="s">
        <v>4</v>
      </c>
      <c r="AG258">
        <v>0.01</v>
      </c>
      <c r="AH258">
        <v>3</v>
      </c>
      <c r="AI258">
        <v>-1</v>
      </c>
      <c r="AJ258" t="s">
        <v>4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>
      <c r="A259">
        <f>ROW(Source!A188)</f>
        <v>188</v>
      </c>
      <c r="B259">
        <v>70305733</v>
      </c>
      <c r="C259">
        <v>70305722</v>
      </c>
      <c r="D259">
        <v>69334307</v>
      </c>
      <c r="E259">
        <v>1</v>
      </c>
      <c r="F259">
        <v>1</v>
      </c>
      <c r="G259">
        <v>1075</v>
      </c>
      <c r="H259">
        <v>3</v>
      </c>
      <c r="I259" t="s">
        <v>361</v>
      </c>
      <c r="J259" t="s">
        <v>362</v>
      </c>
      <c r="K259" t="s">
        <v>363</v>
      </c>
      <c r="L259">
        <v>1348</v>
      </c>
      <c r="N259">
        <v>1009</v>
      </c>
      <c r="O259" t="s">
        <v>168</v>
      </c>
      <c r="P259" t="s">
        <v>168</v>
      </c>
      <c r="Q259">
        <v>1000</v>
      </c>
      <c r="X259">
        <v>4.0000000000000003E-5</v>
      </c>
      <c r="Y259">
        <v>9098.51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0</v>
      </c>
      <c r="AF259" t="s">
        <v>4</v>
      </c>
      <c r="AG259">
        <v>4.0000000000000003E-5</v>
      </c>
      <c r="AH259">
        <v>3</v>
      </c>
      <c r="AI259">
        <v>-1</v>
      </c>
      <c r="AJ259" t="s">
        <v>4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>
      <c r="A260">
        <f>ROW(Source!A188)</f>
        <v>188</v>
      </c>
      <c r="B260">
        <v>70305734</v>
      </c>
      <c r="C260">
        <v>70305722</v>
      </c>
      <c r="D260">
        <v>69351457</v>
      </c>
      <c r="E260">
        <v>1</v>
      </c>
      <c r="F260">
        <v>1</v>
      </c>
      <c r="G260">
        <v>1075</v>
      </c>
      <c r="H260">
        <v>3</v>
      </c>
      <c r="I260" t="s">
        <v>479</v>
      </c>
      <c r="J260" t="s">
        <v>480</v>
      </c>
      <c r="K260" t="s">
        <v>481</v>
      </c>
      <c r="L260">
        <v>1356</v>
      </c>
      <c r="N260">
        <v>1010</v>
      </c>
      <c r="O260" t="s">
        <v>286</v>
      </c>
      <c r="P260" t="s">
        <v>286</v>
      </c>
      <c r="Q260">
        <v>1000</v>
      </c>
      <c r="X260">
        <v>4.1000000000000003E-3</v>
      </c>
      <c r="Y260">
        <v>56.17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4</v>
      </c>
      <c r="AG260">
        <v>4.1000000000000003E-3</v>
      </c>
      <c r="AH260">
        <v>3</v>
      </c>
      <c r="AI260">
        <v>-1</v>
      </c>
      <c r="AJ260" t="s">
        <v>4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>
      <c r="A261">
        <f>ROW(Source!A188)</f>
        <v>188</v>
      </c>
      <c r="B261">
        <v>70305735</v>
      </c>
      <c r="C261">
        <v>70305722</v>
      </c>
      <c r="D261">
        <v>69351232</v>
      </c>
      <c r="E261">
        <v>1</v>
      </c>
      <c r="F261">
        <v>1</v>
      </c>
      <c r="G261">
        <v>1075</v>
      </c>
      <c r="H261">
        <v>3</v>
      </c>
      <c r="I261" t="s">
        <v>482</v>
      </c>
      <c r="J261" t="s">
        <v>483</v>
      </c>
      <c r="K261" t="s">
        <v>484</v>
      </c>
      <c r="L261">
        <v>1355</v>
      </c>
      <c r="N261">
        <v>1010</v>
      </c>
      <c r="O261" t="s">
        <v>485</v>
      </c>
      <c r="P261" t="s">
        <v>485</v>
      </c>
      <c r="Q261">
        <v>100</v>
      </c>
      <c r="X261">
        <v>0.66669999999999996</v>
      </c>
      <c r="Y261">
        <v>57.81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4</v>
      </c>
      <c r="AG261">
        <v>0.66669999999999996</v>
      </c>
      <c r="AH261">
        <v>3</v>
      </c>
      <c r="AI261">
        <v>-1</v>
      </c>
      <c r="AJ261" t="s">
        <v>4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>
      <c r="A262">
        <f>ROW(Source!A188)</f>
        <v>188</v>
      </c>
      <c r="B262">
        <v>70305736</v>
      </c>
      <c r="C262">
        <v>70305722</v>
      </c>
      <c r="D262">
        <v>69298822</v>
      </c>
      <c r="E262">
        <v>1075</v>
      </c>
      <c r="F262">
        <v>1</v>
      </c>
      <c r="G262">
        <v>1075</v>
      </c>
      <c r="H262">
        <v>3</v>
      </c>
      <c r="I262" t="s">
        <v>486</v>
      </c>
      <c r="J262" t="s">
        <v>4</v>
      </c>
      <c r="K262" t="s">
        <v>487</v>
      </c>
      <c r="L262">
        <v>1303</v>
      </c>
      <c r="N262">
        <v>1003</v>
      </c>
      <c r="O262" t="s">
        <v>209</v>
      </c>
      <c r="P262" t="s">
        <v>209</v>
      </c>
      <c r="Q262">
        <v>1000</v>
      </c>
      <c r="X262">
        <v>0.30599999999999999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 t="s">
        <v>4</v>
      </c>
      <c r="AG262">
        <v>0.30599999999999999</v>
      </c>
      <c r="AH262">
        <v>3</v>
      </c>
      <c r="AI262">
        <v>-1</v>
      </c>
      <c r="AJ262" t="s">
        <v>4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>
      <c r="A263">
        <f>ROW(Source!A191)</f>
        <v>191</v>
      </c>
      <c r="B263">
        <v>70305741</v>
      </c>
      <c r="C263">
        <v>70305738</v>
      </c>
      <c r="D263">
        <v>69275358</v>
      </c>
      <c r="E263">
        <v>1075</v>
      </c>
      <c r="F263">
        <v>1</v>
      </c>
      <c r="G263">
        <v>1075</v>
      </c>
      <c r="H263">
        <v>1</v>
      </c>
      <c r="I263" t="s">
        <v>332</v>
      </c>
      <c r="J263" t="s">
        <v>4</v>
      </c>
      <c r="K263" t="s">
        <v>333</v>
      </c>
      <c r="L263">
        <v>1191</v>
      </c>
      <c r="N263">
        <v>1013</v>
      </c>
      <c r="O263" t="s">
        <v>334</v>
      </c>
      <c r="P263" t="s">
        <v>334</v>
      </c>
      <c r="Q263">
        <v>1</v>
      </c>
      <c r="X263">
        <v>16.14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1</v>
      </c>
      <c r="AF263" t="s">
        <v>4</v>
      </c>
      <c r="AG263">
        <v>16.14</v>
      </c>
      <c r="AH263">
        <v>3</v>
      </c>
      <c r="AI263">
        <v>-1</v>
      </c>
      <c r="AJ263" t="s">
        <v>4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>
      <c r="A264">
        <f>ROW(Source!A191)</f>
        <v>191</v>
      </c>
      <c r="B264">
        <v>70305742</v>
      </c>
      <c r="C264">
        <v>70305738</v>
      </c>
      <c r="D264">
        <v>69364351</v>
      </c>
      <c r="E264">
        <v>1</v>
      </c>
      <c r="F264">
        <v>1</v>
      </c>
      <c r="G264">
        <v>1075</v>
      </c>
      <c r="H264">
        <v>2</v>
      </c>
      <c r="I264" t="s">
        <v>488</v>
      </c>
      <c r="J264" t="s">
        <v>489</v>
      </c>
      <c r="K264" t="s">
        <v>490</v>
      </c>
      <c r="L264">
        <v>1368</v>
      </c>
      <c r="N264">
        <v>1011</v>
      </c>
      <c r="O264" t="s">
        <v>338</v>
      </c>
      <c r="P264" t="s">
        <v>338</v>
      </c>
      <c r="Q264">
        <v>1</v>
      </c>
      <c r="X264">
        <v>1.46</v>
      </c>
      <c r="Y264">
        <v>0</v>
      </c>
      <c r="Z264">
        <v>36.08</v>
      </c>
      <c r="AA264">
        <v>3.1</v>
      </c>
      <c r="AB264">
        <v>0</v>
      </c>
      <c r="AC264">
        <v>0</v>
      </c>
      <c r="AD264">
        <v>1</v>
      </c>
      <c r="AE264">
        <v>0</v>
      </c>
      <c r="AF264" t="s">
        <v>4</v>
      </c>
      <c r="AG264">
        <v>1.46</v>
      </c>
      <c r="AH264">
        <v>3</v>
      </c>
      <c r="AI264">
        <v>-1</v>
      </c>
      <c r="AJ264" t="s">
        <v>4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>
      <c r="A265">
        <f>ROW(Source!A191)</f>
        <v>191</v>
      </c>
      <c r="B265">
        <v>70305743</v>
      </c>
      <c r="C265">
        <v>70305738</v>
      </c>
      <c r="D265">
        <v>69364509</v>
      </c>
      <c r="E265">
        <v>1</v>
      </c>
      <c r="F265">
        <v>1</v>
      </c>
      <c r="G265">
        <v>1075</v>
      </c>
      <c r="H265">
        <v>2</v>
      </c>
      <c r="I265" t="s">
        <v>364</v>
      </c>
      <c r="J265" t="s">
        <v>365</v>
      </c>
      <c r="K265" t="s">
        <v>366</v>
      </c>
      <c r="L265">
        <v>1368</v>
      </c>
      <c r="N265">
        <v>1011</v>
      </c>
      <c r="O265" t="s">
        <v>338</v>
      </c>
      <c r="P265" t="s">
        <v>338</v>
      </c>
      <c r="Q265">
        <v>1</v>
      </c>
      <c r="X265">
        <v>0.01</v>
      </c>
      <c r="Y265">
        <v>0</v>
      </c>
      <c r="Z265">
        <v>83.1</v>
      </c>
      <c r="AA265">
        <v>12.62</v>
      </c>
      <c r="AB265">
        <v>0</v>
      </c>
      <c r="AC265">
        <v>0</v>
      </c>
      <c r="AD265">
        <v>1</v>
      </c>
      <c r="AE265">
        <v>0</v>
      </c>
      <c r="AF265" t="s">
        <v>4</v>
      </c>
      <c r="AG265">
        <v>0.01</v>
      </c>
      <c r="AH265">
        <v>3</v>
      </c>
      <c r="AI265">
        <v>-1</v>
      </c>
      <c r="AJ265" t="s">
        <v>4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>
      <c r="A266">
        <f>ROW(Source!A191)</f>
        <v>191</v>
      </c>
      <c r="B266">
        <v>70305744</v>
      </c>
      <c r="C266">
        <v>70305738</v>
      </c>
      <c r="D266">
        <v>69363838</v>
      </c>
      <c r="E266">
        <v>1</v>
      </c>
      <c r="F266">
        <v>1</v>
      </c>
      <c r="G266">
        <v>1075</v>
      </c>
      <c r="H266">
        <v>2</v>
      </c>
      <c r="I266" t="s">
        <v>505</v>
      </c>
      <c r="J266" t="s">
        <v>506</v>
      </c>
      <c r="K266" t="s">
        <v>507</v>
      </c>
      <c r="L266">
        <v>1368</v>
      </c>
      <c r="N266">
        <v>1011</v>
      </c>
      <c r="O266" t="s">
        <v>338</v>
      </c>
      <c r="P266" t="s">
        <v>338</v>
      </c>
      <c r="Q266">
        <v>1</v>
      </c>
      <c r="X266">
        <v>0.17</v>
      </c>
      <c r="Y266">
        <v>0</v>
      </c>
      <c r="Z266">
        <v>0.17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4</v>
      </c>
      <c r="AG266">
        <v>0.17</v>
      </c>
      <c r="AH266">
        <v>3</v>
      </c>
      <c r="AI266">
        <v>-1</v>
      </c>
      <c r="AJ266" t="s">
        <v>4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>
      <c r="A267">
        <f>ROW(Source!A191)</f>
        <v>191</v>
      </c>
      <c r="B267">
        <v>70305745</v>
      </c>
      <c r="C267">
        <v>70305738</v>
      </c>
      <c r="D267">
        <v>69333737</v>
      </c>
      <c r="E267">
        <v>1</v>
      </c>
      <c r="F267">
        <v>1</v>
      </c>
      <c r="G267">
        <v>1075</v>
      </c>
      <c r="H267">
        <v>3</v>
      </c>
      <c r="I267" t="s">
        <v>395</v>
      </c>
      <c r="J267" t="s">
        <v>396</v>
      </c>
      <c r="K267" t="s">
        <v>397</v>
      </c>
      <c r="L267">
        <v>1346</v>
      </c>
      <c r="N267">
        <v>1009</v>
      </c>
      <c r="O267" t="s">
        <v>394</v>
      </c>
      <c r="P267" t="s">
        <v>394</v>
      </c>
      <c r="Q267">
        <v>1</v>
      </c>
      <c r="X267">
        <v>0.4</v>
      </c>
      <c r="Y267">
        <v>1.61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4</v>
      </c>
      <c r="AG267">
        <v>0.4</v>
      </c>
      <c r="AH267">
        <v>3</v>
      </c>
      <c r="AI267">
        <v>-1</v>
      </c>
      <c r="AJ267" t="s">
        <v>4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>
      <c r="A268">
        <f>ROW(Source!A191)</f>
        <v>191</v>
      </c>
      <c r="B268">
        <v>70305746</v>
      </c>
      <c r="C268">
        <v>70305738</v>
      </c>
      <c r="D268">
        <v>69334717</v>
      </c>
      <c r="E268">
        <v>1</v>
      </c>
      <c r="F268">
        <v>1</v>
      </c>
      <c r="G268">
        <v>1075</v>
      </c>
      <c r="H268">
        <v>3</v>
      </c>
      <c r="I268" t="s">
        <v>491</v>
      </c>
      <c r="J268" t="s">
        <v>492</v>
      </c>
      <c r="K268" t="s">
        <v>493</v>
      </c>
      <c r="L268">
        <v>1327</v>
      </c>
      <c r="N268">
        <v>1005</v>
      </c>
      <c r="O268" t="s">
        <v>164</v>
      </c>
      <c r="P268" t="s">
        <v>164</v>
      </c>
      <c r="Q268">
        <v>1</v>
      </c>
      <c r="X268">
        <v>0.16</v>
      </c>
      <c r="Y268">
        <v>127.33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0</v>
      </c>
      <c r="AF268" t="s">
        <v>4</v>
      </c>
      <c r="AG268">
        <v>0.16</v>
      </c>
      <c r="AH268">
        <v>3</v>
      </c>
      <c r="AI268">
        <v>-1</v>
      </c>
      <c r="AJ268" t="s">
        <v>4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>
      <c r="A269">
        <f>ROW(Source!A191)</f>
        <v>191</v>
      </c>
      <c r="B269">
        <v>70305747</v>
      </c>
      <c r="C269">
        <v>70305738</v>
      </c>
      <c r="D269">
        <v>69335565</v>
      </c>
      <c r="E269">
        <v>1</v>
      </c>
      <c r="F269">
        <v>1</v>
      </c>
      <c r="G269">
        <v>1075</v>
      </c>
      <c r="H269">
        <v>3</v>
      </c>
      <c r="I269" t="s">
        <v>404</v>
      </c>
      <c r="J269" t="s">
        <v>405</v>
      </c>
      <c r="K269" t="s">
        <v>406</v>
      </c>
      <c r="L269">
        <v>1346</v>
      </c>
      <c r="N269">
        <v>1009</v>
      </c>
      <c r="O269" t="s">
        <v>394</v>
      </c>
      <c r="P269" t="s">
        <v>394</v>
      </c>
      <c r="Q269">
        <v>1</v>
      </c>
      <c r="X269">
        <v>2.2679999999999998</v>
      </c>
      <c r="Y269">
        <v>6.27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0</v>
      </c>
      <c r="AF269" t="s">
        <v>4</v>
      </c>
      <c r="AG269">
        <v>2.2679999999999998</v>
      </c>
      <c r="AH269">
        <v>3</v>
      </c>
      <c r="AI269">
        <v>-1</v>
      </c>
      <c r="AJ269" t="s">
        <v>4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>
      <c r="A270">
        <f>ROW(Source!A191)</f>
        <v>191</v>
      </c>
      <c r="B270">
        <v>70305748</v>
      </c>
      <c r="C270">
        <v>70305738</v>
      </c>
      <c r="D270">
        <v>69335715</v>
      </c>
      <c r="E270">
        <v>1</v>
      </c>
      <c r="F270">
        <v>1</v>
      </c>
      <c r="G270">
        <v>1075</v>
      </c>
      <c r="H270">
        <v>3</v>
      </c>
      <c r="I270" t="s">
        <v>508</v>
      </c>
      <c r="J270" t="s">
        <v>509</v>
      </c>
      <c r="K270" t="s">
        <v>510</v>
      </c>
      <c r="L270">
        <v>1354</v>
      </c>
      <c r="N270">
        <v>1010</v>
      </c>
      <c r="O270" t="s">
        <v>188</v>
      </c>
      <c r="P270" t="s">
        <v>188</v>
      </c>
      <c r="Q270">
        <v>1</v>
      </c>
      <c r="X270">
        <v>4.0599999999999996</v>
      </c>
      <c r="Y270">
        <v>3.22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</v>
      </c>
      <c r="AF270" t="s">
        <v>4</v>
      </c>
      <c r="AG270">
        <v>4.0599999999999996</v>
      </c>
      <c r="AH270">
        <v>3</v>
      </c>
      <c r="AI270">
        <v>-1</v>
      </c>
      <c r="AJ270" t="s">
        <v>4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>
      <c r="A271">
        <f>ROW(Source!A191)</f>
        <v>191</v>
      </c>
      <c r="B271">
        <v>70305749</v>
      </c>
      <c r="C271">
        <v>70305738</v>
      </c>
      <c r="D271">
        <v>69334305</v>
      </c>
      <c r="E271">
        <v>1</v>
      </c>
      <c r="F271">
        <v>1</v>
      </c>
      <c r="G271">
        <v>1075</v>
      </c>
      <c r="H271">
        <v>3</v>
      </c>
      <c r="I271" t="s">
        <v>511</v>
      </c>
      <c r="J271" t="s">
        <v>512</v>
      </c>
      <c r="K271" t="s">
        <v>513</v>
      </c>
      <c r="L271">
        <v>1348</v>
      </c>
      <c r="N271">
        <v>1009</v>
      </c>
      <c r="O271" t="s">
        <v>168</v>
      </c>
      <c r="P271" t="s">
        <v>168</v>
      </c>
      <c r="Q271">
        <v>1000</v>
      </c>
      <c r="X271">
        <v>2.0000000000000002E-5</v>
      </c>
      <c r="Y271">
        <v>81246.399999999994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4</v>
      </c>
      <c r="AG271">
        <v>2.0000000000000002E-5</v>
      </c>
      <c r="AH271">
        <v>3</v>
      </c>
      <c r="AI271">
        <v>-1</v>
      </c>
      <c r="AJ271" t="s">
        <v>4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>
      <c r="A272">
        <f>ROW(Source!A191)</f>
        <v>191</v>
      </c>
      <c r="B272">
        <v>70305750</v>
      </c>
      <c r="C272">
        <v>70305738</v>
      </c>
      <c r="D272">
        <v>69340777</v>
      </c>
      <c r="E272">
        <v>1</v>
      </c>
      <c r="F272">
        <v>1</v>
      </c>
      <c r="G272">
        <v>1075</v>
      </c>
      <c r="H272">
        <v>3</v>
      </c>
      <c r="I272" t="s">
        <v>494</v>
      </c>
      <c r="J272" t="s">
        <v>495</v>
      </c>
      <c r="K272" t="s">
        <v>496</v>
      </c>
      <c r="L272">
        <v>1296</v>
      </c>
      <c r="N272">
        <v>1002</v>
      </c>
      <c r="O272" t="s">
        <v>497</v>
      </c>
      <c r="P272" t="s">
        <v>497</v>
      </c>
      <c r="Q272">
        <v>1</v>
      </c>
      <c r="X272">
        <v>0.7</v>
      </c>
      <c r="Y272">
        <v>16.260000000000002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0</v>
      </c>
      <c r="AF272" t="s">
        <v>4</v>
      </c>
      <c r="AG272">
        <v>0.7</v>
      </c>
      <c r="AH272">
        <v>3</v>
      </c>
      <c r="AI272">
        <v>-1</v>
      </c>
      <c r="AJ272" t="s">
        <v>4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>
      <c r="A273">
        <f>ROW(Source!A191)</f>
        <v>191</v>
      </c>
      <c r="B273">
        <v>70305751</v>
      </c>
      <c r="C273">
        <v>70305738</v>
      </c>
      <c r="D273">
        <v>69301148</v>
      </c>
      <c r="E273">
        <v>1075</v>
      </c>
      <c r="F273">
        <v>1</v>
      </c>
      <c r="G273">
        <v>1075</v>
      </c>
      <c r="H273">
        <v>3</v>
      </c>
      <c r="I273" t="s">
        <v>514</v>
      </c>
      <c r="J273" t="s">
        <v>4</v>
      </c>
      <c r="K273" t="s">
        <v>515</v>
      </c>
      <c r="L273">
        <v>1391</v>
      </c>
      <c r="N273">
        <v>1013</v>
      </c>
      <c r="O273" t="s">
        <v>237</v>
      </c>
      <c r="P273" t="s">
        <v>237</v>
      </c>
      <c r="Q273">
        <v>1</v>
      </c>
      <c r="X273">
        <v>1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 t="s">
        <v>4</v>
      </c>
      <c r="AG273">
        <v>1</v>
      </c>
      <c r="AH273">
        <v>3</v>
      </c>
      <c r="AI273">
        <v>-1</v>
      </c>
      <c r="AJ273" t="s">
        <v>4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>
      <c r="A274">
        <f>ROW(Source!A192)</f>
        <v>192</v>
      </c>
      <c r="B274">
        <v>70305741</v>
      </c>
      <c r="C274">
        <v>70305738</v>
      </c>
      <c r="D274">
        <v>69275358</v>
      </c>
      <c r="E274">
        <v>1075</v>
      </c>
      <c r="F274">
        <v>1</v>
      </c>
      <c r="G274">
        <v>1075</v>
      </c>
      <c r="H274">
        <v>1</v>
      </c>
      <c r="I274" t="s">
        <v>332</v>
      </c>
      <c r="J274" t="s">
        <v>4</v>
      </c>
      <c r="K274" t="s">
        <v>333</v>
      </c>
      <c r="L274">
        <v>1191</v>
      </c>
      <c r="N274">
        <v>1013</v>
      </c>
      <c r="O274" t="s">
        <v>334</v>
      </c>
      <c r="P274" t="s">
        <v>334</v>
      </c>
      <c r="Q274">
        <v>1</v>
      </c>
      <c r="X274">
        <v>16.14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1</v>
      </c>
      <c r="AF274" t="s">
        <v>4</v>
      </c>
      <c r="AG274">
        <v>16.14</v>
      </c>
      <c r="AH274">
        <v>3</v>
      </c>
      <c r="AI274">
        <v>-1</v>
      </c>
      <c r="AJ274" t="s">
        <v>4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>
      <c r="A275">
        <f>ROW(Source!A192)</f>
        <v>192</v>
      </c>
      <c r="B275">
        <v>70305742</v>
      </c>
      <c r="C275">
        <v>70305738</v>
      </c>
      <c r="D275">
        <v>69364351</v>
      </c>
      <c r="E275">
        <v>1</v>
      </c>
      <c r="F275">
        <v>1</v>
      </c>
      <c r="G275">
        <v>1075</v>
      </c>
      <c r="H275">
        <v>2</v>
      </c>
      <c r="I275" t="s">
        <v>488</v>
      </c>
      <c r="J275" t="s">
        <v>489</v>
      </c>
      <c r="K275" t="s">
        <v>490</v>
      </c>
      <c r="L275">
        <v>1368</v>
      </c>
      <c r="N275">
        <v>1011</v>
      </c>
      <c r="O275" t="s">
        <v>338</v>
      </c>
      <c r="P275" t="s">
        <v>338</v>
      </c>
      <c r="Q275">
        <v>1</v>
      </c>
      <c r="X275">
        <v>1.46</v>
      </c>
      <c r="Y275">
        <v>0</v>
      </c>
      <c r="Z275">
        <v>36.08</v>
      </c>
      <c r="AA275">
        <v>3.1</v>
      </c>
      <c r="AB275">
        <v>0</v>
      </c>
      <c r="AC275">
        <v>0</v>
      </c>
      <c r="AD275">
        <v>1</v>
      </c>
      <c r="AE275">
        <v>0</v>
      </c>
      <c r="AF275" t="s">
        <v>4</v>
      </c>
      <c r="AG275">
        <v>1.46</v>
      </c>
      <c r="AH275">
        <v>3</v>
      </c>
      <c r="AI275">
        <v>-1</v>
      </c>
      <c r="AJ275" t="s">
        <v>4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>
      <c r="A276">
        <f>ROW(Source!A192)</f>
        <v>192</v>
      </c>
      <c r="B276">
        <v>70305743</v>
      </c>
      <c r="C276">
        <v>70305738</v>
      </c>
      <c r="D276">
        <v>69364509</v>
      </c>
      <c r="E276">
        <v>1</v>
      </c>
      <c r="F276">
        <v>1</v>
      </c>
      <c r="G276">
        <v>1075</v>
      </c>
      <c r="H276">
        <v>2</v>
      </c>
      <c r="I276" t="s">
        <v>364</v>
      </c>
      <c r="J276" t="s">
        <v>365</v>
      </c>
      <c r="K276" t="s">
        <v>366</v>
      </c>
      <c r="L276">
        <v>1368</v>
      </c>
      <c r="N276">
        <v>1011</v>
      </c>
      <c r="O276" t="s">
        <v>338</v>
      </c>
      <c r="P276" t="s">
        <v>338</v>
      </c>
      <c r="Q276">
        <v>1</v>
      </c>
      <c r="X276">
        <v>0.01</v>
      </c>
      <c r="Y276">
        <v>0</v>
      </c>
      <c r="Z276">
        <v>83.1</v>
      </c>
      <c r="AA276">
        <v>12.62</v>
      </c>
      <c r="AB276">
        <v>0</v>
      </c>
      <c r="AC276">
        <v>0</v>
      </c>
      <c r="AD276">
        <v>1</v>
      </c>
      <c r="AE276">
        <v>0</v>
      </c>
      <c r="AF276" t="s">
        <v>4</v>
      </c>
      <c r="AG276">
        <v>0.01</v>
      </c>
      <c r="AH276">
        <v>3</v>
      </c>
      <c r="AI276">
        <v>-1</v>
      </c>
      <c r="AJ276" t="s">
        <v>4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>
      <c r="A277">
        <f>ROW(Source!A192)</f>
        <v>192</v>
      </c>
      <c r="B277">
        <v>70305744</v>
      </c>
      <c r="C277">
        <v>70305738</v>
      </c>
      <c r="D277">
        <v>69363838</v>
      </c>
      <c r="E277">
        <v>1</v>
      </c>
      <c r="F277">
        <v>1</v>
      </c>
      <c r="G277">
        <v>1075</v>
      </c>
      <c r="H277">
        <v>2</v>
      </c>
      <c r="I277" t="s">
        <v>505</v>
      </c>
      <c r="J277" t="s">
        <v>506</v>
      </c>
      <c r="K277" t="s">
        <v>507</v>
      </c>
      <c r="L277">
        <v>1368</v>
      </c>
      <c r="N277">
        <v>1011</v>
      </c>
      <c r="O277" t="s">
        <v>338</v>
      </c>
      <c r="P277" t="s">
        <v>338</v>
      </c>
      <c r="Q277">
        <v>1</v>
      </c>
      <c r="X277">
        <v>0.17</v>
      </c>
      <c r="Y277">
        <v>0</v>
      </c>
      <c r="Z277">
        <v>0.17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4</v>
      </c>
      <c r="AG277">
        <v>0.17</v>
      </c>
      <c r="AH277">
        <v>3</v>
      </c>
      <c r="AI277">
        <v>-1</v>
      </c>
      <c r="AJ277" t="s">
        <v>4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>
      <c r="A278">
        <f>ROW(Source!A192)</f>
        <v>192</v>
      </c>
      <c r="B278">
        <v>70305745</v>
      </c>
      <c r="C278">
        <v>70305738</v>
      </c>
      <c r="D278">
        <v>69333737</v>
      </c>
      <c r="E278">
        <v>1</v>
      </c>
      <c r="F278">
        <v>1</v>
      </c>
      <c r="G278">
        <v>1075</v>
      </c>
      <c r="H278">
        <v>3</v>
      </c>
      <c r="I278" t="s">
        <v>395</v>
      </c>
      <c r="J278" t="s">
        <v>396</v>
      </c>
      <c r="K278" t="s">
        <v>397</v>
      </c>
      <c r="L278">
        <v>1346</v>
      </c>
      <c r="N278">
        <v>1009</v>
      </c>
      <c r="O278" t="s">
        <v>394</v>
      </c>
      <c r="P278" t="s">
        <v>394</v>
      </c>
      <c r="Q278">
        <v>1</v>
      </c>
      <c r="X278">
        <v>0.4</v>
      </c>
      <c r="Y278">
        <v>1.61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0</v>
      </c>
      <c r="AF278" t="s">
        <v>4</v>
      </c>
      <c r="AG278">
        <v>0.4</v>
      </c>
      <c r="AH278">
        <v>3</v>
      </c>
      <c r="AI278">
        <v>-1</v>
      </c>
      <c r="AJ278" t="s">
        <v>4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>
      <c r="A279">
        <f>ROW(Source!A192)</f>
        <v>192</v>
      </c>
      <c r="B279">
        <v>70305746</v>
      </c>
      <c r="C279">
        <v>70305738</v>
      </c>
      <c r="D279">
        <v>69334717</v>
      </c>
      <c r="E279">
        <v>1</v>
      </c>
      <c r="F279">
        <v>1</v>
      </c>
      <c r="G279">
        <v>1075</v>
      </c>
      <c r="H279">
        <v>3</v>
      </c>
      <c r="I279" t="s">
        <v>491</v>
      </c>
      <c r="J279" t="s">
        <v>492</v>
      </c>
      <c r="K279" t="s">
        <v>493</v>
      </c>
      <c r="L279">
        <v>1327</v>
      </c>
      <c r="N279">
        <v>1005</v>
      </c>
      <c r="O279" t="s">
        <v>164</v>
      </c>
      <c r="P279" t="s">
        <v>164</v>
      </c>
      <c r="Q279">
        <v>1</v>
      </c>
      <c r="X279">
        <v>0.16</v>
      </c>
      <c r="Y279">
        <v>127.33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0</v>
      </c>
      <c r="AF279" t="s">
        <v>4</v>
      </c>
      <c r="AG279">
        <v>0.16</v>
      </c>
      <c r="AH279">
        <v>3</v>
      </c>
      <c r="AI279">
        <v>-1</v>
      </c>
      <c r="AJ279" t="s">
        <v>4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>
      <c r="A280">
        <f>ROW(Source!A192)</f>
        <v>192</v>
      </c>
      <c r="B280">
        <v>70305747</v>
      </c>
      <c r="C280">
        <v>70305738</v>
      </c>
      <c r="D280">
        <v>69335565</v>
      </c>
      <c r="E280">
        <v>1</v>
      </c>
      <c r="F280">
        <v>1</v>
      </c>
      <c r="G280">
        <v>1075</v>
      </c>
      <c r="H280">
        <v>3</v>
      </c>
      <c r="I280" t="s">
        <v>404</v>
      </c>
      <c r="J280" t="s">
        <v>405</v>
      </c>
      <c r="K280" t="s">
        <v>406</v>
      </c>
      <c r="L280">
        <v>1346</v>
      </c>
      <c r="N280">
        <v>1009</v>
      </c>
      <c r="O280" t="s">
        <v>394</v>
      </c>
      <c r="P280" t="s">
        <v>394</v>
      </c>
      <c r="Q280">
        <v>1</v>
      </c>
      <c r="X280">
        <v>2.2679999999999998</v>
      </c>
      <c r="Y280">
        <v>6.27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0</v>
      </c>
      <c r="AF280" t="s">
        <v>4</v>
      </c>
      <c r="AG280">
        <v>2.2679999999999998</v>
      </c>
      <c r="AH280">
        <v>3</v>
      </c>
      <c r="AI280">
        <v>-1</v>
      </c>
      <c r="AJ280" t="s">
        <v>4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>
      <c r="A281">
        <f>ROW(Source!A192)</f>
        <v>192</v>
      </c>
      <c r="B281">
        <v>70305748</v>
      </c>
      <c r="C281">
        <v>70305738</v>
      </c>
      <c r="D281">
        <v>69335715</v>
      </c>
      <c r="E281">
        <v>1</v>
      </c>
      <c r="F281">
        <v>1</v>
      </c>
      <c r="G281">
        <v>1075</v>
      </c>
      <c r="H281">
        <v>3</v>
      </c>
      <c r="I281" t="s">
        <v>508</v>
      </c>
      <c r="J281" t="s">
        <v>509</v>
      </c>
      <c r="K281" t="s">
        <v>510</v>
      </c>
      <c r="L281">
        <v>1354</v>
      </c>
      <c r="N281">
        <v>1010</v>
      </c>
      <c r="O281" t="s">
        <v>188</v>
      </c>
      <c r="P281" t="s">
        <v>188</v>
      </c>
      <c r="Q281">
        <v>1</v>
      </c>
      <c r="X281">
        <v>4.0599999999999996</v>
      </c>
      <c r="Y281">
        <v>3.22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0</v>
      </c>
      <c r="AF281" t="s">
        <v>4</v>
      </c>
      <c r="AG281">
        <v>4.0599999999999996</v>
      </c>
      <c r="AH281">
        <v>3</v>
      </c>
      <c r="AI281">
        <v>-1</v>
      </c>
      <c r="AJ281" t="s">
        <v>4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>
      <c r="A282">
        <f>ROW(Source!A192)</f>
        <v>192</v>
      </c>
      <c r="B282">
        <v>70305749</v>
      </c>
      <c r="C282">
        <v>70305738</v>
      </c>
      <c r="D282">
        <v>69334305</v>
      </c>
      <c r="E282">
        <v>1</v>
      </c>
      <c r="F282">
        <v>1</v>
      </c>
      <c r="G282">
        <v>1075</v>
      </c>
      <c r="H282">
        <v>3</v>
      </c>
      <c r="I282" t="s">
        <v>511</v>
      </c>
      <c r="J282" t="s">
        <v>512</v>
      </c>
      <c r="K282" t="s">
        <v>513</v>
      </c>
      <c r="L282">
        <v>1348</v>
      </c>
      <c r="N282">
        <v>1009</v>
      </c>
      <c r="O282" t="s">
        <v>168</v>
      </c>
      <c r="P282" t="s">
        <v>168</v>
      </c>
      <c r="Q282">
        <v>1000</v>
      </c>
      <c r="X282">
        <v>2.0000000000000002E-5</v>
      </c>
      <c r="Y282">
        <v>81246.399999999994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0</v>
      </c>
      <c r="AF282" t="s">
        <v>4</v>
      </c>
      <c r="AG282">
        <v>2.0000000000000002E-5</v>
      </c>
      <c r="AH282">
        <v>3</v>
      </c>
      <c r="AI282">
        <v>-1</v>
      </c>
      <c r="AJ282" t="s">
        <v>4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>
      <c r="A283">
        <f>ROW(Source!A192)</f>
        <v>192</v>
      </c>
      <c r="B283">
        <v>70305750</v>
      </c>
      <c r="C283">
        <v>70305738</v>
      </c>
      <c r="D283">
        <v>69340777</v>
      </c>
      <c r="E283">
        <v>1</v>
      </c>
      <c r="F283">
        <v>1</v>
      </c>
      <c r="G283">
        <v>1075</v>
      </c>
      <c r="H283">
        <v>3</v>
      </c>
      <c r="I283" t="s">
        <v>494</v>
      </c>
      <c r="J283" t="s">
        <v>495</v>
      </c>
      <c r="K283" t="s">
        <v>496</v>
      </c>
      <c r="L283">
        <v>1296</v>
      </c>
      <c r="N283">
        <v>1002</v>
      </c>
      <c r="O283" t="s">
        <v>497</v>
      </c>
      <c r="P283" t="s">
        <v>497</v>
      </c>
      <c r="Q283">
        <v>1</v>
      </c>
      <c r="X283">
        <v>0.7</v>
      </c>
      <c r="Y283">
        <v>16.260000000000002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0</v>
      </c>
      <c r="AF283" t="s">
        <v>4</v>
      </c>
      <c r="AG283">
        <v>0.7</v>
      </c>
      <c r="AH283">
        <v>3</v>
      </c>
      <c r="AI283">
        <v>-1</v>
      </c>
      <c r="AJ283" t="s">
        <v>4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>
      <c r="A284">
        <f>ROW(Source!A192)</f>
        <v>192</v>
      </c>
      <c r="B284">
        <v>70305751</v>
      </c>
      <c r="C284">
        <v>70305738</v>
      </c>
      <c r="D284">
        <v>69301148</v>
      </c>
      <c r="E284">
        <v>1075</v>
      </c>
      <c r="F284">
        <v>1</v>
      </c>
      <c r="G284">
        <v>1075</v>
      </c>
      <c r="H284">
        <v>3</v>
      </c>
      <c r="I284" t="s">
        <v>514</v>
      </c>
      <c r="J284" t="s">
        <v>4</v>
      </c>
      <c r="K284" t="s">
        <v>515</v>
      </c>
      <c r="L284">
        <v>1391</v>
      </c>
      <c r="N284">
        <v>1013</v>
      </c>
      <c r="O284" t="s">
        <v>237</v>
      </c>
      <c r="P284" t="s">
        <v>237</v>
      </c>
      <c r="Q284">
        <v>1</v>
      </c>
      <c r="X284">
        <v>1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 t="s">
        <v>4</v>
      </c>
      <c r="AG284">
        <v>1</v>
      </c>
      <c r="AH284">
        <v>3</v>
      </c>
      <c r="AI284">
        <v>-1</v>
      </c>
      <c r="AJ284" t="s">
        <v>4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>
      <c r="A285">
        <f>ROW(Source!A195)</f>
        <v>195</v>
      </c>
      <c r="B285">
        <v>70305759</v>
      </c>
      <c r="C285">
        <v>70305753</v>
      </c>
      <c r="D285">
        <v>69275358</v>
      </c>
      <c r="E285">
        <v>1075</v>
      </c>
      <c r="F285">
        <v>1</v>
      </c>
      <c r="G285">
        <v>1075</v>
      </c>
      <c r="H285">
        <v>1</v>
      </c>
      <c r="I285" t="s">
        <v>332</v>
      </c>
      <c r="J285" t="s">
        <v>4</v>
      </c>
      <c r="K285" t="s">
        <v>333</v>
      </c>
      <c r="L285">
        <v>1191</v>
      </c>
      <c r="N285">
        <v>1013</v>
      </c>
      <c r="O285" t="s">
        <v>334</v>
      </c>
      <c r="P285" t="s">
        <v>334</v>
      </c>
      <c r="Q285">
        <v>1</v>
      </c>
      <c r="X285">
        <v>3.61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1</v>
      </c>
      <c r="AF285" t="s">
        <v>4</v>
      </c>
      <c r="AG285">
        <v>3.61</v>
      </c>
      <c r="AH285">
        <v>2</v>
      </c>
      <c r="AI285">
        <v>70305754</v>
      </c>
      <c r="AJ285">
        <v>89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>
      <c r="A286">
        <f>ROW(Source!A195)</f>
        <v>195</v>
      </c>
      <c r="B286">
        <v>70305760</v>
      </c>
      <c r="C286">
        <v>70305753</v>
      </c>
      <c r="D286">
        <v>69364509</v>
      </c>
      <c r="E286">
        <v>1</v>
      </c>
      <c r="F286">
        <v>1</v>
      </c>
      <c r="G286">
        <v>1075</v>
      </c>
      <c r="H286">
        <v>2</v>
      </c>
      <c r="I286" t="s">
        <v>364</v>
      </c>
      <c r="J286" t="s">
        <v>365</v>
      </c>
      <c r="K286" t="s">
        <v>366</v>
      </c>
      <c r="L286">
        <v>1368</v>
      </c>
      <c r="N286">
        <v>1011</v>
      </c>
      <c r="O286" t="s">
        <v>338</v>
      </c>
      <c r="P286" t="s">
        <v>338</v>
      </c>
      <c r="Q286">
        <v>1</v>
      </c>
      <c r="X286">
        <v>0.34</v>
      </c>
      <c r="Y286">
        <v>0</v>
      </c>
      <c r="Z286">
        <v>83.1</v>
      </c>
      <c r="AA286">
        <v>12.62</v>
      </c>
      <c r="AB286">
        <v>0</v>
      </c>
      <c r="AC286">
        <v>0</v>
      </c>
      <c r="AD286">
        <v>1</v>
      </c>
      <c r="AE286">
        <v>0</v>
      </c>
      <c r="AF286" t="s">
        <v>4</v>
      </c>
      <c r="AG286">
        <v>0.34</v>
      </c>
      <c r="AH286">
        <v>2</v>
      </c>
      <c r="AI286">
        <v>70305755</v>
      </c>
      <c r="AJ286">
        <v>90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>
      <c r="A287">
        <f>ROW(Source!A195)</f>
        <v>195</v>
      </c>
      <c r="B287">
        <v>70305761</v>
      </c>
      <c r="C287">
        <v>70305753</v>
      </c>
      <c r="D287">
        <v>69336116</v>
      </c>
      <c r="E287">
        <v>1</v>
      </c>
      <c r="F287">
        <v>1</v>
      </c>
      <c r="G287">
        <v>1075</v>
      </c>
      <c r="H287">
        <v>3</v>
      </c>
      <c r="I287" t="s">
        <v>398</v>
      </c>
      <c r="J287" t="s">
        <v>399</v>
      </c>
      <c r="K287" t="s">
        <v>400</v>
      </c>
      <c r="L287">
        <v>1354</v>
      </c>
      <c r="N287">
        <v>1010</v>
      </c>
      <c r="O287" t="s">
        <v>188</v>
      </c>
      <c r="P287" t="s">
        <v>188</v>
      </c>
      <c r="Q287">
        <v>1</v>
      </c>
      <c r="X287">
        <v>208</v>
      </c>
      <c r="Y287">
        <v>5.88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0</v>
      </c>
      <c r="AF287" t="s">
        <v>4</v>
      </c>
      <c r="AG287">
        <v>208</v>
      </c>
      <c r="AH287">
        <v>2</v>
      </c>
      <c r="AI287">
        <v>70305756</v>
      </c>
      <c r="AJ287">
        <v>91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>
      <c r="A288">
        <f>ROW(Source!A196)</f>
        <v>196</v>
      </c>
      <c r="B288">
        <v>70305759</v>
      </c>
      <c r="C288">
        <v>70305753</v>
      </c>
      <c r="D288">
        <v>69275358</v>
      </c>
      <c r="E288">
        <v>1075</v>
      </c>
      <c r="F288">
        <v>1</v>
      </c>
      <c r="G288">
        <v>1075</v>
      </c>
      <c r="H288">
        <v>1</v>
      </c>
      <c r="I288" t="s">
        <v>332</v>
      </c>
      <c r="J288" t="s">
        <v>4</v>
      </c>
      <c r="K288" t="s">
        <v>333</v>
      </c>
      <c r="L288">
        <v>1191</v>
      </c>
      <c r="N288">
        <v>1013</v>
      </c>
      <c r="O288" t="s">
        <v>334</v>
      </c>
      <c r="P288" t="s">
        <v>334</v>
      </c>
      <c r="Q288">
        <v>1</v>
      </c>
      <c r="X288">
        <v>3.61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1</v>
      </c>
      <c r="AF288" t="s">
        <v>4</v>
      </c>
      <c r="AG288">
        <v>3.61</v>
      </c>
      <c r="AH288">
        <v>2</v>
      </c>
      <c r="AI288">
        <v>70305754</v>
      </c>
      <c r="AJ288">
        <v>92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>
      <c r="A289">
        <f>ROW(Source!A196)</f>
        <v>196</v>
      </c>
      <c r="B289">
        <v>70305760</v>
      </c>
      <c r="C289">
        <v>70305753</v>
      </c>
      <c r="D289">
        <v>69364509</v>
      </c>
      <c r="E289">
        <v>1</v>
      </c>
      <c r="F289">
        <v>1</v>
      </c>
      <c r="G289">
        <v>1075</v>
      </c>
      <c r="H289">
        <v>2</v>
      </c>
      <c r="I289" t="s">
        <v>364</v>
      </c>
      <c r="J289" t="s">
        <v>365</v>
      </c>
      <c r="K289" t="s">
        <v>366</v>
      </c>
      <c r="L289">
        <v>1368</v>
      </c>
      <c r="N289">
        <v>1011</v>
      </c>
      <c r="O289" t="s">
        <v>338</v>
      </c>
      <c r="P289" t="s">
        <v>338</v>
      </c>
      <c r="Q289">
        <v>1</v>
      </c>
      <c r="X289">
        <v>0.34</v>
      </c>
      <c r="Y289">
        <v>0</v>
      </c>
      <c r="Z289">
        <v>83.1</v>
      </c>
      <c r="AA289">
        <v>12.62</v>
      </c>
      <c r="AB289">
        <v>0</v>
      </c>
      <c r="AC289">
        <v>0</v>
      </c>
      <c r="AD289">
        <v>1</v>
      </c>
      <c r="AE289">
        <v>0</v>
      </c>
      <c r="AF289" t="s">
        <v>4</v>
      </c>
      <c r="AG289">
        <v>0.34</v>
      </c>
      <c r="AH289">
        <v>2</v>
      </c>
      <c r="AI289">
        <v>70305755</v>
      </c>
      <c r="AJ289">
        <v>93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>
      <c r="A290">
        <f>ROW(Source!A196)</f>
        <v>196</v>
      </c>
      <c r="B290">
        <v>70305761</v>
      </c>
      <c r="C290">
        <v>70305753</v>
      </c>
      <c r="D290">
        <v>69336116</v>
      </c>
      <c r="E290">
        <v>1</v>
      </c>
      <c r="F290">
        <v>1</v>
      </c>
      <c r="G290">
        <v>1075</v>
      </c>
      <c r="H290">
        <v>3</v>
      </c>
      <c r="I290" t="s">
        <v>398</v>
      </c>
      <c r="J290" t="s">
        <v>399</v>
      </c>
      <c r="K290" t="s">
        <v>400</v>
      </c>
      <c r="L290">
        <v>1354</v>
      </c>
      <c r="N290">
        <v>1010</v>
      </c>
      <c r="O290" t="s">
        <v>188</v>
      </c>
      <c r="P290" t="s">
        <v>188</v>
      </c>
      <c r="Q290">
        <v>1</v>
      </c>
      <c r="X290">
        <v>208</v>
      </c>
      <c r="Y290">
        <v>5.88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0</v>
      </c>
      <c r="AF290" t="s">
        <v>4</v>
      </c>
      <c r="AG290">
        <v>208</v>
      </c>
      <c r="AH290">
        <v>2</v>
      </c>
      <c r="AI290">
        <v>70305756</v>
      </c>
      <c r="AJ290">
        <v>94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>
      <c r="A291">
        <f>ROW(Source!A197)</f>
        <v>197</v>
      </c>
      <c r="B291">
        <v>70305765</v>
      </c>
      <c r="C291">
        <v>70305762</v>
      </c>
      <c r="D291">
        <v>69275358</v>
      </c>
      <c r="E291">
        <v>1075</v>
      </c>
      <c r="F291">
        <v>1</v>
      </c>
      <c r="G291">
        <v>1075</v>
      </c>
      <c r="H291">
        <v>1</v>
      </c>
      <c r="I291" t="s">
        <v>332</v>
      </c>
      <c r="J291" t="s">
        <v>4</v>
      </c>
      <c r="K291" t="s">
        <v>333</v>
      </c>
      <c r="L291">
        <v>1191</v>
      </c>
      <c r="N291">
        <v>1013</v>
      </c>
      <c r="O291" t="s">
        <v>334</v>
      </c>
      <c r="P291" t="s">
        <v>334</v>
      </c>
      <c r="Q291">
        <v>1</v>
      </c>
      <c r="X291">
        <v>2.95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1</v>
      </c>
      <c r="AF291" t="s">
        <v>4</v>
      </c>
      <c r="AG291">
        <v>2.95</v>
      </c>
      <c r="AH291">
        <v>3</v>
      </c>
      <c r="AI291">
        <v>-1</v>
      </c>
      <c r="AJ291" t="s">
        <v>4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>
      <c r="A292">
        <f>ROW(Source!A197)</f>
        <v>197</v>
      </c>
      <c r="B292">
        <v>70305766</v>
      </c>
      <c r="C292">
        <v>70305762</v>
      </c>
      <c r="D292">
        <v>69364509</v>
      </c>
      <c r="E292">
        <v>1</v>
      </c>
      <c r="F292">
        <v>1</v>
      </c>
      <c r="G292">
        <v>1075</v>
      </c>
      <c r="H292">
        <v>2</v>
      </c>
      <c r="I292" t="s">
        <v>364</v>
      </c>
      <c r="J292" t="s">
        <v>365</v>
      </c>
      <c r="K292" t="s">
        <v>366</v>
      </c>
      <c r="L292">
        <v>1368</v>
      </c>
      <c r="N292">
        <v>1011</v>
      </c>
      <c r="O292" t="s">
        <v>338</v>
      </c>
      <c r="P292" t="s">
        <v>338</v>
      </c>
      <c r="Q292">
        <v>1</v>
      </c>
      <c r="X292">
        <v>0.34</v>
      </c>
      <c r="Y292">
        <v>0</v>
      </c>
      <c r="Z292">
        <v>83.1</v>
      </c>
      <c r="AA292">
        <v>12.62</v>
      </c>
      <c r="AB292">
        <v>0</v>
      </c>
      <c r="AC292">
        <v>0</v>
      </c>
      <c r="AD292">
        <v>1</v>
      </c>
      <c r="AE292">
        <v>0</v>
      </c>
      <c r="AF292" t="s">
        <v>4</v>
      </c>
      <c r="AG292">
        <v>0.34</v>
      </c>
      <c r="AH292">
        <v>3</v>
      </c>
      <c r="AI292">
        <v>-1</v>
      </c>
      <c r="AJ292" t="s">
        <v>4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>
      <c r="A293">
        <f>ROW(Source!A197)</f>
        <v>197</v>
      </c>
      <c r="B293">
        <v>70305767</v>
      </c>
      <c r="C293">
        <v>70305762</v>
      </c>
      <c r="D293">
        <v>69336116</v>
      </c>
      <c r="E293">
        <v>1</v>
      </c>
      <c r="F293">
        <v>1</v>
      </c>
      <c r="G293">
        <v>1075</v>
      </c>
      <c r="H293">
        <v>3</v>
      </c>
      <c r="I293" t="s">
        <v>398</v>
      </c>
      <c r="J293" t="s">
        <v>399</v>
      </c>
      <c r="K293" t="s">
        <v>400</v>
      </c>
      <c r="L293">
        <v>1354</v>
      </c>
      <c r="N293">
        <v>1010</v>
      </c>
      <c r="O293" t="s">
        <v>188</v>
      </c>
      <c r="P293" t="s">
        <v>188</v>
      </c>
      <c r="Q293">
        <v>1</v>
      </c>
      <c r="X293">
        <v>208</v>
      </c>
      <c r="Y293">
        <v>5.88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0</v>
      </c>
      <c r="AF293" t="s">
        <v>4</v>
      </c>
      <c r="AG293">
        <v>208</v>
      </c>
      <c r="AH293">
        <v>3</v>
      </c>
      <c r="AI293">
        <v>-1</v>
      </c>
      <c r="AJ293" t="s">
        <v>4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>
      <c r="A294">
        <f>ROW(Source!A198)</f>
        <v>198</v>
      </c>
      <c r="B294">
        <v>70305765</v>
      </c>
      <c r="C294">
        <v>70305762</v>
      </c>
      <c r="D294">
        <v>69275358</v>
      </c>
      <c r="E294">
        <v>1075</v>
      </c>
      <c r="F294">
        <v>1</v>
      </c>
      <c r="G294">
        <v>1075</v>
      </c>
      <c r="H294">
        <v>1</v>
      </c>
      <c r="I294" t="s">
        <v>332</v>
      </c>
      <c r="J294" t="s">
        <v>4</v>
      </c>
      <c r="K294" t="s">
        <v>333</v>
      </c>
      <c r="L294">
        <v>1191</v>
      </c>
      <c r="N294">
        <v>1013</v>
      </c>
      <c r="O294" t="s">
        <v>334</v>
      </c>
      <c r="P294" t="s">
        <v>334</v>
      </c>
      <c r="Q294">
        <v>1</v>
      </c>
      <c r="X294">
        <v>2.95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1</v>
      </c>
      <c r="AE294">
        <v>1</v>
      </c>
      <c r="AF294" t="s">
        <v>4</v>
      </c>
      <c r="AG294">
        <v>2.95</v>
      </c>
      <c r="AH294">
        <v>3</v>
      </c>
      <c r="AI294">
        <v>-1</v>
      </c>
      <c r="AJ294" t="s">
        <v>4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>
      <c r="A295">
        <f>ROW(Source!A198)</f>
        <v>198</v>
      </c>
      <c r="B295">
        <v>70305766</v>
      </c>
      <c r="C295">
        <v>70305762</v>
      </c>
      <c r="D295">
        <v>69364509</v>
      </c>
      <c r="E295">
        <v>1</v>
      </c>
      <c r="F295">
        <v>1</v>
      </c>
      <c r="G295">
        <v>1075</v>
      </c>
      <c r="H295">
        <v>2</v>
      </c>
      <c r="I295" t="s">
        <v>364</v>
      </c>
      <c r="J295" t="s">
        <v>365</v>
      </c>
      <c r="K295" t="s">
        <v>366</v>
      </c>
      <c r="L295">
        <v>1368</v>
      </c>
      <c r="N295">
        <v>1011</v>
      </c>
      <c r="O295" t="s">
        <v>338</v>
      </c>
      <c r="P295" t="s">
        <v>338</v>
      </c>
      <c r="Q295">
        <v>1</v>
      </c>
      <c r="X295">
        <v>0.34</v>
      </c>
      <c r="Y295">
        <v>0</v>
      </c>
      <c r="Z295">
        <v>83.1</v>
      </c>
      <c r="AA295">
        <v>12.62</v>
      </c>
      <c r="AB295">
        <v>0</v>
      </c>
      <c r="AC295">
        <v>0</v>
      </c>
      <c r="AD295">
        <v>1</v>
      </c>
      <c r="AE295">
        <v>0</v>
      </c>
      <c r="AF295" t="s">
        <v>4</v>
      </c>
      <c r="AG295">
        <v>0.34</v>
      </c>
      <c r="AH295">
        <v>3</v>
      </c>
      <c r="AI295">
        <v>-1</v>
      </c>
      <c r="AJ295" t="s">
        <v>4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>
      <c r="A296">
        <f>ROW(Source!A198)</f>
        <v>198</v>
      </c>
      <c r="B296">
        <v>70305767</v>
      </c>
      <c r="C296">
        <v>70305762</v>
      </c>
      <c r="D296">
        <v>69336116</v>
      </c>
      <c r="E296">
        <v>1</v>
      </c>
      <c r="F296">
        <v>1</v>
      </c>
      <c r="G296">
        <v>1075</v>
      </c>
      <c r="H296">
        <v>3</v>
      </c>
      <c r="I296" t="s">
        <v>398</v>
      </c>
      <c r="J296" t="s">
        <v>399</v>
      </c>
      <c r="K296" t="s">
        <v>400</v>
      </c>
      <c r="L296">
        <v>1354</v>
      </c>
      <c r="N296">
        <v>1010</v>
      </c>
      <c r="O296" t="s">
        <v>188</v>
      </c>
      <c r="P296" t="s">
        <v>188</v>
      </c>
      <c r="Q296">
        <v>1</v>
      </c>
      <c r="X296">
        <v>208</v>
      </c>
      <c r="Y296">
        <v>5.88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0</v>
      </c>
      <c r="AF296" t="s">
        <v>4</v>
      </c>
      <c r="AG296">
        <v>208</v>
      </c>
      <c r="AH296">
        <v>3</v>
      </c>
      <c r="AI296">
        <v>-1</v>
      </c>
      <c r="AJ296" t="s">
        <v>4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>
      <c r="A297">
        <f>ROW(Source!A199)</f>
        <v>199</v>
      </c>
      <c r="B297">
        <v>70310709</v>
      </c>
      <c r="C297">
        <v>70305768</v>
      </c>
      <c r="D297">
        <v>69275358</v>
      </c>
      <c r="E297">
        <v>1075</v>
      </c>
      <c r="F297">
        <v>1</v>
      </c>
      <c r="G297">
        <v>1075</v>
      </c>
      <c r="H297">
        <v>1</v>
      </c>
      <c r="I297" t="s">
        <v>332</v>
      </c>
      <c r="J297" t="s">
        <v>4</v>
      </c>
      <c r="K297" t="s">
        <v>333</v>
      </c>
      <c r="L297">
        <v>1191</v>
      </c>
      <c r="N297">
        <v>1013</v>
      </c>
      <c r="O297" t="s">
        <v>334</v>
      </c>
      <c r="P297" t="s">
        <v>334</v>
      </c>
      <c r="Q297">
        <v>1</v>
      </c>
      <c r="X297">
        <v>5.97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1</v>
      </c>
      <c r="AE297">
        <v>1</v>
      </c>
      <c r="AF297" t="s">
        <v>4</v>
      </c>
      <c r="AG297">
        <v>5.97</v>
      </c>
      <c r="AH297">
        <v>2</v>
      </c>
      <c r="AI297">
        <v>70310709</v>
      </c>
      <c r="AJ297">
        <v>95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>
      <c r="A298">
        <f>ROW(Source!A199)</f>
        <v>199</v>
      </c>
      <c r="B298">
        <v>70310710</v>
      </c>
      <c r="C298">
        <v>70305768</v>
      </c>
      <c r="D298">
        <v>69364509</v>
      </c>
      <c r="E298">
        <v>1</v>
      </c>
      <c r="F298">
        <v>1</v>
      </c>
      <c r="G298">
        <v>1075</v>
      </c>
      <c r="H298">
        <v>2</v>
      </c>
      <c r="I298" t="s">
        <v>364</v>
      </c>
      <c r="J298" t="s">
        <v>365</v>
      </c>
      <c r="K298" t="s">
        <v>366</v>
      </c>
      <c r="L298">
        <v>1368</v>
      </c>
      <c r="N298">
        <v>1011</v>
      </c>
      <c r="O298" t="s">
        <v>338</v>
      </c>
      <c r="P298" t="s">
        <v>338</v>
      </c>
      <c r="Q298">
        <v>1</v>
      </c>
      <c r="X298">
        <v>3.89</v>
      </c>
      <c r="Y298">
        <v>0</v>
      </c>
      <c r="Z298">
        <v>83.1</v>
      </c>
      <c r="AA298">
        <v>12.62</v>
      </c>
      <c r="AB298">
        <v>0</v>
      </c>
      <c r="AC298">
        <v>0</v>
      </c>
      <c r="AD298">
        <v>1</v>
      </c>
      <c r="AE298">
        <v>0</v>
      </c>
      <c r="AF298" t="s">
        <v>4</v>
      </c>
      <c r="AG298">
        <v>3.89</v>
      </c>
      <c r="AH298">
        <v>2</v>
      </c>
      <c r="AI298">
        <v>70310710</v>
      </c>
      <c r="AJ298">
        <v>96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>
      <c r="A299">
        <f>ROW(Source!A199)</f>
        <v>199</v>
      </c>
      <c r="B299">
        <v>70310711</v>
      </c>
      <c r="C299">
        <v>70305768</v>
      </c>
      <c r="D299">
        <v>69312091</v>
      </c>
      <c r="E299">
        <v>1075</v>
      </c>
      <c r="F299">
        <v>1</v>
      </c>
      <c r="G299">
        <v>1075</v>
      </c>
      <c r="H299">
        <v>3</v>
      </c>
      <c r="I299" t="s">
        <v>516</v>
      </c>
      <c r="J299" t="s">
        <v>4</v>
      </c>
      <c r="K299" t="s">
        <v>517</v>
      </c>
      <c r="L299">
        <v>1356</v>
      </c>
      <c r="N299">
        <v>1010</v>
      </c>
      <c r="O299" t="s">
        <v>286</v>
      </c>
      <c r="P299" t="s">
        <v>286</v>
      </c>
      <c r="Q299">
        <v>1000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 t="s">
        <v>4</v>
      </c>
      <c r="AG299">
        <v>0</v>
      </c>
      <c r="AH299">
        <v>3</v>
      </c>
      <c r="AI299">
        <v>-1</v>
      </c>
      <c r="AJ299" t="s">
        <v>4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>
      <c r="A300">
        <f>ROW(Source!A200)</f>
        <v>200</v>
      </c>
      <c r="B300">
        <v>70310709</v>
      </c>
      <c r="C300">
        <v>70305768</v>
      </c>
      <c r="D300">
        <v>69275358</v>
      </c>
      <c r="E300">
        <v>1075</v>
      </c>
      <c r="F300">
        <v>1</v>
      </c>
      <c r="G300">
        <v>1075</v>
      </c>
      <c r="H300">
        <v>1</v>
      </c>
      <c r="I300" t="s">
        <v>332</v>
      </c>
      <c r="J300" t="s">
        <v>4</v>
      </c>
      <c r="K300" t="s">
        <v>333</v>
      </c>
      <c r="L300">
        <v>1191</v>
      </c>
      <c r="N300">
        <v>1013</v>
      </c>
      <c r="O300" t="s">
        <v>334</v>
      </c>
      <c r="P300" t="s">
        <v>334</v>
      </c>
      <c r="Q300">
        <v>1</v>
      </c>
      <c r="X300">
        <v>5.97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1</v>
      </c>
      <c r="AF300" t="s">
        <v>4</v>
      </c>
      <c r="AG300">
        <v>5.97</v>
      </c>
      <c r="AH300">
        <v>2</v>
      </c>
      <c r="AI300">
        <v>70310709</v>
      </c>
      <c r="AJ300">
        <v>98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>
      <c r="A301">
        <f>ROW(Source!A200)</f>
        <v>200</v>
      </c>
      <c r="B301">
        <v>70310710</v>
      </c>
      <c r="C301">
        <v>70305768</v>
      </c>
      <c r="D301">
        <v>69364509</v>
      </c>
      <c r="E301">
        <v>1</v>
      </c>
      <c r="F301">
        <v>1</v>
      </c>
      <c r="G301">
        <v>1075</v>
      </c>
      <c r="H301">
        <v>2</v>
      </c>
      <c r="I301" t="s">
        <v>364</v>
      </c>
      <c r="J301" t="s">
        <v>365</v>
      </c>
      <c r="K301" t="s">
        <v>366</v>
      </c>
      <c r="L301">
        <v>1368</v>
      </c>
      <c r="N301">
        <v>1011</v>
      </c>
      <c r="O301" t="s">
        <v>338</v>
      </c>
      <c r="P301" t="s">
        <v>338</v>
      </c>
      <c r="Q301">
        <v>1</v>
      </c>
      <c r="X301">
        <v>3.89</v>
      </c>
      <c r="Y301">
        <v>0</v>
      </c>
      <c r="Z301">
        <v>83.1</v>
      </c>
      <c r="AA301">
        <v>12.62</v>
      </c>
      <c r="AB301">
        <v>0</v>
      </c>
      <c r="AC301">
        <v>0</v>
      </c>
      <c r="AD301">
        <v>1</v>
      </c>
      <c r="AE301">
        <v>0</v>
      </c>
      <c r="AF301" t="s">
        <v>4</v>
      </c>
      <c r="AG301">
        <v>3.89</v>
      </c>
      <c r="AH301">
        <v>2</v>
      </c>
      <c r="AI301">
        <v>70310710</v>
      </c>
      <c r="AJ301">
        <v>99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>
      <c r="A302">
        <f>ROW(Source!A200)</f>
        <v>200</v>
      </c>
      <c r="B302">
        <v>70310711</v>
      </c>
      <c r="C302">
        <v>70305768</v>
      </c>
      <c r="D302">
        <v>69312091</v>
      </c>
      <c r="E302">
        <v>1075</v>
      </c>
      <c r="F302">
        <v>1</v>
      </c>
      <c r="G302">
        <v>1075</v>
      </c>
      <c r="H302">
        <v>3</v>
      </c>
      <c r="I302" t="s">
        <v>516</v>
      </c>
      <c r="J302" t="s">
        <v>4</v>
      </c>
      <c r="K302" t="s">
        <v>517</v>
      </c>
      <c r="L302">
        <v>1356</v>
      </c>
      <c r="N302">
        <v>1010</v>
      </c>
      <c r="O302" t="s">
        <v>286</v>
      </c>
      <c r="P302" t="s">
        <v>286</v>
      </c>
      <c r="Q302">
        <v>1000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 t="s">
        <v>4</v>
      </c>
      <c r="AG302">
        <v>0</v>
      </c>
      <c r="AH302">
        <v>3</v>
      </c>
      <c r="AI302">
        <v>-1</v>
      </c>
      <c r="AJ302" t="s">
        <v>4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>
      <c r="A303">
        <f>ROW(Source!A204)</f>
        <v>204</v>
      </c>
      <c r="B303">
        <v>70305777</v>
      </c>
      <c r="C303">
        <v>70305774</v>
      </c>
      <c r="D303">
        <v>69275358</v>
      </c>
      <c r="E303">
        <v>1075</v>
      </c>
      <c r="F303">
        <v>1</v>
      </c>
      <c r="G303">
        <v>1075</v>
      </c>
      <c r="H303">
        <v>1</v>
      </c>
      <c r="I303" t="s">
        <v>332</v>
      </c>
      <c r="J303" t="s">
        <v>4</v>
      </c>
      <c r="K303" t="s">
        <v>333</v>
      </c>
      <c r="L303">
        <v>1191</v>
      </c>
      <c r="N303">
        <v>1013</v>
      </c>
      <c r="O303" t="s">
        <v>334</v>
      </c>
      <c r="P303" t="s">
        <v>334</v>
      </c>
      <c r="Q303">
        <v>1</v>
      </c>
      <c r="X303">
        <v>54.12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1</v>
      </c>
      <c r="AF303" t="s">
        <v>4</v>
      </c>
      <c r="AG303">
        <v>54.12</v>
      </c>
      <c r="AH303">
        <v>3</v>
      </c>
      <c r="AI303">
        <v>-1</v>
      </c>
      <c r="AJ303" t="s">
        <v>4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>
      <c r="A304">
        <f>ROW(Source!A204)</f>
        <v>204</v>
      </c>
      <c r="B304">
        <v>70305778</v>
      </c>
      <c r="C304">
        <v>70305774</v>
      </c>
      <c r="D304">
        <v>69364511</v>
      </c>
      <c r="E304">
        <v>1</v>
      </c>
      <c r="F304">
        <v>1</v>
      </c>
      <c r="G304">
        <v>1075</v>
      </c>
      <c r="H304">
        <v>2</v>
      </c>
      <c r="I304" t="s">
        <v>452</v>
      </c>
      <c r="J304" t="s">
        <v>453</v>
      </c>
      <c r="K304" t="s">
        <v>454</v>
      </c>
      <c r="L304">
        <v>1368</v>
      </c>
      <c r="N304">
        <v>1011</v>
      </c>
      <c r="O304" t="s">
        <v>338</v>
      </c>
      <c r="P304" t="s">
        <v>338</v>
      </c>
      <c r="Q304">
        <v>1</v>
      </c>
      <c r="X304">
        <v>0.79</v>
      </c>
      <c r="Y304">
        <v>0</v>
      </c>
      <c r="Z304">
        <v>119.07</v>
      </c>
      <c r="AA304">
        <v>12.62</v>
      </c>
      <c r="AB304">
        <v>0</v>
      </c>
      <c r="AC304">
        <v>0</v>
      </c>
      <c r="AD304">
        <v>1</v>
      </c>
      <c r="AE304">
        <v>0</v>
      </c>
      <c r="AF304" t="s">
        <v>4</v>
      </c>
      <c r="AG304">
        <v>0.79</v>
      </c>
      <c r="AH304">
        <v>3</v>
      </c>
      <c r="AI304">
        <v>-1</v>
      </c>
      <c r="AJ304" t="s">
        <v>4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>
      <c r="A305">
        <f>ROW(Source!A204)</f>
        <v>204</v>
      </c>
      <c r="B305">
        <v>70305779</v>
      </c>
      <c r="C305">
        <v>70305774</v>
      </c>
      <c r="D305">
        <v>69363844</v>
      </c>
      <c r="E305">
        <v>1</v>
      </c>
      <c r="F305">
        <v>1</v>
      </c>
      <c r="G305">
        <v>1075</v>
      </c>
      <c r="H305">
        <v>2</v>
      </c>
      <c r="I305" t="s">
        <v>455</v>
      </c>
      <c r="J305" t="s">
        <v>456</v>
      </c>
      <c r="K305" t="s">
        <v>457</v>
      </c>
      <c r="L305">
        <v>1368</v>
      </c>
      <c r="N305">
        <v>1011</v>
      </c>
      <c r="O305" t="s">
        <v>338</v>
      </c>
      <c r="P305" t="s">
        <v>338</v>
      </c>
      <c r="Q305">
        <v>1</v>
      </c>
      <c r="X305">
        <v>0.86</v>
      </c>
      <c r="Y305">
        <v>0</v>
      </c>
      <c r="Z305">
        <v>6.68</v>
      </c>
      <c r="AA305">
        <v>0</v>
      </c>
      <c r="AB305">
        <v>0</v>
      </c>
      <c r="AC305">
        <v>0</v>
      </c>
      <c r="AD305">
        <v>1</v>
      </c>
      <c r="AE305">
        <v>0</v>
      </c>
      <c r="AF305" t="s">
        <v>4</v>
      </c>
      <c r="AG305">
        <v>0.86</v>
      </c>
      <c r="AH305">
        <v>3</v>
      </c>
      <c r="AI305">
        <v>-1</v>
      </c>
      <c r="AJ305" t="s">
        <v>4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>
      <c r="A306">
        <f>ROW(Source!A204)</f>
        <v>204</v>
      </c>
      <c r="B306">
        <v>70305780</v>
      </c>
      <c r="C306">
        <v>70305774</v>
      </c>
      <c r="D306">
        <v>69363851</v>
      </c>
      <c r="E306">
        <v>1</v>
      </c>
      <c r="F306">
        <v>1</v>
      </c>
      <c r="G306">
        <v>1075</v>
      </c>
      <c r="H306">
        <v>2</v>
      </c>
      <c r="I306" t="s">
        <v>458</v>
      </c>
      <c r="J306" t="s">
        <v>459</v>
      </c>
      <c r="K306" t="s">
        <v>460</v>
      </c>
      <c r="L306">
        <v>1368</v>
      </c>
      <c r="N306">
        <v>1011</v>
      </c>
      <c r="O306" t="s">
        <v>338</v>
      </c>
      <c r="P306" t="s">
        <v>338</v>
      </c>
      <c r="Q306">
        <v>1</v>
      </c>
      <c r="X306">
        <v>2.4300000000000002</v>
      </c>
      <c r="Y306">
        <v>0</v>
      </c>
      <c r="Z306">
        <v>0.54</v>
      </c>
      <c r="AA306">
        <v>0</v>
      </c>
      <c r="AB306">
        <v>0</v>
      </c>
      <c r="AC306">
        <v>0</v>
      </c>
      <c r="AD306">
        <v>1</v>
      </c>
      <c r="AE306">
        <v>0</v>
      </c>
      <c r="AF306" t="s">
        <v>4</v>
      </c>
      <c r="AG306">
        <v>2.4300000000000002</v>
      </c>
      <c r="AH306">
        <v>3</v>
      </c>
      <c r="AI306">
        <v>-1</v>
      </c>
      <c r="AJ306" t="s">
        <v>4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>
      <c r="A307">
        <f>ROW(Source!A204)</f>
        <v>204</v>
      </c>
      <c r="B307">
        <v>70305781</v>
      </c>
      <c r="C307">
        <v>70305774</v>
      </c>
      <c r="D307">
        <v>69364066</v>
      </c>
      <c r="E307">
        <v>1</v>
      </c>
      <c r="F307">
        <v>1</v>
      </c>
      <c r="G307">
        <v>1075</v>
      </c>
      <c r="H307">
        <v>2</v>
      </c>
      <c r="I307" t="s">
        <v>461</v>
      </c>
      <c r="J307" t="s">
        <v>462</v>
      </c>
      <c r="K307" t="s">
        <v>463</v>
      </c>
      <c r="L307">
        <v>1368</v>
      </c>
      <c r="N307">
        <v>1011</v>
      </c>
      <c r="O307" t="s">
        <v>338</v>
      </c>
      <c r="P307" t="s">
        <v>338</v>
      </c>
      <c r="Q307">
        <v>1</v>
      </c>
      <c r="X307">
        <v>0.86</v>
      </c>
      <c r="Y307">
        <v>0</v>
      </c>
      <c r="Z307">
        <v>141.16</v>
      </c>
      <c r="AA307">
        <v>14.54</v>
      </c>
      <c r="AB307">
        <v>0</v>
      </c>
      <c r="AC307">
        <v>0</v>
      </c>
      <c r="AD307">
        <v>1</v>
      </c>
      <c r="AE307">
        <v>0</v>
      </c>
      <c r="AF307" t="s">
        <v>4</v>
      </c>
      <c r="AG307">
        <v>0.86</v>
      </c>
      <c r="AH307">
        <v>3</v>
      </c>
      <c r="AI307">
        <v>-1</v>
      </c>
      <c r="AJ307" t="s">
        <v>4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>
      <c r="A308">
        <f>ROW(Source!A204)</f>
        <v>204</v>
      </c>
      <c r="B308">
        <v>70305782</v>
      </c>
      <c r="C308">
        <v>70305774</v>
      </c>
      <c r="D308">
        <v>69364069</v>
      </c>
      <c r="E308">
        <v>1</v>
      </c>
      <c r="F308">
        <v>1</v>
      </c>
      <c r="G308">
        <v>1075</v>
      </c>
      <c r="H308">
        <v>2</v>
      </c>
      <c r="I308" t="s">
        <v>464</v>
      </c>
      <c r="J308" t="s">
        <v>465</v>
      </c>
      <c r="K308" t="s">
        <v>466</v>
      </c>
      <c r="L308">
        <v>1368</v>
      </c>
      <c r="N308">
        <v>1011</v>
      </c>
      <c r="O308" t="s">
        <v>338</v>
      </c>
      <c r="P308" t="s">
        <v>338</v>
      </c>
      <c r="Q308">
        <v>1</v>
      </c>
      <c r="X308">
        <v>0.76</v>
      </c>
      <c r="Y308">
        <v>0</v>
      </c>
      <c r="Z308">
        <v>3.95</v>
      </c>
      <c r="AA308">
        <v>0</v>
      </c>
      <c r="AB308">
        <v>0</v>
      </c>
      <c r="AC308">
        <v>0</v>
      </c>
      <c r="AD308">
        <v>1</v>
      </c>
      <c r="AE308">
        <v>0</v>
      </c>
      <c r="AF308" t="s">
        <v>4</v>
      </c>
      <c r="AG308">
        <v>0.76</v>
      </c>
      <c r="AH308">
        <v>3</v>
      </c>
      <c r="AI308">
        <v>-1</v>
      </c>
      <c r="AJ308" t="s">
        <v>4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>
      <c r="A309">
        <f>ROW(Source!A204)</f>
        <v>204</v>
      </c>
      <c r="B309">
        <v>70305783</v>
      </c>
      <c r="C309">
        <v>70305774</v>
      </c>
      <c r="D309">
        <v>69333752</v>
      </c>
      <c r="E309">
        <v>1</v>
      </c>
      <c r="F309">
        <v>1</v>
      </c>
      <c r="G309">
        <v>1075</v>
      </c>
      <c r="H309">
        <v>3</v>
      </c>
      <c r="I309" t="s">
        <v>352</v>
      </c>
      <c r="J309" t="s">
        <v>353</v>
      </c>
      <c r="K309" t="s">
        <v>354</v>
      </c>
      <c r="L309">
        <v>1348</v>
      </c>
      <c r="N309">
        <v>1009</v>
      </c>
      <c r="O309" t="s">
        <v>168</v>
      </c>
      <c r="P309" t="s">
        <v>168</v>
      </c>
      <c r="Q309">
        <v>1000</v>
      </c>
      <c r="X309">
        <v>1E-4</v>
      </c>
      <c r="Y309">
        <v>6521.42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0</v>
      </c>
      <c r="AF309" t="s">
        <v>4</v>
      </c>
      <c r="AG309">
        <v>1E-4</v>
      </c>
      <c r="AH309">
        <v>3</v>
      </c>
      <c r="AI309">
        <v>-1</v>
      </c>
      <c r="AJ309" t="s">
        <v>4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>
      <c r="A310">
        <f>ROW(Source!A204)</f>
        <v>204</v>
      </c>
      <c r="B310">
        <v>70305784</v>
      </c>
      <c r="C310">
        <v>70305774</v>
      </c>
      <c r="D310">
        <v>69334877</v>
      </c>
      <c r="E310">
        <v>1</v>
      </c>
      <c r="F310">
        <v>1</v>
      </c>
      <c r="G310">
        <v>1075</v>
      </c>
      <c r="H310">
        <v>3</v>
      </c>
      <c r="I310" t="s">
        <v>467</v>
      </c>
      <c r="J310" t="s">
        <v>468</v>
      </c>
      <c r="K310" t="s">
        <v>469</v>
      </c>
      <c r="L310">
        <v>1346</v>
      </c>
      <c r="N310">
        <v>1009</v>
      </c>
      <c r="O310" t="s">
        <v>394</v>
      </c>
      <c r="P310" t="s">
        <v>394</v>
      </c>
      <c r="Q310">
        <v>1</v>
      </c>
      <c r="X310">
        <v>0.09</v>
      </c>
      <c r="Y310">
        <v>18.149999999999999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0</v>
      </c>
      <c r="AF310" t="s">
        <v>4</v>
      </c>
      <c r="AG310">
        <v>0.09</v>
      </c>
      <c r="AH310">
        <v>3</v>
      </c>
      <c r="AI310">
        <v>-1</v>
      </c>
      <c r="AJ310" t="s">
        <v>4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>
      <c r="A311">
        <f>ROW(Source!A204)</f>
        <v>204</v>
      </c>
      <c r="B311">
        <v>70305785</v>
      </c>
      <c r="C311">
        <v>70305774</v>
      </c>
      <c r="D311">
        <v>69333818</v>
      </c>
      <c r="E311">
        <v>1</v>
      </c>
      <c r="F311">
        <v>1</v>
      </c>
      <c r="G311">
        <v>1075</v>
      </c>
      <c r="H311">
        <v>3</v>
      </c>
      <c r="I311" t="s">
        <v>470</v>
      </c>
      <c r="J311" t="s">
        <v>471</v>
      </c>
      <c r="K311" t="s">
        <v>472</v>
      </c>
      <c r="L311">
        <v>1339</v>
      </c>
      <c r="N311">
        <v>1007</v>
      </c>
      <c r="O311" t="s">
        <v>52</v>
      </c>
      <c r="P311" t="s">
        <v>52</v>
      </c>
      <c r="Q311">
        <v>1</v>
      </c>
      <c r="X311">
        <v>0.01</v>
      </c>
      <c r="Y311">
        <v>1183.5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0</v>
      </c>
      <c r="AF311" t="s">
        <v>4</v>
      </c>
      <c r="AG311">
        <v>0.01</v>
      </c>
      <c r="AH311">
        <v>3</v>
      </c>
      <c r="AI311">
        <v>-1</v>
      </c>
      <c r="AJ311" t="s">
        <v>4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>
      <c r="A312">
        <f>ROW(Source!A204)</f>
        <v>204</v>
      </c>
      <c r="B312">
        <v>70305786</v>
      </c>
      <c r="C312">
        <v>70305774</v>
      </c>
      <c r="D312">
        <v>69333692</v>
      </c>
      <c r="E312">
        <v>1</v>
      </c>
      <c r="F312">
        <v>1</v>
      </c>
      <c r="G312">
        <v>1075</v>
      </c>
      <c r="H312">
        <v>3</v>
      </c>
      <c r="I312" t="s">
        <v>473</v>
      </c>
      <c r="J312" t="s">
        <v>474</v>
      </c>
      <c r="K312" t="s">
        <v>475</v>
      </c>
      <c r="L312">
        <v>1348</v>
      </c>
      <c r="N312">
        <v>1009</v>
      </c>
      <c r="O312" t="s">
        <v>168</v>
      </c>
      <c r="P312" t="s">
        <v>168</v>
      </c>
      <c r="Q312">
        <v>1000</v>
      </c>
      <c r="X312">
        <v>2.8700000000000002E-3</v>
      </c>
      <c r="Y312">
        <v>24618.39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0</v>
      </c>
      <c r="AF312" t="s">
        <v>4</v>
      </c>
      <c r="AG312">
        <v>2.8700000000000002E-3</v>
      </c>
      <c r="AH312">
        <v>3</v>
      </c>
      <c r="AI312">
        <v>-1</v>
      </c>
      <c r="AJ312" t="s">
        <v>4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>
      <c r="A313">
        <f>ROW(Source!A204)</f>
        <v>204</v>
      </c>
      <c r="B313">
        <v>70305787</v>
      </c>
      <c r="C313">
        <v>70305774</v>
      </c>
      <c r="D313">
        <v>69334282</v>
      </c>
      <c r="E313">
        <v>1</v>
      </c>
      <c r="F313">
        <v>1</v>
      </c>
      <c r="G313">
        <v>1075</v>
      </c>
      <c r="H313">
        <v>3</v>
      </c>
      <c r="I313" t="s">
        <v>476</v>
      </c>
      <c r="J313" t="s">
        <v>477</v>
      </c>
      <c r="K313" t="s">
        <v>478</v>
      </c>
      <c r="L313">
        <v>1348</v>
      </c>
      <c r="N313">
        <v>1009</v>
      </c>
      <c r="O313" t="s">
        <v>168</v>
      </c>
      <c r="P313" t="s">
        <v>168</v>
      </c>
      <c r="Q313">
        <v>1000</v>
      </c>
      <c r="X313">
        <v>9.4000000000000004E-3</v>
      </c>
      <c r="Y313">
        <v>6870.66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0</v>
      </c>
      <c r="AF313" t="s">
        <v>4</v>
      </c>
      <c r="AG313">
        <v>9.4000000000000004E-3</v>
      </c>
      <c r="AH313">
        <v>3</v>
      </c>
      <c r="AI313">
        <v>-1</v>
      </c>
      <c r="AJ313" t="s">
        <v>4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>
      <c r="A314">
        <f>ROW(Source!A204)</f>
        <v>204</v>
      </c>
      <c r="B314">
        <v>70305788</v>
      </c>
      <c r="C314">
        <v>70305774</v>
      </c>
      <c r="D314">
        <v>69334307</v>
      </c>
      <c r="E314">
        <v>1</v>
      </c>
      <c r="F314">
        <v>1</v>
      </c>
      <c r="G314">
        <v>1075</v>
      </c>
      <c r="H314">
        <v>3</v>
      </c>
      <c r="I314" t="s">
        <v>361</v>
      </c>
      <c r="J314" t="s">
        <v>362</v>
      </c>
      <c r="K314" t="s">
        <v>363</v>
      </c>
      <c r="L314">
        <v>1348</v>
      </c>
      <c r="N314">
        <v>1009</v>
      </c>
      <c r="O314" t="s">
        <v>168</v>
      </c>
      <c r="P314" t="s">
        <v>168</v>
      </c>
      <c r="Q314">
        <v>1000</v>
      </c>
      <c r="X314">
        <v>4.0000000000000003E-5</v>
      </c>
      <c r="Y314">
        <v>9098.51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0</v>
      </c>
      <c r="AF314" t="s">
        <v>4</v>
      </c>
      <c r="AG314">
        <v>4.0000000000000003E-5</v>
      </c>
      <c r="AH314">
        <v>3</v>
      </c>
      <c r="AI314">
        <v>-1</v>
      </c>
      <c r="AJ314" t="s">
        <v>4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>
      <c r="A315">
        <f>ROW(Source!A204)</f>
        <v>204</v>
      </c>
      <c r="B315">
        <v>70305789</v>
      </c>
      <c r="C315">
        <v>70305774</v>
      </c>
      <c r="D315">
        <v>69351457</v>
      </c>
      <c r="E315">
        <v>1</v>
      </c>
      <c r="F315">
        <v>1</v>
      </c>
      <c r="G315">
        <v>1075</v>
      </c>
      <c r="H315">
        <v>3</v>
      </c>
      <c r="I315" t="s">
        <v>479</v>
      </c>
      <c r="J315" t="s">
        <v>480</v>
      </c>
      <c r="K315" t="s">
        <v>481</v>
      </c>
      <c r="L315">
        <v>1356</v>
      </c>
      <c r="N315">
        <v>1010</v>
      </c>
      <c r="O315" t="s">
        <v>286</v>
      </c>
      <c r="P315" t="s">
        <v>286</v>
      </c>
      <c r="Q315">
        <v>1000</v>
      </c>
      <c r="X315">
        <v>4.1000000000000003E-3</v>
      </c>
      <c r="Y315">
        <v>56.17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0</v>
      </c>
      <c r="AF315" t="s">
        <v>4</v>
      </c>
      <c r="AG315">
        <v>4.1000000000000003E-3</v>
      </c>
      <c r="AH315">
        <v>3</v>
      </c>
      <c r="AI315">
        <v>-1</v>
      </c>
      <c r="AJ315" t="s">
        <v>4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>
      <c r="A316">
        <f>ROW(Source!A204)</f>
        <v>204</v>
      </c>
      <c r="B316">
        <v>70305790</v>
      </c>
      <c r="C316">
        <v>70305774</v>
      </c>
      <c r="D316">
        <v>69351232</v>
      </c>
      <c r="E316">
        <v>1</v>
      </c>
      <c r="F316">
        <v>1</v>
      </c>
      <c r="G316">
        <v>1075</v>
      </c>
      <c r="H316">
        <v>3</v>
      </c>
      <c r="I316" t="s">
        <v>482</v>
      </c>
      <c r="J316" t="s">
        <v>483</v>
      </c>
      <c r="K316" t="s">
        <v>484</v>
      </c>
      <c r="L316">
        <v>1355</v>
      </c>
      <c r="N316">
        <v>1010</v>
      </c>
      <c r="O316" t="s">
        <v>485</v>
      </c>
      <c r="P316" t="s">
        <v>485</v>
      </c>
      <c r="Q316">
        <v>100</v>
      </c>
      <c r="X316">
        <v>0.66669999999999996</v>
      </c>
      <c r="Y316">
        <v>57.81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0</v>
      </c>
      <c r="AF316" t="s">
        <v>4</v>
      </c>
      <c r="AG316">
        <v>0.66669999999999996</v>
      </c>
      <c r="AH316">
        <v>3</v>
      </c>
      <c r="AI316">
        <v>-1</v>
      </c>
      <c r="AJ316" t="s">
        <v>4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>
      <c r="A317">
        <f>ROW(Source!A204)</f>
        <v>204</v>
      </c>
      <c r="B317">
        <v>70305791</v>
      </c>
      <c r="C317">
        <v>70305774</v>
      </c>
      <c r="D317">
        <v>69298822</v>
      </c>
      <c r="E317">
        <v>1075</v>
      </c>
      <c r="F317">
        <v>1</v>
      </c>
      <c r="G317">
        <v>1075</v>
      </c>
      <c r="H317">
        <v>3</v>
      </c>
      <c r="I317" t="s">
        <v>486</v>
      </c>
      <c r="J317" t="s">
        <v>4</v>
      </c>
      <c r="K317" t="s">
        <v>487</v>
      </c>
      <c r="L317">
        <v>1303</v>
      </c>
      <c r="N317">
        <v>1003</v>
      </c>
      <c r="O317" t="s">
        <v>209</v>
      </c>
      <c r="P317" t="s">
        <v>209</v>
      </c>
      <c r="Q317">
        <v>1000</v>
      </c>
      <c r="X317">
        <v>0.30599999999999999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 t="s">
        <v>4</v>
      </c>
      <c r="AG317">
        <v>0.30599999999999999</v>
      </c>
      <c r="AH317">
        <v>3</v>
      </c>
      <c r="AI317">
        <v>-1</v>
      </c>
      <c r="AJ317" t="s">
        <v>4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>
      <c r="A318">
        <f>ROW(Source!A205)</f>
        <v>205</v>
      </c>
      <c r="B318">
        <v>70305777</v>
      </c>
      <c r="C318">
        <v>70305774</v>
      </c>
      <c r="D318">
        <v>69275358</v>
      </c>
      <c r="E318">
        <v>1075</v>
      </c>
      <c r="F318">
        <v>1</v>
      </c>
      <c r="G318">
        <v>1075</v>
      </c>
      <c r="H318">
        <v>1</v>
      </c>
      <c r="I318" t="s">
        <v>332</v>
      </c>
      <c r="J318" t="s">
        <v>4</v>
      </c>
      <c r="K318" t="s">
        <v>333</v>
      </c>
      <c r="L318">
        <v>1191</v>
      </c>
      <c r="N318">
        <v>1013</v>
      </c>
      <c r="O318" t="s">
        <v>334</v>
      </c>
      <c r="P318" t="s">
        <v>334</v>
      </c>
      <c r="Q318">
        <v>1</v>
      </c>
      <c r="X318">
        <v>54.12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1</v>
      </c>
      <c r="AE318">
        <v>1</v>
      </c>
      <c r="AF318" t="s">
        <v>4</v>
      </c>
      <c r="AG318">
        <v>54.12</v>
      </c>
      <c r="AH318">
        <v>3</v>
      </c>
      <c r="AI318">
        <v>-1</v>
      </c>
      <c r="AJ318" t="s">
        <v>4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>
      <c r="A319">
        <f>ROW(Source!A205)</f>
        <v>205</v>
      </c>
      <c r="B319">
        <v>70305778</v>
      </c>
      <c r="C319">
        <v>70305774</v>
      </c>
      <c r="D319">
        <v>69364511</v>
      </c>
      <c r="E319">
        <v>1</v>
      </c>
      <c r="F319">
        <v>1</v>
      </c>
      <c r="G319">
        <v>1075</v>
      </c>
      <c r="H319">
        <v>2</v>
      </c>
      <c r="I319" t="s">
        <v>452</v>
      </c>
      <c r="J319" t="s">
        <v>453</v>
      </c>
      <c r="K319" t="s">
        <v>454</v>
      </c>
      <c r="L319">
        <v>1368</v>
      </c>
      <c r="N319">
        <v>1011</v>
      </c>
      <c r="O319" t="s">
        <v>338</v>
      </c>
      <c r="P319" t="s">
        <v>338</v>
      </c>
      <c r="Q319">
        <v>1</v>
      </c>
      <c r="X319">
        <v>0.79</v>
      </c>
      <c r="Y319">
        <v>0</v>
      </c>
      <c r="Z319">
        <v>119.07</v>
      </c>
      <c r="AA319">
        <v>12.62</v>
      </c>
      <c r="AB319">
        <v>0</v>
      </c>
      <c r="AC319">
        <v>0</v>
      </c>
      <c r="AD319">
        <v>1</v>
      </c>
      <c r="AE319">
        <v>0</v>
      </c>
      <c r="AF319" t="s">
        <v>4</v>
      </c>
      <c r="AG319">
        <v>0.79</v>
      </c>
      <c r="AH319">
        <v>3</v>
      </c>
      <c r="AI319">
        <v>-1</v>
      </c>
      <c r="AJ319" t="s">
        <v>4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>
      <c r="A320">
        <f>ROW(Source!A205)</f>
        <v>205</v>
      </c>
      <c r="B320">
        <v>70305779</v>
      </c>
      <c r="C320">
        <v>70305774</v>
      </c>
      <c r="D320">
        <v>69363844</v>
      </c>
      <c r="E320">
        <v>1</v>
      </c>
      <c r="F320">
        <v>1</v>
      </c>
      <c r="G320">
        <v>1075</v>
      </c>
      <c r="H320">
        <v>2</v>
      </c>
      <c r="I320" t="s">
        <v>455</v>
      </c>
      <c r="J320" t="s">
        <v>456</v>
      </c>
      <c r="K320" t="s">
        <v>457</v>
      </c>
      <c r="L320">
        <v>1368</v>
      </c>
      <c r="N320">
        <v>1011</v>
      </c>
      <c r="O320" t="s">
        <v>338</v>
      </c>
      <c r="P320" t="s">
        <v>338</v>
      </c>
      <c r="Q320">
        <v>1</v>
      </c>
      <c r="X320">
        <v>0.86</v>
      </c>
      <c r="Y320">
        <v>0</v>
      </c>
      <c r="Z320">
        <v>6.68</v>
      </c>
      <c r="AA320">
        <v>0</v>
      </c>
      <c r="AB320">
        <v>0</v>
      </c>
      <c r="AC320">
        <v>0</v>
      </c>
      <c r="AD320">
        <v>1</v>
      </c>
      <c r="AE320">
        <v>0</v>
      </c>
      <c r="AF320" t="s">
        <v>4</v>
      </c>
      <c r="AG320">
        <v>0.86</v>
      </c>
      <c r="AH320">
        <v>3</v>
      </c>
      <c r="AI320">
        <v>-1</v>
      </c>
      <c r="AJ320" t="s">
        <v>4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>
      <c r="A321">
        <f>ROW(Source!A205)</f>
        <v>205</v>
      </c>
      <c r="B321">
        <v>70305780</v>
      </c>
      <c r="C321">
        <v>70305774</v>
      </c>
      <c r="D321">
        <v>69363851</v>
      </c>
      <c r="E321">
        <v>1</v>
      </c>
      <c r="F321">
        <v>1</v>
      </c>
      <c r="G321">
        <v>1075</v>
      </c>
      <c r="H321">
        <v>2</v>
      </c>
      <c r="I321" t="s">
        <v>458</v>
      </c>
      <c r="J321" t="s">
        <v>459</v>
      </c>
      <c r="K321" t="s">
        <v>460</v>
      </c>
      <c r="L321">
        <v>1368</v>
      </c>
      <c r="N321">
        <v>1011</v>
      </c>
      <c r="O321" t="s">
        <v>338</v>
      </c>
      <c r="P321" t="s">
        <v>338</v>
      </c>
      <c r="Q321">
        <v>1</v>
      </c>
      <c r="X321">
        <v>2.4300000000000002</v>
      </c>
      <c r="Y321">
        <v>0</v>
      </c>
      <c r="Z321">
        <v>0.54</v>
      </c>
      <c r="AA321">
        <v>0</v>
      </c>
      <c r="AB321">
        <v>0</v>
      </c>
      <c r="AC321">
        <v>0</v>
      </c>
      <c r="AD321">
        <v>1</v>
      </c>
      <c r="AE321">
        <v>0</v>
      </c>
      <c r="AF321" t="s">
        <v>4</v>
      </c>
      <c r="AG321">
        <v>2.4300000000000002</v>
      </c>
      <c r="AH321">
        <v>3</v>
      </c>
      <c r="AI321">
        <v>-1</v>
      </c>
      <c r="AJ321" t="s">
        <v>4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>
      <c r="A322">
        <f>ROW(Source!A205)</f>
        <v>205</v>
      </c>
      <c r="B322">
        <v>70305781</v>
      </c>
      <c r="C322">
        <v>70305774</v>
      </c>
      <c r="D322">
        <v>69364066</v>
      </c>
      <c r="E322">
        <v>1</v>
      </c>
      <c r="F322">
        <v>1</v>
      </c>
      <c r="G322">
        <v>1075</v>
      </c>
      <c r="H322">
        <v>2</v>
      </c>
      <c r="I322" t="s">
        <v>461</v>
      </c>
      <c r="J322" t="s">
        <v>462</v>
      </c>
      <c r="K322" t="s">
        <v>463</v>
      </c>
      <c r="L322">
        <v>1368</v>
      </c>
      <c r="N322">
        <v>1011</v>
      </c>
      <c r="O322" t="s">
        <v>338</v>
      </c>
      <c r="P322" t="s">
        <v>338</v>
      </c>
      <c r="Q322">
        <v>1</v>
      </c>
      <c r="X322">
        <v>0.86</v>
      </c>
      <c r="Y322">
        <v>0</v>
      </c>
      <c r="Z322">
        <v>141.16</v>
      </c>
      <c r="AA322">
        <v>14.54</v>
      </c>
      <c r="AB322">
        <v>0</v>
      </c>
      <c r="AC322">
        <v>0</v>
      </c>
      <c r="AD322">
        <v>1</v>
      </c>
      <c r="AE322">
        <v>0</v>
      </c>
      <c r="AF322" t="s">
        <v>4</v>
      </c>
      <c r="AG322">
        <v>0.86</v>
      </c>
      <c r="AH322">
        <v>3</v>
      </c>
      <c r="AI322">
        <v>-1</v>
      </c>
      <c r="AJ322" t="s">
        <v>4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>
      <c r="A323">
        <f>ROW(Source!A205)</f>
        <v>205</v>
      </c>
      <c r="B323">
        <v>70305782</v>
      </c>
      <c r="C323">
        <v>70305774</v>
      </c>
      <c r="D323">
        <v>69364069</v>
      </c>
      <c r="E323">
        <v>1</v>
      </c>
      <c r="F323">
        <v>1</v>
      </c>
      <c r="G323">
        <v>1075</v>
      </c>
      <c r="H323">
        <v>2</v>
      </c>
      <c r="I323" t="s">
        <v>464</v>
      </c>
      <c r="J323" t="s">
        <v>465</v>
      </c>
      <c r="K323" t="s">
        <v>466</v>
      </c>
      <c r="L323">
        <v>1368</v>
      </c>
      <c r="N323">
        <v>1011</v>
      </c>
      <c r="O323" t="s">
        <v>338</v>
      </c>
      <c r="P323" t="s">
        <v>338</v>
      </c>
      <c r="Q323">
        <v>1</v>
      </c>
      <c r="X323">
        <v>0.76</v>
      </c>
      <c r="Y323">
        <v>0</v>
      </c>
      <c r="Z323">
        <v>3.95</v>
      </c>
      <c r="AA323">
        <v>0</v>
      </c>
      <c r="AB323">
        <v>0</v>
      </c>
      <c r="AC323">
        <v>0</v>
      </c>
      <c r="AD323">
        <v>1</v>
      </c>
      <c r="AE323">
        <v>0</v>
      </c>
      <c r="AF323" t="s">
        <v>4</v>
      </c>
      <c r="AG323">
        <v>0.76</v>
      </c>
      <c r="AH323">
        <v>3</v>
      </c>
      <c r="AI323">
        <v>-1</v>
      </c>
      <c r="AJ323" t="s">
        <v>4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>
      <c r="A324">
        <f>ROW(Source!A205)</f>
        <v>205</v>
      </c>
      <c r="B324">
        <v>70305783</v>
      </c>
      <c r="C324">
        <v>70305774</v>
      </c>
      <c r="D324">
        <v>69333752</v>
      </c>
      <c r="E324">
        <v>1</v>
      </c>
      <c r="F324">
        <v>1</v>
      </c>
      <c r="G324">
        <v>1075</v>
      </c>
      <c r="H324">
        <v>3</v>
      </c>
      <c r="I324" t="s">
        <v>352</v>
      </c>
      <c r="J324" t="s">
        <v>353</v>
      </c>
      <c r="K324" t="s">
        <v>354</v>
      </c>
      <c r="L324">
        <v>1348</v>
      </c>
      <c r="N324">
        <v>1009</v>
      </c>
      <c r="O324" t="s">
        <v>168</v>
      </c>
      <c r="P324" t="s">
        <v>168</v>
      </c>
      <c r="Q324">
        <v>1000</v>
      </c>
      <c r="X324">
        <v>1E-4</v>
      </c>
      <c r="Y324">
        <v>6521.42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0</v>
      </c>
      <c r="AF324" t="s">
        <v>4</v>
      </c>
      <c r="AG324">
        <v>1E-4</v>
      </c>
      <c r="AH324">
        <v>3</v>
      </c>
      <c r="AI324">
        <v>-1</v>
      </c>
      <c r="AJ324" t="s">
        <v>4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>
      <c r="A325">
        <f>ROW(Source!A205)</f>
        <v>205</v>
      </c>
      <c r="B325">
        <v>70305784</v>
      </c>
      <c r="C325">
        <v>70305774</v>
      </c>
      <c r="D325">
        <v>69334877</v>
      </c>
      <c r="E325">
        <v>1</v>
      </c>
      <c r="F325">
        <v>1</v>
      </c>
      <c r="G325">
        <v>1075</v>
      </c>
      <c r="H325">
        <v>3</v>
      </c>
      <c r="I325" t="s">
        <v>467</v>
      </c>
      <c r="J325" t="s">
        <v>468</v>
      </c>
      <c r="K325" t="s">
        <v>469</v>
      </c>
      <c r="L325">
        <v>1346</v>
      </c>
      <c r="N325">
        <v>1009</v>
      </c>
      <c r="O325" t="s">
        <v>394</v>
      </c>
      <c r="P325" t="s">
        <v>394</v>
      </c>
      <c r="Q325">
        <v>1</v>
      </c>
      <c r="X325">
        <v>0.09</v>
      </c>
      <c r="Y325">
        <v>18.149999999999999</v>
      </c>
      <c r="Z325">
        <v>0</v>
      </c>
      <c r="AA325">
        <v>0</v>
      </c>
      <c r="AB325">
        <v>0</v>
      </c>
      <c r="AC325">
        <v>0</v>
      </c>
      <c r="AD325">
        <v>1</v>
      </c>
      <c r="AE325">
        <v>0</v>
      </c>
      <c r="AF325" t="s">
        <v>4</v>
      </c>
      <c r="AG325">
        <v>0.09</v>
      </c>
      <c r="AH325">
        <v>3</v>
      </c>
      <c r="AI325">
        <v>-1</v>
      </c>
      <c r="AJ325" t="s">
        <v>4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>
      <c r="A326">
        <f>ROW(Source!A205)</f>
        <v>205</v>
      </c>
      <c r="B326">
        <v>70305785</v>
      </c>
      <c r="C326">
        <v>70305774</v>
      </c>
      <c r="D326">
        <v>69333818</v>
      </c>
      <c r="E326">
        <v>1</v>
      </c>
      <c r="F326">
        <v>1</v>
      </c>
      <c r="G326">
        <v>1075</v>
      </c>
      <c r="H326">
        <v>3</v>
      </c>
      <c r="I326" t="s">
        <v>470</v>
      </c>
      <c r="J326" t="s">
        <v>471</v>
      </c>
      <c r="K326" t="s">
        <v>472</v>
      </c>
      <c r="L326">
        <v>1339</v>
      </c>
      <c r="N326">
        <v>1007</v>
      </c>
      <c r="O326" t="s">
        <v>52</v>
      </c>
      <c r="P326" t="s">
        <v>52</v>
      </c>
      <c r="Q326">
        <v>1</v>
      </c>
      <c r="X326">
        <v>0.01</v>
      </c>
      <c r="Y326">
        <v>1183.5</v>
      </c>
      <c r="Z326">
        <v>0</v>
      </c>
      <c r="AA326">
        <v>0</v>
      </c>
      <c r="AB326">
        <v>0</v>
      </c>
      <c r="AC326">
        <v>0</v>
      </c>
      <c r="AD326">
        <v>1</v>
      </c>
      <c r="AE326">
        <v>0</v>
      </c>
      <c r="AF326" t="s">
        <v>4</v>
      </c>
      <c r="AG326">
        <v>0.01</v>
      </c>
      <c r="AH326">
        <v>3</v>
      </c>
      <c r="AI326">
        <v>-1</v>
      </c>
      <c r="AJ326" t="s">
        <v>4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>
      <c r="A327">
        <f>ROW(Source!A205)</f>
        <v>205</v>
      </c>
      <c r="B327">
        <v>70305786</v>
      </c>
      <c r="C327">
        <v>70305774</v>
      </c>
      <c r="D327">
        <v>69333692</v>
      </c>
      <c r="E327">
        <v>1</v>
      </c>
      <c r="F327">
        <v>1</v>
      </c>
      <c r="G327">
        <v>1075</v>
      </c>
      <c r="H327">
        <v>3</v>
      </c>
      <c r="I327" t="s">
        <v>473</v>
      </c>
      <c r="J327" t="s">
        <v>474</v>
      </c>
      <c r="K327" t="s">
        <v>475</v>
      </c>
      <c r="L327">
        <v>1348</v>
      </c>
      <c r="N327">
        <v>1009</v>
      </c>
      <c r="O327" t="s">
        <v>168</v>
      </c>
      <c r="P327" t="s">
        <v>168</v>
      </c>
      <c r="Q327">
        <v>1000</v>
      </c>
      <c r="X327">
        <v>2.8700000000000002E-3</v>
      </c>
      <c r="Y327">
        <v>24618.39</v>
      </c>
      <c r="Z327">
        <v>0</v>
      </c>
      <c r="AA327">
        <v>0</v>
      </c>
      <c r="AB327">
        <v>0</v>
      </c>
      <c r="AC327">
        <v>0</v>
      </c>
      <c r="AD327">
        <v>1</v>
      </c>
      <c r="AE327">
        <v>0</v>
      </c>
      <c r="AF327" t="s">
        <v>4</v>
      </c>
      <c r="AG327">
        <v>2.8700000000000002E-3</v>
      </c>
      <c r="AH327">
        <v>3</v>
      </c>
      <c r="AI327">
        <v>-1</v>
      </c>
      <c r="AJ327" t="s">
        <v>4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>
      <c r="A328">
        <f>ROW(Source!A205)</f>
        <v>205</v>
      </c>
      <c r="B328">
        <v>70305787</v>
      </c>
      <c r="C328">
        <v>70305774</v>
      </c>
      <c r="D328">
        <v>69334282</v>
      </c>
      <c r="E328">
        <v>1</v>
      </c>
      <c r="F328">
        <v>1</v>
      </c>
      <c r="G328">
        <v>1075</v>
      </c>
      <c r="H328">
        <v>3</v>
      </c>
      <c r="I328" t="s">
        <v>476</v>
      </c>
      <c r="J328" t="s">
        <v>477</v>
      </c>
      <c r="K328" t="s">
        <v>478</v>
      </c>
      <c r="L328">
        <v>1348</v>
      </c>
      <c r="N328">
        <v>1009</v>
      </c>
      <c r="O328" t="s">
        <v>168</v>
      </c>
      <c r="P328" t="s">
        <v>168</v>
      </c>
      <c r="Q328">
        <v>1000</v>
      </c>
      <c r="X328">
        <v>9.4000000000000004E-3</v>
      </c>
      <c r="Y328">
        <v>6870.66</v>
      </c>
      <c r="Z328">
        <v>0</v>
      </c>
      <c r="AA328">
        <v>0</v>
      </c>
      <c r="AB328">
        <v>0</v>
      </c>
      <c r="AC328">
        <v>0</v>
      </c>
      <c r="AD328">
        <v>1</v>
      </c>
      <c r="AE328">
        <v>0</v>
      </c>
      <c r="AF328" t="s">
        <v>4</v>
      </c>
      <c r="AG328">
        <v>9.4000000000000004E-3</v>
      </c>
      <c r="AH328">
        <v>3</v>
      </c>
      <c r="AI328">
        <v>-1</v>
      </c>
      <c r="AJ328" t="s">
        <v>4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>
      <c r="A329">
        <f>ROW(Source!A205)</f>
        <v>205</v>
      </c>
      <c r="B329">
        <v>70305788</v>
      </c>
      <c r="C329">
        <v>70305774</v>
      </c>
      <c r="D329">
        <v>69334307</v>
      </c>
      <c r="E329">
        <v>1</v>
      </c>
      <c r="F329">
        <v>1</v>
      </c>
      <c r="G329">
        <v>1075</v>
      </c>
      <c r="H329">
        <v>3</v>
      </c>
      <c r="I329" t="s">
        <v>361</v>
      </c>
      <c r="J329" t="s">
        <v>362</v>
      </c>
      <c r="K329" t="s">
        <v>363</v>
      </c>
      <c r="L329">
        <v>1348</v>
      </c>
      <c r="N329">
        <v>1009</v>
      </c>
      <c r="O329" t="s">
        <v>168</v>
      </c>
      <c r="P329" t="s">
        <v>168</v>
      </c>
      <c r="Q329">
        <v>1000</v>
      </c>
      <c r="X329">
        <v>4.0000000000000003E-5</v>
      </c>
      <c r="Y329">
        <v>9098.51</v>
      </c>
      <c r="Z329">
        <v>0</v>
      </c>
      <c r="AA329">
        <v>0</v>
      </c>
      <c r="AB329">
        <v>0</v>
      </c>
      <c r="AC329">
        <v>0</v>
      </c>
      <c r="AD329">
        <v>1</v>
      </c>
      <c r="AE329">
        <v>0</v>
      </c>
      <c r="AF329" t="s">
        <v>4</v>
      </c>
      <c r="AG329">
        <v>4.0000000000000003E-5</v>
      </c>
      <c r="AH329">
        <v>3</v>
      </c>
      <c r="AI329">
        <v>-1</v>
      </c>
      <c r="AJ329" t="s">
        <v>4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>
      <c r="A330">
        <f>ROW(Source!A205)</f>
        <v>205</v>
      </c>
      <c r="B330">
        <v>70305789</v>
      </c>
      <c r="C330">
        <v>70305774</v>
      </c>
      <c r="D330">
        <v>69351457</v>
      </c>
      <c r="E330">
        <v>1</v>
      </c>
      <c r="F330">
        <v>1</v>
      </c>
      <c r="G330">
        <v>1075</v>
      </c>
      <c r="H330">
        <v>3</v>
      </c>
      <c r="I330" t="s">
        <v>479</v>
      </c>
      <c r="J330" t="s">
        <v>480</v>
      </c>
      <c r="K330" t="s">
        <v>481</v>
      </c>
      <c r="L330">
        <v>1356</v>
      </c>
      <c r="N330">
        <v>1010</v>
      </c>
      <c r="O330" t="s">
        <v>286</v>
      </c>
      <c r="P330" t="s">
        <v>286</v>
      </c>
      <c r="Q330">
        <v>1000</v>
      </c>
      <c r="X330">
        <v>4.1000000000000003E-3</v>
      </c>
      <c r="Y330">
        <v>56.17</v>
      </c>
      <c r="Z330">
        <v>0</v>
      </c>
      <c r="AA330">
        <v>0</v>
      </c>
      <c r="AB330">
        <v>0</v>
      </c>
      <c r="AC330">
        <v>0</v>
      </c>
      <c r="AD330">
        <v>1</v>
      </c>
      <c r="AE330">
        <v>0</v>
      </c>
      <c r="AF330" t="s">
        <v>4</v>
      </c>
      <c r="AG330">
        <v>4.1000000000000003E-3</v>
      </c>
      <c r="AH330">
        <v>3</v>
      </c>
      <c r="AI330">
        <v>-1</v>
      </c>
      <c r="AJ330" t="s">
        <v>4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>
      <c r="A331">
        <f>ROW(Source!A205)</f>
        <v>205</v>
      </c>
      <c r="B331">
        <v>70305790</v>
      </c>
      <c r="C331">
        <v>70305774</v>
      </c>
      <c r="D331">
        <v>69351232</v>
      </c>
      <c r="E331">
        <v>1</v>
      </c>
      <c r="F331">
        <v>1</v>
      </c>
      <c r="G331">
        <v>1075</v>
      </c>
      <c r="H331">
        <v>3</v>
      </c>
      <c r="I331" t="s">
        <v>482</v>
      </c>
      <c r="J331" t="s">
        <v>483</v>
      </c>
      <c r="K331" t="s">
        <v>484</v>
      </c>
      <c r="L331">
        <v>1355</v>
      </c>
      <c r="N331">
        <v>1010</v>
      </c>
      <c r="O331" t="s">
        <v>485</v>
      </c>
      <c r="P331" t="s">
        <v>485</v>
      </c>
      <c r="Q331">
        <v>100</v>
      </c>
      <c r="X331">
        <v>0.66669999999999996</v>
      </c>
      <c r="Y331">
        <v>57.81</v>
      </c>
      <c r="Z331">
        <v>0</v>
      </c>
      <c r="AA331">
        <v>0</v>
      </c>
      <c r="AB331">
        <v>0</v>
      </c>
      <c r="AC331">
        <v>0</v>
      </c>
      <c r="AD331">
        <v>1</v>
      </c>
      <c r="AE331">
        <v>0</v>
      </c>
      <c r="AF331" t="s">
        <v>4</v>
      </c>
      <c r="AG331">
        <v>0.66669999999999996</v>
      </c>
      <c r="AH331">
        <v>3</v>
      </c>
      <c r="AI331">
        <v>-1</v>
      </c>
      <c r="AJ331" t="s">
        <v>4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>
      <c r="A332">
        <f>ROW(Source!A205)</f>
        <v>205</v>
      </c>
      <c r="B332">
        <v>70305791</v>
      </c>
      <c r="C332">
        <v>70305774</v>
      </c>
      <c r="D332">
        <v>69298822</v>
      </c>
      <c r="E332">
        <v>1075</v>
      </c>
      <c r="F332">
        <v>1</v>
      </c>
      <c r="G332">
        <v>1075</v>
      </c>
      <c r="H332">
        <v>3</v>
      </c>
      <c r="I332" t="s">
        <v>486</v>
      </c>
      <c r="J332" t="s">
        <v>4</v>
      </c>
      <c r="K332" t="s">
        <v>487</v>
      </c>
      <c r="L332">
        <v>1303</v>
      </c>
      <c r="N332">
        <v>1003</v>
      </c>
      <c r="O332" t="s">
        <v>209</v>
      </c>
      <c r="P332" t="s">
        <v>209</v>
      </c>
      <c r="Q332">
        <v>1000</v>
      </c>
      <c r="X332">
        <v>0.30599999999999999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 t="s">
        <v>4</v>
      </c>
      <c r="AG332">
        <v>0.30599999999999999</v>
      </c>
      <c r="AH332">
        <v>3</v>
      </c>
      <c r="AI332">
        <v>-1</v>
      </c>
      <c r="AJ332" t="s">
        <v>4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>
      <c r="A333">
        <f>ROW(Source!A208)</f>
        <v>208</v>
      </c>
      <c r="B333">
        <v>70311719</v>
      </c>
      <c r="C333">
        <v>70305793</v>
      </c>
      <c r="D333">
        <v>69275358</v>
      </c>
      <c r="E333">
        <v>1075</v>
      </c>
      <c r="F333">
        <v>1</v>
      </c>
      <c r="G333">
        <v>1075</v>
      </c>
      <c r="H333">
        <v>1</v>
      </c>
      <c r="I333" t="s">
        <v>332</v>
      </c>
      <c r="J333" t="s">
        <v>4</v>
      </c>
      <c r="K333" t="s">
        <v>333</v>
      </c>
      <c r="L333">
        <v>1191</v>
      </c>
      <c r="N333">
        <v>1013</v>
      </c>
      <c r="O333" t="s">
        <v>334</v>
      </c>
      <c r="P333" t="s">
        <v>334</v>
      </c>
      <c r="Q333">
        <v>1</v>
      </c>
      <c r="X333">
        <v>3.54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1</v>
      </c>
      <c r="AE333">
        <v>1</v>
      </c>
      <c r="AF333" t="s">
        <v>4</v>
      </c>
      <c r="AG333">
        <v>3.54</v>
      </c>
      <c r="AH333">
        <v>2</v>
      </c>
      <c r="AI333">
        <v>70311719</v>
      </c>
      <c r="AJ333">
        <v>101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>
      <c r="A334">
        <f>ROW(Source!A208)</f>
        <v>208</v>
      </c>
      <c r="B334">
        <v>70311720</v>
      </c>
      <c r="C334">
        <v>70305793</v>
      </c>
      <c r="D334">
        <v>69364350</v>
      </c>
      <c r="E334">
        <v>1</v>
      </c>
      <c r="F334">
        <v>1</v>
      </c>
      <c r="G334">
        <v>1075</v>
      </c>
      <c r="H334">
        <v>2</v>
      </c>
      <c r="I334" t="s">
        <v>401</v>
      </c>
      <c r="J334" t="s">
        <v>402</v>
      </c>
      <c r="K334" t="s">
        <v>403</v>
      </c>
      <c r="L334">
        <v>1368</v>
      </c>
      <c r="N334">
        <v>1011</v>
      </c>
      <c r="O334" t="s">
        <v>338</v>
      </c>
      <c r="P334" t="s">
        <v>338</v>
      </c>
      <c r="Q334">
        <v>1</v>
      </c>
      <c r="X334">
        <v>0.13</v>
      </c>
      <c r="Y334">
        <v>0</v>
      </c>
      <c r="Z334">
        <v>0.12</v>
      </c>
      <c r="AA334">
        <v>0</v>
      </c>
      <c r="AB334">
        <v>0</v>
      </c>
      <c r="AC334">
        <v>0</v>
      </c>
      <c r="AD334">
        <v>1</v>
      </c>
      <c r="AE334">
        <v>0</v>
      </c>
      <c r="AF334" t="s">
        <v>4</v>
      </c>
      <c r="AG334">
        <v>0.13</v>
      </c>
      <c r="AH334">
        <v>2</v>
      </c>
      <c r="AI334">
        <v>70311720</v>
      </c>
      <c r="AJ334">
        <v>102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>
      <c r="A335">
        <f>ROW(Source!A208)</f>
        <v>208</v>
      </c>
      <c r="B335">
        <v>70311721</v>
      </c>
      <c r="C335">
        <v>70305793</v>
      </c>
      <c r="D335">
        <v>69335565</v>
      </c>
      <c r="E335">
        <v>1</v>
      </c>
      <c r="F335">
        <v>1</v>
      </c>
      <c r="G335">
        <v>1075</v>
      </c>
      <c r="H335">
        <v>3</v>
      </c>
      <c r="I335" t="s">
        <v>404</v>
      </c>
      <c r="J335" t="s">
        <v>405</v>
      </c>
      <c r="K335" t="s">
        <v>406</v>
      </c>
      <c r="L335">
        <v>1346</v>
      </c>
      <c r="N335">
        <v>1009</v>
      </c>
      <c r="O335" t="s">
        <v>394</v>
      </c>
      <c r="P335" t="s">
        <v>394</v>
      </c>
      <c r="Q335">
        <v>1</v>
      </c>
      <c r="X335">
        <v>0.39360000000000001</v>
      </c>
      <c r="Y335">
        <v>6.27</v>
      </c>
      <c r="Z335">
        <v>0</v>
      </c>
      <c r="AA335">
        <v>0</v>
      </c>
      <c r="AB335">
        <v>0</v>
      </c>
      <c r="AC335">
        <v>0</v>
      </c>
      <c r="AD335">
        <v>1</v>
      </c>
      <c r="AE335">
        <v>0</v>
      </c>
      <c r="AF335" t="s">
        <v>4</v>
      </c>
      <c r="AG335">
        <v>0.39360000000000001</v>
      </c>
      <c r="AH335">
        <v>2</v>
      </c>
      <c r="AI335">
        <v>70311721</v>
      </c>
      <c r="AJ335">
        <v>103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>
      <c r="A336">
        <f>ROW(Source!A208)</f>
        <v>208</v>
      </c>
      <c r="B336">
        <v>70311722</v>
      </c>
      <c r="C336">
        <v>70305793</v>
      </c>
      <c r="D336">
        <v>69301164</v>
      </c>
      <c r="E336">
        <v>1075</v>
      </c>
      <c r="F336">
        <v>1</v>
      </c>
      <c r="G336">
        <v>1075</v>
      </c>
      <c r="H336">
        <v>3</v>
      </c>
      <c r="I336" t="s">
        <v>514</v>
      </c>
      <c r="J336" t="s">
        <v>4</v>
      </c>
      <c r="K336" t="s">
        <v>518</v>
      </c>
      <c r="L336">
        <v>1391</v>
      </c>
      <c r="N336">
        <v>1013</v>
      </c>
      <c r="O336" t="s">
        <v>237</v>
      </c>
      <c r="P336" t="s">
        <v>237</v>
      </c>
      <c r="Q336">
        <v>1</v>
      </c>
      <c r="X336">
        <v>1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 t="s">
        <v>4</v>
      </c>
      <c r="AG336">
        <v>1</v>
      </c>
      <c r="AH336">
        <v>3</v>
      </c>
      <c r="AI336">
        <v>-1</v>
      </c>
      <c r="AJ336" t="s">
        <v>4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>
      <c r="A337">
        <f>ROW(Source!A209)</f>
        <v>209</v>
      </c>
      <c r="B337">
        <v>70311719</v>
      </c>
      <c r="C337">
        <v>70305793</v>
      </c>
      <c r="D337">
        <v>69275358</v>
      </c>
      <c r="E337">
        <v>1075</v>
      </c>
      <c r="F337">
        <v>1</v>
      </c>
      <c r="G337">
        <v>1075</v>
      </c>
      <c r="H337">
        <v>1</v>
      </c>
      <c r="I337" t="s">
        <v>332</v>
      </c>
      <c r="J337" t="s">
        <v>4</v>
      </c>
      <c r="K337" t="s">
        <v>333</v>
      </c>
      <c r="L337">
        <v>1191</v>
      </c>
      <c r="N337">
        <v>1013</v>
      </c>
      <c r="O337" t="s">
        <v>334</v>
      </c>
      <c r="P337" t="s">
        <v>334</v>
      </c>
      <c r="Q337">
        <v>1</v>
      </c>
      <c r="X337">
        <v>3.54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1</v>
      </c>
      <c r="AE337">
        <v>1</v>
      </c>
      <c r="AF337" t="s">
        <v>4</v>
      </c>
      <c r="AG337">
        <v>3.54</v>
      </c>
      <c r="AH337">
        <v>2</v>
      </c>
      <c r="AI337">
        <v>70311719</v>
      </c>
      <c r="AJ337">
        <v>104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>
      <c r="A338">
        <f>ROW(Source!A209)</f>
        <v>209</v>
      </c>
      <c r="B338">
        <v>70311720</v>
      </c>
      <c r="C338">
        <v>70305793</v>
      </c>
      <c r="D338">
        <v>69364350</v>
      </c>
      <c r="E338">
        <v>1</v>
      </c>
      <c r="F338">
        <v>1</v>
      </c>
      <c r="G338">
        <v>1075</v>
      </c>
      <c r="H338">
        <v>2</v>
      </c>
      <c r="I338" t="s">
        <v>401</v>
      </c>
      <c r="J338" t="s">
        <v>402</v>
      </c>
      <c r="K338" t="s">
        <v>403</v>
      </c>
      <c r="L338">
        <v>1368</v>
      </c>
      <c r="N338">
        <v>1011</v>
      </c>
      <c r="O338" t="s">
        <v>338</v>
      </c>
      <c r="P338" t="s">
        <v>338</v>
      </c>
      <c r="Q338">
        <v>1</v>
      </c>
      <c r="X338">
        <v>0.13</v>
      </c>
      <c r="Y338">
        <v>0</v>
      </c>
      <c r="Z338">
        <v>0.12</v>
      </c>
      <c r="AA338">
        <v>0</v>
      </c>
      <c r="AB338">
        <v>0</v>
      </c>
      <c r="AC338">
        <v>0</v>
      </c>
      <c r="AD338">
        <v>1</v>
      </c>
      <c r="AE338">
        <v>0</v>
      </c>
      <c r="AF338" t="s">
        <v>4</v>
      </c>
      <c r="AG338">
        <v>0.13</v>
      </c>
      <c r="AH338">
        <v>2</v>
      </c>
      <c r="AI338">
        <v>70311720</v>
      </c>
      <c r="AJ338">
        <v>105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>
      <c r="A339">
        <f>ROW(Source!A209)</f>
        <v>209</v>
      </c>
      <c r="B339">
        <v>70311721</v>
      </c>
      <c r="C339">
        <v>70305793</v>
      </c>
      <c r="D339">
        <v>69335565</v>
      </c>
      <c r="E339">
        <v>1</v>
      </c>
      <c r="F339">
        <v>1</v>
      </c>
      <c r="G339">
        <v>1075</v>
      </c>
      <c r="H339">
        <v>3</v>
      </c>
      <c r="I339" t="s">
        <v>404</v>
      </c>
      <c r="J339" t="s">
        <v>405</v>
      </c>
      <c r="K339" t="s">
        <v>406</v>
      </c>
      <c r="L339">
        <v>1346</v>
      </c>
      <c r="N339">
        <v>1009</v>
      </c>
      <c r="O339" t="s">
        <v>394</v>
      </c>
      <c r="P339" t="s">
        <v>394</v>
      </c>
      <c r="Q339">
        <v>1</v>
      </c>
      <c r="X339">
        <v>0.39360000000000001</v>
      </c>
      <c r="Y339">
        <v>6.27</v>
      </c>
      <c r="Z339">
        <v>0</v>
      </c>
      <c r="AA339">
        <v>0</v>
      </c>
      <c r="AB339">
        <v>0</v>
      </c>
      <c r="AC339">
        <v>0</v>
      </c>
      <c r="AD339">
        <v>1</v>
      </c>
      <c r="AE339">
        <v>0</v>
      </c>
      <c r="AF339" t="s">
        <v>4</v>
      </c>
      <c r="AG339">
        <v>0.39360000000000001</v>
      </c>
      <c r="AH339">
        <v>2</v>
      </c>
      <c r="AI339">
        <v>70311721</v>
      </c>
      <c r="AJ339">
        <v>106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>
      <c r="A340">
        <f>ROW(Source!A209)</f>
        <v>209</v>
      </c>
      <c r="B340">
        <v>70311722</v>
      </c>
      <c r="C340">
        <v>70305793</v>
      </c>
      <c r="D340">
        <v>69301164</v>
      </c>
      <c r="E340">
        <v>1075</v>
      </c>
      <c r="F340">
        <v>1</v>
      </c>
      <c r="G340">
        <v>1075</v>
      </c>
      <c r="H340">
        <v>3</v>
      </c>
      <c r="I340" t="s">
        <v>514</v>
      </c>
      <c r="J340" t="s">
        <v>4</v>
      </c>
      <c r="K340" t="s">
        <v>518</v>
      </c>
      <c r="L340">
        <v>1391</v>
      </c>
      <c r="N340">
        <v>1013</v>
      </c>
      <c r="O340" t="s">
        <v>237</v>
      </c>
      <c r="P340" t="s">
        <v>237</v>
      </c>
      <c r="Q340">
        <v>1</v>
      </c>
      <c r="X340">
        <v>1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 t="s">
        <v>4</v>
      </c>
      <c r="AG340">
        <v>1</v>
      </c>
      <c r="AH340">
        <v>3</v>
      </c>
      <c r="AI340">
        <v>-1</v>
      </c>
      <c r="AJ340" t="s">
        <v>4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>
      <c r="A341">
        <f>ROW(Source!A214)</f>
        <v>214</v>
      </c>
      <c r="B341">
        <v>70305809</v>
      </c>
      <c r="C341">
        <v>70305806</v>
      </c>
      <c r="D341">
        <v>69275358</v>
      </c>
      <c r="E341">
        <v>1075</v>
      </c>
      <c r="F341">
        <v>1</v>
      </c>
      <c r="G341">
        <v>1075</v>
      </c>
      <c r="H341">
        <v>1</v>
      </c>
      <c r="I341" t="s">
        <v>332</v>
      </c>
      <c r="J341" t="s">
        <v>4</v>
      </c>
      <c r="K341" t="s">
        <v>333</v>
      </c>
      <c r="L341">
        <v>1191</v>
      </c>
      <c r="N341">
        <v>1013</v>
      </c>
      <c r="O341" t="s">
        <v>334</v>
      </c>
      <c r="P341" t="s">
        <v>334</v>
      </c>
      <c r="Q341">
        <v>1</v>
      </c>
      <c r="X341">
        <v>54.12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1</v>
      </c>
      <c r="AF341" t="s">
        <v>4</v>
      </c>
      <c r="AG341">
        <v>54.12</v>
      </c>
      <c r="AH341">
        <v>3</v>
      </c>
      <c r="AI341">
        <v>-1</v>
      </c>
      <c r="AJ341" t="s">
        <v>4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>
      <c r="A342">
        <f>ROW(Source!A214)</f>
        <v>214</v>
      </c>
      <c r="B342">
        <v>70305810</v>
      </c>
      <c r="C342">
        <v>70305806</v>
      </c>
      <c r="D342">
        <v>69364511</v>
      </c>
      <c r="E342">
        <v>1</v>
      </c>
      <c r="F342">
        <v>1</v>
      </c>
      <c r="G342">
        <v>1075</v>
      </c>
      <c r="H342">
        <v>2</v>
      </c>
      <c r="I342" t="s">
        <v>452</v>
      </c>
      <c r="J342" t="s">
        <v>453</v>
      </c>
      <c r="K342" t="s">
        <v>454</v>
      </c>
      <c r="L342">
        <v>1368</v>
      </c>
      <c r="N342">
        <v>1011</v>
      </c>
      <c r="O342" t="s">
        <v>338</v>
      </c>
      <c r="P342" t="s">
        <v>338</v>
      </c>
      <c r="Q342">
        <v>1</v>
      </c>
      <c r="X342">
        <v>0.79</v>
      </c>
      <c r="Y342">
        <v>0</v>
      </c>
      <c r="Z342">
        <v>119.07</v>
      </c>
      <c r="AA342">
        <v>12.62</v>
      </c>
      <c r="AB342">
        <v>0</v>
      </c>
      <c r="AC342">
        <v>0</v>
      </c>
      <c r="AD342">
        <v>1</v>
      </c>
      <c r="AE342">
        <v>0</v>
      </c>
      <c r="AF342" t="s">
        <v>4</v>
      </c>
      <c r="AG342">
        <v>0.79</v>
      </c>
      <c r="AH342">
        <v>3</v>
      </c>
      <c r="AI342">
        <v>-1</v>
      </c>
      <c r="AJ342" t="s">
        <v>4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  <row r="343" spans="1:44">
      <c r="A343">
        <f>ROW(Source!A214)</f>
        <v>214</v>
      </c>
      <c r="B343">
        <v>70305811</v>
      </c>
      <c r="C343">
        <v>70305806</v>
      </c>
      <c r="D343">
        <v>69363844</v>
      </c>
      <c r="E343">
        <v>1</v>
      </c>
      <c r="F343">
        <v>1</v>
      </c>
      <c r="G343">
        <v>1075</v>
      </c>
      <c r="H343">
        <v>2</v>
      </c>
      <c r="I343" t="s">
        <v>455</v>
      </c>
      <c r="J343" t="s">
        <v>456</v>
      </c>
      <c r="K343" t="s">
        <v>457</v>
      </c>
      <c r="L343">
        <v>1368</v>
      </c>
      <c r="N343">
        <v>1011</v>
      </c>
      <c r="O343" t="s">
        <v>338</v>
      </c>
      <c r="P343" t="s">
        <v>338</v>
      </c>
      <c r="Q343">
        <v>1</v>
      </c>
      <c r="X343">
        <v>0.86</v>
      </c>
      <c r="Y343">
        <v>0</v>
      </c>
      <c r="Z343">
        <v>6.68</v>
      </c>
      <c r="AA343">
        <v>0</v>
      </c>
      <c r="AB343">
        <v>0</v>
      </c>
      <c r="AC343">
        <v>0</v>
      </c>
      <c r="AD343">
        <v>1</v>
      </c>
      <c r="AE343">
        <v>0</v>
      </c>
      <c r="AF343" t="s">
        <v>4</v>
      </c>
      <c r="AG343">
        <v>0.86</v>
      </c>
      <c r="AH343">
        <v>3</v>
      </c>
      <c r="AI343">
        <v>-1</v>
      </c>
      <c r="AJ343" t="s">
        <v>4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</row>
    <row r="344" spans="1:44">
      <c r="A344">
        <f>ROW(Source!A214)</f>
        <v>214</v>
      </c>
      <c r="B344">
        <v>70305812</v>
      </c>
      <c r="C344">
        <v>70305806</v>
      </c>
      <c r="D344">
        <v>69363851</v>
      </c>
      <c r="E344">
        <v>1</v>
      </c>
      <c r="F344">
        <v>1</v>
      </c>
      <c r="G344">
        <v>1075</v>
      </c>
      <c r="H344">
        <v>2</v>
      </c>
      <c r="I344" t="s">
        <v>458</v>
      </c>
      <c r="J344" t="s">
        <v>459</v>
      </c>
      <c r="K344" t="s">
        <v>460</v>
      </c>
      <c r="L344">
        <v>1368</v>
      </c>
      <c r="N344">
        <v>1011</v>
      </c>
      <c r="O344" t="s">
        <v>338</v>
      </c>
      <c r="P344" t="s">
        <v>338</v>
      </c>
      <c r="Q344">
        <v>1</v>
      </c>
      <c r="X344">
        <v>2.4300000000000002</v>
      </c>
      <c r="Y344">
        <v>0</v>
      </c>
      <c r="Z344">
        <v>0.54</v>
      </c>
      <c r="AA344">
        <v>0</v>
      </c>
      <c r="AB344">
        <v>0</v>
      </c>
      <c r="AC344">
        <v>0</v>
      </c>
      <c r="AD344">
        <v>1</v>
      </c>
      <c r="AE344">
        <v>0</v>
      </c>
      <c r="AF344" t="s">
        <v>4</v>
      </c>
      <c r="AG344">
        <v>2.4300000000000002</v>
      </c>
      <c r="AH344">
        <v>3</v>
      </c>
      <c r="AI344">
        <v>-1</v>
      </c>
      <c r="AJ344" t="s">
        <v>4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</row>
    <row r="345" spans="1:44">
      <c r="A345">
        <f>ROW(Source!A214)</f>
        <v>214</v>
      </c>
      <c r="B345">
        <v>70305813</v>
      </c>
      <c r="C345">
        <v>70305806</v>
      </c>
      <c r="D345">
        <v>69364066</v>
      </c>
      <c r="E345">
        <v>1</v>
      </c>
      <c r="F345">
        <v>1</v>
      </c>
      <c r="G345">
        <v>1075</v>
      </c>
      <c r="H345">
        <v>2</v>
      </c>
      <c r="I345" t="s">
        <v>461</v>
      </c>
      <c r="J345" t="s">
        <v>462</v>
      </c>
      <c r="K345" t="s">
        <v>463</v>
      </c>
      <c r="L345">
        <v>1368</v>
      </c>
      <c r="N345">
        <v>1011</v>
      </c>
      <c r="O345" t="s">
        <v>338</v>
      </c>
      <c r="P345" t="s">
        <v>338</v>
      </c>
      <c r="Q345">
        <v>1</v>
      </c>
      <c r="X345">
        <v>0.86</v>
      </c>
      <c r="Y345">
        <v>0</v>
      </c>
      <c r="Z345">
        <v>141.16</v>
      </c>
      <c r="AA345">
        <v>14.54</v>
      </c>
      <c r="AB345">
        <v>0</v>
      </c>
      <c r="AC345">
        <v>0</v>
      </c>
      <c r="AD345">
        <v>1</v>
      </c>
      <c r="AE345">
        <v>0</v>
      </c>
      <c r="AF345" t="s">
        <v>4</v>
      </c>
      <c r="AG345">
        <v>0.86</v>
      </c>
      <c r="AH345">
        <v>3</v>
      </c>
      <c r="AI345">
        <v>-1</v>
      </c>
      <c r="AJ345" t="s">
        <v>4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</row>
    <row r="346" spans="1:44">
      <c r="A346">
        <f>ROW(Source!A214)</f>
        <v>214</v>
      </c>
      <c r="B346">
        <v>70305814</v>
      </c>
      <c r="C346">
        <v>70305806</v>
      </c>
      <c r="D346">
        <v>69364069</v>
      </c>
      <c r="E346">
        <v>1</v>
      </c>
      <c r="F346">
        <v>1</v>
      </c>
      <c r="G346">
        <v>1075</v>
      </c>
      <c r="H346">
        <v>2</v>
      </c>
      <c r="I346" t="s">
        <v>464</v>
      </c>
      <c r="J346" t="s">
        <v>465</v>
      </c>
      <c r="K346" t="s">
        <v>466</v>
      </c>
      <c r="L346">
        <v>1368</v>
      </c>
      <c r="N346">
        <v>1011</v>
      </c>
      <c r="O346" t="s">
        <v>338</v>
      </c>
      <c r="P346" t="s">
        <v>338</v>
      </c>
      <c r="Q346">
        <v>1</v>
      </c>
      <c r="X346">
        <v>0.76</v>
      </c>
      <c r="Y346">
        <v>0</v>
      </c>
      <c r="Z346">
        <v>3.95</v>
      </c>
      <c r="AA346">
        <v>0</v>
      </c>
      <c r="AB346">
        <v>0</v>
      </c>
      <c r="AC346">
        <v>0</v>
      </c>
      <c r="AD346">
        <v>1</v>
      </c>
      <c r="AE346">
        <v>0</v>
      </c>
      <c r="AF346" t="s">
        <v>4</v>
      </c>
      <c r="AG346">
        <v>0.76</v>
      </c>
      <c r="AH346">
        <v>3</v>
      </c>
      <c r="AI346">
        <v>-1</v>
      </c>
      <c r="AJ346" t="s">
        <v>4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</row>
    <row r="347" spans="1:44">
      <c r="A347">
        <f>ROW(Source!A214)</f>
        <v>214</v>
      </c>
      <c r="B347">
        <v>70305815</v>
      </c>
      <c r="C347">
        <v>70305806</v>
      </c>
      <c r="D347">
        <v>69333752</v>
      </c>
      <c r="E347">
        <v>1</v>
      </c>
      <c r="F347">
        <v>1</v>
      </c>
      <c r="G347">
        <v>1075</v>
      </c>
      <c r="H347">
        <v>3</v>
      </c>
      <c r="I347" t="s">
        <v>352</v>
      </c>
      <c r="J347" t="s">
        <v>353</v>
      </c>
      <c r="K347" t="s">
        <v>354</v>
      </c>
      <c r="L347">
        <v>1348</v>
      </c>
      <c r="N347">
        <v>1009</v>
      </c>
      <c r="O347" t="s">
        <v>168</v>
      </c>
      <c r="P347" t="s">
        <v>168</v>
      </c>
      <c r="Q347">
        <v>1000</v>
      </c>
      <c r="X347">
        <v>1E-4</v>
      </c>
      <c r="Y347">
        <v>6521.42</v>
      </c>
      <c r="Z347">
        <v>0</v>
      </c>
      <c r="AA347">
        <v>0</v>
      </c>
      <c r="AB347">
        <v>0</v>
      </c>
      <c r="AC347">
        <v>0</v>
      </c>
      <c r="AD347">
        <v>1</v>
      </c>
      <c r="AE347">
        <v>0</v>
      </c>
      <c r="AF347" t="s">
        <v>4</v>
      </c>
      <c r="AG347">
        <v>1E-4</v>
      </c>
      <c r="AH347">
        <v>3</v>
      </c>
      <c r="AI347">
        <v>-1</v>
      </c>
      <c r="AJ347" t="s">
        <v>4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</row>
    <row r="348" spans="1:44">
      <c r="A348">
        <f>ROW(Source!A214)</f>
        <v>214</v>
      </c>
      <c r="B348">
        <v>70305816</v>
      </c>
      <c r="C348">
        <v>70305806</v>
      </c>
      <c r="D348">
        <v>69334877</v>
      </c>
      <c r="E348">
        <v>1</v>
      </c>
      <c r="F348">
        <v>1</v>
      </c>
      <c r="G348">
        <v>1075</v>
      </c>
      <c r="H348">
        <v>3</v>
      </c>
      <c r="I348" t="s">
        <v>467</v>
      </c>
      <c r="J348" t="s">
        <v>468</v>
      </c>
      <c r="K348" t="s">
        <v>469</v>
      </c>
      <c r="L348">
        <v>1346</v>
      </c>
      <c r="N348">
        <v>1009</v>
      </c>
      <c r="O348" t="s">
        <v>394</v>
      </c>
      <c r="P348" t="s">
        <v>394</v>
      </c>
      <c r="Q348">
        <v>1</v>
      </c>
      <c r="X348">
        <v>0.09</v>
      </c>
      <c r="Y348">
        <v>18.149999999999999</v>
      </c>
      <c r="Z348">
        <v>0</v>
      </c>
      <c r="AA348">
        <v>0</v>
      </c>
      <c r="AB348">
        <v>0</v>
      </c>
      <c r="AC348">
        <v>0</v>
      </c>
      <c r="AD348">
        <v>1</v>
      </c>
      <c r="AE348">
        <v>0</v>
      </c>
      <c r="AF348" t="s">
        <v>4</v>
      </c>
      <c r="AG348">
        <v>0.09</v>
      </c>
      <c r="AH348">
        <v>3</v>
      </c>
      <c r="AI348">
        <v>-1</v>
      </c>
      <c r="AJ348" t="s">
        <v>4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</row>
    <row r="349" spans="1:44">
      <c r="A349">
        <f>ROW(Source!A214)</f>
        <v>214</v>
      </c>
      <c r="B349">
        <v>70305817</v>
      </c>
      <c r="C349">
        <v>70305806</v>
      </c>
      <c r="D349">
        <v>69333818</v>
      </c>
      <c r="E349">
        <v>1</v>
      </c>
      <c r="F349">
        <v>1</v>
      </c>
      <c r="G349">
        <v>1075</v>
      </c>
      <c r="H349">
        <v>3</v>
      </c>
      <c r="I349" t="s">
        <v>470</v>
      </c>
      <c r="J349" t="s">
        <v>471</v>
      </c>
      <c r="K349" t="s">
        <v>472</v>
      </c>
      <c r="L349">
        <v>1339</v>
      </c>
      <c r="N349">
        <v>1007</v>
      </c>
      <c r="O349" t="s">
        <v>52</v>
      </c>
      <c r="P349" t="s">
        <v>52</v>
      </c>
      <c r="Q349">
        <v>1</v>
      </c>
      <c r="X349">
        <v>0.01</v>
      </c>
      <c r="Y349">
        <v>1183.5</v>
      </c>
      <c r="Z349">
        <v>0</v>
      </c>
      <c r="AA349">
        <v>0</v>
      </c>
      <c r="AB349">
        <v>0</v>
      </c>
      <c r="AC349">
        <v>0</v>
      </c>
      <c r="AD349">
        <v>1</v>
      </c>
      <c r="AE349">
        <v>0</v>
      </c>
      <c r="AF349" t="s">
        <v>4</v>
      </c>
      <c r="AG349">
        <v>0.01</v>
      </c>
      <c r="AH349">
        <v>3</v>
      </c>
      <c r="AI349">
        <v>-1</v>
      </c>
      <c r="AJ349" t="s">
        <v>4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</row>
    <row r="350" spans="1:44">
      <c r="A350">
        <f>ROW(Source!A214)</f>
        <v>214</v>
      </c>
      <c r="B350">
        <v>70305818</v>
      </c>
      <c r="C350">
        <v>70305806</v>
      </c>
      <c r="D350">
        <v>69333692</v>
      </c>
      <c r="E350">
        <v>1</v>
      </c>
      <c r="F350">
        <v>1</v>
      </c>
      <c r="G350">
        <v>1075</v>
      </c>
      <c r="H350">
        <v>3</v>
      </c>
      <c r="I350" t="s">
        <v>473</v>
      </c>
      <c r="J350" t="s">
        <v>474</v>
      </c>
      <c r="K350" t="s">
        <v>475</v>
      </c>
      <c r="L350">
        <v>1348</v>
      </c>
      <c r="N350">
        <v>1009</v>
      </c>
      <c r="O350" t="s">
        <v>168</v>
      </c>
      <c r="P350" t="s">
        <v>168</v>
      </c>
      <c r="Q350">
        <v>1000</v>
      </c>
      <c r="X350">
        <v>2.8700000000000002E-3</v>
      </c>
      <c r="Y350">
        <v>24618.39</v>
      </c>
      <c r="Z350">
        <v>0</v>
      </c>
      <c r="AA350">
        <v>0</v>
      </c>
      <c r="AB350">
        <v>0</v>
      </c>
      <c r="AC350">
        <v>0</v>
      </c>
      <c r="AD350">
        <v>1</v>
      </c>
      <c r="AE350">
        <v>0</v>
      </c>
      <c r="AF350" t="s">
        <v>4</v>
      </c>
      <c r="AG350">
        <v>2.8700000000000002E-3</v>
      </c>
      <c r="AH350">
        <v>3</v>
      </c>
      <c r="AI350">
        <v>-1</v>
      </c>
      <c r="AJ350" t="s">
        <v>4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</row>
    <row r="351" spans="1:44">
      <c r="A351">
        <f>ROW(Source!A214)</f>
        <v>214</v>
      </c>
      <c r="B351">
        <v>70305819</v>
      </c>
      <c r="C351">
        <v>70305806</v>
      </c>
      <c r="D351">
        <v>69334282</v>
      </c>
      <c r="E351">
        <v>1</v>
      </c>
      <c r="F351">
        <v>1</v>
      </c>
      <c r="G351">
        <v>1075</v>
      </c>
      <c r="H351">
        <v>3</v>
      </c>
      <c r="I351" t="s">
        <v>476</v>
      </c>
      <c r="J351" t="s">
        <v>477</v>
      </c>
      <c r="K351" t="s">
        <v>478</v>
      </c>
      <c r="L351">
        <v>1348</v>
      </c>
      <c r="N351">
        <v>1009</v>
      </c>
      <c r="O351" t="s">
        <v>168</v>
      </c>
      <c r="P351" t="s">
        <v>168</v>
      </c>
      <c r="Q351">
        <v>1000</v>
      </c>
      <c r="X351">
        <v>9.4000000000000004E-3</v>
      </c>
      <c r="Y351">
        <v>6870.66</v>
      </c>
      <c r="Z351">
        <v>0</v>
      </c>
      <c r="AA351">
        <v>0</v>
      </c>
      <c r="AB351">
        <v>0</v>
      </c>
      <c r="AC351">
        <v>0</v>
      </c>
      <c r="AD351">
        <v>1</v>
      </c>
      <c r="AE351">
        <v>0</v>
      </c>
      <c r="AF351" t="s">
        <v>4</v>
      </c>
      <c r="AG351">
        <v>9.4000000000000004E-3</v>
      </c>
      <c r="AH351">
        <v>3</v>
      </c>
      <c r="AI351">
        <v>-1</v>
      </c>
      <c r="AJ351" t="s">
        <v>4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</row>
    <row r="352" spans="1:44">
      <c r="A352">
        <f>ROW(Source!A214)</f>
        <v>214</v>
      </c>
      <c r="B352">
        <v>70305820</v>
      </c>
      <c r="C352">
        <v>70305806</v>
      </c>
      <c r="D352">
        <v>69334307</v>
      </c>
      <c r="E352">
        <v>1</v>
      </c>
      <c r="F352">
        <v>1</v>
      </c>
      <c r="G352">
        <v>1075</v>
      </c>
      <c r="H352">
        <v>3</v>
      </c>
      <c r="I352" t="s">
        <v>361</v>
      </c>
      <c r="J352" t="s">
        <v>362</v>
      </c>
      <c r="K352" t="s">
        <v>363</v>
      </c>
      <c r="L352">
        <v>1348</v>
      </c>
      <c r="N352">
        <v>1009</v>
      </c>
      <c r="O352" t="s">
        <v>168</v>
      </c>
      <c r="P352" t="s">
        <v>168</v>
      </c>
      <c r="Q352">
        <v>1000</v>
      </c>
      <c r="X352">
        <v>4.0000000000000003E-5</v>
      </c>
      <c r="Y352">
        <v>9098.51</v>
      </c>
      <c r="Z352">
        <v>0</v>
      </c>
      <c r="AA352">
        <v>0</v>
      </c>
      <c r="AB352">
        <v>0</v>
      </c>
      <c r="AC352">
        <v>0</v>
      </c>
      <c r="AD352">
        <v>1</v>
      </c>
      <c r="AE352">
        <v>0</v>
      </c>
      <c r="AF352" t="s">
        <v>4</v>
      </c>
      <c r="AG352">
        <v>4.0000000000000003E-5</v>
      </c>
      <c r="AH352">
        <v>3</v>
      </c>
      <c r="AI352">
        <v>-1</v>
      </c>
      <c r="AJ352" t="s">
        <v>4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</row>
    <row r="353" spans="1:44">
      <c r="A353">
        <f>ROW(Source!A214)</f>
        <v>214</v>
      </c>
      <c r="B353">
        <v>70305821</v>
      </c>
      <c r="C353">
        <v>70305806</v>
      </c>
      <c r="D353">
        <v>69351457</v>
      </c>
      <c r="E353">
        <v>1</v>
      </c>
      <c r="F353">
        <v>1</v>
      </c>
      <c r="G353">
        <v>1075</v>
      </c>
      <c r="H353">
        <v>3</v>
      </c>
      <c r="I353" t="s">
        <v>479</v>
      </c>
      <c r="J353" t="s">
        <v>480</v>
      </c>
      <c r="K353" t="s">
        <v>481</v>
      </c>
      <c r="L353">
        <v>1356</v>
      </c>
      <c r="N353">
        <v>1010</v>
      </c>
      <c r="O353" t="s">
        <v>286</v>
      </c>
      <c r="P353" t="s">
        <v>286</v>
      </c>
      <c r="Q353">
        <v>1000</v>
      </c>
      <c r="X353">
        <v>4.1000000000000003E-3</v>
      </c>
      <c r="Y353">
        <v>56.17</v>
      </c>
      <c r="Z353">
        <v>0</v>
      </c>
      <c r="AA353">
        <v>0</v>
      </c>
      <c r="AB353">
        <v>0</v>
      </c>
      <c r="AC353">
        <v>0</v>
      </c>
      <c r="AD353">
        <v>1</v>
      </c>
      <c r="AE353">
        <v>0</v>
      </c>
      <c r="AF353" t="s">
        <v>4</v>
      </c>
      <c r="AG353">
        <v>4.1000000000000003E-3</v>
      </c>
      <c r="AH353">
        <v>3</v>
      </c>
      <c r="AI353">
        <v>-1</v>
      </c>
      <c r="AJ353" t="s">
        <v>4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</row>
    <row r="354" spans="1:44">
      <c r="A354">
        <f>ROW(Source!A214)</f>
        <v>214</v>
      </c>
      <c r="B354">
        <v>70305822</v>
      </c>
      <c r="C354">
        <v>70305806</v>
      </c>
      <c r="D354">
        <v>69351232</v>
      </c>
      <c r="E354">
        <v>1</v>
      </c>
      <c r="F354">
        <v>1</v>
      </c>
      <c r="G354">
        <v>1075</v>
      </c>
      <c r="H354">
        <v>3</v>
      </c>
      <c r="I354" t="s">
        <v>482</v>
      </c>
      <c r="J354" t="s">
        <v>483</v>
      </c>
      <c r="K354" t="s">
        <v>484</v>
      </c>
      <c r="L354">
        <v>1355</v>
      </c>
      <c r="N354">
        <v>1010</v>
      </c>
      <c r="O354" t="s">
        <v>485</v>
      </c>
      <c r="P354" t="s">
        <v>485</v>
      </c>
      <c r="Q354">
        <v>100</v>
      </c>
      <c r="X354">
        <v>0.66669999999999996</v>
      </c>
      <c r="Y354">
        <v>57.81</v>
      </c>
      <c r="Z354">
        <v>0</v>
      </c>
      <c r="AA354">
        <v>0</v>
      </c>
      <c r="AB354">
        <v>0</v>
      </c>
      <c r="AC354">
        <v>0</v>
      </c>
      <c r="AD354">
        <v>1</v>
      </c>
      <c r="AE354">
        <v>0</v>
      </c>
      <c r="AF354" t="s">
        <v>4</v>
      </c>
      <c r="AG354">
        <v>0.66669999999999996</v>
      </c>
      <c r="AH354">
        <v>3</v>
      </c>
      <c r="AI354">
        <v>-1</v>
      </c>
      <c r="AJ354" t="s">
        <v>4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</row>
    <row r="355" spans="1:44">
      <c r="A355">
        <f>ROW(Source!A214)</f>
        <v>214</v>
      </c>
      <c r="B355">
        <v>70305823</v>
      </c>
      <c r="C355">
        <v>70305806</v>
      </c>
      <c r="D355">
        <v>69298822</v>
      </c>
      <c r="E355">
        <v>1075</v>
      </c>
      <c r="F355">
        <v>1</v>
      </c>
      <c r="G355">
        <v>1075</v>
      </c>
      <c r="H355">
        <v>3</v>
      </c>
      <c r="I355" t="s">
        <v>486</v>
      </c>
      <c r="J355" t="s">
        <v>4</v>
      </c>
      <c r="K355" t="s">
        <v>487</v>
      </c>
      <c r="L355">
        <v>1303</v>
      </c>
      <c r="N355">
        <v>1003</v>
      </c>
      <c r="O355" t="s">
        <v>209</v>
      </c>
      <c r="P355" t="s">
        <v>209</v>
      </c>
      <c r="Q355">
        <v>1000</v>
      </c>
      <c r="X355">
        <v>0.30599999999999999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 t="s">
        <v>4</v>
      </c>
      <c r="AG355">
        <v>0.30599999999999999</v>
      </c>
      <c r="AH355">
        <v>3</v>
      </c>
      <c r="AI355">
        <v>-1</v>
      </c>
      <c r="AJ355" t="s">
        <v>4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</row>
    <row r="356" spans="1:44">
      <c r="A356">
        <f>ROW(Source!A215)</f>
        <v>215</v>
      </c>
      <c r="B356">
        <v>70305809</v>
      </c>
      <c r="C356">
        <v>70305806</v>
      </c>
      <c r="D356">
        <v>69275358</v>
      </c>
      <c r="E356">
        <v>1075</v>
      </c>
      <c r="F356">
        <v>1</v>
      </c>
      <c r="G356">
        <v>1075</v>
      </c>
      <c r="H356">
        <v>1</v>
      </c>
      <c r="I356" t="s">
        <v>332</v>
      </c>
      <c r="J356" t="s">
        <v>4</v>
      </c>
      <c r="K356" t="s">
        <v>333</v>
      </c>
      <c r="L356">
        <v>1191</v>
      </c>
      <c r="N356">
        <v>1013</v>
      </c>
      <c r="O356" t="s">
        <v>334</v>
      </c>
      <c r="P356" t="s">
        <v>334</v>
      </c>
      <c r="Q356">
        <v>1</v>
      </c>
      <c r="X356">
        <v>54.12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1</v>
      </c>
      <c r="AE356">
        <v>1</v>
      </c>
      <c r="AF356" t="s">
        <v>4</v>
      </c>
      <c r="AG356">
        <v>54.12</v>
      </c>
      <c r="AH356">
        <v>3</v>
      </c>
      <c r="AI356">
        <v>-1</v>
      </c>
      <c r="AJ356" t="s">
        <v>4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</row>
    <row r="357" spans="1:44">
      <c r="A357">
        <f>ROW(Source!A215)</f>
        <v>215</v>
      </c>
      <c r="B357">
        <v>70305810</v>
      </c>
      <c r="C357">
        <v>70305806</v>
      </c>
      <c r="D357">
        <v>69364511</v>
      </c>
      <c r="E357">
        <v>1</v>
      </c>
      <c r="F357">
        <v>1</v>
      </c>
      <c r="G357">
        <v>1075</v>
      </c>
      <c r="H357">
        <v>2</v>
      </c>
      <c r="I357" t="s">
        <v>452</v>
      </c>
      <c r="J357" t="s">
        <v>453</v>
      </c>
      <c r="K357" t="s">
        <v>454</v>
      </c>
      <c r="L357">
        <v>1368</v>
      </c>
      <c r="N357">
        <v>1011</v>
      </c>
      <c r="O357" t="s">
        <v>338</v>
      </c>
      <c r="P357" t="s">
        <v>338</v>
      </c>
      <c r="Q357">
        <v>1</v>
      </c>
      <c r="X357">
        <v>0.79</v>
      </c>
      <c r="Y357">
        <v>0</v>
      </c>
      <c r="Z357">
        <v>119.07</v>
      </c>
      <c r="AA357">
        <v>12.62</v>
      </c>
      <c r="AB357">
        <v>0</v>
      </c>
      <c r="AC357">
        <v>0</v>
      </c>
      <c r="AD357">
        <v>1</v>
      </c>
      <c r="AE357">
        <v>0</v>
      </c>
      <c r="AF357" t="s">
        <v>4</v>
      </c>
      <c r="AG357">
        <v>0.79</v>
      </c>
      <c r="AH357">
        <v>3</v>
      </c>
      <c r="AI357">
        <v>-1</v>
      </c>
      <c r="AJ357" t="s">
        <v>4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</row>
    <row r="358" spans="1:44">
      <c r="A358">
        <f>ROW(Source!A215)</f>
        <v>215</v>
      </c>
      <c r="B358">
        <v>70305811</v>
      </c>
      <c r="C358">
        <v>70305806</v>
      </c>
      <c r="D358">
        <v>69363844</v>
      </c>
      <c r="E358">
        <v>1</v>
      </c>
      <c r="F358">
        <v>1</v>
      </c>
      <c r="G358">
        <v>1075</v>
      </c>
      <c r="H358">
        <v>2</v>
      </c>
      <c r="I358" t="s">
        <v>455</v>
      </c>
      <c r="J358" t="s">
        <v>456</v>
      </c>
      <c r="K358" t="s">
        <v>457</v>
      </c>
      <c r="L358">
        <v>1368</v>
      </c>
      <c r="N358">
        <v>1011</v>
      </c>
      <c r="O358" t="s">
        <v>338</v>
      </c>
      <c r="P358" t="s">
        <v>338</v>
      </c>
      <c r="Q358">
        <v>1</v>
      </c>
      <c r="X358">
        <v>0.86</v>
      </c>
      <c r="Y358">
        <v>0</v>
      </c>
      <c r="Z358">
        <v>6.68</v>
      </c>
      <c r="AA358">
        <v>0</v>
      </c>
      <c r="AB358">
        <v>0</v>
      </c>
      <c r="AC358">
        <v>0</v>
      </c>
      <c r="AD358">
        <v>1</v>
      </c>
      <c r="AE358">
        <v>0</v>
      </c>
      <c r="AF358" t="s">
        <v>4</v>
      </c>
      <c r="AG358">
        <v>0.86</v>
      </c>
      <c r="AH358">
        <v>3</v>
      </c>
      <c r="AI358">
        <v>-1</v>
      </c>
      <c r="AJ358" t="s">
        <v>4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</row>
    <row r="359" spans="1:44">
      <c r="A359">
        <f>ROW(Source!A215)</f>
        <v>215</v>
      </c>
      <c r="B359">
        <v>70305812</v>
      </c>
      <c r="C359">
        <v>70305806</v>
      </c>
      <c r="D359">
        <v>69363851</v>
      </c>
      <c r="E359">
        <v>1</v>
      </c>
      <c r="F359">
        <v>1</v>
      </c>
      <c r="G359">
        <v>1075</v>
      </c>
      <c r="H359">
        <v>2</v>
      </c>
      <c r="I359" t="s">
        <v>458</v>
      </c>
      <c r="J359" t="s">
        <v>459</v>
      </c>
      <c r="K359" t="s">
        <v>460</v>
      </c>
      <c r="L359">
        <v>1368</v>
      </c>
      <c r="N359">
        <v>1011</v>
      </c>
      <c r="O359" t="s">
        <v>338</v>
      </c>
      <c r="P359" t="s">
        <v>338</v>
      </c>
      <c r="Q359">
        <v>1</v>
      </c>
      <c r="X359">
        <v>2.4300000000000002</v>
      </c>
      <c r="Y359">
        <v>0</v>
      </c>
      <c r="Z359">
        <v>0.54</v>
      </c>
      <c r="AA359">
        <v>0</v>
      </c>
      <c r="AB359">
        <v>0</v>
      </c>
      <c r="AC359">
        <v>0</v>
      </c>
      <c r="AD359">
        <v>1</v>
      </c>
      <c r="AE359">
        <v>0</v>
      </c>
      <c r="AF359" t="s">
        <v>4</v>
      </c>
      <c r="AG359">
        <v>2.4300000000000002</v>
      </c>
      <c r="AH359">
        <v>3</v>
      </c>
      <c r="AI359">
        <v>-1</v>
      </c>
      <c r="AJ359" t="s">
        <v>4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</row>
    <row r="360" spans="1:44">
      <c r="A360">
        <f>ROW(Source!A215)</f>
        <v>215</v>
      </c>
      <c r="B360">
        <v>70305813</v>
      </c>
      <c r="C360">
        <v>70305806</v>
      </c>
      <c r="D360">
        <v>69364066</v>
      </c>
      <c r="E360">
        <v>1</v>
      </c>
      <c r="F360">
        <v>1</v>
      </c>
      <c r="G360">
        <v>1075</v>
      </c>
      <c r="H360">
        <v>2</v>
      </c>
      <c r="I360" t="s">
        <v>461</v>
      </c>
      <c r="J360" t="s">
        <v>462</v>
      </c>
      <c r="K360" t="s">
        <v>463</v>
      </c>
      <c r="L360">
        <v>1368</v>
      </c>
      <c r="N360">
        <v>1011</v>
      </c>
      <c r="O360" t="s">
        <v>338</v>
      </c>
      <c r="P360" t="s">
        <v>338</v>
      </c>
      <c r="Q360">
        <v>1</v>
      </c>
      <c r="X360">
        <v>0.86</v>
      </c>
      <c r="Y360">
        <v>0</v>
      </c>
      <c r="Z360">
        <v>141.16</v>
      </c>
      <c r="AA360">
        <v>14.54</v>
      </c>
      <c r="AB360">
        <v>0</v>
      </c>
      <c r="AC360">
        <v>0</v>
      </c>
      <c r="AD360">
        <v>1</v>
      </c>
      <c r="AE360">
        <v>0</v>
      </c>
      <c r="AF360" t="s">
        <v>4</v>
      </c>
      <c r="AG360">
        <v>0.86</v>
      </c>
      <c r="AH360">
        <v>3</v>
      </c>
      <c r="AI360">
        <v>-1</v>
      </c>
      <c r="AJ360" t="s">
        <v>4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</row>
    <row r="361" spans="1:44">
      <c r="A361">
        <f>ROW(Source!A215)</f>
        <v>215</v>
      </c>
      <c r="B361">
        <v>70305814</v>
      </c>
      <c r="C361">
        <v>70305806</v>
      </c>
      <c r="D361">
        <v>69364069</v>
      </c>
      <c r="E361">
        <v>1</v>
      </c>
      <c r="F361">
        <v>1</v>
      </c>
      <c r="G361">
        <v>1075</v>
      </c>
      <c r="H361">
        <v>2</v>
      </c>
      <c r="I361" t="s">
        <v>464</v>
      </c>
      <c r="J361" t="s">
        <v>465</v>
      </c>
      <c r="K361" t="s">
        <v>466</v>
      </c>
      <c r="L361">
        <v>1368</v>
      </c>
      <c r="N361">
        <v>1011</v>
      </c>
      <c r="O361" t="s">
        <v>338</v>
      </c>
      <c r="P361" t="s">
        <v>338</v>
      </c>
      <c r="Q361">
        <v>1</v>
      </c>
      <c r="X361">
        <v>0.76</v>
      </c>
      <c r="Y361">
        <v>0</v>
      </c>
      <c r="Z361">
        <v>3.95</v>
      </c>
      <c r="AA361">
        <v>0</v>
      </c>
      <c r="AB361">
        <v>0</v>
      </c>
      <c r="AC361">
        <v>0</v>
      </c>
      <c r="AD361">
        <v>1</v>
      </c>
      <c r="AE361">
        <v>0</v>
      </c>
      <c r="AF361" t="s">
        <v>4</v>
      </c>
      <c r="AG361">
        <v>0.76</v>
      </c>
      <c r="AH361">
        <v>3</v>
      </c>
      <c r="AI361">
        <v>-1</v>
      </c>
      <c r="AJ361" t="s">
        <v>4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</row>
    <row r="362" spans="1:44">
      <c r="A362">
        <f>ROW(Source!A215)</f>
        <v>215</v>
      </c>
      <c r="B362">
        <v>70305815</v>
      </c>
      <c r="C362">
        <v>70305806</v>
      </c>
      <c r="D362">
        <v>69333752</v>
      </c>
      <c r="E362">
        <v>1</v>
      </c>
      <c r="F362">
        <v>1</v>
      </c>
      <c r="G362">
        <v>1075</v>
      </c>
      <c r="H362">
        <v>3</v>
      </c>
      <c r="I362" t="s">
        <v>352</v>
      </c>
      <c r="J362" t="s">
        <v>353</v>
      </c>
      <c r="K362" t="s">
        <v>354</v>
      </c>
      <c r="L362">
        <v>1348</v>
      </c>
      <c r="N362">
        <v>1009</v>
      </c>
      <c r="O362" t="s">
        <v>168</v>
      </c>
      <c r="P362" t="s">
        <v>168</v>
      </c>
      <c r="Q362">
        <v>1000</v>
      </c>
      <c r="X362">
        <v>1E-4</v>
      </c>
      <c r="Y362">
        <v>6521.42</v>
      </c>
      <c r="Z362">
        <v>0</v>
      </c>
      <c r="AA362">
        <v>0</v>
      </c>
      <c r="AB362">
        <v>0</v>
      </c>
      <c r="AC362">
        <v>0</v>
      </c>
      <c r="AD362">
        <v>1</v>
      </c>
      <c r="AE362">
        <v>0</v>
      </c>
      <c r="AF362" t="s">
        <v>4</v>
      </c>
      <c r="AG362">
        <v>1E-4</v>
      </c>
      <c r="AH362">
        <v>3</v>
      </c>
      <c r="AI362">
        <v>-1</v>
      </c>
      <c r="AJ362" t="s">
        <v>4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</row>
    <row r="363" spans="1:44">
      <c r="A363">
        <f>ROW(Source!A215)</f>
        <v>215</v>
      </c>
      <c r="B363">
        <v>70305816</v>
      </c>
      <c r="C363">
        <v>70305806</v>
      </c>
      <c r="D363">
        <v>69334877</v>
      </c>
      <c r="E363">
        <v>1</v>
      </c>
      <c r="F363">
        <v>1</v>
      </c>
      <c r="G363">
        <v>1075</v>
      </c>
      <c r="H363">
        <v>3</v>
      </c>
      <c r="I363" t="s">
        <v>467</v>
      </c>
      <c r="J363" t="s">
        <v>468</v>
      </c>
      <c r="K363" t="s">
        <v>469</v>
      </c>
      <c r="L363">
        <v>1346</v>
      </c>
      <c r="N363">
        <v>1009</v>
      </c>
      <c r="O363" t="s">
        <v>394</v>
      </c>
      <c r="P363" t="s">
        <v>394</v>
      </c>
      <c r="Q363">
        <v>1</v>
      </c>
      <c r="X363">
        <v>0.09</v>
      </c>
      <c r="Y363">
        <v>18.149999999999999</v>
      </c>
      <c r="Z363">
        <v>0</v>
      </c>
      <c r="AA363">
        <v>0</v>
      </c>
      <c r="AB363">
        <v>0</v>
      </c>
      <c r="AC363">
        <v>0</v>
      </c>
      <c r="AD363">
        <v>1</v>
      </c>
      <c r="AE363">
        <v>0</v>
      </c>
      <c r="AF363" t="s">
        <v>4</v>
      </c>
      <c r="AG363">
        <v>0.09</v>
      </c>
      <c r="AH363">
        <v>3</v>
      </c>
      <c r="AI363">
        <v>-1</v>
      </c>
      <c r="AJ363" t="s">
        <v>4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</row>
    <row r="364" spans="1:44">
      <c r="A364">
        <f>ROW(Source!A215)</f>
        <v>215</v>
      </c>
      <c r="B364">
        <v>70305817</v>
      </c>
      <c r="C364">
        <v>70305806</v>
      </c>
      <c r="D364">
        <v>69333818</v>
      </c>
      <c r="E364">
        <v>1</v>
      </c>
      <c r="F364">
        <v>1</v>
      </c>
      <c r="G364">
        <v>1075</v>
      </c>
      <c r="H364">
        <v>3</v>
      </c>
      <c r="I364" t="s">
        <v>470</v>
      </c>
      <c r="J364" t="s">
        <v>471</v>
      </c>
      <c r="K364" t="s">
        <v>472</v>
      </c>
      <c r="L364">
        <v>1339</v>
      </c>
      <c r="N364">
        <v>1007</v>
      </c>
      <c r="O364" t="s">
        <v>52</v>
      </c>
      <c r="P364" t="s">
        <v>52</v>
      </c>
      <c r="Q364">
        <v>1</v>
      </c>
      <c r="X364">
        <v>0.01</v>
      </c>
      <c r="Y364">
        <v>1183.5</v>
      </c>
      <c r="Z364">
        <v>0</v>
      </c>
      <c r="AA364">
        <v>0</v>
      </c>
      <c r="AB364">
        <v>0</v>
      </c>
      <c r="AC364">
        <v>0</v>
      </c>
      <c r="AD364">
        <v>1</v>
      </c>
      <c r="AE364">
        <v>0</v>
      </c>
      <c r="AF364" t="s">
        <v>4</v>
      </c>
      <c r="AG364">
        <v>0.01</v>
      </c>
      <c r="AH364">
        <v>3</v>
      </c>
      <c r="AI364">
        <v>-1</v>
      </c>
      <c r="AJ364" t="s">
        <v>4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</row>
    <row r="365" spans="1:44">
      <c r="A365">
        <f>ROW(Source!A215)</f>
        <v>215</v>
      </c>
      <c r="B365">
        <v>70305818</v>
      </c>
      <c r="C365">
        <v>70305806</v>
      </c>
      <c r="D365">
        <v>69333692</v>
      </c>
      <c r="E365">
        <v>1</v>
      </c>
      <c r="F365">
        <v>1</v>
      </c>
      <c r="G365">
        <v>1075</v>
      </c>
      <c r="H365">
        <v>3</v>
      </c>
      <c r="I365" t="s">
        <v>473</v>
      </c>
      <c r="J365" t="s">
        <v>474</v>
      </c>
      <c r="K365" t="s">
        <v>475</v>
      </c>
      <c r="L365">
        <v>1348</v>
      </c>
      <c r="N365">
        <v>1009</v>
      </c>
      <c r="O365" t="s">
        <v>168</v>
      </c>
      <c r="P365" t="s">
        <v>168</v>
      </c>
      <c r="Q365">
        <v>1000</v>
      </c>
      <c r="X365">
        <v>2.8700000000000002E-3</v>
      </c>
      <c r="Y365">
        <v>24618.39</v>
      </c>
      <c r="Z365">
        <v>0</v>
      </c>
      <c r="AA365">
        <v>0</v>
      </c>
      <c r="AB365">
        <v>0</v>
      </c>
      <c r="AC365">
        <v>0</v>
      </c>
      <c r="AD365">
        <v>1</v>
      </c>
      <c r="AE365">
        <v>0</v>
      </c>
      <c r="AF365" t="s">
        <v>4</v>
      </c>
      <c r="AG365">
        <v>2.8700000000000002E-3</v>
      </c>
      <c r="AH365">
        <v>3</v>
      </c>
      <c r="AI365">
        <v>-1</v>
      </c>
      <c r="AJ365" t="s">
        <v>4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</row>
    <row r="366" spans="1:44">
      <c r="A366">
        <f>ROW(Source!A215)</f>
        <v>215</v>
      </c>
      <c r="B366">
        <v>70305819</v>
      </c>
      <c r="C366">
        <v>70305806</v>
      </c>
      <c r="D366">
        <v>69334282</v>
      </c>
      <c r="E366">
        <v>1</v>
      </c>
      <c r="F366">
        <v>1</v>
      </c>
      <c r="G366">
        <v>1075</v>
      </c>
      <c r="H366">
        <v>3</v>
      </c>
      <c r="I366" t="s">
        <v>476</v>
      </c>
      <c r="J366" t="s">
        <v>477</v>
      </c>
      <c r="K366" t="s">
        <v>478</v>
      </c>
      <c r="L366">
        <v>1348</v>
      </c>
      <c r="N366">
        <v>1009</v>
      </c>
      <c r="O366" t="s">
        <v>168</v>
      </c>
      <c r="P366" t="s">
        <v>168</v>
      </c>
      <c r="Q366">
        <v>1000</v>
      </c>
      <c r="X366">
        <v>9.4000000000000004E-3</v>
      </c>
      <c r="Y366">
        <v>6870.66</v>
      </c>
      <c r="Z366">
        <v>0</v>
      </c>
      <c r="AA366">
        <v>0</v>
      </c>
      <c r="AB366">
        <v>0</v>
      </c>
      <c r="AC366">
        <v>0</v>
      </c>
      <c r="AD366">
        <v>1</v>
      </c>
      <c r="AE366">
        <v>0</v>
      </c>
      <c r="AF366" t="s">
        <v>4</v>
      </c>
      <c r="AG366">
        <v>9.4000000000000004E-3</v>
      </c>
      <c r="AH366">
        <v>3</v>
      </c>
      <c r="AI366">
        <v>-1</v>
      </c>
      <c r="AJ366" t="s">
        <v>4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</row>
    <row r="367" spans="1:44">
      <c r="A367">
        <f>ROW(Source!A215)</f>
        <v>215</v>
      </c>
      <c r="B367">
        <v>70305820</v>
      </c>
      <c r="C367">
        <v>70305806</v>
      </c>
      <c r="D367">
        <v>69334307</v>
      </c>
      <c r="E367">
        <v>1</v>
      </c>
      <c r="F367">
        <v>1</v>
      </c>
      <c r="G367">
        <v>1075</v>
      </c>
      <c r="H367">
        <v>3</v>
      </c>
      <c r="I367" t="s">
        <v>361</v>
      </c>
      <c r="J367" t="s">
        <v>362</v>
      </c>
      <c r="K367" t="s">
        <v>363</v>
      </c>
      <c r="L367">
        <v>1348</v>
      </c>
      <c r="N367">
        <v>1009</v>
      </c>
      <c r="O367" t="s">
        <v>168</v>
      </c>
      <c r="P367" t="s">
        <v>168</v>
      </c>
      <c r="Q367">
        <v>1000</v>
      </c>
      <c r="X367">
        <v>4.0000000000000003E-5</v>
      </c>
      <c r="Y367">
        <v>9098.51</v>
      </c>
      <c r="Z367">
        <v>0</v>
      </c>
      <c r="AA367">
        <v>0</v>
      </c>
      <c r="AB367">
        <v>0</v>
      </c>
      <c r="AC367">
        <v>0</v>
      </c>
      <c r="AD367">
        <v>1</v>
      </c>
      <c r="AE367">
        <v>0</v>
      </c>
      <c r="AF367" t="s">
        <v>4</v>
      </c>
      <c r="AG367">
        <v>4.0000000000000003E-5</v>
      </c>
      <c r="AH367">
        <v>3</v>
      </c>
      <c r="AI367">
        <v>-1</v>
      </c>
      <c r="AJ367" t="s">
        <v>4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</row>
    <row r="368" spans="1:44">
      <c r="A368">
        <f>ROW(Source!A215)</f>
        <v>215</v>
      </c>
      <c r="B368">
        <v>70305821</v>
      </c>
      <c r="C368">
        <v>70305806</v>
      </c>
      <c r="D368">
        <v>69351457</v>
      </c>
      <c r="E368">
        <v>1</v>
      </c>
      <c r="F368">
        <v>1</v>
      </c>
      <c r="G368">
        <v>1075</v>
      </c>
      <c r="H368">
        <v>3</v>
      </c>
      <c r="I368" t="s">
        <v>479</v>
      </c>
      <c r="J368" t="s">
        <v>480</v>
      </c>
      <c r="K368" t="s">
        <v>481</v>
      </c>
      <c r="L368">
        <v>1356</v>
      </c>
      <c r="N368">
        <v>1010</v>
      </c>
      <c r="O368" t="s">
        <v>286</v>
      </c>
      <c r="P368" t="s">
        <v>286</v>
      </c>
      <c r="Q368">
        <v>1000</v>
      </c>
      <c r="X368">
        <v>4.1000000000000003E-3</v>
      </c>
      <c r="Y368">
        <v>56.17</v>
      </c>
      <c r="Z368">
        <v>0</v>
      </c>
      <c r="AA368">
        <v>0</v>
      </c>
      <c r="AB368">
        <v>0</v>
      </c>
      <c r="AC368">
        <v>0</v>
      </c>
      <c r="AD368">
        <v>1</v>
      </c>
      <c r="AE368">
        <v>0</v>
      </c>
      <c r="AF368" t="s">
        <v>4</v>
      </c>
      <c r="AG368">
        <v>4.1000000000000003E-3</v>
      </c>
      <c r="AH368">
        <v>3</v>
      </c>
      <c r="AI368">
        <v>-1</v>
      </c>
      <c r="AJ368" t="s">
        <v>4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</row>
    <row r="369" spans="1:44">
      <c r="A369">
        <f>ROW(Source!A215)</f>
        <v>215</v>
      </c>
      <c r="B369">
        <v>70305822</v>
      </c>
      <c r="C369">
        <v>70305806</v>
      </c>
      <c r="D369">
        <v>69351232</v>
      </c>
      <c r="E369">
        <v>1</v>
      </c>
      <c r="F369">
        <v>1</v>
      </c>
      <c r="G369">
        <v>1075</v>
      </c>
      <c r="H369">
        <v>3</v>
      </c>
      <c r="I369" t="s">
        <v>482</v>
      </c>
      <c r="J369" t="s">
        <v>483</v>
      </c>
      <c r="K369" t="s">
        <v>484</v>
      </c>
      <c r="L369">
        <v>1355</v>
      </c>
      <c r="N369">
        <v>1010</v>
      </c>
      <c r="O369" t="s">
        <v>485</v>
      </c>
      <c r="P369" t="s">
        <v>485</v>
      </c>
      <c r="Q369">
        <v>100</v>
      </c>
      <c r="X369">
        <v>0.66669999999999996</v>
      </c>
      <c r="Y369">
        <v>57.81</v>
      </c>
      <c r="Z369">
        <v>0</v>
      </c>
      <c r="AA369">
        <v>0</v>
      </c>
      <c r="AB369">
        <v>0</v>
      </c>
      <c r="AC369">
        <v>0</v>
      </c>
      <c r="AD369">
        <v>1</v>
      </c>
      <c r="AE369">
        <v>0</v>
      </c>
      <c r="AF369" t="s">
        <v>4</v>
      </c>
      <c r="AG369">
        <v>0.66669999999999996</v>
      </c>
      <c r="AH369">
        <v>3</v>
      </c>
      <c r="AI369">
        <v>-1</v>
      </c>
      <c r="AJ369" t="s">
        <v>4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</row>
    <row r="370" spans="1:44">
      <c r="A370">
        <f>ROW(Source!A215)</f>
        <v>215</v>
      </c>
      <c r="B370">
        <v>70305823</v>
      </c>
      <c r="C370">
        <v>70305806</v>
      </c>
      <c r="D370">
        <v>69298822</v>
      </c>
      <c r="E370">
        <v>1075</v>
      </c>
      <c r="F370">
        <v>1</v>
      </c>
      <c r="G370">
        <v>1075</v>
      </c>
      <c r="H370">
        <v>3</v>
      </c>
      <c r="I370" t="s">
        <v>486</v>
      </c>
      <c r="J370" t="s">
        <v>4</v>
      </c>
      <c r="K370" t="s">
        <v>487</v>
      </c>
      <c r="L370">
        <v>1303</v>
      </c>
      <c r="N370">
        <v>1003</v>
      </c>
      <c r="O370" t="s">
        <v>209</v>
      </c>
      <c r="P370" t="s">
        <v>209</v>
      </c>
      <c r="Q370">
        <v>1000</v>
      </c>
      <c r="X370">
        <v>0.30599999999999999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 t="s">
        <v>4</v>
      </c>
      <c r="AG370">
        <v>0.30599999999999999</v>
      </c>
      <c r="AH370">
        <v>3</v>
      </c>
      <c r="AI370">
        <v>-1</v>
      </c>
      <c r="AJ370" t="s">
        <v>4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</row>
    <row r="371" spans="1:44">
      <c r="A371">
        <f>ROW(Source!A216)</f>
        <v>216</v>
      </c>
      <c r="B371">
        <v>70305830</v>
      </c>
      <c r="C371">
        <v>70305824</v>
      </c>
      <c r="D371">
        <v>69275358</v>
      </c>
      <c r="E371">
        <v>1075</v>
      </c>
      <c r="F371">
        <v>1</v>
      </c>
      <c r="G371">
        <v>1075</v>
      </c>
      <c r="H371">
        <v>1</v>
      </c>
      <c r="I371" t="s">
        <v>332</v>
      </c>
      <c r="J371" t="s">
        <v>4</v>
      </c>
      <c r="K371" t="s">
        <v>333</v>
      </c>
      <c r="L371">
        <v>1191</v>
      </c>
      <c r="N371">
        <v>1013</v>
      </c>
      <c r="O371" t="s">
        <v>334</v>
      </c>
      <c r="P371" t="s">
        <v>334</v>
      </c>
      <c r="Q371">
        <v>1</v>
      </c>
      <c r="X371">
        <v>141.31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1</v>
      </c>
      <c r="AE371">
        <v>1</v>
      </c>
      <c r="AF371" t="s">
        <v>4</v>
      </c>
      <c r="AG371">
        <v>141.31</v>
      </c>
      <c r="AH371">
        <v>3</v>
      </c>
      <c r="AI371">
        <v>-1</v>
      </c>
      <c r="AJ371" t="s">
        <v>4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</row>
    <row r="372" spans="1:44">
      <c r="A372">
        <f>ROW(Source!A216)</f>
        <v>216</v>
      </c>
      <c r="B372">
        <v>70305831</v>
      </c>
      <c r="C372">
        <v>70305824</v>
      </c>
      <c r="D372">
        <v>69364509</v>
      </c>
      <c r="E372">
        <v>1</v>
      </c>
      <c r="F372">
        <v>1</v>
      </c>
      <c r="G372">
        <v>1075</v>
      </c>
      <c r="H372">
        <v>2</v>
      </c>
      <c r="I372" t="s">
        <v>364</v>
      </c>
      <c r="J372" t="s">
        <v>365</v>
      </c>
      <c r="K372" t="s">
        <v>366</v>
      </c>
      <c r="L372">
        <v>1368</v>
      </c>
      <c r="N372">
        <v>1011</v>
      </c>
      <c r="O372" t="s">
        <v>338</v>
      </c>
      <c r="P372" t="s">
        <v>338</v>
      </c>
      <c r="Q372">
        <v>1</v>
      </c>
      <c r="X372">
        <v>0.18</v>
      </c>
      <c r="Y372">
        <v>0</v>
      </c>
      <c r="Z372">
        <v>83.1</v>
      </c>
      <c r="AA372">
        <v>12.62</v>
      </c>
      <c r="AB372">
        <v>0</v>
      </c>
      <c r="AC372">
        <v>0</v>
      </c>
      <c r="AD372">
        <v>1</v>
      </c>
      <c r="AE372">
        <v>0</v>
      </c>
      <c r="AF372" t="s">
        <v>4</v>
      </c>
      <c r="AG372">
        <v>0.18</v>
      </c>
      <c r="AH372">
        <v>3</v>
      </c>
      <c r="AI372">
        <v>-1</v>
      </c>
      <c r="AJ372" t="s">
        <v>4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</row>
    <row r="373" spans="1:44">
      <c r="A373">
        <f>ROW(Source!A216)</f>
        <v>216</v>
      </c>
      <c r="B373">
        <v>70305832</v>
      </c>
      <c r="C373">
        <v>70305824</v>
      </c>
      <c r="D373">
        <v>69333737</v>
      </c>
      <c r="E373">
        <v>1</v>
      </c>
      <c r="F373">
        <v>1</v>
      </c>
      <c r="G373">
        <v>1075</v>
      </c>
      <c r="H373">
        <v>3</v>
      </c>
      <c r="I373" t="s">
        <v>395</v>
      </c>
      <c r="J373" t="s">
        <v>396</v>
      </c>
      <c r="K373" t="s">
        <v>397</v>
      </c>
      <c r="L373">
        <v>1346</v>
      </c>
      <c r="N373">
        <v>1009</v>
      </c>
      <c r="O373" t="s">
        <v>394</v>
      </c>
      <c r="P373" t="s">
        <v>394</v>
      </c>
      <c r="Q373">
        <v>1</v>
      </c>
      <c r="X373">
        <v>6</v>
      </c>
      <c r="Y373">
        <v>1.61</v>
      </c>
      <c r="Z373">
        <v>0</v>
      </c>
      <c r="AA373">
        <v>0</v>
      </c>
      <c r="AB373">
        <v>0</v>
      </c>
      <c r="AC373">
        <v>0</v>
      </c>
      <c r="AD373">
        <v>1</v>
      </c>
      <c r="AE373">
        <v>0</v>
      </c>
      <c r="AF373" t="s">
        <v>4</v>
      </c>
      <c r="AG373">
        <v>6</v>
      </c>
      <c r="AH373">
        <v>3</v>
      </c>
      <c r="AI373">
        <v>-1</v>
      </c>
      <c r="AJ373" t="s">
        <v>4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</row>
    <row r="374" spans="1:44">
      <c r="A374">
        <f>ROW(Source!A216)</f>
        <v>216</v>
      </c>
      <c r="B374">
        <v>70305833</v>
      </c>
      <c r="C374">
        <v>70305824</v>
      </c>
      <c r="D374">
        <v>69334717</v>
      </c>
      <c r="E374">
        <v>1</v>
      </c>
      <c r="F374">
        <v>1</v>
      </c>
      <c r="G374">
        <v>1075</v>
      </c>
      <c r="H374">
        <v>3</v>
      </c>
      <c r="I374" t="s">
        <v>491</v>
      </c>
      <c r="J374" t="s">
        <v>492</v>
      </c>
      <c r="K374" t="s">
        <v>493</v>
      </c>
      <c r="L374">
        <v>1327</v>
      </c>
      <c r="N374">
        <v>1005</v>
      </c>
      <c r="O374" t="s">
        <v>164</v>
      </c>
      <c r="P374" t="s">
        <v>164</v>
      </c>
      <c r="Q374">
        <v>1</v>
      </c>
      <c r="X374">
        <v>8</v>
      </c>
      <c r="Y374">
        <v>127.33</v>
      </c>
      <c r="Z374">
        <v>0</v>
      </c>
      <c r="AA374">
        <v>0</v>
      </c>
      <c r="AB374">
        <v>0</v>
      </c>
      <c r="AC374">
        <v>0</v>
      </c>
      <c r="AD374">
        <v>1</v>
      </c>
      <c r="AE374">
        <v>0</v>
      </c>
      <c r="AF374" t="s">
        <v>4</v>
      </c>
      <c r="AG374">
        <v>8</v>
      </c>
      <c r="AH374">
        <v>3</v>
      </c>
      <c r="AI374">
        <v>-1</v>
      </c>
      <c r="AJ374" t="s">
        <v>4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</row>
    <row r="375" spans="1:44">
      <c r="A375">
        <f>ROW(Source!A216)</f>
        <v>216</v>
      </c>
      <c r="B375">
        <v>70305834</v>
      </c>
      <c r="C375">
        <v>70305824</v>
      </c>
      <c r="D375">
        <v>69336186</v>
      </c>
      <c r="E375">
        <v>1</v>
      </c>
      <c r="F375">
        <v>1</v>
      </c>
      <c r="G375">
        <v>1075</v>
      </c>
      <c r="H375">
        <v>3</v>
      </c>
      <c r="I375" t="s">
        <v>310</v>
      </c>
      <c r="J375" t="s">
        <v>312</v>
      </c>
      <c r="K375" t="s">
        <v>311</v>
      </c>
      <c r="L375">
        <v>1354</v>
      </c>
      <c r="N375">
        <v>1010</v>
      </c>
      <c r="O375" t="s">
        <v>188</v>
      </c>
      <c r="P375" t="s">
        <v>188</v>
      </c>
      <c r="Q375">
        <v>1</v>
      </c>
      <c r="X375">
        <v>2</v>
      </c>
      <c r="Y375">
        <v>38</v>
      </c>
      <c r="Z375">
        <v>0</v>
      </c>
      <c r="AA375">
        <v>0</v>
      </c>
      <c r="AB375">
        <v>0</v>
      </c>
      <c r="AC375">
        <v>0</v>
      </c>
      <c r="AD375">
        <v>1</v>
      </c>
      <c r="AE375">
        <v>0</v>
      </c>
      <c r="AF375" t="s">
        <v>4</v>
      </c>
      <c r="AG375">
        <v>2</v>
      </c>
      <c r="AH375">
        <v>2</v>
      </c>
      <c r="AI375">
        <v>70305825</v>
      </c>
      <c r="AJ375">
        <v>107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</row>
    <row r="376" spans="1:44">
      <c r="A376">
        <f>ROW(Source!A216)</f>
        <v>216</v>
      </c>
      <c r="B376">
        <v>70305835</v>
      </c>
      <c r="C376">
        <v>70305824</v>
      </c>
      <c r="D376">
        <v>69340777</v>
      </c>
      <c r="E376">
        <v>1</v>
      </c>
      <c r="F376">
        <v>1</v>
      </c>
      <c r="G376">
        <v>1075</v>
      </c>
      <c r="H376">
        <v>3</v>
      </c>
      <c r="I376" t="s">
        <v>494</v>
      </c>
      <c r="J376" t="s">
        <v>495</v>
      </c>
      <c r="K376" t="s">
        <v>496</v>
      </c>
      <c r="L376">
        <v>1296</v>
      </c>
      <c r="N376">
        <v>1002</v>
      </c>
      <c r="O376" t="s">
        <v>497</v>
      </c>
      <c r="P376" t="s">
        <v>497</v>
      </c>
      <c r="Q376">
        <v>1</v>
      </c>
      <c r="X376">
        <v>20</v>
      </c>
      <c r="Y376">
        <v>16.260000000000002</v>
      </c>
      <c r="Z376">
        <v>0</v>
      </c>
      <c r="AA376">
        <v>0</v>
      </c>
      <c r="AB376">
        <v>0</v>
      </c>
      <c r="AC376">
        <v>0</v>
      </c>
      <c r="AD376">
        <v>1</v>
      </c>
      <c r="AE376">
        <v>0</v>
      </c>
      <c r="AF376" t="s">
        <v>4</v>
      </c>
      <c r="AG376">
        <v>20</v>
      </c>
      <c r="AH376">
        <v>3</v>
      </c>
      <c r="AI376">
        <v>-1</v>
      </c>
      <c r="AJ376" t="s">
        <v>4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</row>
    <row r="377" spans="1:44">
      <c r="A377">
        <f>ROW(Source!A216)</f>
        <v>216</v>
      </c>
      <c r="B377">
        <v>70305836</v>
      </c>
      <c r="C377">
        <v>70305824</v>
      </c>
      <c r="D377">
        <v>69301148</v>
      </c>
      <c r="E377">
        <v>1075</v>
      </c>
      <c r="F377">
        <v>1</v>
      </c>
      <c r="G377">
        <v>1075</v>
      </c>
      <c r="H377">
        <v>3</v>
      </c>
      <c r="I377" t="s">
        <v>514</v>
      </c>
      <c r="J377" t="s">
        <v>4</v>
      </c>
      <c r="K377" t="s">
        <v>519</v>
      </c>
      <c r="L377">
        <v>1391</v>
      </c>
      <c r="N377">
        <v>1013</v>
      </c>
      <c r="O377" t="s">
        <v>237</v>
      </c>
      <c r="P377" t="s">
        <v>237</v>
      </c>
      <c r="Q377">
        <v>1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 t="s">
        <v>4</v>
      </c>
      <c r="AG377">
        <v>0</v>
      </c>
      <c r="AH377">
        <v>3</v>
      </c>
      <c r="AI377">
        <v>-1</v>
      </c>
      <c r="AJ377" t="s">
        <v>4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</row>
    <row r="378" spans="1:44">
      <c r="A378">
        <f>ROW(Source!A217)</f>
        <v>217</v>
      </c>
      <c r="B378">
        <v>70305830</v>
      </c>
      <c r="C378">
        <v>70305824</v>
      </c>
      <c r="D378">
        <v>69275358</v>
      </c>
      <c r="E378">
        <v>1075</v>
      </c>
      <c r="F378">
        <v>1</v>
      </c>
      <c r="G378">
        <v>1075</v>
      </c>
      <c r="H378">
        <v>1</v>
      </c>
      <c r="I378" t="s">
        <v>332</v>
      </c>
      <c r="J378" t="s">
        <v>4</v>
      </c>
      <c r="K378" t="s">
        <v>333</v>
      </c>
      <c r="L378">
        <v>1191</v>
      </c>
      <c r="N378">
        <v>1013</v>
      </c>
      <c r="O378" t="s">
        <v>334</v>
      </c>
      <c r="P378" t="s">
        <v>334</v>
      </c>
      <c r="Q378">
        <v>1</v>
      </c>
      <c r="X378">
        <v>141.31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1</v>
      </c>
      <c r="AF378" t="s">
        <v>4</v>
      </c>
      <c r="AG378">
        <v>141.31</v>
      </c>
      <c r="AH378">
        <v>3</v>
      </c>
      <c r="AI378">
        <v>-1</v>
      </c>
      <c r="AJ378" t="s">
        <v>4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</row>
    <row r="379" spans="1:44">
      <c r="A379">
        <f>ROW(Source!A217)</f>
        <v>217</v>
      </c>
      <c r="B379">
        <v>70305831</v>
      </c>
      <c r="C379">
        <v>70305824</v>
      </c>
      <c r="D379">
        <v>69364509</v>
      </c>
      <c r="E379">
        <v>1</v>
      </c>
      <c r="F379">
        <v>1</v>
      </c>
      <c r="G379">
        <v>1075</v>
      </c>
      <c r="H379">
        <v>2</v>
      </c>
      <c r="I379" t="s">
        <v>364</v>
      </c>
      <c r="J379" t="s">
        <v>365</v>
      </c>
      <c r="K379" t="s">
        <v>366</v>
      </c>
      <c r="L379">
        <v>1368</v>
      </c>
      <c r="N379">
        <v>1011</v>
      </c>
      <c r="O379" t="s">
        <v>338</v>
      </c>
      <c r="P379" t="s">
        <v>338</v>
      </c>
      <c r="Q379">
        <v>1</v>
      </c>
      <c r="X379">
        <v>0.18</v>
      </c>
      <c r="Y379">
        <v>0</v>
      </c>
      <c r="Z379">
        <v>83.1</v>
      </c>
      <c r="AA379">
        <v>12.62</v>
      </c>
      <c r="AB379">
        <v>0</v>
      </c>
      <c r="AC379">
        <v>0</v>
      </c>
      <c r="AD379">
        <v>1</v>
      </c>
      <c r="AE379">
        <v>0</v>
      </c>
      <c r="AF379" t="s">
        <v>4</v>
      </c>
      <c r="AG379">
        <v>0.18</v>
      </c>
      <c r="AH379">
        <v>3</v>
      </c>
      <c r="AI379">
        <v>-1</v>
      </c>
      <c r="AJ379" t="s">
        <v>4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</row>
    <row r="380" spans="1:44">
      <c r="A380">
        <f>ROW(Source!A217)</f>
        <v>217</v>
      </c>
      <c r="B380">
        <v>70305832</v>
      </c>
      <c r="C380">
        <v>70305824</v>
      </c>
      <c r="D380">
        <v>69333737</v>
      </c>
      <c r="E380">
        <v>1</v>
      </c>
      <c r="F380">
        <v>1</v>
      </c>
      <c r="G380">
        <v>1075</v>
      </c>
      <c r="H380">
        <v>3</v>
      </c>
      <c r="I380" t="s">
        <v>395</v>
      </c>
      <c r="J380" t="s">
        <v>396</v>
      </c>
      <c r="K380" t="s">
        <v>397</v>
      </c>
      <c r="L380">
        <v>1346</v>
      </c>
      <c r="N380">
        <v>1009</v>
      </c>
      <c r="O380" t="s">
        <v>394</v>
      </c>
      <c r="P380" t="s">
        <v>394</v>
      </c>
      <c r="Q380">
        <v>1</v>
      </c>
      <c r="X380">
        <v>6</v>
      </c>
      <c r="Y380">
        <v>1.61</v>
      </c>
      <c r="Z380">
        <v>0</v>
      </c>
      <c r="AA380">
        <v>0</v>
      </c>
      <c r="AB380">
        <v>0</v>
      </c>
      <c r="AC380">
        <v>0</v>
      </c>
      <c r="AD380">
        <v>1</v>
      </c>
      <c r="AE380">
        <v>0</v>
      </c>
      <c r="AF380" t="s">
        <v>4</v>
      </c>
      <c r="AG380">
        <v>6</v>
      </c>
      <c r="AH380">
        <v>3</v>
      </c>
      <c r="AI380">
        <v>-1</v>
      </c>
      <c r="AJ380" t="s">
        <v>4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</row>
    <row r="381" spans="1:44">
      <c r="A381">
        <f>ROW(Source!A217)</f>
        <v>217</v>
      </c>
      <c r="B381">
        <v>70305833</v>
      </c>
      <c r="C381">
        <v>70305824</v>
      </c>
      <c r="D381">
        <v>69334717</v>
      </c>
      <c r="E381">
        <v>1</v>
      </c>
      <c r="F381">
        <v>1</v>
      </c>
      <c r="G381">
        <v>1075</v>
      </c>
      <c r="H381">
        <v>3</v>
      </c>
      <c r="I381" t="s">
        <v>491</v>
      </c>
      <c r="J381" t="s">
        <v>492</v>
      </c>
      <c r="K381" t="s">
        <v>493</v>
      </c>
      <c r="L381">
        <v>1327</v>
      </c>
      <c r="N381">
        <v>1005</v>
      </c>
      <c r="O381" t="s">
        <v>164</v>
      </c>
      <c r="P381" t="s">
        <v>164</v>
      </c>
      <c r="Q381">
        <v>1</v>
      </c>
      <c r="X381">
        <v>8</v>
      </c>
      <c r="Y381">
        <v>127.33</v>
      </c>
      <c r="Z381">
        <v>0</v>
      </c>
      <c r="AA381">
        <v>0</v>
      </c>
      <c r="AB381">
        <v>0</v>
      </c>
      <c r="AC381">
        <v>0</v>
      </c>
      <c r="AD381">
        <v>1</v>
      </c>
      <c r="AE381">
        <v>0</v>
      </c>
      <c r="AF381" t="s">
        <v>4</v>
      </c>
      <c r="AG381">
        <v>8</v>
      </c>
      <c r="AH381">
        <v>3</v>
      </c>
      <c r="AI381">
        <v>-1</v>
      </c>
      <c r="AJ381" t="s">
        <v>4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</row>
    <row r="382" spans="1:44">
      <c r="A382">
        <f>ROW(Source!A217)</f>
        <v>217</v>
      </c>
      <c r="B382">
        <v>70305834</v>
      </c>
      <c r="C382">
        <v>70305824</v>
      </c>
      <c r="D382">
        <v>69336186</v>
      </c>
      <c r="E382">
        <v>1</v>
      </c>
      <c r="F382">
        <v>1</v>
      </c>
      <c r="G382">
        <v>1075</v>
      </c>
      <c r="H382">
        <v>3</v>
      </c>
      <c r="I382" t="s">
        <v>310</v>
      </c>
      <c r="J382" t="s">
        <v>312</v>
      </c>
      <c r="K382" t="s">
        <v>311</v>
      </c>
      <c r="L382">
        <v>1354</v>
      </c>
      <c r="N382">
        <v>1010</v>
      </c>
      <c r="O382" t="s">
        <v>188</v>
      </c>
      <c r="P382" t="s">
        <v>188</v>
      </c>
      <c r="Q382">
        <v>1</v>
      </c>
      <c r="X382">
        <v>2</v>
      </c>
      <c r="Y382">
        <v>38</v>
      </c>
      <c r="Z382">
        <v>0</v>
      </c>
      <c r="AA382">
        <v>0</v>
      </c>
      <c r="AB382">
        <v>0</v>
      </c>
      <c r="AC382">
        <v>0</v>
      </c>
      <c r="AD382">
        <v>1</v>
      </c>
      <c r="AE382">
        <v>0</v>
      </c>
      <c r="AF382" t="s">
        <v>4</v>
      </c>
      <c r="AG382">
        <v>2</v>
      </c>
      <c r="AH382">
        <v>2</v>
      </c>
      <c r="AI382">
        <v>70305825</v>
      </c>
      <c r="AJ382">
        <v>109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</row>
    <row r="383" spans="1:44">
      <c r="A383">
        <f>ROW(Source!A217)</f>
        <v>217</v>
      </c>
      <c r="B383">
        <v>70305835</v>
      </c>
      <c r="C383">
        <v>70305824</v>
      </c>
      <c r="D383">
        <v>69340777</v>
      </c>
      <c r="E383">
        <v>1</v>
      </c>
      <c r="F383">
        <v>1</v>
      </c>
      <c r="G383">
        <v>1075</v>
      </c>
      <c r="H383">
        <v>3</v>
      </c>
      <c r="I383" t="s">
        <v>494</v>
      </c>
      <c r="J383" t="s">
        <v>495</v>
      </c>
      <c r="K383" t="s">
        <v>496</v>
      </c>
      <c r="L383">
        <v>1296</v>
      </c>
      <c r="N383">
        <v>1002</v>
      </c>
      <c r="O383" t="s">
        <v>497</v>
      </c>
      <c r="P383" t="s">
        <v>497</v>
      </c>
      <c r="Q383">
        <v>1</v>
      </c>
      <c r="X383">
        <v>20</v>
      </c>
      <c r="Y383">
        <v>16.260000000000002</v>
      </c>
      <c r="Z383">
        <v>0</v>
      </c>
      <c r="AA383">
        <v>0</v>
      </c>
      <c r="AB383">
        <v>0</v>
      </c>
      <c r="AC383">
        <v>0</v>
      </c>
      <c r="AD383">
        <v>1</v>
      </c>
      <c r="AE383">
        <v>0</v>
      </c>
      <c r="AF383" t="s">
        <v>4</v>
      </c>
      <c r="AG383">
        <v>20</v>
      </c>
      <c r="AH383">
        <v>3</v>
      </c>
      <c r="AI383">
        <v>-1</v>
      </c>
      <c r="AJ383" t="s">
        <v>4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</row>
    <row r="384" spans="1:44">
      <c r="A384">
        <f>ROW(Source!A217)</f>
        <v>217</v>
      </c>
      <c r="B384">
        <v>70305836</v>
      </c>
      <c r="C384">
        <v>70305824</v>
      </c>
      <c r="D384">
        <v>69301148</v>
      </c>
      <c r="E384">
        <v>1075</v>
      </c>
      <c r="F384">
        <v>1</v>
      </c>
      <c r="G384">
        <v>1075</v>
      </c>
      <c r="H384">
        <v>3</v>
      </c>
      <c r="I384" t="s">
        <v>514</v>
      </c>
      <c r="J384" t="s">
        <v>4</v>
      </c>
      <c r="K384" t="s">
        <v>519</v>
      </c>
      <c r="L384">
        <v>1391</v>
      </c>
      <c r="N384">
        <v>1013</v>
      </c>
      <c r="O384" t="s">
        <v>237</v>
      </c>
      <c r="P384" t="s">
        <v>237</v>
      </c>
      <c r="Q384">
        <v>1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 t="s">
        <v>4</v>
      </c>
      <c r="AG384">
        <v>0</v>
      </c>
      <c r="AH384">
        <v>3</v>
      </c>
      <c r="AI384">
        <v>-1</v>
      </c>
      <c r="AJ384" t="s">
        <v>4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2.75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Y12"/>
  <sheetViews>
    <sheetView workbookViewId="0"/>
  </sheetViews>
  <sheetFormatPr defaultColWidth="9.140625" defaultRowHeight="12.75"/>
  <cols>
    <col min="1" max="256" width="9.140625" customWidth="1"/>
  </cols>
  <sheetData>
    <row r="1" spans="1:10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03">
      <c r="F12" t="str">
        <f>Source!F12</f>
        <v/>
      </c>
      <c r="G12" t="str">
        <f>Source!G12</f>
        <v>02-01-01  2  КЛ 10 кВ _24.04.25.</v>
      </c>
      <c r="AB12" t="s">
        <v>4</v>
      </c>
      <c r="AC12" t="s">
        <v>4</v>
      </c>
      <c r="AD12" t="s">
        <v>4</v>
      </c>
      <c r="AE12" t="s">
        <v>4</v>
      </c>
      <c r="AH12" t="s">
        <v>4</v>
      </c>
      <c r="AI12" t="s">
        <v>4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ТСН-2001(с доп.67</vt:lpstr>
      <vt:lpstr>Source</vt:lpstr>
      <vt:lpstr>SourceObSm</vt:lpstr>
      <vt:lpstr>SmtRes</vt:lpstr>
      <vt:lpstr>EtalonRes</vt:lpstr>
      <vt:lpstr>SrcPoprs</vt:lpstr>
      <vt:lpstr>SrcKA</vt:lpstr>
      <vt:lpstr>'Смета по ТСН-2001(с доп.67'!Заголовки_для_печати</vt:lpstr>
      <vt:lpstr>'Смета по ТСН-2001(с доп.67'!Область_печати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ArshuninaEV</cp:lastModifiedBy>
  <dcterms:created xsi:type="dcterms:W3CDTF">2025-04-25T09:11:34Z</dcterms:created>
  <dcterms:modified xsi:type="dcterms:W3CDTF">2025-04-29T10:29:57Z</dcterms:modified>
</cp:coreProperties>
</file>