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X:\Папки пользователей\Шишканов\15. ДЭПР ИПР\8. КЛ_11-15 ММДЦ-Сити\"/>
    </mc:Choice>
  </mc:AlternateContent>
  <xr:revisionPtr revIDLastSave="0" documentId="13_ncr:1_{8F8D9F94-8CFF-4452-AF44-0BE90C6BB4E3}" xr6:coauthVersionLast="47" xr6:coauthVersionMax="47" xr10:uidLastSave="{00000000-0000-0000-0000-000000000000}"/>
  <bookViews>
    <workbookView xWindow="-120" yWindow="-120" windowWidth="38640" windowHeight="21240" xr2:uid="{2C6D31FE-8BFD-4F9A-A1CD-E55BC57EC99A}"/>
  </bookViews>
  <sheets>
    <sheet name="Смета по ТСН-2001(с доп.43" sheetId="6" r:id="rId1"/>
    <sheet name="Source" sheetId="1" r:id="rId2"/>
    <sheet name="SourceObSm" sheetId="2" r:id="rId3"/>
    <sheet name="SmtRes" sheetId="3" r:id="rId4"/>
    <sheet name="EtalonRes" sheetId="4" r:id="rId5"/>
    <sheet name="SrcKA" sheetId="5" r:id="rId6"/>
  </sheets>
  <definedNames>
    <definedName name="_xlnm.Print_Titles" localSheetId="0">'Смета по ТСН-2001(с доп.43'!$27:$27</definedName>
    <definedName name="_xlnm.Print_Area" localSheetId="0">'Смета по ТСН-2001(с доп.43'!$A$1:$K$79</definedName>
  </definedNames>
  <calcPr calcId="181029" iterate="1"/>
</workbook>
</file>

<file path=xl/calcChain.xml><?xml version="1.0" encoding="utf-8"?>
<calcChain xmlns="http://schemas.openxmlformats.org/spreadsheetml/2006/main">
  <c r="A8" i="6" l="1"/>
  <c r="H77" i="6"/>
  <c r="H74" i="6"/>
  <c r="C77" i="6"/>
  <c r="C74" i="6"/>
  <c r="J22" i="6"/>
  <c r="J19" i="6"/>
  <c r="J18" i="6"/>
  <c r="J17" i="6"/>
  <c r="J14" i="6" s="1"/>
  <c r="J16" i="6"/>
  <c r="J15" i="6"/>
  <c r="I22" i="6"/>
  <c r="H71" i="6"/>
  <c r="J71" i="6"/>
  <c r="H70" i="6"/>
  <c r="J70" i="6"/>
  <c r="AQ69" i="6"/>
  <c r="A69" i="6"/>
  <c r="H67" i="6"/>
  <c r="J67" i="6"/>
  <c r="H66" i="6"/>
  <c r="J66" i="6"/>
  <c r="AQ65" i="6"/>
  <c r="A65" i="6"/>
  <c r="H63" i="6"/>
  <c r="J63" i="6"/>
  <c r="H62" i="6"/>
  <c r="J62" i="6"/>
  <c r="A61" i="6"/>
  <c r="AA58" i="6"/>
  <c r="Z58" i="6"/>
  <c r="Y58" i="6"/>
  <c r="K57" i="6"/>
  <c r="P58" i="6" s="1"/>
  <c r="J57" i="6"/>
  <c r="E57" i="6"/>
  <c r="K56" i="6"/>
  <c r="J56" i="6"/>
  <c r="W56" i="6"/>
  <c r="I56" i="6"/>
  <c r="H56" i="6"/>
  <c r="G56" i="6"/>
  <c r="F56" i="6"/>
  <c r="K55" i="6"/>
  <c r="J58" i="6" s="1"/>
  <c r="J55" i="6"/>
  <c r="I55" i="6"/>
  <c r="H55" i="6"/>
  <c r="G55" i="6"/>
  <c r="F55" i="6"/>
  <c r="C54" i="6"/>
  <c r="V53" i="6"/>
  <c r="T53" i="6"/>
  <c r="R53" i="6"/>
  <c r="U53" i="6"/>
  <c r="I57" i="6" s="1"/>
  <c r="S53" i="6"/>
  <c r="Q53" i="6"/>
  <c r="E53" i="6"/>
  <c r="D53" i="6"/>
  <c r="B53" i="6"/>
  <c r="Z51" i="6"/>
  <c r="Y51" i="6"/>
  <c r="X51" i="6"/>
  <c r="I50" i="6"/>
  <c r="AB50" i="6" s="1"/>
  <c r="H50" i="6"/>
  <c r="G50" i="6"/>
  <c r="E50" i="6"/>
  <c r="J49" i="6"/>
  <c r="I49" i="6"/>
  <c r="E49" i="6"/>
  <c r="J48" i="6"/>
  <c r="E48" i="6"/>
  <c r="K47" i="6"/>
  <c r="J47" i="6"/>
  <c r="W47" i="6"/>
  <c r="I47" i="6"/>
  <c r="H47" i="6"/>
  <c r="G47" i="6"/>
  <c r="F47" i="6"/>
  <c r="V46" i="6"/>
  <c r="T46" i="6"/>
  <c r="K49" i="6" s="1"/>
  <c r="R46" i="6"/>
  <c r="K48" i="6" s="1"/>
  <c r="P51" i="6" s="1"/>
  <c r="U46" i="6"/>
  <c r="S46" i="6"/>
  <c r="Q46" i="6"/>
  <c r="I48" i="6" s="1"/>
  <c r="H51" i="6" s="1"/>
  <c r="E46" i="6"/>
  <c r="D46" i="6"/>
  <c r="Z44" i="6"/>
  <c r="Y44" i="6"/>
  <c r="X44" i="6"/>
  <c r="I43" i="6"/>
  <c r="AB43" i="6" s="1"/>
  <c r="H43" i="6"/>
  <c r="G43" i="6"/>
  <c r="E43" i="6"/>
  <c r="J42" i="6"/>
  <c r="I42" i="6"/>
  <c r="E42" i="6"/>
  <c r="J41" i="6"/>
  <c r="E41" i="6"/>
  <c r="K40" i="6"/>
  <c r="J40" i="6"/>
  <c r="W40" i="6"/>
  <c r="I40" i="6"/>
  <c r="AA44" i="6" s="1"/>
  <c r="H40" i="6"/>
  <c r="G40" i="6"/>
  <c r="F40" i="6"/>
  <c r="V39" i="6"/>
  <c r="T39" i="6"/>
  <c r="K42" i="6" s="1"/>
  <c r="R39" i="6"/>
  <c r="K41" i="6" s="1"/>
  <c r="U39" i="6"/>
  <c r="S39" i="6"/>
  <c r="Q39" i="6"/>
  <c r="I41" i="6" s="1"/>
  <c r="E39" i="6"/>
  <c r="D39" i="6"/>
  <c r="Z37" i="6"/>
  <c r="Y37" i="6"/>
  <c r="X37" i="6"/>
  <c r="I36" i="6"/>
  <c r="AB36" i="6" s="1"/>
  <c r="H36" i="6"/>
  <c r="G36" i="6"/>
  <c r="E36" i="6"/>
  <c r="J35" i="6"/>
  <c r="I35" i="6"/>
  <c r="E35" i="6"/>
  <c r="J34" i="6"/>
  <c r="E34" i="6"/>
  <c r="K33" i="6"/>
  <c r="J33" i="6"/>
  <c r="W33" i="6"/>
  <c r="I33" i="6"/>
  <c r="H33" i="6"/>
  <c r="G33" i="6"/>
  <c r="F33" i="6"/>
  <c r="V32" i="6"/>
  <c r="T32" i="6"/>
  <c r="K35" i="6" s="1"/>
  <c r="R32" i="6"/>
  <c r="K34" i="6" s="1"/>
  <c r="U32" i="6"/>
  <c r="S32" i="6"/>
  <c r="Q32" i="6"/>
  <c r="I34" i="6" s="1"/>
  <c r="H37" i="6" s="1"/>
  <c r="E32" i="6"/>
  <c r="D32" i="6"/>
  <c r="A31" i="6"/>
  <c r="A29" i="6"/>
  <c r="A11" i="6"/>
  <c r="A6" i="6"/>
  <c r="A1" i="6"/>
  <c r="A1" i="4"/>
  <c r="A2" i="4"/>
  <c r="A3" i="4"/>
  <c r="A1" i="3"/>
  <c r="Y1" i="3"/>
  <c r="CX1" i="3" s="1"/>
  <c r="CU1" i="3"/>
  <c r="CV1" i="3"/>
  <c r="CY1" i="3"/>
  <c r="CZ1" i="3"/>
  <c r="DB1" i="3" s="1"/>
  <c r="DA1" i="3"/>
  <c r="DC1" i="3"/>
  <c r="A2" i="3"/>
  <c r="Y2" i="3"/>
  <c r="CU2" i="3"/>
  <c r="CV2" i="3"/>
  <c r="CX2" i="3"/>
  <c r="DF2" i="3" s="1"/>
  <c r="CY2" i="3"/>
  <c r="CZ2" i="3"/>
  <c r="DA2" i="3"/>
  <c r="DB2" i="3"/>
  <c r="DC2" i="3"/>
  <c r="DH2" i="3"/>
  <c r="A3" i="3"/>
  <c r="Y3" i="3"/>
  <c r="CV3" i="3" s="1"/>
  <c r="CU3" i="3"/>
  <c r="CY3" i="3"/>
  <c r="CZ3" i="3"/>
  <c r="DA3" i="3"/>
  <c r="DB3" i="3"/>
  <c r="DC3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P28" i="1"/>
  <c r="R28" i="1"/>
  <c r="GK28" i="1" s="1"/>
  <c r="AC28" i="1"/>
  <c r="AD28" i="1"/>
  <c r="AE28" i="1"/>
  <c r="Q28" i="1" s="1"/>
  <c r="AF28" i="1"/>
  <c r="AB28" i="1" s="1"/>
  <c r="AG28" i="1"/>
  <c r="AH28" i="1"/>
  <c r="AI28" i="1"/>
  <c r="AJ28" i="1"/>
  <c r="CX28" i="1" s="1"/>
  <c r="W28" i="1" s="1"/>
  <c r="CQ28" i="1"/>
  <c r="CR28" i="1"/>
  <c r="CS28" i="1"/>
  <c r="CU28" i="1"/>
  <c r="T28" i="1" s="1"/>
  <c r="CV28" i="1"/>
  <c r="U28" i="1" s="1"/>
  <c r="CW28" i="1"/>
  <c r="V28" i="1" s="1"/>
  <c r="FR28" i="1"/>
  <c r="GL28" i="1"/>
  <c r="GN28" i="1"/>
  <c r="GO28" i="1"/>
  <c r="GV28" i="1"/>
  <c r="HC28" i="1" s="1"/>
  <c r="GX28" i="1" s="1"/>
  <c r="C29" i="1"/>
  <c r="D29" i="1"/>
  <c r="S29" i="1"/>
  <c r="CY29" i="1" s="1"/>
  <c r="X29" i="1" s="1"/>
  <c r="AC29" i="1"/>
  <c r="AE29" i="1"/>
  <c r="Q29" i="1" s="1"/>
  <c r="AF29" i="1"/>
  <c r="AG29" i="1"/>
  <c r="CU29" i="1" s="1"/>
  <c r="T29" i="1" s="1"/>
  <c r="AH29" i="1"/>
  <c r="AI29" i="1"/>
  <c r="CW29" i="1" s="1"/>
  <c r="V29" i="1" s="1"/>
  <c r="AJ29" i="1"/>
  <c r="CR29" i="1"/>
  <c r="CT29" i="1"/>
  <c r="CV29" i="1"/>
  <c r="U29" i="1" s="1"/>
  <c r="CX29" i="1"/>
  <c r="W29" i="1" s="1"/>
  <c r="CZ29" i="1"/>
  <c r="Y29" i="1" s="1"/>
  <c r="FR29" i="1"/>
  <c r="GL29" i="1"/>
  <c r="GN29" i="1"/>
  <c r="GO29" i="1"/>
  <c r="GV29" i="1"/>
  <c r="HC29" i="1"/>
  <c r="GX29" i="1" s="1"/>
  <c r="C30" i="1"/>
  <c r="D30" i="1"/>
  <c r="P30" i="1"/>
  <c r="R30" i="1"/>
  <c r="GK30" i="1" s="1"/>
  <c r="AC30" i="1"/>
  <c r="AD30" i="1"/>
  <c r="AB30" i="1" s="1"/>
  <c r="AE30" i="1"/>
  <c r="Q30" i="1" s="1"/>
  <c r="AF30" i="1"/>
  <c r="S30" i="1" s="1"/>
  <c r="AG30" i="1"/>
  <c r="AH30" i="1"/>
  <c r="CV30" i="1" s="1"/>
  <c r="U30" i="1" s="1"/>
  <c r="AI30" i="1"/>
  <c r="AJ30" i="1"/>
  <c r="CX30" i="1" s="1"/>
  <c r="W30" i="1" s="1"/>
  <c r="CQ30" i="1"/>
  <c r="CR30" i="1"/>
  <c r="CS30" i="1"/>
  <c r="CU30" i="1"/>
  <c r="T30" i="1" s="1"/>
  <c r="CW30" i="1"/>
  <c r="V30" i="1" s="1"/>
  <c r="FR30" i="1"/>
  <c r="GL30" i="1"/>
  <c r="GN30" i="1"/>
  <c r="GO30" i="1"/>
  <c r="GV30" i="1"/>
  <c r="HC30" i="1" s="1"/>
  <c r="GX30" i="1" s="1"/>
  <c r="I31" i="1"/>
  <c r="S31" i="1" s="1"/>
  <c r="K31" i="1"/>
  <c r="AC31" i="1"/>
  <c r="P31" i="1" s="1"/>
  <c r="AE31" i="1"/>
  <c r="AD31" i="1" s="1"/>
  <c r="AF31" i="1"/>
  <c r="AG31" i="1"/>
  <c r="CU31" i="1" s="1"/>
  <c r="T31" i="1" s="1"/>
  <c r="AH31" i="1"/>
  <c r="AI31" i="1"/>
  <c r="CW31" i="1" s="1"/>
  <c r="V31" i="1" s="1"/>
  <c r="AJ31" i="1"/>
  <c r="CR31" i="1"/>
  <c r="CT31" i="1"/>
  <c r="CV31" i="1"/>
  <c r="U31" i="1" s="1"/>
  <c r="CX31" i="1"/>
  <c r="W31" i="1" s="1"/>
  <c r="FR31" i="1"/>
  <c r="GL31" i="1"/>
  <c r="GO31" i="1"/>
  <c r="GP31" i="1"/>
  <c r="GV31" i="1"/>
  <c r="HC31" i="1" s="1"/>
  <c r="GX31" i="1" s="1"/>
  <c r="B33" i="1"/>
  <c r="B26" i="1" s="1"/>
  <c r="C33" i="1"/>
  <c r="C26" i="1" s="1"/>
  <c r="D33" i="1"/>
  <c r="D26" i="1" s="1"/>
  <c r="F33" i="1"/>
  <c r="F26" i="1" s="1"/>
  <c r="G33" i="1"/>
  <c r="G26" i="1" s="1"/>
  <c r="BX33" i="1"/>
  <c r="AO33" i="1" s="1"/>
  <c r="AO26" i="1" s="1"/>
  <c r="BY33" i="1"/>
  <c r="AP33" i="1" s="1"/>
  <c r="BZ33" i="1"/>
  <c r="CC33" i="1"/>
  <c r="AT33" i="1" s="1"/>
  <c r="CK33" i="1"/>
  <c r="BB33" i="1" s="1"/>
  <c r="CL33" i="1"/>
  <c r="CL26" i="1" s="1"/>
  <c r="CM33" i="1"/>
  <c r="CM26" i="1" s="1"/>
  <c r="F37" i="1"/>
  <c r="B63" i="1"/>
  <c r="B22" i="1" s="1"/>
  <c r="C63" i="1"/>
  <c r="C22" i="1" s="1"/>
  <c r="D63" i="1"/>
  <c r="D22" i="1" s="1"/>
  <c r="F63" i="1"/>
  <c r="F22" i="1" s="1"/>
  <c r="G63" i="1"/>
  <c r="G22" i="1" s="1"/>
  <c r="AO63" i="1"/>
  <c r="AO22" i="1" s="1"/>
  <c r="AT63" i="1"/>
  <c r="AT22" i="1" s="1"/>
  <c r="F81" i="1"/>
  <c r="F16" i="2" s="1"/>
  <c r="F18" i="2" s="1"/>
  <c r="B93" i="1"/>
  <c r="B18" i="1" s="1"/>
  <c r="C93" i="1"/>
  <c r="C18" i="1" s="1"/>
  <c r="D93" i="1"/>
  <c r="D18" i="1" s="1"/>
  <c r="F93" i="1"/>
  <c r="F18" i="1" s="1"/>
  <c r="G93" i="1"/>
  <c r="G18" i="1" s="1"/>
  <c r="AT93" i="1"/>
  <c r="AT18" i="1" s="1"/>
  <c r="I19" i="6" l="1"/>
  <c r="I17" i="6"/>
  <c r="I16" i="6"/>
  <c r="H44" i="6"/>
  <c r="P44" i="6"/>
  <c r="J37" i="6"/>
  <c r="X58" i="6"/>
  <c r="I15" i="6" s="1"/>
  <c r="AA37" i="6"/>
  <c r="I18" i="6" s="1"/>
  <c r="I20" i="6"/>
  <c r="J51" i="6"/>
  <c r="P37" i="6"/>
  <c r="J44" i="6"/>
  <c r="AA51" i="6"/>
  <c r="H58" i="6"/>
  <c r="O58" i="6"/>
  <c r="O37" i="6"/>
  <c r="O44" i="6"/>
  <c r="O51" i="6"/>
  <c r="BB26" i="1"/>
  <c r="F46" i="1"/>
  <c r="BZ26" i="1"/>
  <c r="CG33" i="1"/>
  <c r="CI33" i="1"/>
  <c r="CY30" i="1"/>
  <c r="X30" i="1" s="1"/>
  <c r="CZ30" i="1"/>
  <c r="Y30" i="1" s="1"/>
  <c r="AG33" i="1"/>
  <c r="AJ33" i="1"/>
  <c r="AP26" i="1"/>
  <c r="F42" i="1"/>
  <c r="CY31" i="1"/>
  <c r="X31" i="1" s="1"/>
  <c r="CZ31" i="1"/>
  <c r="Y31" i="1" s="1"/>
  <c r="CP30" i="1"/>
  <c r="O30" i="1" s="1"/>
  <c r="GM30" i="1" s="1"/>
  <c r="GP30" i="1" s="1"/>
  <c r="CJ33" i="1"/>
  <c r="F111" i="1"/>
  <c r="AO93" i="1"/>
  <c r="F67" i="1"/>
  <c r="AQ33" i="1"/>
  <c r="AI33" i="1"/>
  <c r="BB63" i="1"/>
  <c r="AP63" i="1"/>
  <c r="AT26" i="1"/>
  <c r="F51" i="1"/>
  <c r="BC33" i="1"/>
  <c r="AH33" i="1"/>
  <c r="DI1" i="3"/>
  <c r="DJ1" i="3" s="1"/>
  <c r="DF1" i="3"/>
  <c r="DG1" i="3"/>
  <c r="DH1" i="3"/>
  <c r="BD33" i="1"/>
  <c r="CS31" i="1"/>
  <c r="AB31" i="1"/>
  <c r="R31" i="1"/>
  <c r="GK31" i="1" s="1"/>
  <c r="CQ29" i="1"/>
  <c r="AD29" i="1"/>
  <c r="AB29" i="1" s="1"/>
  <c r="P29" i="1"/>
  <c r="CT28" i="1"/>
  <c r="S28" i="1"/>
  <c r="CK26" i="1"/>
  <c r="CC26" i="1"/>
  <c r="BY26" i="1"/>
  <c r="DI2" i="3"/>
  <c r="DJ2" i="3" s="1"/>
  <c r="Q31" i="1"/>
  <c r="AD33" i="1" s="1"/>
  <c r="BX26" i="1"/>
  <c r="CQ31" i="1"/>
  <c r="CT30" i="1"/>
  <c r="CS29" i="1"/>
  <c r="R29" i="1"/>
  <c r="CX3" i="3"/>
  <c r="DG2" i="3"/>
  <c r="I14" i="6" l="1"/>
  <c r="J65" i="6"/>
  <c r="J61" i="6"/>
  <c r="H69" i="6"/>
  <c r="H65" i="6"/>
  <c r="H61" i="6"/>
  <c r="J69" i="6"/>
  <c r="AD26" i="1"/>
  <c r="Q33" i="1"/>
  <c r="BC26" i="1"/>
  <c r="F49" i="1"/>
  <c r="BC63" i="1"/>
  <c r="BB22" i="1"/>
  <c r="F76" i="1"/>
  <c r="BB93" i="1"/>
  <c r="AO18" i="1"/>
  <c r="F97" i="1"/>
  <c r="BA33" i="1"/>
  <c r="CJ26" i="1"/>
  <c r="AG26" i="1"/>
  <c r="T33" i="1"/>
  <c r="AX33" i="1"/>
  <c r="CG26" i="1"/>
  <c r="CY28" i="1"/>
  <c r="X28" i="1" s="1"/>
  <c r="AK33" i="1" s="1"/>
  <c r="CZ28" i="1"/>
  <c r="Y28" i="1" s="1"/>
  <c r="AL33" i="1" s="1"/>
  <c r="AF33" i="1"/>
  <c r="BD26" i="1"/>
  <c r="F58" i="1"/>
  <c r="BD63" i="1"/>
  <c r="AI26" i="1"/>
  <c r="V33" i="1"/>
  <c r="AH26" i="1"/>
  <c r="U33" i="1"/>
  <c r="F43" i="1"/>
  <c r="AQ26" i="1"/>
  <c r="AQ63" i="1"/>
  <c r="CP28" i="1"/>
  <c r="O28" i="1" s="1"/>
  <c r="DG3" i="3"/>
  <c r="DH3" i="3"/>
  <c r="DI3" i="3"/>
  <c r="DJ3" i="3" s="1"/>
  <c r="DF3" i="3"/>
  <c r="AE33" i="1"/>
  <c r="GK29" i="1"/>
  <c r="CP29" i="1"/>
  <c r="O29" i="1" s="1"/>
  <c r="GM29" i="1" s="1"/>
  <c r="GP29" i="1" s="1"/>
  <c r="AC33" i="1"/>
  <c r="CP31" i="1"/>
  <c r="O31" i="1" s="1"/>
  <c r="GM31" i="1" s="1"/>
  <c r="GN31" i="1" s="1"/>
  <c r="CB33" i="1" s="1"/>
  <c r="AP22" i="1"/>
  <c r="F72" i="1"/>
  <c r="G16" i="2" s="1"/>
  <c r="G18" i="2" s="1"/>
  <c r="AP93" i="1"/>
  <c r="AJ26" i="1"/>
  <c r="W33" i="1"/>
  <c r="CI26" i="1"/>
  <c r="AZ33" i="1"/>
  <c r="AP18" i="1" l="1"/>
  <c r="F102" i="1"/>
  <c r="W26" i="1"/>
  <c r="F57" i="1"/>
  <c r="W63" i="1"/>
  <c r="V26" i="1"/>
  <c r="V63" i="1"/>
  <c r="F56" i="1"/>
  <c r="BB18" i="1"/>
  <c r="F106" i="1"/>
  <c r="AS33" i="1"/>
  <c r="CB26" i="1"/>
  <c r="AE26" i="1"/>
  <c r="R33" i="1"/>
  <c r="AF26" i="1"/>
  <c r="S33" i="1"/>
  <c r="AX26" i="1"/>
  <c r="F40" i="1"/>
  <c r="AX63" i="1"/>
  <c r="BA26" i="1"/>
  <c r="F53" i="1"/>
  <c r="BA63" i="1"/>
  <c r="CF33" i="1"/>
  <c r="AC26" i="1"/>
  <c r="P33" i="1"/>
  <c r="CE33" i="1"/>
  <c r="CH33" i="1"/>
  <c r="GM28" i="1"/>
  <c r="AB33" i="1"/>
  <c r="F55" i="1"/>
  <c r="U26" i="1"/>
  <c r="U63" i="1"/>
  <c r="BD22" i="1"/>
  <c r="BD93" i="1"/>
  <c r="F88" i="1"/>
  <c r="AL26" i="1"/>
  <c r="Y33" i="1"/>
  <c r="T26" i="1"/>
  <c r="F54" i="1"/>
  <c r="T63" i="1"/>
  <c r="Q26" i="1"/>
  <c r="F45" i="1"/>
  <c r="Q63" i="1"/>
  <c r="F44" i="1"/>
  <c r="AZ26" i="1"/>
  <c r="AZ63" i="1"/>
  <c r="AQ22" i="1"/>
  <c r="AQ93" i="1"/>
  <c r="F73" i="1"/>
  <c r="AK26" i="1"/>
  <c r="X33" i="1"/>
  <c r="BC22" i="1"/>
  <c r="BC93" i="1"/>
  <c r="F79" i="1"/>
  <c r="AQ18" i="1" l="1"/>
  <c r="F103" i="1"/>
  <c r="T22" i="1"/>
  <c r="T93" i="1"/>
  <c r="F84" i="1"/>
  <c r="U22" i="1"/>
  <c r="F85" i="1"/>
  <c r="U93" i="1"/>
  <c r="GP28" i="1"/>
  <c r="CD33" i="1" s="1"/>
  <c r="CA33" i="1"/>
  <c r="S26" i="1"/>
  <c r="F48" i="1"/>
  <c r="S63" i="1"/>
  <c r="F59" i="1"/>
  <c r="X26" i="1"/>
  <c r="X63" i="1"/>
  <c r="Q22" i="1"/>
  <c r="F75" i="1"/>
  <c r="Q93" i="1"/>
  <c r="CH26" i="1"/>
  <c r="AY33" i="1"/>
  <c r="AW33" i="1"/>
  <c r="CF26" i="1"/>
  <c r="AX22" i="1"/>
  <c r="F70" i="1"/>
  <c r="AX93" i="1"/>
  <c r="AS26" i="1"/>
  <c r="F50" i="1"/>
  <c r="AS63" i="1"/>
  <c r="V22" i="1"/>
  <c r="F86" i="1"/>
  <c r="V93" i="1"/>
  <c r="AZ22" i="1"/>
  <c r="F74" i="1"/>
  <c r="AZ93" i="1"/>
  <c r="BD18" i="1"/>
  <c r="F118" i="1"/>
  <c r="CE26" i="1"/>
  <c r="AV33" i="1"/>
  <c r="BA22" i="1"/>
  <c r="BA93" i="1"/>
  <c r="F83" i="1"/>
  <c r="R26" i="1"/>
  <c r="F47" i="1"/>
  <c r="R63" i="1"/>
  <c r="BC18" i="1"/>
  <c r="F109" i="1"/>
  <c r="Y26" i="1"/>
  <c r="F60" i="1"/>
  <c r="Y63" i="1"/>
  <c r="AB26" i="1"/>
  <c r="O33" i="1"/>
  <c r="F36" i="1"/>
  <c r="P26" i="1"/>
  <c r="P63" i="1"/>
  <c r="W22" i="1"/>
  <c r="F87" i="1"/>
  <c r="W93" i="1"/>
  <c r="BA18" i="1" l="1"/>
  <c r="F113" i="1"/>
  <c r="F35" i="1"/>
  <c r="O26" i="1"/>
  <c r="O63" i="1"/>
  <c r="V18" i="1"/>
  <c r="F116" i="1"/>
  <c r="X22" i="1"/>
  <c r="X93" i="1"/>
  <c r="F89" i="1"/>
  <c r="U18" i="1"/>
  <c r="F115" i="1"/>
  <c r="T18" i="1"/>
  <c r="F114" i="1"/>
  <c r="R22" i="1"/>
  <c r="R93" i="1"/>
  <c r="F77" i="1"/>
  <c r="P22" i="1"/>
  <c r="F66" i="1"/>
  <c r="P93" i="1"/>
  <c r="AV26" i="1"/>
  <c r="F38" i="1"/>
  <c r="AV63" i="1"/>
  <c r="AZ18" i="1"/>
  <c r="F104" i="1"/>
  <c r="Q18" i="1"/>
  <c r="F105" i="1"/>
  <c r="Y22" i="1"/>
  <c r="F90" i="1"/>
  <c r="Y93" i="1"/>
  <c r="AX18" i="1"/>
  <c r="F100" i="1"/>
  <c r="F39" i="1"/>
  <c r="AW26" i="1"/>
  <c r="AW63" i="1"/>
  <c r="CA26" i="1"/>
  <c r="AR33" i="1"/>
  <c r="W18" i="1"/>
  <c r="F117" i="1"/>
  <c r="AS22" i="1"/>
  <c r="AS93" i="1"/>
  <c r="F80" i="1"/>
  <c r="E16" i="2" s="1"/>
  <c r="AY26" i="1"/>
  <c r="AY63" i="1"/>
  <c r="F41" i="1"/>
  <c r="S22" i="1"/>
  <c r="F78" i="1"/>
  <c r="J16" i="2" s="1"/>
  <c r="J18" i="2" s="1"/>
  <c r="S93" i="1"/>
  <c r="CD26" i="1"/>
  <c r="AU33" i="1"/>
  <c r="AU26" i="1" l="1"/>
  <c r="F52" i="1"/>
  <c r="AU63" i="1"/>
  <c r="AR26" i="1"/>
  <c r="F61" i="1"/>
  <c r="AR63" i="1"/>
  <c r="S18" i="1"/>
  <c r="F108" i="1"/>
  <c r="AY22" i="1"/>
  <c r="AY93" i="1"/>
  <c r="F71" i="1"/>
  <c r="P18" i="1"/>
  <c r="F96" i="1"/>
  <c r="R18" i="1"/>
  <c r="F107" i="1"/>
  <c r="AW22" i="1"/>
  <c r="F69" i="1"/>
  <c r="AW93" i="1"/>
  <c r="AV22" i="1"/>
  <c r="AV93" i="1"/>
  <c r="F68" i="1"/>
  <c r="E18" i="2"/>
  <c r="Y18" i="1"/>
  <c r="F120" i="1"/>
  <c r="AS18" i="1"/>
  <c r="F110" i="1"/>
  <c r="X18" i="1"/>
  <c r="F119" i="1"/>
  <c r="O22" i="1"/>
  <c r="F65" i="1"/>
  <c r="O93" i="1"/>
  <c r="O18" i="1" l="1"/>
  <c r="F95" i="1"/>
  <c r="AV18" i="1"/>
  <c r="F98" i="1"/>
  <c r="AU22" i="1"/>
  <c r="F82" i="1"/>
  <c r="H16" i="2" s="1"/>
  <c r="AU93" i="1"/>
  <c r="AW18" i="1"/>
  <c r="F99" i="1"/>
  <c r="AY18" i="1"/>
  <c r="F101" i="1"/>
  <c r="AR22" i="1"/>
  <c r="F91" i="1"/>
  <c r="AR93" i="1"/>
  <c r="AR18" i="1" l="1"/>
  <c r="F121" i="1"/>
  <c r="AU18" i="1"/>
  <c r="F112" i="1"/>
  <c r="H18" i="2"/>
  <c r="I16" i="2"/>
  <c r="I18" i="2" s="1"/>
</calcChain>
</file>

<file path=xl/sharedStrings.xml><?xml version="1.0" encoding="utf-8"?>
<sst xmlns="http://schemas.openxmlformats.org/spreadsheetml/2006/main" count="837" uniqueCount="155">
  <si>
    <t>Smeta.RU Flash  (495) 974-1589</t>
  </si>
  <si>
    <t>_PS_</t>
  </si>
  <si>
    <t>Smeta.RU Flash</t>
  </si>
  <si>
    <t/>
  </si>
  <si>
    <t>«ПИР, СМР для технологического присоединения к электрической сети энергопринимающих устройств комплекса объектов на земельном участке, расположенном по адресу: г. Москва, Краснопресненская набережная, вл.14, стр.1»</t>
  </si>
  <si>
    <t>09-01-02</t>
  </si>
  <si>
    <t>09-01-02 ПНР КЛ (3 этап) от СП 60006 до СП 60004 корр.1</t>
  </si>
  <si>
    <t>Сметные нормы списания</t>
  </si>
  <si>
    <t>Коды ОКП для ТСН-2001 МГЭ</t>
  </si>
  <si>
    <t>ТСН-2001 (МГЭ) - Новое строительство</t>
  </si>
  <si>
    <t>Типовой расчет для ТСН-2001 МГЭ, Новая методика с выпуска доп. 43 (Строительство), Доп 71</t>
  </si>
  <si>
    <t>Территориальные сметные нормативы для Москвы ТСН-2001 (МГЭ)</t>
  </si>
  <si>
    <t>Поправки для ТСН-2001 от 16.01.2023 г. доп.67</t>
  </si>
  <si>
    <t>Территориальные сметные нормативы для Москвы (ТСН-2001)</t>
  </si>
  <si>
    <t>ТЕР</t>
  </si>
  <si>
    <t>ПНР КЛ (3 этап) от СП 60006 до СП 60004</t>
  </si>
  <si>
    <t>Новая локальная смета</t>
  </si>
  <si>
    <t>Новый раздел</t>
  </si>
  <si>
    <t>Пусконаладочные работы</t>
  </si>
  <si>
    <t>1</t>
  </si>
  <si>
    <t>5.10-35-1</t>
  </si>
  <si>
    <t>Кабельные линии высокого или низкого напряжения</t>
  </si>
  <si>
    <t>1 линия кабеля (3 испытания 1-го образца)</t>
  </si>
  <si>
    <t>ТСН-2001.5 Доп. 62, Сб. 10, т. 35, поз. 1</t>
  </si>
  <si>
    <t>)*0,8</t>
  </si>
  <si>
    <t>ТСН-2001.5-10. 10-4...10-44</t>
  </si>
  <si>
    <t>ТСН-2001.5-10-1</t>
  </si>
  <si>
    <t>Поправка: 5. р2. п.2.5</t>
  </si>
  <si>
    <t>2</t>
  </si>
  <si>
    <t>5.10-35-3</t>
  </si>
  <si>
    <t>Испытание образцов кабелей напряжением 6-10 кВ, отечественного и импортного производства</t>
  </si>
  <si>
    <t>ТСН-2001.5 Доп. 62, Сб. 10, т. 35, поз. 3</t>
  </si>
  <si>
    <t>3</t>
  </si>
  <si>
    <t>5.10-44-1</t>
  </si>
  <si>
    <t>Кабельные линии, испытание оболочек из сшитого полиэтилена каждой строительной длины силовых кабелей на напряжение 10 кВ</t>
  </si>
  <si>
    <t>1 испытание</t>
  </si>
  <si>
    <t>ТСН-2001.5. Доп. 1-42. Сб. 10, т. 44, поз. 1</t>
  </si>
  <si>
    <t>4</t>
  </si>
  <si>
    <t>2.1-8-3</t>
  </si>
  <si>
    <t>Автолаборатории  (ТСН-2001.5-10  п.6)</t>
  </si>
  <si>
    <t>маш.-ч</t>
  </si>
  <si>
    <t>ТСН-2001.2. Доп. 68. п.1-8-3 (085001)</t>
  </si>
  <si>
    <t>Механизмы</t>
  </si>
  <si>
    <t>ТСН-2001. Машины и механизмы</t>
  </si>
  <si>
    <t>ТСН-2001.2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</si>
  <si>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</si>
  <si>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</si>
  <si>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</si>
  <si>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</si>
  <si>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</si>
  <si>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</si>
  <si>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</si>
  <si>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</si>
  <si>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</si>
  <si>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</si>
  <si>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</si>
  <si>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</si>
  <si>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</si>
  <si>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</si>
  <si>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</si>
  <si>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</si>
  <si>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</si>
  <si>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</si>
  <si>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</si>
  <si>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</si>
  <si>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</si>
  <si>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</si>
  <si>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</si>
  <si>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</si>
  <si>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</si>
  <si>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</si>
  <si>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</si>
  <si>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</si>
  <si>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</si>
  <si>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</si>
  <si>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</si>
  <si>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</si>
  <si>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</si>
  <si>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</si>
  <si>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</si>
  <si>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</si>
  <si>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</si>
  <si>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</si>
  <si>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</si>
  <si>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</si>
  <si>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</si>
  <si>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</si>
  <si>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</si>
  <si>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</si>
  <si>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</si>
  <si>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</si>
  <si>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</si>
  <si>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</si>
  <si>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</si>
  <si>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</si>
  <si>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</si>
  <si>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</si>
  <si>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</si>
  <si>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</si>
  <si>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Уровень цен</t>
  </si>
  <si>
    <t>Сборник индексов</t>
  </si>
  <si>
    <t>Коэффициенты к ТСН-2001 МГЭ</t>
  </si>
  <si>
    <t>210</t>
  </si>
  <si>
    <t>_OBSM_</t>
  </si>
  <si>
    <t>9999990008</t>
  </si>
  <si>
    <t>Трудозатраты рабочих</t>
  </si>
  <si>
    <t>чел.-ч.</t>
  </si>
  <si>
    <t>Поправка: 5. р2. п.2.5  Наименование: В случае, если монтажные и пусконаладочные работы по какому-либо оборудованию выполняются одним и тем же звеном (бригадой), либо если они производятся при техническом руководстве персонала предприятий-изготовителей или фирм-поставщиков оборудования.</t>
  </si>
  <si>
    <t>(наименование стройки и/или объекта)</t>
  </si>
  <si>
    <t>(наименование работ и затрат)</t>
  </si>
  <si>
    <t>В базисном уровне цен</t>
  </si>
  <si>
    <t>В текущем уровне цен</t>
  </si>
  <si>
    <t>Сметная стоимость</t>
  </si>
  <si>
    <t>Строительные работы</t>
  </si>
  <si>
    <t>Работы по монтажу оборудования</t>
  </si>
  <si>
    <t>Оборудование</t>
  </si>
  <si>
    <t>Прочие работы и затраты</t>
  </si>
  <si>
    <t>Средства на оплату труда</t>
  </si>
  <si>
    <t>Затраты труда</t>
  </si>
  <si>
    <t xml:space="preserve">Кроме того: </t>
  </si>
  <si>
    <t>№ п/п</t>
  </si>
  <si>
    <t>Шифр расценки и коды ресурсов</t>
  </si>
  <si>
    <t>Наименование работ и затрат</t>
  </si>
  <si>
    <t>Ед. изм.</t>
  </si>
  <si>
    <t>Кол-во
единиц</t>
  </si>
  <si>
    <t>Цена на
ед. изм.,
руб.</t>
  </si>
  <si>
    <t>Попра-
вочные
коэффи-
циенты</t>
  </si>
  <si>
    <t>Коэффи-
циенты
зимних
удорожа-
ний</t>
  </si>
  <si>
    <t>Всего
затрат в
базисном
уровне цен,
руб.</t>
  </si>
  <si>
    <t>Коэффи-
циенты
(индек-
сы) пере-
счета,
нормы
НР и СП</t>
  </si>
  <si>
    <t>ВСЕГО
затрат в
текущем
уровне цен,
руб.</t>
  </si>
  <si>
    <t>Форма № 4б</t>
  </si>
  <si>
    <t>«ПИР, СМР для технологического присоединения к электрической сети энергопринимающих устройств комплекса объектов на земельном участке, расположенном по адресу: г. Москва, Краснопресненская набережная, вл.14, стр.1». 09-01-02 ПНР КЛ (3 этап) от СП 60006 до СП 60004 корр.1</t>
  </si>
  <si>
    <t>Составлен(а) по ТСН-2001 с учетом Дополнения №: 71</t>
  </si>
  <si>
    <t>№ и период сборника коэффициентов (индексов) пересчета: Коэффициенты к ТСН-2001 МГЭ №210 март 2024 года</t>
  </si>
  <si>
    <r>
      <t>5.10-35-1</t>
    </r>
    <r>
      <rPr>
        <i/>
        <sz val="10"/>
        <rFont val="Arial"/>
        <family val="2"/>
        <charset val="204"/>
      </rPr>
      <t xml:space="preserve">
Поправка: 5. р2. п.2.5</t>
    </r>
  </si>
  <si>
    <t>ЗП</t>
  </si>
  <si>
    <t>НР от ЗП</t>
  </si>
  <si>
    <t>%</t>
  </si>
  <si>
    <t>СП от ЗП</t>
  </si>
  <si>
    <t>ЗТР</t>
  </si>
  <si>
    <t>чел-ч</t>
  </si>
  <si>
    <t>Всего по позиции:</t>
  </si>
  <si>
    <r>
      <t>5.10-35-3</t>
    </r>
    <r>
      <rPr>
        <i/>
        <sz val="10"/>
        <rFont val="Arial"/>
        <family val="2"/>
        <charset val="204"/>
      </rPr>
      <t xml:space="preserve">
Поправка: 5. р2. п.2.5</t>
    </r>
  </si>
  <si>
    <r>
      <t>5.10-44-1</t>
    </r>
    <r>
      <rPr>
        <i/>
        <sz val="10"/>
        <rFont val="Arial"/>
        <family val="2"/>
        <charset val="204"/>
      </rPr>
      <t xml:space="preserve">
Поправка: 5. р2. п.2.5</t>
    </r>
  </si>
  <si>
    <t>ЭМ</t>
  </si>
  <si>
    <t>в т.ч. ЗПМ</t>
  </si>
  <si>
    <t>НР и СП от ЗПМ</t>
  </si>
  <si>
    <t xml:space="preserve">   Итого по ТСН-2001.16</t>
  </si>
  <si>
    <t xml:space="preserve">   Итого возвратных сумм</t>
  </si>
  <si>
    <t xml:space="preserve"> тыс.руб.</t>
  </si>
  <si>
    <t xml:space="preserve">Составил   </t>
  </si>
  <si>
    <t>(должность, подпись, инициалы, фамилия)</t>
  </si>
  <si>
    <t xml:space="preserve">Проверил   </t>
  </si>
  <si>
    <t xml:space="preserve">«ПИР, СМР для технологического присоединения к электрической сети энергопринимающих устройств комплекса объектов на земельном участке, расположенном по адресу: г. Москва, Краснопресненская набережная, вл.14, стр.1».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</si>
</sst>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\ #,##0.00"/>
    <numFmt numFmtId="165" formatCode="General;\-General;"/>
  </numFmts>
  <fonts count="18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3"/>
      <name val="Arial"/>
      <family val="2"/>
      <charset val="204"/>
    </font>
    <font>
      <i/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11" fillId="0" borderId="1" xfId="0" applyFont="1" applyBorder="1"/>
    <xf numFmtId="0" fontId="16" fillId="0" borderId="0" xfId="0" applyFont="1"/>
    <xf numFmtId="0" fontId="16" fillId="0" borderId="0" xfId="0" applyFont="1" applyAlignment="1">
      <alignment horizontal="center" vertical="top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164" fontId="17" fillId="0" borderId="0" xfId="0" applyNumberFormat="1" applyFont="1"/>
    <xf numFmtId="0" fontId="17" fillId="0" borderId="0" xfId="0" applyFont="1"/>
    <xf numFmtId="0" fontId="9" fillId="0" borderId="0" xfId="0" applyFont="1" applyAlignment="1">
      <alignment horizontal="left"/>
    </xf>
    <xf numFmtId="164" fontId="9" fillId="0" borderId="0" xfId="0" applyNumberFormat="1" applyFont="1"/>
    <xf numFmtId="0" fontId="9" fillId="0" borderId="1" xfId="0" applyFont="1" applyBorder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 wrapText="1"/>
    </xf>
    <xf numFmtId="0" fontId="9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right" wrapText="1"/>
    </xf>
    <xf numFmtId="0" fontId="9" fillId="0" borderId="1" xfId="0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165" fontId="9" fillId="0" borderId="1" xfId="0" applyNumberFormat="1" applyFont="1" applyBorder="1" applyAlignment="1">
      <alignment horizontal="right" wrapText="1"/>
    </xf>
    <xf numFmtId="164" fontId="15" fillId="0" borderId="0" xfId="0" applyNumberFormat="1" applyFont="1" applyAlignment="1">
      <alignment horizontal="right"/>
    </xf>
    <xf numFmtId="0" fontId="17" fillId="0" borderId="0" xfId="0" applyFont="1" applyAlignment="1">
      <alignment horizontal="left" wrapText="1"/>
    </xf>
    <xf numFmtId="0" fontId="14" fillId="0" borderId="0" xfId="0" applyFont="1" applyAlignment="1">
      <alignment horizontal="center" wrapText="1"/>
    </xf>
    <xf numFmtId="0" fontId="1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1" applyAlignment="1">
      <alignment horizontal="left"/>
    </xf>
    <xf numFmtId="0" fontId="9" fillId="0" borderId="1" xfId="0" applyFont="1" applyBorder="1" applyAlignment="1">
      <alignment horizontal="left" wrapText="1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0" fillId="0" borderId="0" xfId="0"/>
    <xf numFmtId="0" fontId="11" fillId="0" borderId="1" xfId="0" applyFont="1" applyBorder="1" applyAlignment="1">
      <alignment horizontal="left" wrapText="1"/>
    </xf>
    <xf numFmtId="164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right"/>
    </xf>
    <xf numFmtId="0" fontId="17" fillId="0" borderId="0" xfId="0" applyFont="1" applyAlignment="1">
      <alignment horizontal="left" wrapText="1"/>
    </xf>
    <xf numFmtId="0" fontId="17" fillId="0" borderId="0" xfId="0" applyFont="1" applyAlignment="1">
      <alignment horizontal="center" wrapText="1"/>
    </xf>
    <xf numFmtId="164" fontId="17" fillId="0" borderId="2" xfId="0" applyNumberFormat="1" applyFont="1" applyBorder="1" applyAlignment="1">
      <alignment horizontal="right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/>
    </xf>
  </cellXfs>
  <cellStyles count="2">
    <cellStyle name="Обычный" xfId="0" builtinId="0"/>
    <cellStyle name="Обычный 4" xfId="1" xr:uid="{C3DED8B4-D9DF-4915-9AA9-3BE28E7771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AE5F4-974E-40C8-BFE8-3A231853624D}">
  <sheetPr>
    <pageSetUpPr fitToPage="1"/>
  </sheetPr>
  <dimension ref="A1:AQ78"/>
  <sheetViews>
    <sheetView tabSelected="1" zoomScaleNormal="100" workbookViewId="0">
      <selection activeCell="AD26" sqref="AD26"/>
    </sheetView>
  </sheetViews>
  <sheetFormatPr defaultRowHeight="12.75" x14ac:dyDescent="0.2"/>
  <cols>
    <col min="1" max="1" width="5.7109375" customWidth="1"/>
    <col min="2" max="2" width="11.7109375" customWidth="1"/>
    <col min="3" max="3" width="42.42578125" customWidth="1"/>
    <col min="4" max="4" width="16.42578125" customWidth="1"/>
    <col min="5" max="5" width="8.140625" bestFit="1" customWidth="1"/>
    <col min="6" max="6" width="9" bestFit="1" customWidth="1"/>
    <col min="7" max="7" width="8.5703125" bestFit="1" customWidth="1"/>
    <col min="9" max="9" width="10.140625" bestFit="1" customWidth="1"/>
    <col min="11" max="11" width="11.28515625" bestFit="1" customWidth="1"/>
    <col min="13" max="28" width="12.140625" hidden="1" customWidth="1"/>
    <col min="29" max="48" width="12.140625" customWidth="1"/>
  </cols>
  <sheetData>
    <row r="1" spans="1:42" x14ac:dyDescent="0.2">
      <c r="A1" s="10" t="str">
        <f>Source!B1</f>
        <v>Smeta.RU Flash  (495) 974-1589</v>
      </c>
    </row>
    <row r="2" spans="1:42" ht="14.25" x14ac:dyDescent="0.2">
      <c r="A2" s="11"/>
      <c r="B2" s="11"/>
      <c r="C2" s="11"/>
      <c r="D2" s="11"/>
      <c r="E2" s="11"/>
      <c r="F2" s="11"/>
      <c r="G2" s="11"/>
      <c r="H2" s="11"/>
      <c r="I2" s="11"/>
      <c r="J2" s="43" t="s">
        <v>131</v>
      </c>
      <c r="K2" s="43"/>
    </row>
    <row r="3" spans="1:42" ht="47.25" x14ac:dyDescent="0.25">
      <c r="A3" s="44" t="s">
        <v>154</v>
      </c>
      <c r="B3" s="44"/>
      <c r="C3" s="44"/>
      <c r="D3" s="44"/>
      <c r="E3" s="44"/>
      <c r="F3" s="44"/>
      <c r="G3" s="44"/>
      <c r="H3" s="44"/>
      <c r="I3" s="44"/>
      <c r="J3" s="44"/>
      <c r="K3" s="44"/>
      <c r="AP3" s="12" t="s">
        <v>132</v>
      </c>
    </row>
    <row r="4" spans="1:42" x14ac:dyDescent="0.2">
      <c r="A4" s="45" t="s">
        <v>108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42" ht="14.2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42" ht="15.75" x14ac:dyDescent="0.25">
      <c r="A6" s="44" t="str">
        <f>CONCATENATE( "ЛОКАЛЬНАЯ СМЕТА № ",IF(Source!F12&lt;&gt;"Новый объект", Source!F12, ""))</f>
        <v>ЛОКАЛЬНАЯ СМЕТА № 09-01-02</v>
      </c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42" ht="14.2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</row>
    <row r="8" spans="1:42" ht="15.75" x14ac:dyDescent="0.25">
      <c r="A8" s="44" t="str">
        <f>Source!G20</f>
        <v>ПНР КЛ (3 этап) от СП 60006 до СП 60004</v>
      </c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42" x14ac:dyDescent="0.2">
      <c r="A9" s="47" t="s">
        <v>109</v>
      </c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42" ht="14.25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</row>
    <row r="11" spans="1:42" ht="14.25" x14ac:dyDescent="0.2">
      <c r="A11" s="49" t="str">
        <f>CONCATENATE( "Основание: чертежи № ", Source!J12)</f>
        <v xml:space="preserve">Основание: чертежи № 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</row>
    <row r="12" spans="1:42" ht="14.25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42" s="17" customFormat="1" ht="33.75" x14ac:dyDescent="0.2">
      <c r="I13" s="18" t="s">
        <v>110</v>
      </c>
      <c r="J13" s="18" t="s">
        <v>111</v>
      </c>
    </row>
    <row r="14" spans="1:42" s="9" customFormat="1" x14ac:dyDescent="0.2">
      <c r="E14" s="39" t="s">
        <v>112</v>
      </c>
      <c r="F14" s="39"/>
      <c r="G14" s="39"/>
      <c r="H14" s="39"/>
      <c r="I14" s="21">
        <f>I15+I16+I17+I18</f>
        <v>29.5</v>
      </c>
      <c r="J14" s="21">
        <f>J15+J16+J17+J18</f>
        <v>558.03</v>
      </c>
      <c r="K14" s="22" t="s">
        <v>150</v>
      </c>
    </row>
    <row r="15" spans="1:42" s="9" customFormat="1" x14ac:dyDescent="0.2">
      <c r="E15" s="40" t="s">
        <v>113</v>
      </c>
      <c r="F15" s="40"/>
      <c r="G15" s="40"/>
      <c r="H15" s="40"/>
      <c r="I15" s="24">
        <f>ROUND(SUM(X1:X71)/1000, 2)</f>
        <v>14.33</v>
      </c>
      <c r="J15" s="24">
        <f>ROUND((Source!F110)/1000, 2)</f>
        <v>159.86000000000001</v>
      </c>
      <c r="K15" s="9" t="s">
        <v>150</v>
      </c>
    </row>
    <row r="16" spans="1:42" s="9" customFormat="1" x14ac:dyDescent="0.2">
      <c r="E16" s="40" t="s">
        <v>114</v>
      </c>
      <c r="F16" s="40"/>
      <c r="G16" s="40"/>
      <c r="H16" s="40"/>
      <c r="I16" s="24">
        <f>ROUND(SUM(Y1:Y71)/1000, 2)</f>
        <v>0</v>
      </c>
      <c r="J16" s="24">
        <f>ROUND((Source!F111)/1000, 2)</f>
        <v>0</v>
      </c>
      <c r="K16" s="9" t="s">
        <v>150</v>
      </c>
    </row>
    <row r="17" spans="1:42" s="9" customFormat="1" x14ac:dyDescent="0.2">
      <c r="E17" s="40" t="s">
        <v>115</v>
      </c>
      <c r="F17" s="40"/>
      <c r="G17" s="40"/>
      <c r="H17" s="40"/>
      <c r="I17" s="24">
        <f>ROUND(SUM(Z1:Z71)/1000, 2)</f>
        <v>0</v>
      </c>
      <c r="J17" s="24">
        <f>ROUND((Source!F102)/1000, 2)</f>
        <v>0</v>
      </c>
      <c r="K17" s="9" t="s">
        <v>150</v>
      </c>
    </row>
    <row r="18" spans="1:42" s="9" customFormat="1" x14ac:dyDescent="0.2">
      <c r="E18" s="40" t="s">
        <v>116</v>
      </c>
      <c r="F18" s="40"/>
      <c r="G18" s="40"/>
      <c r="H18" s="40"/>
      <c r="I18" s="24">
        <f>ROUND(SUM(AA1:AA71)/1000, 2)</f>
        <v>15.17</v>
      </c>
      <c r="J18" s="24">
        <f>ROUND((Source!F112+Source!F113)/1000, 2)</f>
        <v>398.17</v>
      </c>
      <c r="K18" s="9" t="s">
        <v>150</v>
      </c>
    </row>
    <row r="19" spans="1:42" s="9" customFormat="1" x14ac:dyDescent="0.2">
      <c r="E19" s="40" t="s">
        <v>117</v>
      </c>
      <c r="F19" s="40"/>
      <c r="G19" s="40"/>
      <c r="H19" s="40"/>
      <c r="I19" s="24">
        <f>ROUND(SUM(W1:W71)/1000, 2)</f>
        <v>6.86</v>
      </c>
      <c r="J19" s="24">
        <f>(Source!F108+ Source!F107)/1000</f>
        <v>209.16718</v>
      </c>
      <c r="K19" s="9" t="s">
        <v>150</v>
      </c>
    </row>
    <row r="20" spans="1:42" s="9" customFormat="1" x14ac:dyDescent="0.2">
      <c r="E20" s="40" t="s">
        <v>118</v>
      </c>
      <c r="F20" s="40"/>
      <c r="G20" s="40"/>
      <c r="H20" s="40"/>
      <c r="I20" s="24">
        <f>SUM(AB1:AB71)</f>
        <v>398.81599999999997</v>
      </c>
      <c r="J20" s="24"/>
      <c r="K20" s="9" t="s">
        <v>106</v>
      </c>
    </row>
    <row r="21" spans="1:42" s="9" customFormat="1" hidden="1" x14ac:dyDescent="0.2">
      <c r="E21" s="40" t="s">
        <v>119</v>
      </c>
      <c r="F21" s="40"/>
      <c r="G21" s="40"/>
      <c r="H21" s="40"/>
      <c r="I21" s="24"/>
      <c r="J21" s="24"/>
    </row>
    <row r="22" spans="1:42" s="9" customFormat="1" hidden="1" x14ac:dyDescent="0.2">
      <c r="E22" s="41" t="s">
        <v>84</v>
      </c>
      <c r="F22" s="41"/>
      <c r="G22" s="41"/>
      <c r="H22" s="41"/>
      <c r="I22" s="24">
        <f>ROUND(SUM(AE1:AE71)/1000, 2)</f>
        <v>0</v>
      </c>
      <c r="J22" s="24">
        <f>SUM(AF1:AF71)/1000</f>
        <v>0</v>
      </c>
      <c r="K22" s="9" t="s">
        <v>150</v>
      </c>
    </row>
    <row r="23" spans="1:42" s="9" customFormat="1" x14ac:dyDescent="0.2">
      <c r="F23" s="23"/>
      <c r="G23" s="23"/>
      <c r="H23" s="23"/>
      <c r="I23" s="24"/>
      <c r="J23" s="24"/>
    </row>
    <row r="24" spans="1:42" s="9" customFormat="1" x14ac:dyDescent="0.2">
      <c r="A24" s="9" t="s">
        <v>133</v>
      </c>
      <c r="F24" s="23"/>
      <c r="G24" s="23"/>
      <c r="H24" s="23"/>
      <c r="I24" s="24"/>
      <c r="J24" s="24"/>
    </row>
    <row r="25" spans="1:42" s="9" customFormat="1" x14ac:dyDescent="0.2">
      <c r="A25" s="42" t="s">
        <v>134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AP25" s="25" t="s">
        <v>134</v>
      </c>
    </row>
    <row r="26" spans="1:42" s="17" customFormat="1" ht="78.75" x14ac:dyDescent="0.2">
      <c r="A26" s="19" t="s">
        <v>120</v>
      </c>
      <c r="B26" s="19" t="s">
        <v>121</v>
      </c>
      <c r="C26" s="19" t="s">
        <v>122</v>
      </c>
      <c r="D26" s="19" t="s">
        <v>123</v>
      </c>
      <c r="E26" s="19" t="s">
        <v>124</v>
      </c>
      <c r="F26" s="19" t="s">
        <v>125</v>
      </c>
      <c r="G26" s="20" t="s">
        <v>126</v>
      </c>
      <c r="H26" s="20" t="s">
        <v>127</v>
      </c>
      <c r="I26" s="19" t="s">
        <v>128</v>
      </c>
      <c r="J26" s="19" t="s">
        <v>129</v>
      </c>
      <c r="K26" s="19" t="s">
        <v>130</v>
      </c>
    </row>
    <row r="27" spans="1:42" ht="14.25" x14ac:dyDescent="0.2">
      <c r="A27" s="14">
        <v>1</v>
      </c>
      <c r="B27" s="14">
        <v>2</v>
      </c>
      <c r="C27" s="14">
        <v>3</v>
      </c>
      <c r="D27" s="14">
        <v>4</v>
      </c>
      <c r="E27" s="14">
        <v>5</v>
      </c>
      <c r="F27" s="14">
        <v>6</v>
      </c>
      <c r="G27" s="14">
        <v>7</v>
      </c>
      <c r="H27" s="14">
        <v>8</v>
      </c>
      <c r="I27" s="14">
        <v>9</v>
      </c>
      <c r="J27" s="14">
        <v>10</v>
      </c>
      <c r="K27" s="14">
        <v>11</v>
      </c>
    </row>
    <row r="29" spans="1:42" ht="16.5" x14ac:dyDescent="0.25">
      <c r="A29" s="38" t="str">
        <f>CONCATENATE("Локальная смета: ",IF(Source!G20&lt;&gt;"Новая локальная смета", Source!G20, ""))</f>
        <v>Локальная смета: ПНР КЛ (3 этап) от СП 60006 до СП 60004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</row>
    <row r="31" spans="1:42" s="9" customFormat="1" x14ac:dyDescent="0.2">
      <c r="A31" s="53" t="str">
        <f>CONCATENATE("Раздел: ",IF(Source!G24&lt;&gt;"Новый раздел", Source!G24, ""))</f>
        <v>Раздел: Пусконаладочные работы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</row>
    <row r="32" spans="1:42" s="9" customFormat="1" ht="38.25" x14ac:dyDescent="0.2">
      <c r="A32" s="26">
        <v>1</v>
      </c>
      <c r="B32" s="26" t="s">
        <v>135</v>
      </c>
      <c r="C32" s="26" t="s">
        <v>21</v>
      </c>
      <c r="D32" s="27" t="str">
        <f>Source!H28</f>
        <v>1 линия кабеля (3 испытания 1-го образца)</v>
      </c>
      <c r="E32" s="28">
        <f>Source!I28</f>
        <v>2</v>
      </c>
      <c r="F32" s="29"/>
      <c r="G32" s="30"/>
      <c r="H32" s="28"/>
      <c r="I32" s="29"/>
      <c r="J32" s="28"/>
      <c r="K32" s="29"/>
      <c r="Q32" s="9">
        <f>ROUND((Source!DN28/100)*ROUND((ROUND((Source!AF28*Source!AV28*Source!I28),2)),2), 2)</f>
        <v>1242.74</v>
      </c>
      <c r="R32" s="9">
        <f>Source!X28</f>
        <v>35353.33</v>
      </c>
      <c r="S32" s="9">
        <f>ROUND((Source!DO28/100)*ROUND((ROUND((Source!AF28*Source!AV28*Source!I28),2)),2), 2)</f>
        <v>1159.8900000000001</v>
      </c>
      <c r="T32" s="9">
        <f>Source!Y28</f>
        <v>20706.95</v>
      </c>
      <c r="U32" s="9">
        <f>ROUND((175/100)*ROUND((ROUND((Source!AE28*Source!AV28*Source!I28),2)),2), 2)</f>
        <v>0</v>
      </c>
      <c r="V32" s="9">
        <f>ROUND((160/100)*ROUND(ROUND((ROUND((Source!AE28*Source!AV28*Source!I28),2)*Source!BS28),2), 2), 2)</f>
        <v>0</v>
      </c>
      <c r="AI32" s="9">
        <v>0</v>
      </c>
    </row>
    <row r="33" spans="1:35" s="9" customFormat="1" x14ac:dyDescent="0.2">
      <c r="A33" s="26"/>
      <c r="B33" s="26"/>
      <c r="C33" s="26" t="s">
        <v>136</v>
      </c>
      <c r="D33" s="27"/>
      <c r="E33" s="28"/>
      <c r="F33" s="29">
        <f>Source!AO28</f>
        <v>1035.6099999999999</v>
      </c>
      <c r="G33" s="30" t="str">
        <f>Source!DG28</f>
        <v>)*0,8</v>
      </c>
      <c r="H33" s="28">
        <f>Source!AV28</f>
        <v>1</v>
      </c>
      <c r="I33" s="29">
        <f>ROUND((ROUND((Source!AF28*Source!AV28*Source!I28),2)),2)</f>
        <v>1656.98</v>
      </c>
      <c r="J33" s="28">
        <f>IF(Source!BA28&lt;&gt; 0, Source!BA28, 1)</f>
        <v>30.48</v>
      </c>
      <c r="K33" s="29">
        <f>Source!S28</f>
        <v>50504.75</v>
      </c>
      <c r="W33" s="9">
        <f>I33</f>
        <v>1656.98</v>
      </c>
    </row>
    <row r="34" spans="1:35" s="9" customFormat="1" x14ac:dyDescent="0.2">
      <c r="A34" s="26"/>
      <c r="B34" s="26"/>
      <c r="C34" s="26" t="s">
        <v>137</v>
      </c>
      <c r="D34" s="27" t="s">
        <v>138</v>
      </c>
      <c r="E34" s="28">
        <f>Source!DN28</f>
        <v>75</v>
      </c>
      <c r="F34" s="29"/>
      <c r="G34" s="30"/>
      <c r="H34" s="28"/>
      <c r="I34" s="29">
        <f>SUM(Q32:Q33)</f>
        <v>1242.74</v>
      </c>
      <c r="J34" s="28">
        <f>Source!BZ28</f>
        <v>70</v>
      </c>
      <c r="K34" s="29">
        <f>SUM(R32:R33)</f>
        <v>35353.33</v>
      </c>
    </row>
    <row r="35" spans="1:35" s="9" customFormat="1" x14ac:dyDescent="0.2">
      <c r="A35" s="26"/>
      <c r="B35" s="26"/>
      <c r="C35" s="26" t="s">
        <v>139</v>
      </c>
      <c r="D35" s="27" t="s">
        <v>138</v>
      </c>
      <c r="E35" s="28">
        <f>Source!DO28</f>
        <v>70</v>
      </c>
      <c r="F35" s="29"/>
      <c r="G35" s="30"/>
      <c r="H35" s="28"/>
      <c r="I35" s="29">
        <f>SUM(S32:S34)</f>
        <v>1159.8900000000001</v>
      </c>
      <c r="J35" s="28">
        <f>Source!CA28</f>
        <v>41</v>
      </c>
      <c r="K35" s="29">
        <f>SUM(T32:T34)</f>
        <v>20706.95</v>
      </c>
    </row>
    <row r="36" spans="1:35" s="9" customFormat="1" x14ac:dyDescent="0.2">
      <c r="A36" s="31"/>
      <c r="B36" s="31"/>
      <c r="C36" s="31" t="s">
        <v>140</v>
      </c>
      <c r="D36" s="32" t="s">
        <v>141</v>
      </c>
      <c r="E36" s="33">
        <f>Source!AQ28</f>
        <v>65</v>
      </c>
      <c r="F36" s="34"/>
      <c r="G36" s="35" t="str">
        <f>Source!DI28</f>
        <v>)*0,8</v>
      </c>
      <c r="H36" s="33">
        <f>Source!AV28</f>
        <v>1</v>
      </c>
      <c r="I36" s="34">
        <f>Source!U28</f>
        <v>104</v>
      </c>
      <c r="J36" s="33"/>
      <c r="K36" s="34"/>
      <c r="AB36" s="24">
        <f>I36</f>
        <v>104</v>
      </c>
    </row>
    <row r="37" spans="1:35" s="9" customFormat="1" x14ac:dyDescent="0.2">
      <c r="C37" s="22" t="s">
        <v>142</v>
      </c>
      <c r="H37" s="54">
        <f>I33+I34+I35+0</f>
        <v>4059.6100000000006</v>
      </c>
      <c r="I37" s="54"/>
      <c r="J37" s="54">
        <f>K33+K34+K35+0</f>
        <v>106565.03</v>
      </c>
      <c r="K37" s="54"/>
      <c r="O37" s="24">
        <f>I33+I34+I35+0</f>
        <v>4059.6100000000006</v>
      </c>
      <c r="P37" s="24">
        <f>K33+K34+K35+0</f>
        <v>106565.03</v>
      </c>
      <c r="X37" s="9">
        <f>IF(Source!BI28&lt;=1,I33+I34+I35-0, 0)</f>
        <v>0</v>
      </c>
      <c r="Y37" s="9">
        <f>IF(Source!BI28=2,I33+I34+I35-0, 0)</f>
        <v>0</v>
      </c>
      <c r="Z37" s="9">
        <f>IF(Source!BI28=3,I33+I34+I35-0, 0)</f>
        <v>0</v>
      </c>
      <c r="AA37" s="9">
        <f>IF(Source!BI28=4,I33+I34+I35,0)</f>
        <v>4059.6100000000006</v>
      </c>
    </row>
    <row r="38" spans="1:35" s="9" customFormat="1" x14ac:dyDescent="0.2"/>
    <row r="39" spans="1:35" s="9" customFormat="1" ht="38.25" hidden="1" x14ac:dyDescent="0.2">
      <c r="A39" s="26">
        <v>2</v>
      </c>
      <c r="B39" s="26" t="s">
        <v>143</v>
      </c>
      <c r="C39" s="26" t="s">
        <v>30</v>
      </c>
      <c r="D39" s="27" t="str">
        <f>Source!H29</f>
        <v>1 линия кабеля (3 испытания 1-го образца)</v>
      </c>
      <c r="E39" s="28">
        <f>Source!I29</f>
        <v>6</v>
      </c>
      <c r="F39" s="29"/>
      <c r="G39" s="30"/>
      <c r="H39" s="28"/>
      <c r="I39" s="29"/>
      <c r="J39" s="28"/>
      <c r="K39" s="29"/>
      <c r="Q39" s="9">
        <f>ROUND((Source!DN29/100)*ROUND((ROUND((Source!AF29*Source!AV29*Source!I29),2)),2), 2)</f>
        <v>2466.3200000000002</v>
      </c>
      <c r="R39" s="9">
        <f>Source!X29</f>
        <v>70161.95</v>
      </c>
      <c r="S39" s="9">
        <f>ROUND((Source!DO29/100)*ROUND((ROUND((Source!AF29*Source!AV29*Source!I29),2)),2), 2)</f>
        <v>2301.9</v>
      </c>
      <c r="T39" s="9">
        <f>Source!Y29</f>
        <v>41094.85</v>
      </c>
      <c r="U39" s="9">
        <f>ROUND((175/100)*ROUND((ROUND((Source!AE29*Source!AV29*Source!I29),2)),2), 2)</f>
        <v>0</v>
      </c>
      <c r="V39" s="9">
        <f>ROUND((160/100)*ROUND(ROUND((ROUND((Source!AE29*Source!AV29*Source!I29),2)*Source!BS29),2), 2), 2)</f>
        <v>0</v>
      </c>
      <c r="AI39" s="9">
        <v>0</v>
      </c>
    </row>
    <row r="40" spans="1:35" s="9" customFormat="1" hidden="1" x14ac:dyDescent="0.2">
      <c r="A40" s="26"/>
      <c r="B40" s="26"/>
      <c r="C40" s="26" t="s">
        <v>136</v>
      </c>
      <c r="D40" s="27"/>
      <c r="E40" s="28"/>
      <c r="F40" s="29">
        <f>Source!AO29</f>
        <v>685.09</v>
      </c>
      <c r="G40" s="30" t="str">
        <f>Source!DG29</f>
        <v>)*0,8</v>
      </c>
      <c r="H40" s="28">
        <f>Source!AV29</f>
        <v>1</v>
      </c>
      <c r="I40" s="29">
        <f>ROUND((ROUND((Source!AF29*Source!AV29*Source!I29),2)),2)</f>
        <v>3288.43</v>
      </c>
      <c r="J40" s="28">
        <f>IF(Source!BA29&lt;&gt; 0, Source!BA29, 1)</f>
        <v>30.48</v>
      </c>
      <c r="K40" s="29">
        <f>Source!S29</f>
        <v>100231.35</v>
      </c>
      <c r="W40" s="9">
        <f>I40</f>
        <v>3288.43</v>
      </c>
    </row>
    <row r="41" spans="1:35" s="9" customFormat="1" hidden="1" x14ac:dyDescent="0.2">
      <c r="A41" s="26"/>
      <c r="B41" s="26"/>
      <c r="C41" s="26" t="s">
        <v>137</v>
      </c>
      <c r="D41" s="27" t="s">
        <v>138</v>
      </c>
      <c r="E41" s="28">
        <f>Source!DN29</f>
        <v>75</v>
      </c>
      <c r="F41" s="29"/>
      <c r="G41" s="30"/>
      <c r="H41" s="28"/>
      <c r="I41" s="29">
        <f>SUM(Q39:Q40)</f>
        <v>2466.3200000000002</v>
      </c>
      <c r="J41" s="28">
        <f>Source!BZ29</f>
        <v>70</v>
      </c>
      <c r="K41" s="29">
        <f>SUM(R39:R40)</f>
        <v>70161.95</v>
      </c>
    </row>
    <row r="42" spans="1:35" s="9" customFormat="1" hidden="1" x14ac:dyDescent="0.2">
      <c r="A42" s="26"/>
      <c r="B42" s="26"/>
      <c r="C42" s="26" t="s">
        <v>139</v>
      </c>
      <c r="D42" s="27" t="s">
        <v>138</v>
      </c>
      <c r="E42" s="28">
        <f>Source!DO29</f>
        <v>70</v>
      </c>
      <c r="F42" s="29"/>
      <c r="G42" s="30"/>
      <c r="H42" s="28"/>
      <c r="I42" s="29">
        <f>SUM(S39:S41)</f>
        <v>2301.9</v>
      </c>
      <c r="J42" s="28">
        <f>Source!CA29</f>
        <v>41</v>
      </c>
      <c r="K42" s="29">
        <f>SUM(T39:T41)</f>
        <v>41094.85</v>
      </c>
    </row>
    <row r="43" spans="1:35" s="9" customFormat="1" hidden="1" x14ac:dyDescent="0.2">
      <c r="A43" s="31"/>
      <c r="B43" s="31"/>
      <c r="C43" s="31" t="s">
        <v>140</v>
      </c>
      <c r="D43" s="32" t="s">
        <v>141</v>
      </c>
      <c r="E43" s="33">
        <f>Source!AQ29</f>
        <v>43</v>
      </c>
      <c r="F43" s="34"/>
      <c r="G43" s="35" t="str">
        <f>Source!DI29</f>
        <v>)*0,8</v>
      </c>
      <c r="H43" s="33">
        <f>Source!AV29</f>
        <v>1</v>
      </c>
      <c r="I43" s="34">
        <f>Source!U29</f>
        <v>206.39999999999998</v>
      </c>
      <c r="J43" s="33"/>
      <c r="K43" s="34"/>
      <c r="AB43" s="24">
        <f>I43</f>
        <v>206.39999999999998</v>
      </c>
    </row>
    <row r="44" spans="1:35" s="9" customFormat="1" hidden="1" x14ac:dyDescent="0.2">
      <c r="C44" s="22" t="s">
        <v>142</v>
      </c>
      <c r="H44" s="54">
        <f>I40+I41+I42+0</f>
        <v>8056.65</v>
      </c>
      <c r="I44" s="54"/>
      <c r="J44" s="54">
        <f>K40+K41+K42+0</f>
        <v>211488.15</v>
      </c>
      <c r="K44" s="54"/>
      <c r="O44" s="24">
        <f>I40+I41+I42+0</f>
        <v>8056.65</v>
      </c>
      <c r="P44" s="24">
        <f>K40+K41+K42+0</f>
        <v>211488.15</v>
      </c>
      <c r="X44" s="9">
        <f>IF(Source!BI29&lt;=1,I40+I41+I42-0, 0)</f>
        <v>0</v>
      </c>
      <c r="Y44" s="9">
        <f>IF(Source!BI29=2,I40+I41+I42-0, 0)</f>
        <v>0</v>
      </c>
      <c r="Z44" s="9">
        <f>IF(Source!BI29=3,I40+I41+I42-0, 0)</f>
        <v>0</v>
      </c>
      <c r="AA44" s="9">
        <f>IF(Source!BI29=4,I40+I41+I42,0)</f>
        <v>8056.65</v>
      </c>
    </row>
    <row r="45" spans="1:35" s="9" customFormat="1" x14ac:dyDescent="0.2"/>
    <row r="46" spans="1:35" s="9" customFormat="1" ht="38.25" x14ac:dyDescent="0.2">
      <c r="A46" s="26">
        <v>3</v>
      </c>
      <c r="B46" s="26" t="s">
        <v>144</v>
      </c>
      <c r="C46" s="26" t="s">
        <v>34</v>
      </c>
      <c r="D46" s="27" t="str">
        <f>Source!H30</f>
        <v>1 испытание</v>
      </c>
      <c r="E46" s="28">
        <f>Source!I30</f>
        <v>12</v>
      </c>
      <c r="F46" s="29"/>
      <c r="G46" s="30"/>
      <c r="H46" s="28"/>
      <c r="I46" s="29"/>
      <c r="J46" s="28"/>
      <c r="K46" s="29"/>
      <c r="Q46" s="9">
        <f>ROUND((Source!DN30/100)*ROUND((ROUND((Source!AF30*Source!AV30*Source!I30),2)),2), 2)</f>
        <v>934.28</v>
      </c>
      <c r="R46" s="9">
        <f>Source!X30</f>
        <v>26578.26</v>
      </c>
      <c r="S46" s="9">
        <f>ROUND((Source!DO30/100)*ROUND((ROUND((Source!AF30*Source!AV30*Source!I30),2)),2), 2)</f>
        <v>871.99</v>
      </c>
      <c r="T46" s="9">
        <f>Source!Y30</f>
        <v>15567.27</v>
      </c>
      <c r="U46" s="9">
        <f>ROUND((175/100)*ROUND((ROUND((Source!AE30*Source!AV30*Source!I30),2)),2), 2)</f>
        <v>0</v>
      </c>
      <c r="V46" s="9">
        <f>ROUND((160/100)*ROUND(ROUND((ROUND((Source!AE30*Source!AV30*Source!I30),2)*Source!BS30),2), 2), 2)</f>
        <v>0</v>
      </c>
      <c r="AI46" s="9">
        <v>0</v>
      </c>
    </row>
    <row r="47" spans="1:35" s="9" customFormat="1" x14ac:dyDescent="0.2">
      <c r="A47" s="26"/>
      <c r="B47" s="26"/>
      <c r="C47" s="26" t="s">
        <v>136</v>
      </c>
      <c r="D47" s="27"/>
      <c r="E47" s="28"/>
      <c r="F47" s="29">
        <f>Source!AO30</f>
        <v>129.76</v>
      </c>
      <c r="G47" s="30" t="str">
        <f>Source!DG30</f>
        <v>)*0,8</v>
      </c>
      <c r="H47" s="28">
        <f>Source!AV30</f>
        <v>1</v>
      </c>
      <c r="I47" s="29">
        <f>ROUND((ROUND((Source!AF30*Source!AV30*Source!I30),2)),2)</f>
        <v>1245.7</v>
      </c>
      <c r="J47" s="28">
        <f>IF(Source!BA30&lt;&gt; 0, Source!BA30, 1)</f>
        <v>30.48</v>
      </c>
      <c r="K47" s="29">
        <f>Source!S30</f>
        <v>37968.94</v>
      </c>
      <c r="W47" s="9">
        <f>I47</f>
        <v>1245.7</v>
      </c>
    </row>
    <row r="48" spans="1:35" s="9" customFormat="1" x14ac:dyDescent="0.2">
      <c r="A48" s="26"/>
      <c r="B48" s="26"/>
      <c r="C48" s="26" t="s">
        <v>137</v>
      </c>
      <c r="D48" s="27" t="s">
        <v>138</v>
      </c>
      <c r="E48" s="28">
        <f>Source!DN30</f>
        <v>75</v>
      </c>
      <c r="F48" s="29"/>
      <c r="G48" s="30"/>
      <c r="H48" s="28"/>
      <c r="I48" s="29">
        <f>SUM(Q46:Q47)</f>
        <v>934.28</v>
      </c>
      <c r="J48" s="28">
        <f>Source!BZ30</f>
        <v>70</v>
      </c>
      <c r="K48" s="29">
        <f>SUM(R46:R47)</f>
        <v>26578.26</v>
      </c>
    </row>
    <row r="49" spans="1:35" s="9" customFormat="1" x14ac:dyDescent="0.2">
      <c r="A49" s="26"/>
      <c r="B49" s="26"/>
      <c r="C49" s="26" t="s">
        <v>139</v>
      </c>
      <c r="D49" s="27" t="s">
        <v>138</v>
      </c>
      <c r="E49" s="28">
        <f>Source!DO30</f>
        <v>70</v>
      </c>
      <c r="F49" s="29"/>
      <c r="G49" s="30"/>
      <c r="H49" s="28"/>
      <c r="I49" s="29">
        <f>SUM(S46:S48)</f>
        <v>871.99</v>
      </c>
      <c r="J49" s="28">
        <f>Source!CA30</f>
        <v>41</v>
      </c>
      <c r="K49" s="29">
        <f>SUM(T46:T48)</f>
        <v>15567.27</v>
      </c>
    </row>
    <row r="50" spans="1:35" s="9" customFormat="1" x14ac:dyDescent="0.2">
      <c r="A50" s="31"/>
      <c r="B50" s="31"/>
      <c r="C50" s="31" t="s">
        <v>140</v>
      </c>
      <c r="D50" s="32" t="s">
        <v>141</v>
      </c>
      <c r="E50" s="33">
        <f>Source!AQ30</f>
        <v>9.2100000000000009</v>
      </c>
      <c r="F50" s="34"/>
      <c r="G50" s="35" t="str">
        <f>Source!DI30</f>
        <v>)*0,8</v>
      </c>
      <c r="H50" s="33">
        <f>Source!AV30</f>
        <v>1</v>
      </c>
      <c r="I50" s="34">
        <f>Source!U30</f>
        <v>88.416000000000011</v>
      </c>
      <c r="J50" s="33"/>
      <c r="K50" s="34"/>
      <c r="AB50" s="24">
        <f>I50</f>
        <v>88.416000000000011</v>
      </c>
    </row>
    <row r="51" spans="1:35" s="9" customFormat="1" x14ac:dyDescent="0.2">
      <c r="C51" s="22" t="s">
        <v>142</v>
      </c>
      <c r="H51" s="54">
        <f>I47+I48+I49+0</f>
        <v>3051.9700000000003</v>
      </c>
      <c r="I51" s="54"/>
      <c r="J51" s="54">
        <f>K47+K48+K49+0</f>
        <v>80114.47</v>
      </c>
      <c r="K51" s="54"/>
      <c r="O51" s="24">
        <f>I47+I48+I49+0</f>
        <v>3051.9700000000003</v>
      </c>
      <c r="P51" s="24">
        <f>K47+K48+K49+0</f>
        <v>80114.47</v>
      </c>
      <c r="X51" s="9">
        <f>IF(Source!BI30&lt;=1,I47+I48+I49-0, 0)</f>
        <v>0</v>
      </c>
      <c r="Y51" s="9">
        <f>IF(Source!BI30=2,I47+I48+I49-0, 0)</f>
        <v>0</v>
      </c>
      <c r="Z51" s="9">
        <f>IF(Source!BI30=3,I47+I48+I49-0, 0)</f>
        <v>0</v>
      </c>
      <c r="AA51" s="9">
        <f>IF(Source!BI30=4,I47+I48+I49,0)</f>
        <v>3051.9700000000003</v>
      </c>
    </row>
    <row r="52" spans="1:35" s="9" customFormat="1" x14ac:dyDescent="0.2"/>
    <row r="53" spans="1:35" s="9" customFormat="1" x14ac:dyDescent="0.2">
      <c r="A53" s="26">
        <v>4</v>
      </c>
      <c r="B53" s="26" t="str">
        <f>Source!F31</f>
        <v>2.1-8-3</v>
      </c>
      <c r="C53" s="26" t="s">
        <v>39</v>
      </c>
      <c r="D53" s="27" t="str">
        <f>Source!H31</f>
        <v>маш.-ч</v>
      </c>
      <c r="E53" s="28">
        <f>Source!I31</f>
        <v>53.195999999999998</v>
      </c>
      <c r="F53" s="29"/>
      <c r="G53" s="30"/>
      <c r="H53" s="28"/>
      <c r="I53" s="29"/>
      <c r="J53" s="28"/>
      <c r="K53" s="29"/>
      <c r="Q53" s="9">
        <f>ROUND((Source!DN31/100)*ROUND((ROUND((Source!AF31*Source!AV31*Source!I31),2)),2), 2)</f>
        <v>0</v>
      </c>
      <c r="R53" s="9">
        <f>Source!X31</f>
        <v>0</v>
      </c>
      <c r="S53" s="9">
        <f>ROUND((Source!DO31/100)*ROUND((ROUND((Source!AF31*Source!AV31*Source!I31),2)),2), 2)</f>
        <v>0</v>
      </c>
      <c r="T53" s="9">
        <f>Source!Y31</f>
        <v>0</v>
      </c>
      <c r="U53" s="9">
        <f>ROUND((175/100)*ROUND((ROUND((Source!AE31*Source!AV31*Source!I31),2)),2), 2)</f>
        <v>1174.83</v>
      </c>
      <c r="V53" s="9">
        <f>ROUND((160/100)*ROUND(ROUND((ROUND((Source!AE31*Source!AV31*Source!I31),2)*Source!BS31),2), 2), 2)</f>
        <v>32739.42</v>
      </c>
      <c r="AI53" s="9">
        <v>2</v>
      </c>
    </row>
    <row r="54" spans="1:35" s="9" customFormat="1" x14ac:dyDescent="0.2">
      <c r="C54" s="15" t="str">
        <f>"Объем: "&amp;Source!I31&amp;"="&amp;Source!I28&amp;"*"&amp;"1,5*"&amp;"6,82+"&amp;""&amp;Source!I30&amp;"*"&amp;"0,4*"&amp;"6,82"</f>
        <v>Объем: 53,196=2*1,5*6,82+12*0,4*6,82</v>
      </c>
    </row>
    <row r="55" spans="1:35" s="9" customFormat="1" x14ac:dyDescent="0.2">
      <c r="A55" s="26"/>
      <c r="B55" s="26"/>
      <c r="C55" s="26" t="s">
        <v>145</v>
      </c>
      <c r="D55" s="27"/>
      <c r="E55" s="28"/>
      <c r="F55" s="29">
        <f>Source!AM31</f>
        <v>247.38</v>
      </c>
      <c r="G55" s="30" t="str">
        <f>Source!DE31</f>
        <v/>
      </c>
      <c r="H55" s="28">
        <f>Source!AV31</f>
        <v>1</v>
      </c>
      <c r="I55" s="29">
        <f>(ROUND((ROUND(((Source!ET31)*Source!AV31*Source!I31),2)),2)+ROUND((ROUND(((Source!AE31-(Source!EU31))*Source!AV31*Source!I31),2)),2))</f>
        <v>13159.63</v>
      </c>
      <c r="J55" s="28">
        <f>IF(Source!BB31&lt;&gt; 0, Source!BB31, 1)</f>
        <v>9.66</v>
      </c>
      <c r="K55" s="29">
        <f>Source!Q31</f>
        <v>127122.03</v>
      </c>
    </row>
    <row r="56" spans="1:35" s="9" customFormat="1" x14ac:dyDescent="0.2">
      <c r="A56" s="26"/>
      <c r="B56" s="26"/>
      <c r="C56" s="26" t="s">
        <v>146</v>
      </c>
      <c r="D56" s="27"/>
      <c r="E56" s="28"/>
      <c r="F56" s="29">
        <f>Source!AN31</f>
        <v>12.62</v>
      </c>
      <c r="G56" s="30" t="str">
        <f>Source!DF31</f>
        <v/>
      </c>
      <c r="H56" s="28">
        <f>Source!AV31</f>
        <v>1</v>
      </c>
      <c r="I56" s="36">
        <f>ROUND((ROUND((Source!AE31*Source!AV31*Source!I31),2)),2)</f>
        <v>671.33</v>
      </c>
      <c r="J56" s="28">
        <f>IF(Source!BS31&lt;&gt; 0, Source!BS31, 1)</f>
        <v>30.48</v>
      </c>
      <c r="K56" s="36">
        <f>Source!R31</f>
        <v>20462.14</v>
      </c>
      <c r="W56" s="9">
        <f>I56</f>
        <v>671.33</v>
      </c>
    </row>
    <row r="57" spans="1:35" s="9" customFormat="1" x14ac:dyDescent="0.2">
      <c r="A57" s="31"/>
      <c r="B57" s="31"/>
      <c r="C57" s="31" t="s">
        <v>147</v>
      </c>
      <c r="D57" s="32" t="s">
        <v>138</v>
      </c>
      <c r="E57" s="33">
        <f>175</f>
        <v>175</v>
      </c>
      <c r="F57" s="34"/>
      <c r="G57" s="35"/>
      <c r="H57" s="33"/>
      <c r="I57" s="34">
        <f>SUM(U53:U56)</f>
        <v>1174.83</v>
      </c>
      <c r="J57" s="33">
        <f>160</f>
        <v>160</v>
      </c>
      <c r="K57" s="34">
        <f>SUM(V53:V56)</f>
        <v>32739.42</v>
      </c>
    </row>
    <row r="58" spans="1:35" s="9" customFormat="1" x14ac:dyDescent="0.2">
      <c r="C58" s="22" t="s">
        <v>142</v>
      </c>
      <c r="H58" s="54">
        <f>I55+I57+0</f>
        <v>14334.46</v>
      </c>
      <c r="I58" s="54"/>
      <c r="J58" s="54">
        <f>K55+K57+0</f>
        <v>159861.45000000001</v>
      </c>
      <c r="K58" s="54"/>
      <c r="O58" s="24">
        <f>I55+I57+0</f>
        <v>14334.46</v>
      </c>
      <c r="P58" s="24">
        <f>K55+K57+0</f>
        <v>159861.45000000001</v>
      </c>
      <c r="X58" s="9">
        <f>IF(Source!BI31&lt;=1,I55+I57-0, 0)</f>
        <v>14334.46</v>
      </c>
      <c r="Y58" s="9">
        <f>IF(Source!BI31=2,I55+I57-0, 0)</f>
        <v>0</v>
      </c>
      <c r="Z58" s="9">
        <f>IF(Source!BI31=3,I55+I57-0, 0)</f>
        <v>0</v>
      </c>
      <c r="AA58" s="9">
        <f>IF(Source!BI31=4,I55+I57,0)</f>
        <v>0</v>
      </c>
    </row>
    <row r="59" spans="1:35" s="9" customFormat="1" x14ac:dyDescent="0.2"/>
    <row r="60" spans="1:35" s="9" customFormat="1" x14ac:dyDescent="0.2"/>
    <row r="61" spans="1:35" s="9" customFormat="1" x14ac:dyDescent="0.2">
      <c r="A61" s="52" t="str">
        <f>CONCATENATE("Итого по разделу: ",IF(Source!G33&lt;&gt;"Новый раздел", Source!G33, ""))</f>
        <v>Итого по разделу: Пусконаладочные работы</v>
      </c>
      <c r="B61" s="52"/>
      <c r="C61" s="52"/>
      <c r="D61" s="52"/>
      <c r="E61" s="52"/>
      <c r="F61" s="52"/>
      <c r="G61" s="52"/>
      <c r="H61" s="50">
        <f>SUM(O31:O60)</f>
        <v>29502.69</v>
      </c>
      <c r="I61" s="51"/>
      <c r="J61" s="50">
        <f>SUM(P31:P60)-J44</f>
        <v>346540.95000000007</v>
      </c>
      <c r="K61" s="51"/>
    </row>
    <row r="62" spans="1:35" s="9" customFormat="1" hidden="1" x14ac:dyDescent="0.2">
      <c r="A62" s="9" t="s">
        <v>148</v>
      </c>
      <c r="H62" s="9">
        <f>SUM(AC31:AC61)</f>
        <v>0</v>
      </c>
      <c r="J62" s="9">
        <f>SUM(AD31:AD61)</f>
        <v>0</v>
      </c>
    </row>
    <row r="63" spans="1:35" s="9" customFormat="1" hidden="1" x14ac:dyDescent="0.2">
      <c r="A63" s="9" t="s">
        <v>149</v>
      </c>
      <c r="H63" s="9">
        <f>SUM(AE31:AE62)</f>
        <v>0</v>
      </c>
      <c r="J63" s="9">
        <f>SUM(AF31:AF62)</f>
        <v>0</v>
      </c>
    </row>
    <row r="64" spans="1:35" s="9" customFormat="1" x14ac:dyDescent="0.2"/>
    <row r="65" spans="1:43" s="9" customFormat="1" x14ac:dyDescent="0.2">
      <c r="A65" s="52" t="str">
        <f>CONCATENATE("Итого по локальной смете: ",IF(Source!G63&lt;&gt;"Новая локальная смета", Source!G63, ""))</f>
        <v>Итого по локальной смете: ПНР КЛ (3 этап) от СП 60006 до СП 60004</v>
      </c>
      <c r="B65" s="52"/>
      <c r="C65" s="52"/>
      <c r="D65" s="52"/>
      <c r="E65" s="52"/>
      <c r="F65" s="52"/>
      <c r="G65" s="52"/>
      <c r="H65" s="50">
        <f>SUM(O29:O64)</f>
        <v>29502.69</v>
      </c>
      <c r="I65" s="51"/>
      <c r="J65" s="50">
        <f>SUM(P29:P64)-J44</f>
        <v>346540.95000000007</v>
      </c>
      <c r="K65" s="51"/>
      <c r="AQ65" s="37" t="str">
        <f>CONCATENATE("Итого по локальной смете: ",IF(Source!G63&lt;&gt;"Новая локальная смета", Source!G63, ""))</f>
        <v>Итого по локальной смете: ПНР КЛ (3 этап) от СП 60006 до СП 60004</v>
      </c>
    </row>
    <row r="66" spans="1:43" s="9" customFormat="1" hidden="1" x14ac:dyDescent="0.2">
      <c r="A66" s="9" t="s">
        <v>148</v>
      </c>
      <c r="H66" s="9">
        <f>SUM(AC29:AC65)</f>
        <v>0</v>
      </c>
      <c r="J66" s="9">
        <f>SUM(AD29:AD65)</f>
        <v>0</v>
      </c>
    </row>
    <row r="67" spans="1:43" s="9" customFormat="1" hidden="1" x14ac:dyDescent="0.2">
      <c r="A67" s="9" t="s">
        <v>149</v>
      </c>
      <c r="H67" s="9">
        <f>SUM(AE29:AE66)</f>
        <v>0</v>
      </c>
      <c r="J67" s="9">
        <f>SUM(AF29:AF66)</f>
        <v>0</v>
      </c>
    </row>
    <row r="68" spans="1:43" s="9" customFormat="1" hidden="1" x14ac:dyDescent="0.2"/>
    <row r="69" spans="1:43" s="9" customFormat="1" hidden="1" x14ac:dyDescent="0.2">
      <c r="A69" s="52" t="str">
        <f>CONCATENATE("Итого по смете: ",IF(Source!G93&lt;&gt;"Новый объект", Source!G93, ""))</f>
        <v>Итого по смете: 09-01-02 ПНР КЛ (3 этап) от СП 60006 до СП 60004 корр.1</v>
      </c>
      <c r="B69" s="52"/>
      <c r="C69" s="52"/>
      <c r="D69" s="52"/>
      <c r="E69" s="52"/>
      <c r="F69" s="52"/>
      <c r="G69" s="52"/>
      <c r="H69" s="50">
        <f>SUM(O1:O68)</f>
        <v>29502.69</v>
      </c>
      <c r="I69" s="51"/>
      <c r="J69" s="50">
        <f>SUM(P1:P68)</f>
        <v>558029.10000000009</v>
      </c>
      <c r="K69" s="51"/>
      <c r="AQ69" s="37" t="str">
        <f>CONCATENATE("Итого по смете: ",IF(Source!G93&lt;&gt;"Новый объект", Source!G93, ""))</f>
        <v>Итого по смете: 09-01-02 ПНР КЛ (3 этап) от СП 60006 до СП 60004 корр.1</v>
      </c>
    </row>
    <row r="70" spans="1:43" hidden="1" x14ac:dyDescent="0.2">
      <c r="A70" t="s">
        <v>148</v>
      </c>
      <c r="H70">
        <f>SUM(AC1:AC69)</f>
        <v>0</v>
      </c>
      <c r="J70">
        <f>SUM(AD1:AD69)</f>
        <v>0</v>
      </c>
    </row>
    <row r="71" spans="1:43" hidden="1" x14ac:dyDescent="0.2">
      <c r="A71" t="s">
        <v>149</v>
      </c>
      <c r="H71">
        <f>SUM(AE1:AE70)</f>
        <v>0</v>
      </c>
      <c r="J71">
        <f>SUM(AF1:AF70)</f>
        <v>0</v>
      </c>
    </row>
    <row r="74" spans="1:43" ht="14.25" x14ac:dyDescent="0.2">
      <c r="A74" s="55" t="s">
        <v>151</v>
      </c>
      <c r="B74" s="55"/>
      <c r="C74" s="16" t="str">
        <f>IF(Source!AC12&lt;&gt;"", Source!AC12," ")</f>
        <v xml:space="preserve"> </v>
      </c>
      <c r="D74" s="16"/>
      <c r="E74" s="16"/>
      <c r="F74" s="16"/>
      <c r="G74" s="16"/>
      <c r="H74" s="56" t="str">
        <f>IF(Source!AB12&lt;&gt;"", Source!AB12," ")</f>
        <v xml:space="preserve"> </v>
      </c>
      <c r="I74" s="56"/>
      <c r="J74" s="56"/>
      <c r="K74" s="56"/>
    </row>
    <row r="75" spans="1:43" ht="14.25" x14ac:dyDescent="0.2">
      <c r="A75" s="11"/>
      <c r="B75" s="11"/>
      <c r="C75" s="45" t="s">
        <v>152</v>
      </c>
      <c r="D75" s="45"/>
      <c r="E75" s="45"/>
      <c r="F75" s="45"/>
      <c r="G75" s="45"/>
      <c r="H75" s="11"/>
      <c r="I75" s="11"/>
      <c r="J75" s="11"/>
      <c r="K75" s="11"/>
    </row>
    <row r="76" spans="1:43" ht="14.25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</row>
    <row r="77" spans="1:43" ht="14.25" x14ac:dyDescent="0.2">
      <c r="A77" s="55" t="s">
        <v>153</v>
      </c>
      <c r="B77" s="55"/>
      <c r="C77" s="16" t="str">
        <f>IF(Source!AE12&lt;&gt;"", Source!AE12," ")</f>
        <v xml:space="preserve"> </v>
      </c>
      <c r="D77" s="16"/>
      <c r="E77" s="16"/>
      <c r="F77" s="16"/>
      <c r="G77" s="16"/>
      <c r="H77" s="56" t="str">
        <f>IF(Source!AD12&lt;&gt;"", Source!AD12," ")</f>
        <v xml:space="preserve"> </v>
      </c>
      <c r="I77" s="56"/>
      <c r="J77" s="56"/>
      <c r="K77" s="56"/>
    </row>
    <row r="78" spans="1:43" ht="14.25" x14ac:dyDescent="0.2">
      <c r="A78" s="11"/>
      <c r="B78" s="11"/>
      <c r="C78" s="45" t="s">
        <v>152</v>
      </c>
      <c r="D78" s="45"/>
      <c r="E78" s="45"/>
      <c r="F78" s="45"/>
      <c r="G78" s="45"/>
      <c r="H78" s="11"/>
      <c r="I78" s="11"/>
      <c r="J78" s="11"/>
      <c r="K78" s="11"/>
    </row>
  </sheetData>
  <mergeCells count="42">
    <mergeCell ref="A61:G61"/>
    <mergeCell ref="A77:B77"/>
    <mergeCell ref="H77:K77"/>
    <mergeCell ref="C78:G78"/>
    <mergeCell ref="J69:K69"/>
    <mergeCell ref="H69:I69"/>
    <mergeCell ref="A69:G69"/>
    <mergeCell ref="A74:B74"/>
    <mergeCell ref="H74:K74"/>
    <mergeCell ref="C75:G75"/>
    <mergeCell ref="A9:K9"/>
    <mergeCell ref="A11:K11"/>
    <mergeCell ref="J65:K65"/>
    <mergeCell ref="H65:I65"/>
    <mergeCell ref="A65:G65"/>
    <mergeCell ref="A31:K31"/>
    <mergeCell ref="H37:I37"/>
    <mergeCell ref="J37:K37"/>
    <mergeCell ref="H44:I44"/>
    <mergeCell ref="J44:K44"/>
    <mergeCell ref="H51:I51"/>
    <mergeCell ref="J51:K51"/>
    <mergeCell ref="H58:I58"/>
    <mergeCell ref="J58:K58"/>
    <mergeCell ref="J61:K61"/>
    <mergeCell ref="H61:I61"/>
    <mergeCell ref="J2:K2"/>
    <mergeCell ref="A3:K3"/>
    <mergeCell ref="A4:K4"/>
    <mergeCell ref="A6:K6"/>
    <mergeCell ref="A8:K8"/>
    <mergeCell ref="A29:K29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A25:K25"/>
  </mergeCells>
  <pageMargins left="0.4" right="0.2" top="0.2" bottom="0.4" header="0.2" footer="0.2"/>
  <pageSetup paperSize="9" scale="70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90F74-7B35-4A06-A069-5661B713031C}">
  <dimension ref="A1:IK133"/>
  <sheetViews>
    <sheetView workbookViewId="0">
      <selection activeCell="A129" sqref="A129:AX129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65736</v>
      </c>
      <c r="M1">
        <v>10</v>
      </c>
      <c r="N1">
        <v>11</v>
      </c>
      <c r="O1">
        <v>9</v>
      </c>
      <c r="P1">
        <v>0</v>
      </c>
      <c r="Q1">
        <v>1</v>
      </c>
    </row>
    <row r="4" spans="1:133" x14ac:dyDescent="0.2">
      <c r="A4" s="1">
        <v>1</v>
      </c>
      <c r="B4" s="1">
        <v>1</v>
      </c>
      <c r="C4" s="1">
        <v>-1</v>
      </c>
      <c r="D4" s="1"/>
      <c r="E4" s="1"/>
      <c r="F4" s="1"/>
      <c r="G4" s="1" t="s">
        <v>4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>
        <v>0</v>
      </c>
    </row>
    <row r="12" spans="1:133" x14ac:dyDescent="0.2">
      <c r="A12" s="1">
        <v>1</v>
      </c>
      <c r="B12" s="1">
        <v>128</v>
      </c>
      <c r="C12" s="1">
        <v>0</v>
      </c>
      <c r="D12" s="1">
        <f>ROW(A93)</f>
        <v>93</v>
      </c>
      <c r="E12" s="1">
        <v>0</v>
      </c>
      <c r="F12" s="1" t="s">
        <v>5</v>
      </c>
      <c r="G12" s="1" t="s">
        <v>6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9</v>
      </c>
      <c r="BZ12" s="1" t="s">
        <v>10</v>
      </c>
      <c r="CA12" s="1" t="s">
        <v>11</v>
      </c>
      <c r="CB12" s="1" t="s">
        <v>11</v>
      </c>
      <c r="CC12" s="1" t="s">
        <v>11</v>
      </c>
      <c r="CD12" s="1" t="s">
        <v>11</v>
      </c>
      <c r="CE12" s="1" t="s">
        <v>12</v>
      </c>
      <c r="CF12" s="1">
        <v>0</v>
      </c>
      <c r="CG12" s="1">
        <v>0</v>
      </c>
      <c r="CH12" s="1">
        <v>8200</v>
      </c>
      <c r="CI12" s="1" t="s">
        <v>3</v>
      </c>
      <c r="CJ12" s="1" t="s">
        <v>3</v>
      </c>
      <c r="CK12" s="1">
        <v>71</v>
      </c>
      <c r="CL12" s="1"/>
      <c r="CM12" s="1"/>
      <c r="CN12" s="1"/>
      <c r="CO12" s="1"/>
      <c r="CP12" s="1"/>
      <c r="CQ12" s="1" t="s">
        <v>13</v>
      </c>
      <c r="CR12" s="1" t="s">
        <v>14</v>
      </c>
      <c r="CS12" s="1">
        <v>41660</v>
      </c>
      <c r="CT12" s="1">
        <v>1</v>
      </c>
      <c r="CU12" s="1">
        <v>71</v>
      </c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B93</f>
        <v>128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09-01-02</v>
      </c>
      <c r="G18" s="2" t="str">
        <f t="shared" si="0"/>
        <v>09-01-02 ПНР КЛ (3 этап) от СП 60006 до СП 60004 корр.1</v>
      </c>
      <c r="H18" s="2"/>
      <c r="I18" s="2"/>
      <c r="J18" s="2"/>
      <c r="K18" s="2"/>
      <c r="L18" s="2"/>
      <c r="M18" s="2"/>
      <c r="N18" s="2"/>
      <c r="O18" s="2">
        <f t="shared" ref="O18:AT18" si="1">O93</f>
        <v>315827.07</v>
      </c>
      <c r="P18" s="2">
        <f t="shared" si="1"/>
        <v>0</v>
      </c>
      <c r="Q18" s="2">
        <f t="shared" si="1"/>
        <v>127122.03</v>
      </c>
      <c r="R18" s="2">
        <f t="shared" si="1"/>
        <v>20462.14</v>
      </c>
      <c r="S18" s="2">
        <f t="shared" si="1"/>
        <v>188705.04</v>
      </c>
      <c r="T18" s="2">
        <f t="shared" si="1"/>
        <v>0</v>
      </c>
      <c r="U18" s="2">
        <f t="shared" si="1"/>
        <v>398.81599999999997</v>
      </c>
      <c r="V18" s="2">
        <f t="shared" si="1"/>
        <v>0</v>
      </c>
      <c r="W18" s="2">
        <f t="shared" si="1"/>
        <v>0</v>
      </c>
      <c r="X18" s="2">
        <f t="shared" si="1"/>
        <v>132093.54</v>
      </c>
      <c r="Y18" s="2">
        <f t="shared" si="1"/>
        <v>77369.070000000007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558029.1</v>
      </c>
      <c r="AS18" s="2">
        <f t="shared" si="1"/>
        <v>159861.45000000001</v>
      </c>
      <c r="AT18" s="2">
        <f t="shared" si="1"/>
        <v>0</v>
      </c>
      <c r="AU18" s="2">
        <f t="shared" ref="AU18:BZ18" si="2">AU93</f>
        <v>398167.65</v>
      </c>
      <c r="AV18" s="2">
        <f t="shared" si="2"/>
        <v>0</v>
      </c>
      <c r="AW18" s="2">
        <f t="shared" si="2"/>
        <v>0</v>
      </c>
      <c r="AX18" s="2">
        <f t="shared" si="2"/>
        <v>0</v>
      </c>
      <c r="AY18" s="2">
        <f t="shared" si="2"/>
        <v>0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CA93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DG93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EM93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FS93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ROW(A63)</f>
        <v>63</v>
      </c>
      <c r="E20" s="1"/>
      <c r="F20" s="1" t="s">
        <v>3</v>
      </c>
      <c r="G20" s="1" t="s">
        <v>15</v>
      </c>
      <c r="H20" s="1" t="s">
        <v>3</v>
      </c>
      <c r="I20" s="1">
        <v>0</v>
      </c>
      <c r="J20" s="1" t="s">
        <v>3</v>
      </c>
      <c r="K20" s="1">
        <v>-1</v>
      </c>
      <c r="L20" s="1" t="s">
        <v>16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B63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ПНР КЛ (3 этап) от СП 60006 до СП 60004</v>
      </c>
      <c r="H22" s="2"/>
      <c r="I22" s="2"/>
      <c r="J22" s="2"/>
      <c r="K22" s="2"/>
      <c r="L22" s="2"/>
      <c r="M22" s="2"/>
      <c r="N22" s="2"/>
      <c r="O22" s="2">
        <f t="shared" ref="O22:AT22" si="8">O63</f>
        <v>315827.07</v>
      </c>
      <c r="P22" s="2">
        <f t="shared" si="8"/>
        <v>0</v>
      </c>
      <c r="Q22" s="2">
        <f t="shared" si="8"/>
        <v>127122.03</v>
      </c>
      <c r="R22" s="2">
        <f t="shared" si="8"/>
        <v>20462.14</v>
      </c>
      <c r="S22" s="2">
        <f t="shared" si="8"/>
        <v>188705.04</v>
      </c>
      <c r="T22" s="2">
        <f t="shared" si="8"/>
        <v>0</v>
      </c>
      <c r="U22" s="2">
        <f t="shared" si="8"/>
        <v>398.81599999999997</v>
      </c>
      <c r="V22" s="2">
        <f t="shared" si="8"/>
        <v>0</v>
      </c>
      <c r="W22" s="2">
        <f t="shared" si="8"/>
        <v>0</v>
      </c>
      <c r="X22" s="2">
        <f t="shared" si="8"/>
        <v>132093.54</v>
      </c>
      <c r="Y22" s="2">
        <f t="shared" si="8"/>
        <v>77369.070000000007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558029.1</v>
      </c>
      <c r="AS22" s="2">
        <f t="shared" si="8"/>
        <v>159861.45000000001</v>
      </c>
      <c r="AT22" s="2">
        <f t="shared" si="8"/>
        <v>0</v>
      </c>
      <c r="AU22" s="2">
        <f t="shared" ref="AU22:BZ22" si="9">AU63</f>
        <v>398167.65</v>
      </c>
      <c r="AV22" s="2">
        <f t="shared" si="9"/>
        <v>0</v>
      </c>
      <c r="AW22" s="2">
        <f t="shared" si="9"/>
        <v>0</v>
      </c>
      <c r="AX22" s="2">
        <f t="shared" si="9"/>
        <v>0</v>
      </c>
      <c r="AY22" s="2">
        <f t="shared" si="9"/>
        <v>0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CA63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DG63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EM63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FS63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ROW(A33)</f>
        <v>33</v>
      </c>
      <c r="E24" s="1"/>
      <c r="F24" s="1" t="s">
        <v>17</v>
      </c>
      <c r="G24" s="1" t="s">
        <v>18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B33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Пусконаладочные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O33</f>
        <v>315827.07</v>
      </c>
      <c r="P26" s="2">
        <f t="shared" si="15"/>
        <v>0</v>
      </c>
      <c r="Q26" s="2">
        <f t="shared" si="15"/>
        <v>127122.03</v>
      </c>
      <c r="R26" s="2">
        <f t="shared" si="15"/>
        <v>20462.14</v>
      </c>
      <c r="S26" s="2">
        <f t="shared" si="15"/>
        <v>188705.04</v>
      </c>
      <c r="T26" s="2">
        <f t="shared" si="15"/>
        <v>0</v>
      </c>
      <c r="U26" s="2">
        <f t="shared" si="15"/>
        <v>398.81599999999997</v>
      </c>
      <c r="V26" s="2">
        <f t="shared" si="15"/>
        <v>0</v>
      </c>
      <c r="W26" s="2">
        <f t="shared" si="15"/>
        <v>0</v>
      </c>
      <c r="X26" s="2">
        <f t="shared" si="15"/>
        <v>132093.54</v>
      </c>
      <c r="Y26" s="2">
        <f t="shared" si="15"/>
        <v>77369.070000000007</v>
      </c>
      <c r="Z26" s="2">
        <f t="shared" si="15"/>
        <v>0</v>
      </c>
      <c r="AA26" s="2">
        <f t="shared" si="15"/>
        <v>0</v>
      </c>
      <c r="AB26" s="2">
        <f t="shared" si="15"/>
        <v>315827.07</v>
      </c>
      <c r="AC26" s="2">
        <f t="shared" si="15"/>
        <v>0</v>
      </c>
      <c r="AD26" s="2">
        <f t="shared" si="15"/>
        <v>127122.03</v>
      </c>
      <c r="AE26" s="2">
        <f t="shared" si="15"/>
        <v>20462.14</v>
      </c>
      <c r="AF26" s="2">
        <f t="shared" si="15"/>
        <v>188705.04</v>
      </c>
      <c r="AG26" s="2">
        <f t="shared" si="15"/>
        <v>0</v>
      </c>
      <c r="AH26" s="2">
        <f t="shared" si="15"/>
        <v>398.81599999999997</v>
      </c>
      <c r="AI26" s="2">
        <f t="shared" si="15"/>
        <v>0</v>
      </c>
      <c r="AJ26" s="2">
        <f t="shared" si="15"/>
        <v>0</v>
      </c>
      <c r="AK26" s="2">
        <f t="shared" si="15"/>
        <v>132093.54</v>
      </c>
      <c r="AL26" s="2">
        <f t="shared" si="15"/>
        <v>77369.070000000007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558029.1</v>
      </c>
      <c r="AS26" s="2">
        <f t="shared" si="15"/>
        <v>159861.45000000001</v>
      </c>
      <c r="AT26" s="2">
        <f t="shared" si="15"/>
        <v>0</v>
      </c>
      <c r="AU26" s="2">
        <f t="shared" ref="AU26:BZ26" si="16">AU33</f>
        <v>398167.65</v>
      </c>
      <c r="AV26" s="2">
        <f t="shared" si="16"/>
        <v>0</v>
      </c>
      <c r="AW26" s="2">
        <f t="shared" si="16"/>
        <v>0</v>
      </c>
      <c r="AX26" s="2">
        <f t="shared" si="16"/>
        <v>0</v>
      </c>
      <c r="AY26" s="2">
        <f t="shared" si="16"/>
        <v>0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CA33</f>
        <v>558029.1</v>
      </c>
      <c r="CB26" s="2">
        <f t="shared" si="17"/>
        <v>159861.45000000001</v>
      </c>
      <c r="CC26" s="2">
        <f t="shared" si="17"/>
        <v>0</v>
      </c>
      <c r="CD26" s="2">
        <f t="shared" si="17"/>
        <v>398167.65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DG33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EM33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FS33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ROW(SmtRes!A1)</f>
        <v>1</v>
      </c>
      <c r="D28">
        <f>ROW(EtalonRes!A1)</f>
        <v>1</v>
      </c>
      <c r="E28" t="s">
        <v>19</v>
      </c>
      <c r="F28" t="s">
        <v>20</v>
      </c>
      <c r="G28" t="s">
        <v>21</v>
      </c>
      <c r="H28" t="s">
        <v>22</v>
      </c>
      <c r="I28">
        <v>2</v>
      </c>
      <c r="J28">
        <v>0</v>
      </c>
      <c r="K28">
        <v>2</v>
      </c>
      <c r="O28">
        <f>ROUND(CP28,2)</f>
        <v>50504.75</v>
      </c>
      <c r="P28">
        <f>ROUND((ROUND((AC28*AW28*I28),2)*BC28),2)</f>
        <v>0</v>
      </c>
      <c r="Q28">
        <f>(ROUND((ROUND(((ET28)*AV28*I28),2)*BB28),2)+ROUND((ROUND(((AE28-(EU28))*AV28*I28),2)*BS28),2))</f>
        <v>0</v>
      </c>
      <c r="R28">
        <f>ROUND((ROUND((AE28*AV28*I28),2)*BS28),2)</f>
        <v>0</v>
      </c>
      <c r="S28">
        <f>ROUND((ROUND((AF28*AV28*I28),2)*BA28),2)</f>
        <v>50504.75</v>
      </c>
      <c r="T28">
        <f>ROUND(CU28*I28,2)</f>
        <v>0</v>
      </c>
      <c r="U28">
        <f>CV28*I28</f>
        <v>104</v>
      </c>
      <c r="V28">
        <f>CW28*I28</f>
        <v>0</v>
      </c>
      <c r="W28">
        <f>ROUND(CX28*I28,2)</f>
        <v>0</v>
      </c>
      <c r="X28">
        <f t="shared" ref="X28:Y31" si="21">ROUND(CY28,2)</f>
        <v>35353.33</v>
      </c>
      <c r="Y28">
        <f t="shared" si="21"/>
        <v>20706.95</v>
      </c>
      <c r="AA28">
        <v>50571332</v>
      </c>
      <c r="AB28">
        <f>ROUND((AC28+AD28+AF28),6)</f>
        <v>828.48800000000006</v>
      </c>
      <c r="AC28">
        <f>ROUND((ES28),6)</f>
        <v>0</v>
      </c>
      <c r="AD28">
        <f>ROUND((((ET28)-(EU28))+AE28),6)</f>
        <v>0</v>
      </c>
      <c r="AE28">
        <f>ROUND((EU28),6)</f>
        <v>0</v>
      </c>
      <c r="AF28">
        <f>ROUND(((EV28*0.8)),6)</f>
        <v>828.48800000000006</v>
      </c>
      <c r="AG28">
        <f>ROUND((AP28),6)</f>
        <v>0</v>
      </c>
      <c r="AH28">
        <f>((EW28*0.8))</f>
        <v>52</v>
      </c>
      <c r="AI28">
        <f>(EX28)</f>
        <v>0</v>
      </c>
      <c r="AJ28">
        <f>(AS28)</f>
        <v>0</v>
      </c>
      <c r="AK28">
        <v>1035.6099999999999</v>
      </c>
      <c r="AL28">
        <v>0</v>
      </c>
      <c r="AM28">
        <v>0</v>
      </c>
      <c r="AN28">
        <v>0</v>
      </c>
      <c r="AO28">
        <v>1035.6099999999999</v>
      </c>
      <c r="AP28">
        <v>0</v>
      </c>
      <c r="AQ28">
        <v>65</v>
      </c>
      <c r="AR28">
        <v>0</v>
      </c>
      <c r="AS28">
        <v>0</v>
      </c>
      <c r="AT28">
        <v>70</v>
      </c>
      <c r="AU28">
        <v>41</v>
      </c>
      <c r="AV28">
        <v>1</v>
      </c>
      <c r="AW28">
        <v>1</v>
      </c>
      <c r="AZ28">
        <v>1</v>
      </c>
      <c r="BA28">
        <v>30.48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4</v>
      </c>
      <c r="BJ28" t="s">
        <v>23</v>
      </c>
      <c r="BM28">
        <v>388</v>
      </c>
      <c r="BN28">
        <v>0</v>
      </c>
      <c r="BO28" t="s">
        <v>3</v>
      </c>
      <c r="BP28">
        <v>0</v>
      </c>
      <c r="BQ28">
        <v>50</v>
      </c>
      <c r="BR28">
        <v>0</v>
      </c>
      <c r="BS28">
        <v>30.48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70</v>
      </c>
      <c r="CA28">
        <v>41</v>
      </c>
      <c r="CB28" t="s">
        <v>3</v>
      </c>
      <c r="CE28">
        <v>30</v>
      </c>
      <c r="CF28">
        <v>0</v>
      </c>
      <c r="CG28">
        <v>0</v>
      </c>
      <c r="CM28">
        <v>0</v>
      </c>
      <c r="CN28" t="s">
        <v>107</v>
      </c>
      <c r="CO28">
        <v>0</v>
      </c>
      <c r="CP28">
        <f>(P28+Q28+S28)</f>
        <v>50504.75</v>
      </c>
      <c r="CQ28">
        <f>ROUND((ROUND((AC28*AW28*1),2)*BC28),2)</f>
        <v>0</v>
      </c>
      <c r="CR28">
        <f>(ROUND((ROUND(((ET28)*AV28*1),2)*BB28),2)+ROUND((ROUND(((AE28-(EU28))*AV28*1),2)*BS28),2))</f>
        <v>0</v>
      </c>
      <c r="CS28">
        <f>ROUND((ROUND((AE28*AV28*1),2)*BS28),2)</f>
        <v>0</v>
      </c>
      <c r="CT28">
        <f>ROUND((ROUND((AF28*AV28*1),2)*BA28),2)</f>
        <v>25252.38</v>
      </c>
      <c r="CU28">
        <f>AG28</f>
        <v>0</v>
      </c>
      <c r="CV28">
        <f>(AH28*AV28)</f>
        <v>52</v>
      </c>
      <c r="CW28">
        <f t="shared" ref="CW28:CX31" si="22">AI28</f>
        <v>0</v>
      </c>
      <c r="CX28">
        <f t="shared" si="22"/>
        <v>0</v>
      </c>
      <c r="CY28">
        <f>S28*(BZ28/100)</f>
        <v>35353.324999999997</v>
      </c>
      <c r="CZ28">
        <f>S28*(CA28/100)</f>
        <v>20706.947499999998</v>
      </c>
      <c r="DC28" t="s">
        <v>3</v>
      </c>
      <c r="DD28" t="s">
        <v>3</v>
      </c>
      <c r="DE28" t="s">
        <v>3</v>
      </c>
      <c r="DF28" t="s">
        <v>3</v>
      </c>
      <c r="DG28" t="s">
        <v>24</v>
      </c>
      <c r="DH28" t="s">
        <v>3</v>
      </c>
      <c r="DI28" t="s">
        <v>24</v>
      </c>
      <c r="DJ28" t="s">
        <v>3</v>
      </c>
      <c r="DK28" t="s">
        <v>3</v>
      </c>
      <c r="DL28" t="s">
        <v>3</v>
      </c>
      <c r="DM28" t="s">
        <v>3</v>
      </c>
      <c r="DN28">
        <v>75</v>
      </c>
      <c r="DO28">
        <v>70</v>
      </c>
      <c r="DP28">
        <v>1</v>
      </c>
      <c r="DQ28">
        <v>1</v>
      </c>
      <c r="DU28">
        <v>1013</v>
      </c>
      <c r="DV28" t="s">
        <v>22</v>
      </c>
      <c r="DW28" t="s">
        <v>22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50002050</v>
      </c>
      <c r="EF28">
        <v>50</v>
      </c>
      <c r="EG28" t="s">
        <v>18</v>
      </c>
      <c r="EH28">
        <v>0</v>
      </c>
      <c r="EI28" t="s">
        <v>3</v>
      </c>
      <c r="EJ28">
        <v>4</v>
      </c>
      <c r="EK28">
        <v>388</v>
      </c>
      <c r="EL28" t="s">
        <v>25</v>
      </c>
      <c r="EM28" t="s">
        <v>26</v>
      </c>
      <c r="EO28" t="s">
        <v>27</v>
      </c>
      <c r="EQ28">
        <v>0</v>
      </c>
      <c r="ER28">
        <v>1035.6099999999999</v>
      </c>
      <c r="ES28">
        <v>0</v>
      </c>
      <c r="ET28">
        <v>0</v>
      </c>
      <c r="EU28">
        <v>0</v>
      </c>
      <c r="EV28">
        <v>1035.6099999999999</v>
      </c>
      <c r="EW28">
        <v>65</v>
      </c>
      <c r="EX28">
        <v>0</v>
      </c>
      <c r="EY28">
        <v>0</v>
      </c>
      <c r="FQ28">
        <v>0</v>
      </c>
      <c r="FR28">
        <f>ROUND(IF(BI28=3,GM28,0),2)</f>
        <v>0</v>
      </c>
      <c r="FS28">
        <v>0</v>
      </c>
      <c r="FX28">
        <v>75</v>
      </c>
      <c r="FY28">
        <v>70</v>
      </c>
      <c r="GA28" t="s">
        <v>3</v>
      </c>
      <c r="GD28">
        <v>0</v>
      </c>
      <c r="GF28">
        <v>-510729342</v>
      </c>
      <c r="GG28">
        <v>2</v>
      </c>
      <c r="GH28">
        <v>1</v>
      </c>
      <c r="GI28">
        <v>2</v>
      </c>
      <c r="GJ28">
        <v>0</v>
      </c>
      <c r="GK28">
        <f>ROUND(R28*(R12)/100,2)</f>
        <v>0</v>
      </c>
      <c r="GL28">
        <f>ROUND(IF(AND(BH28=3,BI28=3,FS28&lt;&gt;0),P28,0),2)</f>
        <v>0</v>
      </c>
      <c r="GM28">
        <f>ROUND(O28+X28+Y28+GK28,2)+GX28</f>
        <v>106565.03</v>
      </c>
      <c r="GN28">
        <f>IF(OR(BI28=0,BI28=1),GM28-GX28,0)</f>
        <v>0</v>
      </c>
      <c r="GO28">
        <f>IF(BI28=2,GM28-GX28,0)</f>
        <v>0</v>
      </c>
      <c r="GP28">
        <f>IF(BI28=4,GM28-GX28,0)</f>
        <v>106565.03</v>
      </c>
      <c r="GR28">
        <v>0</v>
      </c>
      <c r="GS28">
        <v>3</v>
      </c>
      <c r="GT28">
        <v>0</v>
      </c>
      <c r="GU28" t="s">
        <v>3</v>
      </c>
      <c r="GV28">
        <f>ROUND((GT28),6)</f>
        <v>0</v>
      </c>
      <c r="GW28">
        <v>1</v>
      </c>
      <c r="GX28">
        <f>ROUND(HC28*I28,2)</f>
        <v>0</v>
      </c>
      <c r="HA28">
        <v>0</v>
      </c>
      <c r="HB28">
        <v>0</v>
      </c>
      <c r="HC28">
        <f>GV28*GW28</f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">
      <c r="A29">
        <v>17</v>
      </c>
      <c r="B29">
        <v>1</v>
      </c>
      <c r="C29">
        <f>ROW(SmtRes!A2)</f>
        <v>2</v>
      </c>
      <c r="D29">
        <f>ROW(EtalonRes!A2)</f>
        <v>2</v>
      </c>
      <c r="E29" t="s">
        <v>28</v>
      </c>
      <c r="F29" t="s">
        <v>29</v>
      </c>
      <c r="G29" t="s">
        <v>30</v>
      </c>
      <c r="H29" t="s">
        <v>22</v>
      </c>
      <c r="I29">
        <v>6</v>
      </c>
      <c r="J29">
        <v>0</v>
      </c>
      <c r="K29">
        <v>6</v>
      </c>
      <c r="O29">
        <f>ROUND(CP29,2)</f>
        <v>100231.35</v>
      </c>
      <c r="P29">
        <f>ROUND((ROUND((AC29*AW29*I29),2)*BC29),2)</f>
        <v>0</v>
      </c>
      <c r="Q29">
        <f>(ROUND((ROUND(((ET29)*AV29*I29),2)*BB29),2)+ROUND((ROUND(((AE29-(EU29))*AV29*I29),2)*BS29),2))</f>
        <v>0</v>
      </c>
      <c r="R29">
        <f>ROUND((ROUND((AE29*AV29*I29),2)*BS29),2)</f>
        <v>0</v>
      </c>
      <c r="S29">
        <f>ROUND((ROUND((AF29*AV29*I29),2)*BA29),2)</f>
        <v>100231.35</v>
      </c>
      <c r="T29">
        <f>ROUND(CU29*I29,2)</f>
        <v>0</v>
      </c>
      <c r="U29">
        <f>CV29*I29</f>
        <v>206.39999999999998</v>
      </c>
      <c r="V29">
        <f>CW29*I29</f>
        <v>0</v>
      </c>
      <c r="W29">
        <f>ROUND(CX29*I29,2)</f>
        <v>0</v>
      </c>
      <c r="X29">
        <f t="shared" si="21"/>
        <v>70161.95</v>
      </c>
      <c r="Y29">
        <f t="shared" si="21"/>
        <v>41094.85</v>
      </c>
      <c r="AA29">
        <v>50571332</v>
      </c>
      <c r="AB29">
        <f>ROUND((AC29+AD29+AF29),6)</f>
        <v>548.072</v>
      </c>
      <c r="AC29">
        <f>ROUND((ES29),6)</f>
        <v>0</v>
      </c>
      <c r="AD29">
        <f>ROUND((((ET29)-(EU29))+AE29),6)</f>
        <v>0</v>
      </c>
      <c r="AE29">
        <f>ROUND((EU29),6)</f>
        <v>0</v>
      </c>
      <c r="AF29">
        <f>ROUND(((EV29*0.8)),6)</f>
        <v>548.072</v>
      </c>
      <c r="AG29">
        <f>ROUND((AP29),6)</f>
        <v>0</v>
      </c>
      <c r="AH29">
        <f>((EW29*0.8))</f>
        <v>34.4</v>
      </c>
      <c r="AI29">
        <f>(EX29)</f>
        <v>0</v>
      </c>
      <c r="AJ29">
        <f>(AS29)</f>
        <v>0</v>
      </c>
      <c r="AK29">
        <v>685.09</v>
      </c>
      <c r="AL29">
        <v>0</v>
      </c>
      <c r="AM29">
        <v>0</v>
      </c>
      <c r="AN29">
        <v>0</v>
      </c>
      <c r="AO29">
        <v>685.09</v>
      </c>
      <c r="AP29">
        <v>0</v>
      </c>
      <c r="AQ29">
        <v>43</v>
      </c>
      <c r="AR29">
        <v>0</v>
      </c>
      <c r="AS29">
        <v>0</v>
      </c>
      <c r="AT29">
        <v>70</v>
      </c>
      <c r="AU29">
        <v>41</v>
      </c>
      <c r="AV29">
        <v>1</v>
      </c>
      <c r="AW29">
        <v>1</v>
      </c>
      <c r="AZ29">
        <v>1</v>
      </c>
      <c r="BA29">
        <v>30.48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4</v>
      </c>
      <c r="BJ29" t="s">
        <v>31</v>
      </c>
      <c r="BM29">
        <v>388</v>
      </c>
      <c r="BN29">
        <v>0</v>
      </c>
      <c r="BO29" t="s">
        <v>3</v>
      </c>
      <c r="BP29">
        <v>0</v>
      </c>
      <c r="BQ29">
        <v>50</v>
      </c>
      <c r="BR29">
        <v>0</v>
      </c>
      <c r="BS29">
        <v>30.48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70</v>
      </c>
      <c r="CA29">
        <v>41</v>
      </c>
      <c r="CB29" t="s">
        <v>3</v>
      </c>
      <c r="CE29">
        <v>30</v>
      </c>
      <c r="CF29">
        <v>0</v>
      </c>
      <c r="CG29">
        <v>0</v>
      </c>
      <c r="CM29">
        <v>0</v>
      </c>
      <c r="CN29" t="s">
        <v>107</v>
      </c>
      <c r="CO29">
        <v>0</v>
      </c>
      <c r="CP29">
        <f>(P29+Q29+S29)</f>
        <v>100231.35</v>
      </c>
      <c r="CQ29">
        <f>ROUND((ROUND((AC29*AW29*1),2)*BC29),2)</f>
        <v>0</v>
      </c>
      <c r="CR29">
        <f>(ROUND((ROUND(((ET29)*AV29*1),2)*BB29),2)+ROUND((ROUND(((AE29-(EU29))*AV29*1),2)*BS29),2))</f>
        <v>0</v>
      </c>
      <c r="CS29">
        <f>ROUND((ROUND((AE29*AV29*1),2)*BS29),2)</f>
        <v>0</v>
      </c>
      <c r="CT29">
        <f>ROUND((ROUND((AF29*AV29*1),2)*BA29),2)</f>
        <v>16705.169999999998</v>
      </c>
      <c r="CU29">
        <f>AG29</f>
        <v>0</v>
      </c>
      <c r="CV29">
        <f>(AH29*AV29)</f>
        <v>34.4</v>
      </c>
      <c r="CW29">
        <f t="shared" si="22"/>
        <v>0</v>
      </c>
      <c r="CX29">
        <f t="shared" si="22"/>
        <v>0</v>
      </c>
      <c r="CY29">
        <f>S29*(BZ29/100)</f>
        <v>70161.944999999992</v>
      </c>
      <c r="CZ29">
        <f>S29*(CA29/100)</f>
        <v>41094.853499999997</v>
      </c>
      <c r="DC29" t="s">
        <v>3</v>
      </c>
      <c r="DD29" t="s">
        <v>3</v>
      </c>
      <c r="DE29" t="s">
        <v>3</v>
      </c>
      <c r="DF29" t="s">
        <v>3</v>
      </c>
      <c r="DG29" t="s">
        <v>24</v>
      </c>
      <c r="DH29" t="s">
        <v>3</v>
      </c>
      <c r="DI29" t="s">
        <v>24</v>
      </c>
      <c r="DJ29" t="s">
        <v>3</v>
      </c>
      <c r="DK29" t="s">
        <v>3</v>
      </c>
      <c r="DL29" t="s">
        <v>3</v>
      </c>
      <c r="DM29" t="s">
        <v>3</v>
      </c>
      <c r="DN29">
        <v>75</v>
      </c>
      <c r="DO29">
        <v>70</v>
      </c>
      <c r="DP29">
        <v>1</v>
      </c>
      <c r="DQ29">
        <v>1</v>
      </c>
      <c r="DU29">
        <v>1013</v>
      </c>
      <c r="DV29" t="s">
        <v>22</v>
      </c>
      <c r="DW29" t="s">
        <v>22</v>
      </c>
      <c r="DX29">
        <v>1</v>
      </c>
      <c r="DZ29" t="s">
        <v>3</v>
      </c>
      <c r="EA29" t="s">
        <v>3</v>
      </c>
      <c r="EB29" t="s">
        <v>3</v>
      </c>
      <c r="EC29" t="s">
        <v>3</v>
      </c>
      <c r="EE29">
        <v>50002050</v>
      </c>
      <c r="EF29">
        <v>50</v>
      </c>
      <c r="EG29" t="s">
        <v>18</v>
      </c>
      <c r="EH29">
        <v>0</v>
      </c>
      <c r="EI29" t="s">
        <v>3</v>
      </c>
      <c r="EJ29">
        <v>4</v>
      </c>
      <c r="EK29">
        <v>388</v>
      </c>
      <c r="EL29" t="s">
        <v>25</v>
      </c>
      <c r="EM29" t="s">
        <v>26</v>
      </c>
      <c r="EO29" t="s">
        <v>27</v>
      </c>
      <c r="EQ29">
        <v>0</v>
      </c>
      <c r="ER29">
        <v>685.09</v>
      </c>
      <c r="ES29">
        <v>0</v>
      </c>
      <c r="ET29">
        <v>0</v>
      </c>
      <c r="EU29">
        <v>0</v>
      </c>
      <c r="EV29">
        <v>685.09</v>
      </c>
      <c r="EW29">
        <v>43</v>
      </c>
      <c r="EX29">
        <v>0</v>
      </c>
      <c r="EY29">
        <v>0</v>
      </c>
      <c r="FQ29">
        <v>0</v>
      </c>
      <c r="FR29">
        <f>ROUND(IF(BI29=3,GM29,0),2)</f>
        <v>0</v>
      </c>
      <c r="FS29">
        <v>0</v>
      </c>
      <c r="FX29">
        <v>75</v>
      </c>
      <c r="FY29">
        <v>70</v>
      </c>
      <c r="GA29" t="s">
        <v>3</v>
      </c>
      <c r="GD29">
        <v>0</v>
      </c>
      <c r="GF29">
        <v>-298496577</v>
      </c>
      <c r="GG29">
        <v>2</v>
      </c>
      <c r="GH29">
        <v>1</v>
      </c>
      <c r="GI29">
        <v>2</v>
      </c>
      <c r="GJ29">
        <v>0</v>
      </c>
      <c r="GK29">
        <f>ROUND(R29*(R12)/100,2)</f>
        <v>0</v>
      </c>
      <c r="GL29">
        <f>ROUND(IF(AND(BH29=3,BI29=3,FS29&lt;&gt;0),P29,0),2)</f>
        <v>0</v>
      </c>
      <c r="GM29">
        <f>ROUND(O29+X29+Y29+GK29,2)+GX29</f>
        <v>211488.15</v>
      </c>
      <c r="GN29">
        <f>IF(OR(BI29=0,BI29=1),GM29-GX29,0)</f>
        <v>0</v>
      </c>
      <c r="GO29">
        <f>IF(BI29=2,GM29-GX29,0)</f>
        <v>0</v>
      </c>
      <c r="GP29">
        <f>IF(BI29=4,GM29-GX29,0)</f>
        <v>211488.15</v>
      </c>
      <c r="GR29">
        <v>0</v>
      </c>
      <c r="GS29">
        <v>3</v>
      </c>
      <c r="GT29">
        <v>0</v>
      </c>
      <c r="GU29" t="s">
        <v>3</v>
      </c>
      <c r="GV29">
        <f>ROUND((GT29),6)</f>
        <v>0</v>
      </c>
      <c r="GW29">
        <v>1</v>
      </c>
      <c r="GX29">
        <f>ROUND(HC29*I29,2)</f>
        <v>0</v>
      </c>
      <c r="HA29">
        <v>0</v>
      </c>
      <c r="HB29">
        <v>0</v>
      </c>
      <c r="HC29">
        <f>GV29*GW29</f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45" x14ac:dyDescent="0.2">
      <c r="A30">
        <v>17</v>
      </c>
      <c r="B30">
        <v>1</v>
      </c>
      <c r="C30">
        <f>ROW(SmtRes!A3)</f>
        <v>3</v>
      </c>
      <c r="D30">
        <f>ROW(EtalonRes!A3)</f>
        <v>3</v>
      </c>
      <c r="E30" t="s">
        <v>32</v>
      </c>
      <c r="F30" t="s">
        <v>33</v>
      </c>
      <c r="G30" t="s">
        <v>34</v>
      </c>
      <c r="H30" t="s">
        <v>35</v>
      </c>
      <c r="I30">
        <v>12</v>
      </c>
      <c r="J30">
        <v>0</v>
      </c>
      <c r="K30">
        <v>12</v>
      </c>
      <c r="O30">
        <f>ROUND(CP30,2)</f>
        <v>37968.94</v>
      </c>
      <c r="P30">
        <f>ROUND((ROUND((AC30*AW30*I30),2)*BC30),2)</f>
        <v>0</v>
      </c>
      <c r="Q30">
        <f>(ROUND((ROUND(((ET30)*AV30*I30),2)*BB30),2)+ROUND((ROUND(((AE30-(EU30))*AV30*I30),2)*BS30),2))</f>
        <v>0</v>
      </c>
      <c r="R30">
        <f>ROUND((ROUND((AE30*AV30*I30),2)*BS30),2)</f>
        <v>0</v>
      </c>
      <c r="S30">
        <f>ROUND((ROUND((AF30*AV30*I30),2)*BA30),2)</f>
        <v>37968.94</v>
      </c>
      <c r="T30">
        <f>ROUND(CU30*I30,2)</f>
        <v>0</v>
      </c>
      <c r="U30">
        <f>CV30*I30</f>
        <v>88.416000000000011</v>
      </c>
      <c r="V30">
        <f>CW30*I30</f>
        <v>0</v>
      </c>
      <c r="W30">
        <f>ROUND(CX30*I30,2)</f>
        <v>0</v>
      </c>
      <c r="X30">
        <f t="shared" si="21"/>
        <v>26578.26</v>
      </c>
      <c r="Y30">
        <f t="shared" si="21"/>
        <v>15567.27</v>
      </c>
      <c r="AA30">
        <v>50571332</v>
      </c>
      <c r="AB30">
        <f>ROUND((AC30+AD30+AF30),6)</f>
        <v>103.80800000000001</v>
      </c>
      <c r="AC30">
        <f>ROUND((ES30),6)</f>
        <v>0</v>
      </c>
      <c r="AD30">
        <f>ROUND((((ET30)-(EU30))+AE30),6)</f>
        <v>0</v>
      </c>
      <c r="AE30">
        <f>ROUND((EU30),6)</f>
        <v>0</v>
      </c>
      <c r="AF30">
        <f>ROUND(((EV30*0.8)),6)</f>
        <v>103.80800000000001</v>
      </c>
      <c r="AG30">
        <f>ROUND((AP30),6)</f>
        <v>0</v>
      </c>
      <c r="AH30">
        <f>((EW30*0.8))</f>
        <v>7.3680000000000012</v>
      </c>
      <c r="AI30">
        <f>(EX30)</f>
        <v>0</v>
      </c>
      <c r="AJ30">
        <f>(AS30)</f>
        <v>0</v>
      </c>
      <c r="AK30">
        <v>129.76</v>
      </c>
      <c r="AL30">
        <v>0</v>
      </c>
      <c r="AM30">
        <v>0</v>
      </c>
      <c r="AN30">
        <v>0</v>
      </c>
      <c r="AO30">
        <v>129.76</v>
      </c>
      <c r="AP30">
        <v>0</v>
      </c>
      <c r="AQ30">
        <v>9.2100000000000009</v>
      </c>
      <c r="AR30">
        <v>0</v>
      </c>
      <c r="AS30">
        <v>0</v>
      </c>
      <c r="AT30">
        <v>70</v>
      </c>
      <c r="AU30">
        <v>41</v>
      </c>
      <c r="AV30">
        <v>1</v>
      </c>
      <c r="AW30">
        <v>1</v>
      </c>
      <c r="AZ30">
        <v>1</v>
      </c>
      <c r="BA30">
        <v>30.48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4</v>
      </c>
      <c r="BJ30" t="s">
        <v>36</v>
      </c>
      <c r="BM30">
        <v>388</v>
      </c>
      <c r="BN30">
        <v>0</v>
      </c>
      <c r="BO30" t="s">
        <v>3</v>
      </c>
      <c r="BP30">
        <v>0</v>
      </c>
      <c r="BQ30">
        <v>50</v>
      </c>
      <c r="BR30">
        <v>0</v>
      </c>
      <c r="BS30">
        <v>30.48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41</v>
      </c>
      <c r="CB30" t="s">
        <v>3</v>
      </c>
      <c r="CE30">
        <v>30</v>
      </c>
      <c r="CF30">
        <v>0</v>
      </c>
      <c r="CG30">
        <v>0</v>
      </c>
      <c r="CM30">
        <v>0</v>
      </c>
      <c r="CN30" t="s">
        <v>107</v>
      </c>
      <c r="CO30">
        <v>0</v>
      </c>
      <c r="CP30">
        <f>(P30+Q30+S30)</f>
        <v>37968.94</v>
      </c>
      <c r="CQ30">
        <f>ROUND((ROUND((AC30*AW30*1),2)*BC30),2)</f>
        <v>0</v>
      </c>
      <c r="CR30">
        <f>(ROUND((ROUND(((ET30)*AV30*1),2)*BB30),2)+ROUND((ROUND(((AE30-(EU30))*AV30*1),2)*BS30),2))</f>
        <v>0</v>
      </c>
      <c r="CS30">
        <f>ROUND((ROUND((AE30*AV30*1),2)*BS30),2)</f>
        <v>0</v>
      </c>
      <c r="CT30">
        <f>ROUND((ROUND((AF30*AV30*1),2)*BA30),2)</f>
        <v>3164.13</v>
      </c>
      <c r="CU30">
        <f>AG30</f>
        <v>0</v>
      </c>
      <c r="CV30">
        <f>(AH30*AV30)</f>
        <v>7.3680000000000012</v>
      </c>
      <c r="CW30">
        <f t="shared" si="22"/>
        <v>0</v>
      </c>
      <c r="CX30">
        <f t="shared" si="22"/>
        <v>0</v>
      </c>
      <c r="CY30">
        <f>S30*(BZ30/100)</f>
        <v>26578.258000000002</v>
      </c>
      <c r="CZ30">
        <f>S30*(CA30/100)</f>
        <v>15567.2654</v>
      </c>
      <c r="DC30" t="s">
        <v>3</v>
      </c>
      <c r="DD30" t="s">
        <v>3</v>
      </c>
      <c r="DE30" t="s">
        <v>3</v>
      </c>
      <c r="DF30" t="s">
        <v>3</v>
      </c>
      <c r="DG30" t="s">
        <v>24</v>
      </c>
      <c r="DH30" t="s">
        <v>3</v>
      </c>
      <c r="DI30" t="s">
        <v>24</v>
      </c>
      <c r="DJ30" t="s">
        <v>3</v>
      </c>
      <c r="DK30" t="s">
        <v>3</v>
      </c>
      <c r="DL30" t="s">
        <v>3</v>
      </c>
      <c r="DM30" t="s">
        <v>3</v>
      </c>
      <c r="DN30">
        <v>75</v>
      </c>
      <c r="DO30">
        <v>70</v>
      </c>
      <c r="DP30">
        <v>1</v>
      </c>
      <c r="DQ30">
        <v>1</v>
      </c>
      <c r="DU30">
        <v>1013</v>
      </c>
      <c r="DV30" t="s">
        <v>35</v>
      </c>
      <c r="DW30" t="s">
        <v>35</v>
      </c>
      <c r="DX30">
        <v>1</v>
      </c>
      <c r="DZ30" t="s">
        <v>3</v>
      </c>
      <c r="EA30" t="s">
        <v>3</v>
      </c>
      <c r="EB30" t="s">
        <v>3</v>
      </c>
      <c r="EC30" t="s">
        <v>3</v>
      </c>
      <c r="EE30">
        <v>50002050</v>
      </c>
      <c r="EF30">
        <v>50</v>
      </c>
      <c r="EG30" t="s">
        <v>18</v>
      </c>
      <c r="EH30">
        <v>0</v>
      </c>
      <c r="EI30" t="s">
        <v>3</v>
      </c>
      <c r="EJ30">
        <v>4</v>
      </c>
      <c r="EK30">
        <v>388</v>
      </c>
      <c r="EL30" t="s">
        <v>25</v>
      </c>
      <c r="EM30" t="s">
        <v>26</v>
      </c>
      <c r="EO30" t="s">
        <v>27</v>
      </c>
      <c r="EQ30">
        <v>0</v>
      </c>
      <c r="ER30">
        <v>129.76</v>
      </c>
      <c r="ES30">
        <v>0</v>
      </c>
      <c r="ET30">
        <v>0</v>
      </c>
      <c r="EU30">
        <v>0</v>
      </c>
      <c r="EV30">
        <v>129.76</v>
      </c>
      <c r="EW30">
        <v>9.2100000000000009</v>
      </c>
      <c r="EX30">
        <v>0</v>
      </c>
      <c r="EY30">
        <v>0</v>
      </c>
      <c r="FQ30">
        <v>0</v>
      </c>
      <c r="FR30">
        <f>ROUND(IF(BI30=3,GM30,0),2)</f>
        <v>0</v>
      </c>
      <c r="FS30">
        <v>0</v>
      </c>
      <c r="FX30">
        <v>75</v>
      </c>
      <c r="FY30">
        <v>70</v>
      </c>
      <c r="GA30" t="s">
        <v>3</v>
      </c>
      <c r="GD30">
        <v>0</v>
      </c>
      <c r="GF30">
        <v>333708879</v>
      </c>
      <c r="GG30">
        <v>2</v>
      </c>
      <c r="GH30">
        <v>1</v>
      </c>
      <c r="GI30">
        <v>2</v>
      </c>
      <c r="GJ30">
        <v>0</v>
      </c>
      <c r="GK30">
        <f>ROUND(R30*(R12)/100,2)</f>
        <v>0</v>
      </c>
      <c r="GL30">
        <f>ROUND(IF(AND(BH30=3,BI30=3,FS30&lt;&gt;0),P30,0),2)</f>
        <v>0</v>
      </c>
      <c r="GM30">
        <f>ROUND(O30+X30+Y30+GK30,2)+GX30</f>
        <v>80114.47</v>
      </c>
      <c r="GN30">
        <f>IF(OR(BI30=0,BI30=1),GM30-GX30,0)</f>
        <v>0</v>
      </c>
      <c r="GO30">
        <f>IF(BI30=2,GM30-GX30,0)</f>
        <v>0</v>
      </c>
      <c r="GP30">
        <f>IF(BI30=4,GM30-GX30,0)</f>
        <v>80114.47</v>
      </c>
      <c r="GR30">
        <v>0</v>
      </c>
      <c r="GS30">
        <v>3</v>
      </c>
      <c r="GT30">
        <v>0</v>
      </c>
      <c r="GU30" t="s">
        <v>3</v>
      </c>
      <c r="GV30">
        <f>ROUND((GT30),6)</f>
        <v>0</v>
      </c>
      <c r="GW30">
        <v>1</v>
      </c>
      <c r="GX30">
        <f>ROUND(HC30*I30,2)</f>
        <v>0</v>
      </c>
      <c r="HA30">
        <v>0</v>
      </c>
      <c r="HB30">
        <v>0</v>
      </c>
      <c r="HC30">
        <f>GV30*GW30</f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">
      <c r="A31">
        <v>17</v>
      </c>
      <c r="B31">
        <v>1</v>
      </c>
      <c r="E31" t="s">
        <v>37</v>
      </c>
      <c r="F31" t="s">
        <v>38</v>
      </c>
      <c r="G31" t="s">
        <v>39</v>
      </c>
      <c r="H31" t="s">
        <v>40</v>
      </c>
      <c r="I31">
        <f>ROUND(I28*1.5*6.82+I30*0.4*6.82,9)</f>
        <v>53.195999999999998</v>
      </c>
      <c r="J31">
        <v>0</v>
      </c>
      <c r="K31">
        <f>ROUND(I28*1.5*6.82+I30*0.4*6.82,9)</f>
        <v>53.195999999999998</v>
      </c>
      <c r="O31">
        <f>ROUND(CP31,2)</f>
        <v>127122.03</v>
      </c>
      <c r="P31">
        <f>ROUND((ROUND((AC31*AW31*I31),2)*BC31),2)</f>
        <v>0</v>
      </c>
      <c r="Q31">
        <f>(ROUND((ROUND(((ET31)*AV31*I31),2)*BB31),2)+ROUND((ROUND(((AE31-(EU31))*AV31*I31),2)*BS31),2))</f>
        <v>127122.03</v>
      </c>
      <c r="R31">
        <f>ROUND((ROUND((AE31*AV31*I31),2)*BS31),2)</f>
        <v>20462.14</v>
      </c>
      <c r="S31">
        <f>ROUND((ROUND((AF31*AV31*I31),2)*BA31),2)</f>
        <v>0</v>
      </c>
      <c r="T31">
        <f>ROUND(CU31*I31,2)</f>
        <v>0</v>
      </c>
      <c r="U31">
        <f>CV31*I31</f>
        <v>0</v>
      </c>
      <c r="V31">
        <f>CW31*I31</f>
        <v>0</v>
      </c>
      <c r="W31">
        <f>ROUND(CX31*I31,2)</f>
        <v>0</v>
      </c>
      <c r="X31">
        <f t="shared" si="21"/>
        <v>0</v>
      </c>
      <c r="Y31">
        <f t="shared" si="21"/>
        <v>0</v>
      </c>
      <c r="AA31">
        <v>50571332</v>
      </c>
      <c r="AB31">
        <f>ROUND((AC31+AD31+AF31),6)</f>
        <v>247.38</v>
      </c>
      <c r="AC31">
        <f>ROUND((ES31),6)</f>
        <v>0</v>
      </c>
      <c r="AD31">
        <f>ROUND((((ET31)-(EU31))+AE31),6)</f>
        <v>247.38</v>
      </c>
      <c r="AE31">
        <f>ROUND((EU31),6)</f>
        <v>12.62</v>
      </c>
      <c r="AF31">
        <f>ROUND((EV31),6)</f>
        <v>0</v>
      </c>
      <c r="AG31">
        <f>ROUND((AP31),6)</f>
        <v>0</v>
      </c>
      <c r="AH31">
        <f>(EW31)</f>
        <v>0</v>
      </c>
      <c r="AI31">
        <f>(EX31)</f>
        <v>0</v>
      </c>
      <c r="AJ31">
        <f>(AS31)</f>
        <v>0</v>
      </c>
      <c r="AK31">
        <v>247.38</v>
      </c>
      <c r="AL31">
        <v>0</v>
      </c>
      <c r="AM31">
        <v>247.38</v>
      </c>
      <c r="AN31">
        <v>12.62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1</v>
      </c>
      <c r="BB31">
        <v>9.66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2</v>
      </c>
      <c r="BI31">
        <v>1</v>
      </c>
      <c r="BJ31" t="s">
        <v>41</v>
      </c>
      <c r="BM31">
        <v>400001</v>
      </c>
      <c r="BN31">
        <v>0</v>
      </c>
      <c r="BO31" t="s">
        <v>38</v>
      </c>
      <c r="BP31">
        <v>1</v>
      </c>
      <c r="BQ31">
        <v>190</v>
      </c>
      <c r="BR31">
        <v>0</v>
      </c>
      <c r="BS31">
        <v>30.48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0</v>
      </c>
      <c r="CA31">
        <v>0</v>
      </c>
      <c r="CB31" t="s">
        <v>3</v>
      </c>
      <c r="CE31">
        <v>30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>(P31+Q31+S31)</f>
        <v>127122.03</v>
      </c>
      <c r="CQ31">
        <f>ROUND((ROUND((AC31*AW31*1),2)*BC31),2)</f>
        <v>0</v>
      </c>
      <c r="CR31">
        <f>(ROUND((ROUND(((ET31)*AV31*1),2)*BB31),2)+ROUND((ROUND(((AE31-(EU31))*AV31*1),2)*BS31),2))</f>
        <v>2389.69</v>
      </c>
      <c r="CS31">
        <f>ROUND((ROUND((AE31*AV31*1),2)*BS31),2)</f>
        <v>384.66</v>
      </c>
      <c r="CT31">
        <f>ROUND((ROUND((AF31*AV31*1),2)*BA31),2)</f>
        <v>0</v>
      </c>
      <c r="CU31">
        <f>AG31</f>
        <v>0</v>
      </c>
      <c r="CV31">
        <f>(AH31*AV31)</f>
        <v>0</v>
      </c>
      <c r="CW31">
        <f t="shared" si="22"/>
        <v>0</v>
      </c>
      <c r="CX31">
        <f t="shared" si="22"/>
        <v>0</v>
      </c>
      <c r="CY31">
        <f>S31*(BZ31/100)</f>
        <v>0</v>
      </c>
      <c r="CZ31">
        <f>S31*(CA31/100)</f>
        <v>0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1011</v>
      </c>
      <c r="DV31" t="s">
        <v>40</v>
      </c>
      <c r="DW31" t="s">
        <v>40</v>
      </c>
      <c r="DX31">
        <v>1</v>
      </c>
      <c r="DZ31" t="s">
        <v>3</v>
      </c>
      <c r="EA31" t="s">
        <v>3</v>
      </c>
      <c r="EB31" t="s">
        <v>3</v>
      </c>
      <c r="EC31" t="s">
        <v>3</v>
      </c>
      <c r="EE31">
        <v>50003475</v>
      </c>
      <c r="EF31">
        <v>190</v>
      </c>
      <c r="EG31" t="s">
        <v>42</v>
      </c>
      <c r="EH31">
        <v>0</v>
      </c>
      <c r="EI31" t="s">
        <v>3</v>
      </c>
      <c r="EJ31">
        <v>1</v>
      </c>
      <c r="EK31">
        <v>400001</v>
      </c>
      <c r="EL31" t="s">
        <v>43</v>
      </c>
      <c r="EM31" t="s">
        <v>44</v>
      </c>
      <c r="EO31" t="s">
        <v>3</v>
      </c>
      <c r="EQ31">
        <v>0</v>
      </c>
      <c r="ER31">
        <v>247.38</v>
      </c>
      <c r="ES31">
        <v>0</v>
      </c>
      <c r="ET31">
        <v>247.38</v>
      </c>
      <c r="EU31">
        <v>12.62</v>
      </c>
      <c r="EV31">
        <v>0</v>
      </c>
      <c r="EW31">
        <v>0</v>
      </c>
      <c r="EX31">
        <v>0</v>
      </c>
      <c r="EY31">
        <v>0</v>
      </c>
      <c r="FQ31">
        <v>0</v>
      </c>
      <c r="FR31">
        <f>ROUND(IF(BI31=3,GM31,0),2)</f>
        <v>0</v>
      </c>
      <c r="FS31">
        <v>0</v>
      </c>
      <c r="FX31">
        <v>0</v>
      </c>
      <c r="FY31">
        <v>0</v>
      </c>
      <c r="GA31" t="s">
        <v>3</v>
      </c>
      <c r="GD31">
        <v>0</v>
      </c>
      <c r="GF31">
        <v>-1600545635</v>
      </c>
      <c r="GG31">
        <v>2</v>
      </c>
      <c r="GH31">
        <v>1</v>
      </c>
      <c r="GI31">
        <v>2</v>
      </c>
      <c r="GJ31">
        <v>0</v>
      </c>
      <c r="GK31">
        <f>ROUND(R31*(R12)/100,2)</f>
        <v>32739.42</v>
      </c>
      <c r="GL31">
        <f>ROUND(IF(AND(BH31=3,BI31=3,FS31&lt;&gt;0),P31,0),2)</f>
        <v>0</v>
      </c>
      <c r="GM31">
        <f>ROUND(O31+X31+Y31+GK31,2)+GX31</f>
        <v>159861.45000000001</v>
      </c>
      <c r="GN31">
        <f>IF(OR(BI31=0,BI31=1),GM31-GX31,0)</f>
        <v>159861.45000000001</v>
      </c>
      <c r="GO31">
        <f>IF(BI31=2,GM31-GX31,0)</f>
        <v>0</v>
      </c>
      <c r="GP31">
        <f>IF(BI31=4,GM31-GX31,0)</f>
        <v>0</v>
      </c>
      <c r="GR31">
        <v>0</v>
      </c>
      <c r="GS31">
        <v>3</v>
      </c>
      <c r="GT31">
        <v>0</v>
      </c>
      <c r="GU31" t="s">
        <v>3</v>
      </c>
      <c r="GV31">
        <f>ROUND((GT31),6)</f>
        <v>0</v>
      </c>
      <c r="GW31">
        <v>1</v>
      </c>
      <c r="GX31">
        <f>ROUND(HC31*I31,2)</f>
        <v>0</v>
      </c>
      <c r="HA31">
        <v>0</v>
      </c>
      <c r="HB31">
        <v>0</v>
      </c>
      <c r="HC31">
        <f>GV31*GW31</f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3" spans="1:206" x14ac:dyDescent="0.2">
      <c r="A33" s="2">
        <v>51</v>
      </c>
      <c r="B33" s="2">
        <f>B24</f>
        <v>1</v>
      </c>
      <c r="C33" s="2">
        <f>A24</f>
        <v>4</v>
      </c>
      <c r="D33" s="2">
        <f>ROW(A24)</f>
        <v>24</v>
      </c>
      <c r="E33" s="2"/>
      <c r="F33" s="2" t="str">
        <f>IF(F24&lt;&gt;"",F24,"")</f>
        <v>Новый раздел</v>
      </c>
      <c r="G33" s="2" t="str">
        <f>IF(G24&lt;&gt;"",G24,"")</f>
        <v>Пусконаладочные работы</v>
      </c>
      <c r="H33" s="2">
        <v>0</v>
      </c>
      <c r="I33" s="2"/>
      <c r="J33" s="2"/>
      <c r="K33" s="2"/>
      <c r="L33" s="2"/>
      <c r="M33" s="2"/>
      <c r="N33" s="2"/>
      <c r="O33" s="2">
        <f t="shared" ref="O33:T33" si="23">ROUND(AB33,2)</f>
        <v>315827.07</v>
      </c>
      <c r="P33" s="2">
        <f t="shared" si="23"/>
        <v>0</v>
      </c>
      <c r="Q33" s="2">
        <f t="shared" si="23"/>
        <v>127122.03</v>
      </c>
      <c r="R33" s="2">
        <f t="shared" si="23"/>
        <v>20462.14</v>
      </c>
      <c r="S33" s="2">
        <f t="shared" si="23"/>
        <v>188705.04</v>
      </c>
      <c r="T33" s="2">
        <f t="shared" si="23"/>
        <v>0</v>
      </c>
      <c r="U33" s="2">
        <f>AH33</f>
        <v>398.81599999999997</v>
      </c>
      <c r="V33" s="2">
        <f>AI33</f>
        <v>0</v>
      </c>
      <c r="W33" s="2">
        <f>ROUND(AJ33,2)</f>
        <v>0</v>
      </c>
      <c r="X33" s="2">
        <f>ROUND(AK33,2)</f>
        <v>132093.54</v>
      </c>
      <c r="Y33" s="2">
        <f>ROUND(AL33,2)</f>
        <v>77369.070000000007</v>
      </c>
      <c r="Z33" s="2"/>
      <c r="AA33" s="2"/>
      <c r="AB33" s="2">
        <f>ROUND(SUMIF(AA28:AA31,"=50571332",O28:O31),2)</f>
        <v>315827.07</v>
      </c>
      <c r="AC33" s="2">
        <f>ROUND(SUMIF(AA28:AA31,"=50571332",P28:P31),2)</f>
        <v>0</v>
      </c>
      <c r="AD33" s="2">
        <f>ROUND(SUMIF(AA28:AA31,"=50571332",Q28:Q31),2)</f>
        <v>127122.03</v>
      </c>
      <c r="AE33" s="2">
        <f>ROUND(SUMIF(AA28:AA31,"=50571332",R28:R31),2)</f>
        <v>20462.14</v>
      </c>
      <c r="AF33" s="2">
        <f>ROUND(SUMIF(AA28:AA31,"=50571332",S28:S31),2)</f>
        <v>188705.04</v>
      </c>
      <c r="AG33" s="2">
        <f>ROUND(SUMIF(AA28:AA31,"=50571332",T28:T31),2)</f>
        <v>0</v>
      </c>
      <c r="AH33" s="2">
        <f>SUMIF(AA28:AA31,"=50571332",U28:U31)</f>
        <v>398.81599999999997</v>
      </c>
      <c r="AI33" s="2">
        <f>SUMIF(AA28:AA31,"=50571332",V28:V31)</f>
        <v>0</v>
      </c>
      <c r="AJ33" s="2">
        <f>ROUND(SUMIF(AA28:AA31,"=50571332",W28:W31),2)</f>
        <v>0</v>
      </c>
      <c r="AK33" s="2">
        <f>ROUND(SUMIF(AA28:AA31,"=50571332",X28:X31),2)</f>
        <v>132093.54</v>
      </c>
      <c r="AL33" s="2">
        <f>ROUND(SUMIF(AA28:AA31,"=50571332",Y28:Y31),2)</f>
        <v>77369.070000000007</v>
      </c>
      <c r="AM33" s="2"/>
      <c r="AN33" s="2"/>
      <c r="AO33" s="2">
        <f t="shared" ref="AO33:BD33" si="24">ROUND(BX33,2)</f>
        <v>0</v>
      </c>
      <c r="AP33" s="2">
        <f t="shared" si="24"/>
        <v>0</v>
      </c>
      <c r="AQ33" s="2">
        <f t="shared" si="24"/>
        <v>0</v>
      </c>
      <c r="AR33" s="2">
        <f t="shared" si="24"/>
        <v>558029.1</v>
      </c>
      <c r="AS33" s="2">
        <f t="shared" si="24"/>
        <v>159861.45000000001</v>
      </c>
      <c r="AT33" s="2">
        <f t="shared" si="24"/>
        <v>0</v>
      </c>
      <c r="AU33" s="2">
        <f t="shared" si="24"/>
        <v>398167.65</v>
      </c>
      <c r="AV33" s="2">
        <f t="shared" si="24"/>
        <v>0</v>
      </c>
      <c r="AW33" s="2">
        <f t="shared" si="24"/>
        <v>0</v>
      </c>
      <c r="AX33" s="2">
        <f t="shared" si="24"/>
        <v>0</v>
      </c>
      <c r="AY33" s="2">
        <f t="shared" si="24"/>
        <v>0</v>
      </c>
      <c r="AZ33" s="2">
        <f t="shared" si="24"/>
        <v>0</v>
      </c>
      <c r="BA33" s="2">
        <f t="shared" si="24"/>
        <v>0</v>
      </c>
      <c r="BB33" s="2">
        <f t="shared" si="24"/>
        <v>0</v>
      </c>
      <c r="BC33" s="2">
        <f t="shared" si="24"/>
        <v>0</v>
      </c>
      <c r="BD33" s="2">
        <f t="shared" si="24"/>
        <v>0</v>
      </c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>
        <f>ROUND(SUMIF(AA28:AA31,"=50571332",FQ28:FQ31),2)</f>
        <v>0</v>
      </c>
      <c r="BY33" s="2">
        <f>ROUND(SUMIF(AA28:AA31,"=50571332",FR28:FR31),2)</f>
        <v>0</v>
      </c>
      <c r="BZ33" s="2">
        <f>ROUND(SUMIF(AA28:AA31,"=50571332",GL28:GL31),2)</f>
        <v>0</v>
      </c>
      <c r="CA33" s="2">
        <f>ROUND(SUMIF(AA28:AA31,"=50571332",GM28:GM31),2)</f>
        <v>558029.1</v>
      </c>
      <c r="CB33" s="2">
        <f>ROUND(SUMIF(AA28:AA31,"=50571332",GN28:GN31),2)</f>
        <v>159861.45000000001</v>
      </c>
      <c r="CC33" s="2">
        <f>ROUND(SUMIF(AA28:AA31,"=50571332",GO28:GO31),2)</f>
        <v>0</v>
      </c>
      <c r="CD33" s="2">
        <f>ROUND(SUMIF(AA28:AA31,"=50571332",GP28:GP31),2)</f>
        <v>398167.65</v>
      </c>
      <c r="CE33" s="2">
        <f>AC33-BX33</f>
        <v>0</v>
      </c>
      <c r="CF33" s="2">
        <f>AC33-BY33</f>
        <v>0</v>
      </c>
      <c r="CG33" s="2">
        <f>BX33-BZ33</f>
        <v>0</v>
      </c>
      <c r="CH33" s="2">
        <f>AC33-BX33-BY33+BZ33</f>
        <v>0</v>
      </c>
      <c r="CI33" s="2">
        <f>BY33-BZ33</f>
        <v>0</v>
      </c>
      <c r="CJ33" s="2">
        <f>ROUND(SUMIF(AA28:AA31,"=50571332",GX28:GX31),2)</f>
        <v>0</v>
      </c>
      <c r="CK33" s="2">
        <f>ROUND(SUMIF(AA28:AA31,"=50571332",GY28:GY31),2)</f>
        <v>0</v>
      </c>
      <c r="CL33" s="2">
        <f>ROUND(SUMIF(AA28:AA31,"=50571332",GZ28:GZ31),2)</f>
        <v>0</v>
      </c>
      <c r="CM33" s="2">
        <f>ROUND(SUMIF(AA28:AA31,"=50571332",HD28:HD31),2)</f>
        <v>0</v>
      </c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>
        <v>0</v>
      </c>
    </row>
    <row r="35" spans="1:206" x14ac:dyDescent="0.2">
      <c r="A35" s="4">
        <v>50</v>
      </c>
      <c r="B35" s="4">
        <v>0</v>
      </c>
      <c r="C35" s="4">
        <v>0</v>
      </c>
      <c r="D35" s="4">
        <v>1</v>
      </c>
      <c r="E35" s="4">
        <v>201</v>
      </c>
      <c r="F35" s="4">
        <f>ROUND(Source!O33,O35)</f>
        <v>315827.07</v>
      </c>
      <c r="G35" s="4" t="s">
        <v>45</v>
      </c>
      <c r="H35" s="4" t="s">
        <v>46</v>
      </c>
      <c r="I35" s="4"/>
      <c r="J35" s="4"/>
      <c r="K35" s="4">
        <v>201</v>
      </c>
      <c r="L35" s="4">
        <v>1</v>
      </c>
      <c r="M35" s="4">
        <v>3</v>
      </c>
      <c r="N35" s="4" t="s">
        <v>3</v>
      </c>
      <c r="O35" s="4">
        <v>2</v>
      </c>
      <c r="P35" s="4"/>
      <c r="Q35" s="4"/>
      <c r="R35" s="4"/>
      <c r="S35" s="4"/>
      <c r="T35" s="4"/>
      <c r="U35" s="4"/>
      <c r="V35" s="4"/>
      <c r="W35" s="4">
        <v>315827.07</v>
      </c>
      <c r="X35" s="4">
        <v>1</v>
      </c>
      <c r="Y35" s="4">
        <v>315827.07</v>
      </c>
      <c r="Z35" s="4"/>
      <c r="AA35" s="4"/>
      <c r="AB35" s="4"/>
    </row>
    <row r="36" spans="1:206" x14ac:dyDescent="0.2">
      <c r="A36" s="4">
        <v>50</v>
      </c>
      <c r="B36" s="4">
        <v>0</v>
      </c>
      <c r="C36" s="4">
        <v>0</v>
      </c>
      <c r="D36" s="4">
        <v>1</v>
      </c>
      <c r="E36" s="4">
        <v>202</v>
      </c>
      <c r="F36" s="4">
        <f>ROUND(Source!P33,O36)</f>
        <v>0</v>
      </c>
      <c r="G36" s="4" t="s">
        <v>47</v>
      </c>
      <c r="H36" s="4" t="s">
        <v>48</v>
      </c>
      <c r="I36" s="4"/>
      <c r="J36" s="4"/>
      <c r="K36" s="4">
        <v>202</v>
      </c>
      <c r="L36" s="4">
        <v>2</v>
      </c>
      <c r="M36" s="4">
        <v>3</v>
      </c>
      <c r="N36" s="4" t="s">
        <v>3</v>
      </c>
      <c r="O36" s="4">
        <v>2</v>
      </c>
      <c r="P36" s="4"/>
      <c r="Q36" s="4"/>
      <c r="R36" s="4"/>
      <c r="S36" s="4"/>
      <c r="T36" s="4"/>
      <c r="U36" s="4"/>
      <c r="V36" s="4"/>
      <c r="W36" s="4">
        <v>0</v>
      </c>
      <c r="X36" s="4">
        <v>1</v>
      </c>
      <c r="Y36" s="4">
        <v>0</v>
      </c>
      <c r="Z36" s="4"/>
      <c r="AA36" s="4"/>
      <c r="AB36" s="4"/>
    </row>
    <row r="37" spans="1:206" x14ac:dyDescent="0.2">
      <c r="A37" s="4">
        <v>50</v>
      </c>
      <c r="B37" s="4">
        <v>0</v>
      </c>
      <c r="C37" s="4">
        <v>0</v>
      </c>
      <c r="D37" s="4">
        <v>1</v>
      </c>
      <c r="E37" s="4">
        <v>222</v>
      </c>
      <c r="F37" s="4">
        <f>ROUND(Source!AO33,O37)</f>
        <v>0</v>
      </c>
      <c r="G37" s="4" t="s">
        <v>49</v>
      </c>
      <c r="H37" s="4" t="s">
        <v>50</v>
      </c>
      <c r="I37" s="4"/>
      <c r="J37" s="4"/>
      <c r="K37" s="4">
        <v>222</v>
      </c>
      <c r="L37" s="4">
        <v>3</v>
      </c>
      <c r="M37" s="4">
        <v>3</v>
      </c>
      <c r="N37" s="4" t="s">
        <v>3</v>
      </c>
      <c r="O37" s="4">
        <v>2</v>
      </c>
      <c r="P37" s="4"/>
      <c r="Q37" s="4"/>
      <c r="R37" s="4"/>
      <c r="S37" s="4"/>
      <c r="T37" s="4"/>
      <c r="U37" s="4"/>
      <c r="V37" s="4"/>
      <c r="W37" s="4">
        <v>0</v>
      </c>
      <c r="X37" s="4">
        <v>1</v>
      </c>
      <c r="Y37" s="4">
        <v>0</v>
      </c>
      <c r="Z37" s="4"/>
      <c r="AA37" s="4"/>
      <c r="AB37" s="4"/>
    </row>
    <row r="38" spans="1:206" x14ac:dyDescent="0.2">
      <c r="A38" s="4">
        <v>50</v>
      </c>
      <c r="B38" s="4">
        <v>0</v>
      </c>
      <c r="C38" s="4">
        <v>0</v>
      </c>
      <c r="D38" s="4">
        <v>1</v>
      </c>
      <c r="E38" s="4">
        <v>225</v>
      </c>
      <c r="F38" s="4">
        <f>ROUND(Source!AV33,O38)</f>
        <v>0</v>
      </c>
      <c r="G38" s="4" t="s">
        <v>51</v>
      </c>
      <c r="H38" s="4" t="s">
        <v>52</v>
      </c>
      <c r="I38" s="4"/>
      <c r="J38" s="4"/>
      <c r="K38" s="4">
        <v>225</v>
      </c>
      <c r="L38" s="4">
        <v>4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>
        <v>0</v>
      </c>
      <c r="X38" s="4">
        <v>1</v>
      </c>
      <c r="Y38" s="4">
        <v>0</v>
      </c>
      <c r="Z38" s="4"/>
      <c r="AA38" s="4"/>
      <c r="AB38" s="4"/>
    </row>
    <row r="39" spans="1:206" x14ac:dyDescent="0.2">
      <c r="A39" s="4">
        <v>50</v>
      </c>
      <c r="B39" s="4">
        <v>0</v>
      </c>
      <c r="C39" s="4">
        <v>0</v>
      </c>
      <c r="D39" s="4">
        <v>1</v>
      </c>
      <c r="E39" s="4">
        <v>226</v>
      </c>
      <c r="F39" s="4">
        <f>ROUND(Source!AW33,O39)</f>
        <v>0</v>
      </c>
      <c r="G39" s="4" t="s">
        <v>53</v>
      </c>
      <c r="H39" s="4" t="s">
        <v>54</v>
      </c>
      <c r="I39" s="4"/>
      <c r="J39" s="4"/>
      <c r="K39" s="4">
        <v>226</v>
      </c>
      <c r="L39" s="4">
        <v>5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06" x14ac:dyDescent="0.2">
      <c r="A40" s="4">
        <v>50</v>
      </c>
      <c r="B40" s="4">
        <v>0</v>
      </c>
      <c r="C40" s="4">
        <v>0</v>
      </c>
      <c r="D40" s="4">
        <v>1</v>
      </c>
      <c r="E40" s="4">
        <v>227</v>
      </c>
      <c r="F40" s="4">
        <f>ROUND(Source!AX33,O40)</f>
        <v>0</v>
      </c>
      <c r="G40" s="4" t="s">
        <v>55</v>
      </c>
      <c r="H40" s="4" t="s">
        <v>56</v>
      </c>
      <c r="I40" s="4"/>
      <c r="J40" s="4"/>
      <c r="K40" s="4">
        <v>227</v>
      </c>
      <c r="L40" s="4">
        <v>6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06" x14ac:dyDescent="0.2">
      <c r="A41" s="4">
        <v>50</v>
      </c>
      <c r="B41" s="4">
        <v>0</v>
      </c>
      <c r="C41" s="4">
        <v>0</v>
      </c>
      <c r="D41" s="4">
        <v>1</v>
      </c>
      <c r="E41" s="4">
        <v>228</v>
      </c>
      <c r="F41" s="4">
        <f>ROUND(Source!AY33,O41)</f>
        <v>0</v>
      </c>
      <c r="G41" s="4" t="s">
        <v>57</v>
      </c>
      <c r="H41" s="4" t="s">
        <v>58</v>
      </c>
      <c r="I41" s="4"/>
      <c r="J41" s="4"/>
      <c r="K41" s="4">
        <v>228</v>
      </c>
      <c r="L41" s="4">
        <v>7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0</v>
      </c>
      <c r="X41" s="4">
        <v>1</v>
      </c>
      <c r="Y41" s="4">
        <v>0</v>
      </c>
      <c r="Z41" s="4"/>
      <c r="AA41" s="4"/>
      <c r="AB41" s="4"/>
    </row>
    <row r="42" spans="1:206" x14ac:dyDescent="0.2">
      <c r="A42" s="4">
        <v>50</v>
      </c>
      <c r="B42" s="4">
        <v>0</v>
      </c>
      <c r="C42" s="4">
        <v>0</v>
      </c>
      <c r="D42" s="4">
        <v>1</v>
      </c>
      <c r="E42" s="4">
        <v>216</v>
      </c>
      <c r="F42" s="4">
        <f>ROUND(Source!AP33,O42)</f>
        <v>0</v>
      </c>
      <c r="G42" s="4" t="s">
        <v>59</v>
      </c>
      <c r="H42" s="4" t="s">
        <v>60</v>
      </c>
      <c r="I42" s="4"/>
      <c r="J42" s="4"/>
      <c r="K42" s="4">
        <v>216</v>
      </c>
      <c r="L42" s="4">
        <v>8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06" x14ac:dyDescent="0.2">
      <c r="A43" s="4">
        <v>50</v>
      </c>
      <c r="B43" s="4">
        <v>0</v>
      </c>
      <c r="C43" s="4">
        <v>0</v>
      </c>
      <c r="D43" s="4">
        <v>1</v>
      </c>
      <c r="E43" s="4">
        <v>223</v>
      </c>
      <c r="F43" s="4">
        <f>ROUND(Source!AQ33,O43)</f>
        <v>0</v>
      </c>
      <c r="G43" s="4" t="s">
        <v>61</v>
      </c>
      <c r="H43" s="4" t="s">
        <v>62</v>
      </c>
      <c r="I43" s="4"/>
      <c r="J43" s="4"/>
      <c r="K43" s="4">
        <v>223</v>
      </c>
      <c r="L43" s="4">
        <v>9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06" x14ac:dyDescent="0.2">
      <c r="A44" s="4">
        <v>50</v>
      </c>
      <c r="B44" s="4">
        <v>0</v>
      </c>
      <c r="C44" s="4">
        <v>0</v>
      </c>
      <c r="D44" s="4">
        <v>1</v>
      </c>
      <c r="E44" s="4">
        <v>229</v>
      </c>
      <c r="F44" s="4">
        <f>ROUND(Source!AZ33,O44)</f>
        <v>0</v>
      </c>
      <c r="G44" s="4" t="s">
        <v>63</v>
      </c>
      <c r="H44" s="4" t="s">
        <v>64</v>
      </c>
      <c r="I44" s="4"/>
      <c r="J44" s="4"/>
      <c r="K44" s="4">
        <v>229</v>
      </c>
      <c r="L44" s="4">
        <v>10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06" x14ac:dyDescent="0.2">
      <c r="A45" s="4">
        <v>50</v>
      </c>
      <c r="B45" s="4">
        <v>0</v>
      </c>
      <c r="C45" s="4">
        <v>0</v>
      </c>
      <c r="D45" s="4">
        <v>1</v>
      </c>
      <c r="E45" s="4">
        <v>203</v>
      </c>
      <c r="F45" s="4">
        <f>ROUND(Source!Q33,O45)</f>
        <v>127122.03</v>
      </c>
      <c r="G45" s="4" t="s">
        <v>65</v>
      </c>
      <c r="H45" s="4" t="s">
        <v>66</v>
      </c>
      <c r="I45" s="4"/>
      <c r="J45" s="4"/>
      <c r="K45" s="4">
        <v>203</v>
      </c>
      <c r="L45" s="4">
        <v>11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127122.03</v>
      </c>
      <c r="X45" s="4">
        <v>1</v>
      </c>
      <c r="Y45" s="4">
        <v>127122.03</v>
      </c>
      <c r="Z45" s="4"/>
      <c r="AA45" s="4"/>
      <c r="AB45" s="4"/>
    </row>
    <row r="46" spans="1:206" x14ac:dyDescent="0.2">
      <c r="A46" s="4">
        <v>50</v>
      </c>
      <c r="B46" s="4">
        <v>0</v>
      </c>
      <c r="C46" s="4">
        <v>0</v>
      </c>
      <c r="D46" s="4">
        <v>1</v>
      </c>
      <c r="E46" s="4">
        <v>231</v>
      </c>
      <c r="F46" s="4">
        <f>ROUND(Source!BB33,O46)</f>
        <v>0</v>
      </c>
      <c r="G46" s="4" t="s">
        <v>67</v>
      </c>
      <c r="H46" s="4" t="s">
        <v>68</v>
      </c>
      <c r="I46" s="4"/>
      <c r="J46" s="4"/>
      <c r="K46" s="4">
        <v>231</v>
      </c>
      <c r="L46" s="4">
        <v>12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06" x14ac:dyDescent="0.2">
      <c r="A47" s="4">
        <v>50</v>
      </c>
      <c r="B47" s="4">
        <v>0</v>
      </c>
      <c r="C47" s="4">
        <v>0</v>
      </c>
      <c r="D47" s="4">
        <v>1</v>
      </c>
      <c r="E47" s="4">
        <v>204</v>
      </c>
      <c r="F47" s="4">
        <f>ROUND(Source!R33,O47)</f>
        <v>20462.14</v>
      </c>
      <c r="G47" s="4" t="s">
        <v>69</v>
      </c>
      <c r="H47" s="4" t="s">
        <v>70</v>
      </c>
      <c r="I47" s="4"/>
      <c r="J47" s="4"/>
      <c r="K47" s="4">
        <v>204</v>
      </c>
      <c r="L47" s="4">
        <v>13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20462.14</v>
      </c>
      <c r="X47" s="4">
        <v>1</v>
      </c>
      <c r="Y47" s="4">
        <v>20462.14</v>
      </c>
      <c r="Z47" s="4"/>
      <c r="AA47" s="4"/>
      <c r="AB47" s="4"/>
    </row>
    <row r="48" spans="1:206" x14ac:dyDescent="0.2">
      <c r="A48" s="4">
        <v>50</v>
      </c>
      <c r="B48" s="4">
        <v>0</v>
      </c>
      <c r="C48" s="4">
        <v>0</v>
      </c>
      <c r="D48" s="4">
        <v>1</v>
      </c>
      <c r="E48" s="4">
        <v>205</v>
      </c>
      <c r="F48" s="4">
        <f>ROUND(Source!S33,O48)</f>
        <v>188705.04</v>
      </c>
      <c r="G48" s="4" t="s">
        <v>71</v>
      </c>
      <c r="H48" s="4" t="s">
        <v>72</v>
      </c>
      <c r="I48" s="4"/>
      <c r="J48" s="4"/>
      <c r="K48" s="4">
        <v>205</v>
      </c>
      <c r="L48" s="4">
        <v>14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188705.04</v>
      </c>
      <c r="X48" s="4">
        <v>1</v>
      </c>
      <c r="Y48" s="4">
        <v>188705.04</v>
      </c>
      <c r="Z48" s="4"/>
      <c r="AA48" s="4"/>
      <c r="AB48" s="4"/>
    </row>
    <row r="49" spans="1:206" x14ac:dyDescent="0.2">
      <c r="A49" s="4">
        <v>50</v>
      </c>
      <c r="B49" s="4">
        <v>0</v>
      </c>
      <c r="C49" s="4">
        <v>0</v>
      </c>
      <c r="D49" s="4">
        <v>1</v>
      </c>
      <c r="E49" s="4">
        <v>232</v>
      </c>
      <c r="F49" s="4">
        <f>ROUND(Source!BC33,O49)</f>
        <v>0</v>
      </c>
      <c r="G49" s="4" t="s">
        <v>73</v>
      </c>
      <c r="H49" s="4" t="s">
        <v>74</v>
      </c>
      <c r="I49" s="4"/>
      <c r="J49" s="4"/>
      <c r="K49" s="4">
        <v>232</v>
      </c>
      <c r="L49" s="4">
        <v>15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06" x14ac:dyDescent="0.2">
      <c r="A50" s="4">
        <v>50</v>
      </c>
      <c r="B50" s="4">
        <v>0</v>
      </c>
      <c r="C50" s="4">
        <v>0</v>
      </c>
      <c r="D50" s="4">
        <v>1</v>
      </c>
      <c r="E50" s="4">
        <v>214</v>
      </c>
      <c r="F50" s="4">
        <f>ROUND(Source!AS33,O50)</f>
        <v>159861.45000000001</v>
      </c>
      <c r="G50" s="4" t="s">
        <v>75</v>
      </c>
      <c r="H50" s="4" t="s">
        <v>76</v>
      </c>
      <c r="I50" s="4"/>
      <c r="J50" s="4"/>
      <c r="K50" s="4">
        <v>214</v>
      </c>
      <c r="L50" s="4">
        <v>16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159861.45000000001</v>
      </c>
      <c r="X50" s="4">
        <v>1</v>
      </c>
      <c r="Y50" s="4">
        <v>159861.45000000001</v>
      </c>
      <c r="Z50" s="4"/>
      <c r="AA50" s="4"/>
      <c r="AB50" s="4"/>
    </row>
    <row r="51" spans="1:206" x14ac:dyDescent="0.2">
      <c r="A51" s="4">
        <v>50</v>
      </c>
      <c r="B51" s="4">
        <v>0</v>
      </c>
      <c r="C51" s="4">
        <v>0</v>
      </c>
      <c r="D51" s="4">
        <v>1</v>
      </c>
      <c r="E51" s="4">
        <v>215</v>
      </c>
      <c r="F51" s="4">
        <f>ROUND(Source!AT33,O51)</f>
        <v>0</v>
      </c>
      <c r="G51" s="4" t="s">
        <v>77</v>
      </c>
      <c r="H51" s="4" t="s">
        <v>78</v>
      </c>
      <c r="I51" s="4"/>
      <c r="J51" s="4"/>
      <c r="K51" s="4">
        <v>215</v>
      </c>
      <c r="L51" s="4">
        <v>17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06" x14ac:dyDescent="0.2">
      <c r="A52" s="4">
        <v>50</v>
      </c>
      <c r="B52" s="4">
        <v>0</v>
      </c>
      <c r="C52" s="4">
        <v>0</v>
      </c>
      <c r="D52" s="4">
        <v>1</v>
      </c>
      <c r="E52" s="4">
        <v>217</v>
      </c>
      <c r="F52" s="4">
        <f>ROUND(Source!AU33,O52)</f>
        <v>398167.65</v>
      </c>
      <c r="G52" s="4" t="s">
        <v>79</v>
      </c>
      <c r="H52" s="4" t="s">
        <v>80</v>
      </c>
      <c r="I52" s="4"/>
      <c r="J52" s="4"/>
      <c r="K52" s="4">
        <v>217</v>
      </c>
      <c r="L52" s="4">
        <v>18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398167.65</v>
      </c>
      <c r="X52" s="4">
        <v>1</v>
      </c>
      <c r="Y52" s="4">
        <v>398167.65</v>
      </c>
      <c r="Z52" s="4"/>
      <c r="AA52" s="4"/>
      <c r="AB52" s="4"/>
    </row>
    <row r="53" spans="1:206" x14ac:dyDescent="0.2">
      <c r="A53" s="4">
        <v>50</v>
      </c>
      <c r="B53" s="4">
        <v>0</v>
      </c>
      <c r="C53" s="4">
        <v>0</v>
      </c>
      <c r="D53" s="4">
        <v>1</v>
      </c>
      <c r="E53" s="4">
        <v>230</v>
      </c>
      <c r="F53" s="4">
        <f>ROUND(Source!BA33,O53)</f>
        <v>0</v>
      </c>
      <c r="G53" s="4" t="s">
        <v>81</v>
      </c>
      <c r="H53" s="4" t="s">
        <v>82</v>
      </c>
      <c r="I53" s="4"/>
      <c r="J53" s="4"/>
      <c r="K53" s="4">
        <v>230</v>
      </c>
      <c r="L53" s="4">
        <v>19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06" x14ac:dyDescent="0.2">
      <c r="A54" s="4">
        <v>50</v>
      </c>
      <c r="B54" s="4">
        <v>0</v>
      </c>
      <c r="C54" s="4">
        <v>0</v>
      </c>
      <c r="D54" s="4">
        <v>1</v>
      </c>
      <c r="E54" s="4">
        <v>206</v>
      </c>
      <c r="F54" s="4">
        <f>ROUND(Source!T33,O54)</f>
        <v>0</v>
      </c>
      <c r="G54" s="4" t="s">
        <v>83</v>
      </c>
      <c r="H54" s="4" t="s">
        <v>84</v>
      </c>
      <c r="I54" s="4"/>
      <c r="J54" s="4"/>
      <c r="K54" s="4">
        <v>206</v>
      </c>
      <c r="L54" s="4">
        <v>20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06" x14ac:dyDescent="0.2">
      <c r="A55" s="4">
        <v>50</v>
      </c>
      <c r="B55" s="4">
        <v>0</v>
      </c>
      <c r="C55" s="4">
        <v>0</v>
      </c>
      <c r="D55" s="4">
        <v>1</v>
      </c>
      <c r="E55" s="4">
        <v>207</v>
      </c>
      <c r="F55" s="4">
        <f>Source!U33</f>
        <v>398.81599999999997</v>
      </c>
      <c r="G55" s="4" t="s">
        <v>85</v>
      </c>
      <c r="H55" s="4" t="s">
        <v>86</v>
      </c>
      <c r="I55" s="4"/>
      <c r="J55" s="4"/>
      <c r="K55" s="4">
        <v>207</v>
      </c>
      <c r="L55" s="4">
        <v>21</v>
      </c>
      <c r="M55" s="4">
        <v>3</v>
      </c>
      <c r="N55" s="4" t="s">
        <v>3</v>
      </c>
      <c r="O55" s="4">
        <v>-1</v>
      </c>
      <c r="P55" s="4"/>
      <c r="Q55" s="4"/>
      <c r="R55" s="4"/>
      <c r="S55" s="4"/>
      <c r="T55" s="4"/>
      <c r="U55" s="4"/>
      <c r="V55" s="4"/>
      <c r="W55" s="4">
        <v>398.81599999999997</v>
      </c>
      <c r="X55" s="4">
        <v>1</v>
      </c>
      <c r="Y55" s="4">
        <v>398.81599999999997</v>
      </c>
      <c r="Z55" s="4"/>
      <c r="AA55" s="4"/>
      <c r="AB55" s="4"/>
    </row>
    <row r="56" spans="1:206" x14ac:dyDescent="0.2">
      <c r="A56" s="4">
        <v>50</v>
      </c>
      <c r="B56" s="4">
        <v>0</v>
      </c>
      <c r="C56" s="4">
        <v>0</v>
      </c>
      <c r="D56" s="4">
        <v>1</v>
      </c>
      <c r="E56" s="4">
        <v>208</v>
      </c>
      <c r="F56" s="4">
        <f>Source!V33</f>
        <v>0</v>
      </c>
      <c r="G56" s="4" t="s">
        <v>87</v>
      </c>
      <c r="H56" s="4" t="s">
        <v>88</v>
      </c>
      <c r="I56" s="4"/>
      <c r="J56" s="4"/>
      <c r="K56" s="4">
        <v>208</v>
      </c>
      <c r="L56" s="4">
        <v>22</v>
      </c>
      <c r="M56" s="4">
        <v>3</v>
      </c>
      <c r="N56" s="4" t="s">
        <v>3</v>
      </c>
      <c r="O56" s="4">
        <v>-1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06" x14ac:dyDescent="0.2">
      <c r="A57" s="4">
        <v>50</v>
      </c>
      <c r="B57" s="4">
        <v>0</v>
      </c>
      <c r="C57" s="4">
        <v>0</v>
      </c>
      <c r="D57" s="4">
        <v>1</v>
      </c>
      <c r="E57" s="4">
        <v>209</v>
      </c>
      <c r="F57" s="4">
        <f>ROUND(Source!W33,O57)</f>
        <v>0</v>
      </c>
      <c r="G57" s="4" t="s">
        <v>89</v>
      </c>
      <c r="H57" s="4" t="s">
        <v>90</v>
      </c>
      <c r="I57" s="4"/>
      <c r="J57" s="4"/>
      <c r="K57" s="4">
        <v>209</v>
      </c>
      <c r="L57" s="4">
        <v>23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06" x14ac:dyDescent="0.2">
      <c r="A58" s="4">
        <v>50</v>
      </c>
      <c r="B58" s="4">
        <v>0</v>
      </c>
      <c r="C58" s="4">
        <v>0</v>
      </c>
      <c r="D58" s="4">
        <v>1</v>
      </c>
      <c r="E58" s="4">
        <v>233</v>
      </c>
      <c r="F58" s="4">
        <f>ROUND(Source!BD33,O58)</f>
        <v>0</v>
      </c>
      <c r="G58" s="4" t="s">
        <v>91</v>
      </c>
      <c r="H58" s="4" t="s">
        <v>92</v>
      </c>
      <c r="I58" s="4"/>
      <c r="J58" s="4"/>
      <c r="K58" s="4">
        <v>233</v>
      </c>
      <c r="L58" s="4">
        <v>24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0</v>
      </c>
      <c r="X58" s="4">
        <v>1</v>
      </c>
      <c r="Y58" s="4">
        <v>0</v>
      </c>
      <c r="Z58" s="4"/>
      <c r="AA58" s="4"/>
      <c r="AB58" s="4"/>
    </row>
    <row r="59" spans="1:206" x14ac:dyDescent="0.2">
      <c r="A59" s="4">
        <v>50</v>
      </c>
      <c r="B59" s="4">
        <v>0</v>
      </c>
      <c r="C59" s="4">
        <v>0</v>
      </c>
      <c r="D59" s="4">
        <v>1</v>
      </c>
      <c r="E59" s="4">
        <v>210</v>
      </c>
      <c r="F59" s="4">
        <f>ROUND(Source!X33,O59)</f>
        <v>132093.54</v>
      </c>
      <c r="G59" s="4" t="s">
        <v>93</v>
      </c>
      <c r="H59" s="4" t="s">
        <v>94</v>
      </c>
      <c r="I59" s="4"/>
      <c r="J59" s="4"/>
      <c r="K59" s="4">
        <v>210</v>
      </c>
      <c r="L59" s="4">
        <v>25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132093.54</v>
      </c>
      <c r="X59" s="4">
        <v>1</v>
      </c>
      <c r="Y59" s="4">
        <v>132093.54</v>
      </c>
      <c r="Z59" s="4"/>
      <c r="AA59" s="4"/>
      <c r="AB59" s="4"/>
    </row>
    <row r="60" spans="1:206" x14ac:dyDescent="0.2">
      <c r="A60" s="4">
        <v>50</v>
      </c>
      <c r="B60" s="4">
        <v>0</v>
      </c>
      <c r="C60" s="4">
        <v>0</v>
      </c>
      <c r="D60" s="4">
        <v>1</v>
      </c>
      <c r="E60" s="4">
        <v>211</v>
      </c>
      <c r="F60" s="4">
        <f>ROUND(Source!Y33,O60)</f>
        <v>77369.070000000007</v>
      </c>
      <c r="G60" s="4" t="s">
        <v>95</v>
      </c>
      <c r="H60" s="4" t="s">
        <v>96</v>
      </c>
      <c r="I60" s="4"/>
      <c r="J60" s="4"/>
      <c r="K60" s="4">
        <v>211</v>
      </c>
      <c r="L60" s="4">
        <v>26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77369.070000000007</v>
      </c>
      <c r="X60" s="4">
        <v>1</v>
      </c>
      <c r="Y60" s="4">
        <v>77369.070000000007</v>
      </c>
      <c r="Z60" s="4"/>
      <c r="AA60" s="4"/>
      <c r="AB60" s="4"/>
    </row>
    <row r="61" spans="1:206" x14ac:dyDescent="0.2">
      <c r="A61" s="4">
        <v>50</v>
      </c>
      <c r="B61" s="4">
        <v>0</v>
      </c>
      <c r="C61" s="4">
        <v>0</v>
      </c>
      <c r="D61" s="4">
        <v>1</v>
      </c>
      <c r="E61" s="4">
        <v>224</v>
      </c>
      <c r="F61" s="4">
        <f>ROUND(Source!AR33,O61)</f>
        <v>558029.1</v>
      </c>
      <c r="G61" s="4" t="s">
        <v>97</v>
      </c>
      <c r="H61" s="4" t="s">
        <v>98</v>
      </c>
      <c r="I61" s="4"/>
      <c r="J61" s="4"/>
      <c r="K61" s="4">
        <v>224</v>
      </c>
      <c r="L61" s="4">
        <v>27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558029.1</v>
      </c>
      <c r="X61" s="4">
        <v>1</v>
      </c>
      <c r="Y61" s="4">
        <v>558029.1</v>
      </c>
      <c r="Z61" s="4"/>
      <c r="AA61" s="4"/>
      <c r="AB61" s="4"/>
    </row>
    <row r="63" spans="1:206" x14ac:dyDescent="0.2">
      <c r="A63" s="2">
        <v>51</v>
      </c>
      <c r="B63" s="2">
        <f>B20</f>
        <v>1</v>
      </c>
      <c r="C63" s="2">
        <f>A20</f>
        <v>3</v>
      </c>
      <c r="D63" s="2">
        <f>ROW(A20)</f>
        <v>20</v>
      </c>
      <c r="E63" s="2"/>
      <c r="F63" s="2" t="str">
        <f>IF(F20&lt;&gt;"",F20,"")</f>
        <v/>
      </c>
      <c r="G63" s="2" t="str">
        <f>IF(G20&lt;&gt;"",G20,"")</f>
        <v>ПНР КЛ (3 этап) от СП 60006 до СП 60004</v>
      </c>
      <c r="H63" s="2">
        <v>0</v>
      </c>
      <c r="I63" s="2"/>
      <c r="J63" s="2"/>
      <c r="K63" s="2"/>
      <c r="L63" s="2"/>
      <c r="M63" s="2"/>
      <c r="N63" s="2"/>
      <c r="O63" s="2">
        <f t="shared" ref="O63:T63" si="25">ROUND(O33+AB63,2)</f>
        <v>315827.07</v>
      </c>
      <c r="P63" s="2">
        <f t="shared" si="25"/>
        <v>0</v>
      </c>
      <c r="Q63" s="2">
        <f t="shared" si="25"/>
        <v>127122.03</v>
      </c>
      <c r="R63" s="2">
        <f t="shared" si="25"/>
        <v>20462.14</v>
      </c>
      <c r="S63" s="2">
        <f t="shared" si="25"/>
        <v>188705.04</v>
      </c>
      <c r="T63" s="2">
        <f t="shared" si="25"/>
        <v>0</v>
      </c>
      <c r="U63" s="2">
        <f>U33+AH63</f>
        <v>398.81599999999997</v>
      </c>
      <c r="V63" s="2">
        <f>V33+AI63</f>
        <v>0</v>
      </c>
      <c r="W63" s="2">
        <f>ROUND(W33+AJ63,2)</f>
        <v>0</v>
      </c>
      <c r="X63" s="2">
        <f>ROUND(X33+AK63,2)</f>
        <v>132093.54</v>
      </c>
      <c r="Y63" s="2">
        <f>ROUND(Y33+AL63,2)</f>
        <v>77369.070000000007</v>
      </c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>
        <f t="shared" ref="AO63:BD63" si="26">ROUND(AO33+BX63,2)</f>
        <v>0</v>
      </c>
      <c r="AP63" s="2">
        <f t="shared" si="26"/>
        <v>0</v>
      </c>
      <c r="AQ63" s="2">
        <f t="shared" si="26"/>
        <v>0</v>
      </c>
      <c r="AR63" s="2">
        <f t="shared" si="26"/>
        <v>558029.1</v>
      </c>
      <c r="AS63" s="2">
        <f t="shared" si="26"/>
        <v>159861.45000000001</v>
      </c>
      <c r="AT63" s="2">
        <f t="shared" si="26"/>
        <v>0</v>
      </c>
      <c r="AU63" s="2">
        <f t="shared" si="26"/>
        <v>398167.65</v>
      </c>
      <c r="AV63" s="2">
        <f t="shared" si="26"/>
        <v>0</v>
      </c>
      <c r="AW63" s="2">
        <f t="shared" si="26"/>
        <v>0</v>
      </c>
      <c r="AX63" s="2">
        <f t="shared" si="26"/>
        <v>0</v>
      </c>
      <c r="AY63" s="2">
        <f t="shared" si="26"/>
        <v>0</v>
      </c>
      <c r="AZ63" s="2">
        <f t="shared" si="26"/>
        <v>0</v>
      </c>
      <c r="BA63" s="2">
        <f t="shared" si="26"/>
        <v>0</v>
      </c>
      <c r="BB63" s="2">
        <f t="shared" si="26"/>
        <v>0</v>
      </c>
      <c r="BC63" s="2">
        <f t="shared" si="26"/>
        <v>0</v>
      </c>
      <c r="BD63" s="2">
        <f t="shared" si="26"/>
        <v>0</v>
      </c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>
        <v>0</v>
      </c>
    </row>
    <row r="65" spans="1:28" x14ac:dyDescent="0.2">
      <c r="A65" s="4">
        <v>50</v>
      </c>
      <c r="B65" s="4">
        <v>0</v>
      </c>
      <c r="C65" s="4">
        <v>0</v>
      </c>
      <c r="D65" s="4">
        <v>1</v>
      </c>
      <c r="E65" s="4">
        <v>201</v>
      </c>
      <c r="F65" s="4">
        <f>ROUND(Source!O63,O65)</f>
        <v>315827.07</v>
      </c>
      <c r="G65" s="4" t="s">
        <v>45</v>
      </c>
      <c r="H65" s="4" t="s">
        <v>46</v>
      </c>
      <c r="I65" s="4"/>
      <c r="J65" s="4"/>
      <c r="K65" s="4">
        <v>201</v>
      </c>
      <c r="L65" s="4">
        <v>1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315827.07</v>
      </c>
      <c r="X65" s="4">
        <v>1</v>
      </c>
      <c r="Y65" s="4">
        <v>315827.07</v>
      </c>
      <c r="Z65" s="4"/>
      <c r="AA65" s="4"/>
      <c r="AB65" s="4"/>
    </row>
    <row r="66" spans="1:28" x14ac:dyDescent="0.2">
      <c r="A66" s="4">
        <v>50</v>
      </c>
      <c r="B66" s="4">
        <v>0</v>
      </c>
      <c r="C66" s="4">
        <v>0</v>
      </c>
      <c r="D66" s="4">
        <v>1</v>
      </c>
      <c r="E66" s="4">
        <v>202</v>
      </c>
      <c r="F66" s="4">
        <f>ROUND(Source!P63,O66)</f>
        <v>0</v>
      </c>
      <c r="G66" s="4" t="s">
        <v>47</v>
      </c>
      <c r="H66" s="4" t="s">
        <v>48</v>
      </c>
      <c r="I66" s="4"/>
      <c r="J66" s="4"/>
      <c r="K66" s="4">
        <v>202</v>
      </c>
      <c r="L66" s="4">
        <v>2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28" x14ac:dyDescent="0.2">
      <c r="A67" s="4">
        <v>50</v>
      </c>
      <c r="B67" s="4">
        <v>0</v>
      </c>
      <c r="C67" s="4">
        <v>0</v>
      </c>
      <c r="D67" s="4">
        <v>1</v>
      </c>
      <c r="E67" s="4">
        <v>222</v>
      </c>
      <c r="F67" s="4">
        <f>ROUND(Source!AO63,O67)</f>
        <v>0</v>
      </c>
      <c r="G67" s="4" t="s">
        <v>49</v>
      </c>
      <c r="H67" s="4" t="s">
        <v>50</v>
      </c>
      <c r="I67" s="4"/>
      <c r="J67" s="4"/>
      <c r="K67" s="4">
        <v>222</v>
      </c>
      <c r="L67" s="4">
        <v>3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8" x14ac:dyDescent="0.2">
      <c r="A68" s="4">
        <v>50</v>
      </c>
      <c r="B68" s="4">
        <v>0</v>
      </c>
      <c r="C68" s="4">
        <v>0</v>
      </c>
      <c r="D68" s="4">
        <v>1</v>
      </c>
      <c r="E68" s="4">
        <v>225</v>
      </c>
      <c r="F68" s="4">
        <f>ROUND(Source!AV63,O68)</f>
        <v>0</v>
      </c>
      <c r="G68" s="4" t="s">
        <v>51</v>
      </c>
      <c r="H68" s="4" t="s">
        <v>52</v>
      </c>
      <c r="I68" s="4"/>
      <c r="J68" s="4"/>
      <c r="K68" s="4">
        <v>225</v>
      </c>
      <c r="L68" s="4">
        <v>4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8" x14ac:dyDescent="0.2">
      <c r="A69" s="4">
        <v>50</v>
      </c>
      <c r="B69" s="4">
        <v>0</v>
      </c>
      <c r="C69" s="4">
        <v>0</v>
      </c>
      <c r="D69" s="4">
        <v>1</v>
      </c>
      <c r="E69" s="4">
        <v>226</v>
      </c>
      <c r="F69" s="4">
        <f>ROUND(Source!AW63,O69)</f>
        <v>0</v>
      </c>
      <c r="G69" s="4" t="s">
        <v>53</v>
      </c>
      <c r="H69" s="4" t="s">
        <v>54</v>
      </c>
      <c r="I69" s="4"/>
      <c r="J69" s="4"/>
      <c r="K69" s="4">
        <v>226</v>
      </c>
      <c r="L69" s="4">
        <v>5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28" x14ac:dyDescent="0.2">
      <c r="A70" s="4">
        <v>50</v>
      </c>
      <c r="B70" s="4">
        <v>0</v>
      </c>
      <c r="C70" s="4">
        <v>0</v>
      </c>
      <c r="D70" s="4">
        <v>1</v>
      </c>
      <c r="E70" s="4">
        <v>227</v>
      </c>
      <c r="F70" s="4">
        <f>ROUND(Source!AX63,O70)</f>
        <v>0</v>
      </c>
      <c r="G70" s="4" t="s">
        <v>55</v>
      </c>
      <c r="H70" s="4" t="s">
        <v>56</v>
      </c>
      <c r="I70" s="4"/>
      <c r="J70" s="4"/>
      <c r="K70" s="4">
        <v>227</v>
      </c>
      <c r="L70" s="4">
        <v>6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28" x14ac:dyDescent="0.2">
      <c r="A71" s="4">
        <v>50</v>
      </c>
      <c r="B71" s="4">
        <v>0</v>
      </c>
      <c r="C71" s="4">
        <v>0</v>
      </c>
      <c r="D71" s="4">
        <v>1</v>
      </c>
      <c r="E71" s="4">
        <v>228</v>
      </c>
      <c r="F71" s="4">
        <f>ROUND(Source!AY63,O71)</f>
        <v>0</v>
      </c>
      <c r="G71" s="4" t="s">
        <v>57</v>
      </c>
      <c r="H71" s="4" t="s">
        <v>58</v>
      </c>
      <c r="I71" s="4"/>
      <c r="J71" s="4"/>
      <c r="K71" s="4">
        <v>228</v>
      </c>
      <c r="L71" s="4">
        <v>7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0</v>
      </c>
      <c r="X71" s="4">
        <v>1</v>
      </c>
      <c r="Y71" s="4">
        <v>0</v>
      </c>
      <c r="Z71" s="4"/>
      <c r="AA71" s="4"/>
      <c r="AB71" s="4"/>
    </row>
    <row r="72" spans="1:28" x14ac:dyDescent="0.2">
      <c r="A72" s="4">
        <v>50</v>
      </c>
      <c r="B72" s="4">
        <v>0</v>
      </c>
      <c r="C72" s="4">
        <v>0</v>
      </c>
      <c r="D72" s="4">
        <v>1</v>
      </c>
      <c r="E72" s="4">
        <v>216</v>
      </c>
      <c r="F72" s="4">
        <f>ROUND(Source!AP63,O72)</f>
        <v>0</v>
      </c>
      <c r="G72" s="4" t="s">
        <v>59</v>
      </c>
      <c r="H72" s="4" t="s">
        <v>60</v>
      </c>
      <c r="I72" s="4"/>
      <c r="J72" s="4"/>
      <c r="K72" s="4">
        <v>216</v>
      </c>
      <c r="L72" s="4">
        <v>8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0</v>
      </c>
      <c r="X72" s="4">
        <v>1</v>
      </c>
      <c r="Y72" s="4">
        <v>0</v>
      </c>
      <c r="Z72" s="4"/>
      <c r="AA72" s="4"/>
      <c r="AB72" s="4"/>
    </row>
    <row r="73" spans="1:28" x14ac:dyDescent="0.2">
      <c r="A73" s="4">
        <v>50</v>
      </c>
      <c r="B73" s="4">
        <v>0</v>
      </c>
      <c r="C73" s="4">
        <v>0</v>
      </c>
      <c r="D73" s="4">
        <v>1</v>
      </c>
      <c r="E73" s="4">
        <v>223</v>
      </c>
      <c r="F73" s="4">
        <f>ROUND(Source!AQ63,O73)</f>
        <v>0</v>
      </c>
      <c r="G73" s="4" t="s">
        <v>61</v>
      </c>
      <c r="H73" s="4" t="s">
        <v>62</v>
      </c>
      <c r="I73" s="4"/>
      <c r="J73" s="4"/>
      <c r="K73" s="4">
        <v>223</v>
      </c>
      <c r="L73" s="4">
        <v>9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0</v>
      </c>
      <c r="X73" s="4">
        <v>1</v>
      </c>
      <c r="Y73" s="4">
        <v>0</v>
      </c>
      <c r="Z73" s="4"/>
      <c r="AA73" s="4"/>
      <c r="AB73" s="4"/>
    </row>
    <row r="74" spans="1:28" x14ac:dyDescent="0.2">
      <c r="A74" s="4">
        <v>50</v>
      </c>
      <c r="B74" s="4">
        <v>0</v>
      </c>
      <c r="C74" s="4">
        <v>0</v>
      </c>
      <c r="D74" s="4">
        <v>1</v>
      </c>
      <c r="E74" s="4">
        <v>229</v>
      </c>
      <c r="F74" s="4">
        <f>ROUND(Source!AZ63,O74)</f>
        <v>0</v>
      </c>
      <c r="G74" s="4" t="s">
        <v>63</v>
      </c>
      <c r="H74" s="4" t="s">
        <v>64</v>
      </c>
      <c r="I74" s="4"/>
      <c r="J74" s="4"/>
      <c r="K74" s="4">
        <v>229</v>
      </c>
      <c r="L74" s="4">
        <v>10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0</v>
      </c>
      <c r="X74" s="4">
        <v>1</v>
      </c>
      <c r="Y74" s="4">
        <v>0</v>
      </c>
      <c r="Z74" s="4"/>
      <c r="AA74" s="4"/>
      <c r="AB74" s="4"/>
    </row>
    <row r="75" spans="1:28" x14ac:dyDescent="0.2">
      <c r="A75" s="4">
        <v>50</v>
      </c>
      <c r="B75" s="4">
        <v>0</v>
      </c>
      <c r="C75" s="4">
        <v>0</v>
      </c>
      <c r="D75" s="4">
        <v>1</v>
      </c>
      <c r="E75" s="4">
        <v>203</v>
      </c>
      <c r="F75" s="4">
        <f>ROUND(Source!Q63,O75)</f>
        <v>127122.03</v>
      </c>
      <c r="G75" s="4" t="s">
        <v>65</v>
      </c>
      <c r="H75" s="4" t="s">
        <v>66</v>
      </c>
      <c r="I75" s="4"/>
      <c r="J75" s="4"/>
      <c r="K75" s="4">
        <v>203</v>
      </c>
      <c r="L75" s="4">
        <v>11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127122.03</v>
      </c>
      <c r="X75" s="4">
        <v>1</v>
      </c>
      <c r="Y75" s="4">
        <v>127122.03</v>
      </c>
      <c r="Z75" s="4"/>
      <c r="AA75" s="4"/>
      <c r="AB75" s="4"/>
    </row>
    <row r="76" spans="1:28" x14ac:dyDescent="0.2">
      <c r="A76" s="4">
        <v>50</v>
      </c>
      <c r="B76" s="4">
        <v>0</v>
      </c>
      <c r="C76" s="4">
        <v>0</v>
      </c>
      <c r="D76" s="4">
        <v>1</v>
      </c>
      <c r="E76" s="4">
        <v>231</v>
      </c>
      <c r="F76" s="4">
        <f>ROUND(Source!BB63,O76)</f>
        <v>0</v>
      </c>
      <c r="G76" s="4" t="s">
        <v>67</v>
      </c>
      <c r="H76" s="4" t="s">
        <v>68</v>
      </c>
      <c r="I76" s="4"/>
      <c r="J76" s="4"/>
      <c r="K76" s="4">
        <v>231</v>
      </c>
      <c r="L76" s="4">
        <v>12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0</v>
      </c>
      <c r="X76" s="4">
        <v>1</v>
      </c>
      <c r="Y76" s="4">
        <v>0</v>
      </c>
      <c r="Z76" s="4"/>
      <c r="AA76" s="4"/>
      <c r="AB76" s="4"/>
    </row>
    <row r="77" spans="1:28" x14ac:dyDescent="0.2">
      <c r="A77" s="4">
        <v>50</v>
      </c>
      <c r="B77" s="4">
        <v>0</v>
      </c>
      <c r="C77" s="4">
        <v>0</v>
      </c>
      <c r="D77" s="4">
        <v>1</v>
      </c>
      <c r="E77" s="4">
        <v>204</v>
      </c>
      <c r="F77" s="4">
        <f>ROUND(Source!R63,O77)</f>
        <v>20462.14</v>
      </c>
      <c r="G77" s="4" t="s">
        <v>69</v>
      </c>
      <c r="H77" s="4" t="s">
        <v>70</v>
      </c>
      <c r="I77" s="4"/>
      <c r="J77" s="4"/>
      <c r="K77" s="4">
        <v>204</v>
      </c>
      <c r="L77" s="4">
        <v>13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20462.14</v>
      </c>
      <c r="X77" s="4">
        <v>1</v>
      </c>
      <c r="Y77" s="4">
        <v>20462.14</v>
      </c>
      <c r="Z77" s="4"/>
      <c r="AA77" s="4"/>
      <c r="AB77" s="4"/>
    </row>
    <row r="78" spans="1:28" x14ac:dyDescent="0.2">
      <c r="A78" s="4">
        <v>50</v>
      </c>
      <c r="B78" s="4">
        <v>0</v>
      </c>
      <c r="C78" s="4">
        <v>0</v>
      </c>
      <c r="D78" s="4">
        <v>1</v>
      </c>
      <c r="E78" s="4">
        <v>205</v>
      </c>
      <c r="F78" s="4">
        <f>ROUND(Source!S63,O78)</f>
        <v>188705.04</v>
      </c>
      <c r="G78" s="4" t="s">
        <v>71</v>
      </c>
      <c r="H78" s="4" t="s">
        <v>72</v>
      </c>
      <c r="I78" s="4"/>
      <c r="J78" s="4"/>
      <c r="K78" s="4">
        <v>205</v>
      </c>
      <c r="L78" s="4">
        <v>14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188705.04</v>
      </c>
      <c r="X78" s="4">
        <v>1</v>
      </c>
      <c r="Y78" s="4">
        <v>188705.04</v>
      </c>
      <c r="Z78" s="4"/>
      <c r="AA78" s="4"/>
      <c r="AB78" s="4"/>
    </row>
    <row r="79" spans="1:28" x14ac:dyDescent="0.2">
      <c r="A79" s="4">
        <v>50</v>
      </c>
      <c r="B79" s="4">
        <v>0</v>
      </c>
      <c r="C79" s="4">
        <v>0</v>
      </c>
      <c r="D79" s="4">
        <v>1</v>
      </c>
      <c r="E79" s="4">
        <v>232</v>
      </c>
      <c r="F79" s="4">
        <f>ROUND(Source!BC63,O79)</f>
        <v>0</v>
      </c>
      <c r="G79" s="4" t="s">
        <v>73</v>
      </c>
      <c r="H79" s="4" t="s">
        <v>74</v>
      </c>
      <c r="I79" s="4"/>
      <c r="J79" s="4"/>
      <c r="K79" s="4">
        <v>232</v>
      </c>
      <c r="L79" s="4">
        <v>15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0</v>
      </c>
      <c r="X79" s="4">
        <v>1</v>
      </c>
      <c r="Y79" s="4">
        <v>0</v>
      </c>
      <c r="Z79" s="4"/>
      <c r="AA79" s="4"/>
      <c r="AB79" s="4"/>
    </row>
    <row r="80" spans="1:28" x14ac:dyDescent="0.2">
      <c r="A80" s="4">
        <v>50</v>
      </c>
      <c r="B80" s="4">
        <v>0</v>
      </c>
      <c r="C80" s="4">
        <v>0</v>
      </c>
      <c r="D80" s="4">
        <v>1</v>
      </c>
      <c r="E80" s="4">
        <v>214</v>
      </c>
      <c r="F80" s="4">
        <f>ROUND(Source!AS63,O80)</f>
        <v>159861.45000000001</v>
      </c>
      <c r="G80" s="4" t="s">
        <v>75</v>
      </c>
      <c r="H80" s="4" t="s">
        <v>76</v>
      </c>
      <c r="I80" s="4"/>
      <c r="J80" s="4"/>
      <c r="K80" s="4">
        <v>214</v>
      </c>
      <c r="L80" s="4">
        <v>16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159861.45000000001</v>
      </c>
      <c r="X80" s="4">
        <v>1</v>
      </c>
      <c r="Y80" s="4">
        <v>159861.45000000001</v>
      </c>
      <c r="Z80" s="4"/>
      <c r="AA80" s="4"/>
      <c r="AB80" s="4"/>
    </row>
    <row r="81" spans="1:206" x14ac:dyDescent="0.2">
      <c r="A81" s="4">
        <v>50</v>
      </c>
      <c r="B81" s="4">
        <v>0</v>
      </c>
      <c r="C81" s="4">
        <v>0</v>
      </c>
      <c r="D81" s="4">
        <v>1</v>
      </c>
      <c r="E81" s="4">
        <v>215</v>
      </c>
      <c r="F81" s="4">
        <f>ROUND(Source!AT63,O81)</f>
        <v>0</v>
      </c>
      <c r="G81" s="4" t="s">
        <v>77</v>
      </c>
      <c r="H81" s="4" t="s">
        <v>78</v>
      </c>
      <c r="I81" s="4"/>
      <c r="J81" s="4"/>
      <c r="K81" s="4">
        <v>215</v>
      </c>
      <c r="L81" s="4">
        <v>17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0</v>
      </c>
      <c r="X81" s="4">
        <v>1</v>
      </c>
      <c r="Y81" s="4">
        <v>0</v>
      </c>
      <c r="Z81" s="4"/>
      <c r="AA81" s="4"/>
      <c r="AB81" s="4"/>
    </row>
    <row r="82" spans="1:206" x14ac:dyDescent="0.2">
      <c r="A82" s="4">
        <v>50</v>
      </c>
      <c r="B82" s="4">
        <v>0</v>
      </c>
      <c r="C82" s="4">
        <v>0</v>
      </c>
      <c r="D82" s="4">
        <v>1</v>
      </c>
      <c r="E82" s="4">
        <v>217</v>
      </c>
      <c r="F82" s="4">
        <f>ROUND(Source!AU63,O82)</f>
        <v>398167.65</v>
      </c>
      <c r="G82" s="4" t="s">
        <v>79</v>
      </c>
      <c r="H82" s="4" t="s">
        <v>80</v>
      </c>
      <c r="I82" s="4"/>
      <c r="J82" s="4"/>
      <c r="K82" s="4">
        <v>217</v>
      </c>
      <c r="L82" s="4">
        <v>18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398167.65</v>
      </c>
      <c r="X82" s="4">
        <v>1</v>
      </c>
      <c r="Y82" s="4">
        <v>398167.65</v>
      </c>
      <c r="Z82" s="4"/>
      <c r="AA82" s="4"/>
      <c r="AB82" s="4"/>
    </row>
    <row r="83" spans="1:206" x14ac:dyDescent="0.2">
      <c r="A83" s="4">
        <v>50</v>
      </c>
      <c r="B83" s="4">
        <v>0</v>
      </c>
      <c r="C83" s="4">
        <v>0</v>
      </c>
      <c r="D83" s="4">
        <v>1</v>
      </c>
      <c r="E83" s="4">
        <v>230</v>
      </c>
      <c r="F83" s="4">
        <f>ROUND(Source!BA63,O83)</f>
        <v>0</v>
      </c>
      <c r="G83" s="4" t="s">
        <v>81</v>
      </c>
      <c r="H83" s="4" t="s">
        <v>82</v>
      </c>
      <c r="I83" s="4"/>
      <c r="J83" s="4"/>
      <c r="K83" s="4">
        <v>230</v>
      </c>
      <c r="L83" s="4">
        <v>19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0</v>
      </c>
      <c r="X83" s="4">
        <v>1</v>
      </c>
      <c r="Y83" s="4">
        <v>0</v>
      </c>
      <c r="Z83" s="4"/>
      <c r="AA83" s="4"/>
      <c r="AB83" s="4"/>
    </row>
    <row r="84" spans="1:206" x14ac:dyDescent="0.2">
      <c r="A84" s="4">
        <v>50</v>
      </c>
      <c r="B84" s="4">
        <v>0</v>
      </c>
      <c r="C84" s="4">
        <v>0</v>
      </c>
      <c r="D84" s="4">
        <v>1</v>
      </c>
      <c r="E84" s="4">
        <v>206</v>
      </c>
      <c r="F84" s="4">
        <f>ROUND(Source!T63,O84)</f>
        <v>0</v>
      </c>
      <c r="G84" s="4" t="s">
        <v>83</v>
      </c>
      <c r="H84" s="4" t="s">
        <v>84</v>
      </c>
      <c r="I84" s="4"/>
      <c r="J84" s="4"/>
      <c r="K84" s="4">
        <v>206</v>
      </c>
      <c r="L84" s="4">
        <v>20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206" x14ac:dyDescent="0.2">
      <c r="A85" s="4">
        <v>50</v>
      </c>
      <c r="B85" s="4">
        <v>0</v>
      </c>
      <c r="C85" s="4">
        <v>0</v>
      </c>
      <c r="D85" s="4">
        <v>1</v>
      </c>
      <c r="E85" s="4">
        <v>207</v>
      </c>
      <c r="F85" s="4">
        <f>Source!U63</f>
        <v>398.81599999999997</v>
      </c>
      <c r="G85" s="4" t="s">
        <v>85</v>
      </c>
      <c r="H85" s="4" t="s">
        <v>86</v>
      </c>
      <c r="I85" s="4"/>
      <c r="J85" s="4"/>
      <c r="K85" s="4">
        <v>207</v>
      </c>
      <c r="L85" s="4">
        <v>21</v>
      </c>
      <c r="M85" s="4">
        <v>3</v>
      </c>
      <c r="N85" s="4" t="s">
        <v>3</v>
      </c>
      <c r="O85" s="4">
        <v>-1</v>
      </c>
      <c r="P85" s="4"/>
      <c r="Q85" s="4"/>
      <c r="R85" s="4"/>
      <c r="S85" s="4"/>
      <c r="T85" s="4"/>
      <c r="U85" s="4"/>
      <c r="V85" s="4"/>
      <c r="W85" s="4">
        <v>398.81599999999997</v>
      </c>
      <c r="X85" s="4">
        <v>1</v>
      </c>
      <c r="Y85" s="4">
        <v>398.81599999999997</v>
      </c>
      <c r="Z85" s="4"/>
      <c r="AA85" s="4"/>
      <c r="AB85" s="4"/>
    </row>
    <row r="86" spans="1:206" x14ac:dyDescent="0.2">
      <c r="A86" s="4">
        <v>50</v>
      </c>
      <c r="B86" s="4">
        <v>0</v>
      </c>
      <c r="C86" s="4">
        <v>0</v>
      </c>
      <c r="D86" s="4">
        <v>1</v>
      </c>
      <c r="E86" s="4">
        <v>208</v>
      </c>
      <c r="F86" s="4">
        <f>Source!V63</f>
        <v>0</v>
      </c>
      <c r="G86" s="4" t="s">
        <v>87</v>
      </c>
      <c r="H86" s="4" t="s">
        <v>88</v>
      </c>
      <c r="I86" s="4"/>
      <c r="J86" s="4"/>
      <c r="K86" s="4">
        <v>208</v>
      </c>
      <c r="L86" s="4">
        <v>22</v>
      </c>
      <c r="M86" s="4">
        <v>3</v>
      </c>
      <c r="N86" s="4" t="s">
        <v>3</v>
      </c>
      <c r="O86" s="4">
        <v>-1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206" x14ac:dyDescent="0.2">
      <c r="A87" s="4">
        <v>50</v>
      </c>
      <c r="B87" s="4">
        <v>0</v>
      </c>
      <c r="C87" s="4">
        <v>0</v>
      </c>
      <c r="D87" s="4">
        <v>1</v>
      </c>
      <c r="E87" s="4">
        <v>209</v>
      </c>
      <c r="F87" s="4">
        <f>ROUND(Source!W63,O87)</f>
        <v>0</v>
      </c>
      <c r="G87" s="4" t="s">
        <v>89</v>
      </c>
      <c r="H87" s="4" t="s">
        <v>90</v>
      </c>
      <c r="I87" s="4"/>
      <c r="J87" s="4"/>
      <c r="K87" s="4">
        <v>209</v>
      </c>
      <c r="L87" s="4">
        <v>23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06" x14ac:dyDescent="0.2">
      <c r="A88" s="4">
        <v>50</v>
      </c>
      <c r="B88" s="4">
        <v>0</v>
      </c>
      <c r="C88" s="4">
        <v>0</v>
      </c>
      <c r="D88" s="4">
        <v>1</v>
      </c>
      <c r="E88" s="4">
        <v>233</v>
      </c>
      <c r="F88" s="4">
        <f>ROUND(Source!BD63,O88)</f>
        <v>0</v>
      </c>
      <c r="G88" s="4" t="s">
        <v>91</v>
      </c>
      <c r="H88" s="4" t="s">
        <v>92</v>
      </c>
      <c r="I88" s="4"/>
      <c r="J88" s="4"/>
      <c r="K88" s="4">
        <v>233</v>
      </c>
      <c r="L88" s="4">
        <v>24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0</v>
      </c>
      <c r="X88" s="4">
        <v>1</v>
      </c>
      <c r="Y88" s="4">
        <v>0</v>
      </c>
      <c r="Z88" s="4"/>
      <c r="AA88" s="4"/>
      <c r="AB88" s="4"/>
    </row>
    <row r="89" spans="1:206" x14ac:dyDescent="0.2">
      <c r="A89" s="4">
        <v>50</v>
      </c>
      <c r="B89" s="4">
        <v>0</v>
      </c>
      <c r="C89" s="4">
        <v>0</v>
      </c>
      <c r="D89" s="4">
        <v>1</v>
      </c>
      <c r="E89" s="4">
        <v>210</v>
      </c>
      <c r="F89" s="4">
        <f>ROUND(Source!X63,O89)</f>
        <v>132093.54</v>
      </c>
      <c r="G89" s="4" t="s">
        <v>93</v>
      </c>
      <c r="H89" s="4" t="s">
        <v>94</v>
      </c>
      <c r="I89" s="4"/>
      <c r="J89" s="4"/>
      <c r="K89" s="4">
        <v>210</v>
      </c>
      <c r="L89" s="4">
        <v>25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132093.54</v>
      </c>
      <c r="X89" s="4">
        <v>1</v>
      </c>
      <c r="Y89" s="4">
        <v>132093.54</v>
      </c>
      <c r="Z89" s="4"/>
      <c r="AA89" s="4"/>
      <c r="AB89" s="4"/>
    </row>
    <row r="90" spans="1:206" x14ac:dyDescent="0.2">
      <c r="A90" s="4">
        <v>50</v>
      </c>
      <c r="B90" s="4">
        <v>0</v>
      </c>
      <c r="C90" s="4">
        <v>0</v>
      </c>
      <c r="D90" s="4">
        <v>1</v>
      </c>
      <c r="E90" s="4">
        <v>211</v>
      </c>
      <c r="F90" s="4">
        <f>ROUND(Source!Y63,O90)</f>
        <v>77369.070000000007</v>
      </c>
      <c r="G90" s="4" t="s">
        <v>95</v>
      </c>
      <c r="H90" s="4" t="s">
        <v>96</v>
      </c>
      <c r="I90" s="4"/>
      <c r="J90" s="4"/>
      <c r="K90" s="4">
        <v>211</v>
      </c>
      <c r="L90" s="4">
        <v>26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77369.070000000007</v>
      </c>
      <c r="X90" s="4">
        <v>1</v>
      </c>
      <c r="Y90" s="4">
        <v>77369.070000000007</v>
      </c>
      <c r="Z90" s="4"/>
      <c r="AA90" s="4"/>
      <c r="AB90" s="4"/>
    </row>
    <row r="91" spans="1:206" x14ac:dyDescent="0.2">
      <c r="A91" s="4">
        <v>50</v>
      </c>
      <c r="B91" s="4">
        <v>0</v>
      </c>
      <c r="C91" s="4">
        <v>0</v>
      </c>
      <c r="D91" s="4">
        <v>1</v>
      </c>
      <c r="E91" s="4">
        <v>224</v>
      </c>
      <c r="F91" s="4">
        <f>ROUND(Source!AR63,O91)</f>
        <v>558029.1</v>
      </c>
      <c r="G91" s="4" t="s">
        <v>97</v>
      </c>
      <c r="H91" s="4" t="s">
        <v>98</v>
      </c>
      <c r="I91" s="4"/>
      <c r="J91" s="4"/>
      <c r="K91" s="4">
        <v>224</v>
      </c>
      <c r="L91" s="4">
        <v>27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558029.1</v>
      </c>
      <c r="X91" s="4">
        <v>1</v>
      </c>
      <c r="Y91" s="4">
        <v>558029.1</v>
      </c>
      <c r="Z91" s="4"/>
      <c r="AA91" s="4"/>
      <c r="AB91" s="4"/>
    </row>
    <row r="93" spans="1:206" x14ac:dyDescent="0.2">
      <c r="A93" s="2">
        <v>51</v>
      </c>
      <c r="B93" s="2">
        <f>B12</f>
        <v>128</v>
      </c>
      <c r="C93" s="2">
        <f>A12</f>
        <v>1</v>
      </c>
      <c r="D93" s="2">
        <f>ROW(A12)</f>
        <v>12</v>
      </c>
      <c r="E93" s="2"/>
      <c r="F93" s="2" t="str">
        <f>IF(F12&lt;&gt;"",F12,"")</f>
        <v>09-01-02</v>
      </c>
      <c r="G93" s="2" t="str">
        <f>IF(G12&lt;&gt;"",G12,"")</f>
        <v>09-01-02 ПНР КЛ (3 этап) от СП 60006 до СП 60004 корр.1</v>
      </c>
      <c r="H93" s="2">
        <v>0</v>
      </c>
      <c r="I93" s="2"/>
      <c r="J93" s="2"/>
      <c r="K93" s="2"/>
      <c r="L93" s="2"/>
      <c r="M93" s="2"/>
      <c r="N93" s="2"/>
      <c r="O93" s="2">
        <f t="shared" ref="O93:T93" si="27">ROUND(O63,2)</f>
        <v>315827.07</v>
      </c>
      <c r="P93" s="2">
        <f t="shared" si="27"/>
        <v>0</v>
      </c>
      <c r="Q93" s="2">
        <f t="shared" si="27"/>
        <v>127122.03</v>
      </c>
      <c r="R93" s="2">
        <f t="shared" si="27"/>
        <v>20462.14</v>
      </c>
      <c r="S93" s="2">
        <f t="shared" si="27"/>
        <v>188705.04</v>
      </c>
      <c r="T93" s="2">
        <f t="shared" si="27"/>
        <v>0</v>
      </c>
      <c r="U93" s="2">
        <f>U63</f>
        <v>398.81599999999997</v>
      </c>
      <c r="V93" s="2">
        <f>V63</f>
        <v>0</v>
      </c>
      <c r="W93" s="2">
        <f>ROUND(W63,2)</f>
        <v>0</v>
      </c>
      <c r="X93" s="2">
        <f>ROUND(X63,2)</f>
        <v>132093.54</v>
      </c>
      <c r="Y93" s="2">
        <f>ROUND(Y63,2)</f>
        <v>77369.070000000007</v>
      </c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>
        <f t="shared" ref="AO93:BD93" si="28">ROUND(AO63,2)</f>
        <v>0</v>
      </c>
      <c r="AP93" s="2">
        <f t="shared" si="28"/>
        <v>0</v>
      </c>
      <c r="AQ93" s="2">
        <f t="shared" si="28"/>
        <v>0</v>
      </c>
      <c r="AR93" s="2">
        <f t="shared" si="28"/>
        <v>558029.1</v>
      </c>
      <c r="AS93" s="2">
        <f t="shared" si="28"/>
        <v>159861.45000000001</v>
      </c>
      <c r="AT93" s="2">
        <f t="shared" si="28"/>
        <v>0</v>
      </c>
      <c r="AU93" s="2">
        <f t="shared" si="28"/>
        <v>398167.65</v>
      </c>
      <c r="AV93" s="2">
        <f t="shared" si="28"/>
        <v>0</v>
      </c>
      <c r="AW93" s="2">
        <f t="shared" si="28"/>
        <v>0</v>
      </c>
      <c r="AX93" s="2">
        <f t="shared" si="28"/>
        <v>0</v>
      </c>
      <c r="AY93" s="2">
        <f t="shared" si="28"/>
        <v>0</v>
      </c>
      <c r="AZ93" s="2">
        <f t="shared" si="28"/>
        <v>0</v>
      </c>
      <c r="BA93" s="2">
        <f t="shared" si="28"/>
        <v>0</v>
      </c>
      <c r="BB93" s="2">
        <f t="shared" si="28"/>
        <v>0</v>
      </c>
      <c r="BC93" s="2">
        <f t="shared" si="28"/>
        <v>0</v>
      </c>
      <c r="BD93" s="2">
        <f t="shared" si="28"/>
        <v>0</v>
      </c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>
        <v>0</v>
      </c>
    </row>
    <row r="95" spans="1:206" x14ac:dyDescent="0.2">
      <c r="A95" s="4">
        <v>50</v>
      </c>
      <c r="B95" s="4">
        <v>0</v>
      </c>
      <c r="C95" s="4">
        <v>0</v>
      </c>
      <c r="D95" s="4">
        <v>1</v>
      </c>
      <c r="E95" s="4">
        <v>201</v>
      </c>
      <c r="F95" s="4">
        <f>ROUND(Source!O93,O95)</f>
        <v>315827.07</v>
      </c>
      <c r="G95" s="4" t="s">
        <v>45</v>
      </c>
      <c r="H95" s="4" t="s">
        <v>46</v>
      </c>
      <c r="I95" s="4"/>
      <c r="J95" s="4"/>
      <c r="K95" s="4">
        <v>201</v>
      </c>
      <c r="L95" s="4">
        <v>1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315827.07</v>
      </c>
      <c r="X95" s="4">
        <v>1</v>
      </c>
      <c r="Y95" s="4">
        <v>315827.07</v>
      </c>
      <c r="Z95" s="4"/>
      <c r="AA95" s="4"/>
      <c r="AB95" s="4"/>
    </row>
    <row r="96" spans="1:206" x14ac:dyDescent="0.2">
      <c r="A96" s="4">
        <v>50</v>
      </c>
      <c r="B96" s="4">
        <v>0</v>
      </c>
      <c r="C96" s="4">
        <v>0</v>
      </c>
      <c r="D96" s="4">
        <v>1</v>
      </c>
      <c r="E96" s="4">
        <v>202</v>
      </c>
      <c r="F96" s="4">
        <f>ROUND(Source!P93,O96)</f>
        <v>0</v>
      </c>
      <c r="G96" s="4" t="s">
        <v>47</v>
      </c>
      <c r="H96" s="4" t="s">
        <v>48</v>
      </c>
      <c r="I96" s="4"/>
      <c r="J96" s="4"/>
      <c r="K96" s="4">
        <v>202</v>
      </c>
      <c r="L96" s="4">
        <v>2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222</v>
      </c>
      <c r="F97" s="4">
        <f>ROUND(Source!AO93,O97)</f>
        <v>0</v>
      </c>
      <c r="G97" s="4" t="s">
        <v>49</v>
      </c>
      <c r="H97" s="4" t="s">
        <v>50</v>
      </c>
      <c r="I97" s="4"/>
      <c r="J97" s="4"/>
      <c r="K97" s="4">
        <v>222</v>
      </c>
      <c r="L97" s="4">
        <v>3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225</v>
      </c>
      <c r="F98" s="4">
        <f>ROUND(Source!AV93,O98)</f>
        <v>0</v>
      </c>
      <c r="G98" s="4" t="s">
        <v>51</v>
      </c>
      <c r="H98" s="4" t="s">
        <v>52</v>
      </c>
      <c r="I98" s="4"/>
      <c r="J98" s="4"/>
      <c r="K98" s="4">
        <v>225</v>
      </c>
      <c r="L98" s="4">
        <v>4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226</v>
      </c>
      <c r="F99" s="4">
        <f>ROUND(Source!AW93,O99)</f>
        <v>0</v>
      </c>
      <c r="G99" s="4" t="s">
        <v>53</v>
      </c>
      <c r="H99" s="4" t="s">
        <v>54</v>
      </c>
      <c r="I99" s="4"/>
      <c r="J99" s="4"/>
      <c r="K99" s="4">
        <v>226</v>
      </c>
      <c r="L99" s="4">
        <v>5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227</v>
      </c>
      <c r="F100" s="4">
        <f>ROUND(Source!AX93,O100)</f>
        <v>0</v>
      </c>
      <c r="G100" s="4" t="s">
        <v>55</v>
      </c>
      <c r="H100" s="4" t="s">
        <v>56</v>
      </c>
      <c r="I100" s="4"/>
      <c r="J100" s="4"/>
      <c r="K100" s="4">
        <v>227</v>
      </c>
      <c r="L100" s="4">
        <v>6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228</v>
      </c>
      <c r="F101" s="4">
        <f>ROUND(Source!AY93,O101)</f>
        <v>0</v>
      </c>
      <c r="G101" s="4" t="s">
        <v>57</v>
      </c>
      <c r="H101" s="4" t="s">
        <v>58</v>
      </c>
      <c r="I101" s="4"/>
      <c r="J101" s="4"/>
      <c r="K101" s="4">
        <v>228</v>
      </c>
      <c r="L101" s="4">
        <v>7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216</v>
      </c>
      <c r="F102" s="4">
        <f>ROUND(Source!AP93,O102)</f>
        <v>0</v>
      </c>
      <c r="G102" s="4" t="s">
        <v>59</v>
      </c>
      <c r="H102" s="4" t="s">
        <v>60</v>
      </c>
      <c r="I102" s="4"/>
      <c r="J102" s="4"/>
      <c r="K102" s="4">
        <v>216</v>
      </c>
      <c r="L102" s="4">
        <v>8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223</v>
      </c>
      <c r="F103" s="4">
        <f>ROUND(Source!AQ93,O103)</f>
        <v>0</v>
      </c>
      <c r="G103" s="4" t="s">
        <v>61</v>
      </c>
      <c r="H103" s="4" t="s">
        <v>62</v>
      </c>
      <c r="I103" s="4"/>
      <c r="J103" s="4"/>
      <c r="K103" s="4">
        <v>223</v>
      </c>
      <c r="L103" s="4">
        <v>9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229</v>
      </c>
      <c r="F104" s="4">
        <f>ROUND(Source!AZ93,O104)</f>
        <v>0</v>
      </c>
      <c r="G104" s="4" t="s">
        <v>63</v>
      </c>
      <c r="H104" s="4" t="s">
        <v>64</v>
      </c>
      <c r="I104" s="4"/>
      <c r="J104" s="4"/>
      <c r="K104" s="4">
        <v>229</v>
      </c>
      <c r="L104" s="4">
        <v>10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203</v>
      </c>
      <c r="F105" s="4">
        <f>ROUND(Source!Q93,O105)</f>
        <v>127122.03</v>
      </c>
      <c r="G105" s="4" t="s">
        <v>65</v>
      </c>
      <c r="H105" s="4" t="s">
        <v>66</v>
      </c>
      <c r="I105" s="4"/>
      <c r="J105" s="4"/>
      <c r="K105" s="4">
        <v>203</v>
      </c>
      <c r="L105" s="4">
        <v>11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127122.03</v>
      </c>
      <c r="X105" s="4">
        <v>1</v>
      </c>
      <c r="Y105" s="4">
        <v>127122.03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231</v>
      </c>
      <c r="F106" s="4">
        <f>ROUND(Source!BB93,O106)</f>
        <v>0</v>
      </c>
      <c r="G106" s="4" t="s">
        <v>67</v>
      </c>
      <c r="H106" s="4" t="s">
        <v>68</v>
      </c>
      <c r="I106" s="4"/>
      <c r="J106" s="4"/>
      <c r="K106" s="4">
        <v>231</v>
      </c>
      <c r="L106" s="4">
        <v>12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204</v>
      </c>
      <c r="F107" s="4">
        <f>ROUND(Source!R93,O107)</f>
        <v>20462.14</v>
      </c>
      <c r="G107" s="4" t="s">
        <v>69</v>
      </c>
      <c r="H107" s="4" t="s">
        <v>70</v>
      </c>
      <c r="I107" s="4"/>
      <c r="J107" s="4"/>
      <c r="K107" s="4">
        <v>204</v>
      </c>
      <c r="L107" s="4">
        <v>13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20462.14</v>
      </c>
      <c r="X107" s="4">
        <v>1</v>
      </c>
      <c r="Y107" s="4">
        <v>20462.14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205</v>
      </c>
      <c r="F108" s="4">
        <f>ROUND(Source!S93,O108)</f>
        <v>188705.04</v>
      </c>
      <c r="G108" s="4" t="s">
        <v>71</v>
      </c>
      <c r="H108" s="4" t="s">
        <v>72</v>
      </c>
      <c r="I108" s="4"/>
      <c r="J108" s="4"/>
      <c r="K108" s="4">
        <v>205</v>
      </c>
      <c r="L108" s="4">
        <v>14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188705.04</v>
      </c>
      <c r="X108" s="4">
        <v>1</v>
      </c>
      <c r="Y108" s="4">
        <v>188705.04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232</v>
      </c>
      <c r="F109" s="4">
        <f>ROUND(Source!BC93,O109)</f>
        <v>0</v>
      </c>
      <c r="G109" s="4" t="s">
        <v>73</v>
      </c>
      <c r="H109" s="4" t="s">
        <v>74</v>
      </c>
      <c r="I109" s="4"/>
      <c r="J109" s="4"/>
      <c r="K109" s="4">
        <v>232</v>
      </c>
      <c r="L109" s="4">
        <v>15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214</v>
      </c>
      <c r="F110" s="4">
        <f>ROUND(Source!AS93,O110)</f>
        <v>159861.45000000001</v>
      </c>
      <c r="G110" s="4" t="s">
        <v>75</v>
      </c>
      <c r="H110" s="4" t="s">
        <v>76</v>
      </c>
      <c r="I110" s="4"/>
      <c r="J110" s="4"/>
      <c r="K110" s="4">
        <v>214</v>
      </c>
      <c r="L110" s="4">
        <v>16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159861.45000000001</v>
      </c>
      <c r="X110" s="4">
        <v>1</v>
      </c>
      <c r="Y110" s="4">
        <v>159861.45000000001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215</v>
      </c>
      <c r="F111" s="4">
        <f>ROUND(Source!AT93,O111)</f>
        <v>0</v>
      </c>
      <c r="G111" s="4" t="s">
        <v>77</v>
      </c>
      <c r="H111" s="4" t="s">
        <v>78</v>
      </c>
      <c r="I111" s="4"/>
      <c r="J111" s="4"/>
      <c r="K111" s="4">
        <v>215</v>
      </c>
      <c r="L111" s="4">
        <v>17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217</v>
      </c>
      <c r="F112" s="4">
        <f>ROUND(Source!AU93,O112)</f>
        <v>398167.65</v>
      </c>
      <c r="G112" s="4" t="s">
        <v>79</v>
      </c>
      <c r="H112" s="4" t="s">
        <v>80</v>
      </c>
      <c r="I112" s="4"/>
      <c r="J112" s="4"/>
      <c r="K112" s="4">
        <v>217</v>
      </c>
      <c r="L112" s="4">
        <v>18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398167.65</v>
      </c>
      <c r="X112" s="4">
        <v>1</v>
      </c>
      <c r="Y112" s="4">
        <v>398167.65</v>
      </c>
      <c r="Z112" s="4"/>
      <c r="AA112" s="4"/>
      <c r="AB112" s="4"/>
    </row>
    <row r="113" spans="1:28" x14ac:dyDescent="0.2">
      <c r="A113" s="4">
        <v>50</v>
      </c>
      <c r="B113" s="4">
        <v>0</v>
      </c>
      <c r="C113" s="4">
        <v>0</v>
      </c>
      <c r="D113" s="4">
        <v>1</v>
      </c>
      <c r="E113" s="4">
        <v>230</v>
      </c>
      <c r="F113" s="4">
        <f>ROUND(Source!BA93,O113)</f>
        <v>0</v>
      </c>
      <c r="G113" s="4" t="s">
        <v>81</v>
      </c>
      <c r="H113" s="4" t="s">
        <v>82</v>
      </c>
      <c r="I113" s="4"/>
      <c r="J113" s="4"/>
      <c r="K113" s="4">
        <v>230</v>
      </c>
      <c r="L113" s="4">
        <v>19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8" x14ac:dyDescent="0.2">
      <c r="A114" s="4">
        <v>50</v>
      </c>
      <c r="B114" s="4">
        <v>0</v>
      </c>
      <c r="C114" s="4">
        <v>0</v>
      </c>
      <c r="D114" s="4">
        <v>1</v>
      </c>
      <c r="E114" s="4">
        <v>206</v>
      </c>
      <c r="F114" s="4">
        <f>ROUND(Source!T93,O114)</f>
        <v>0</v>
      </c>
      <c r="G114" s="4" t="s">
        <v>83</v>
      </c>
      <c r="H114" s="4" t="s">
        <v>84</v>
      </c>
      <c r="I114" s="4"/>
      <c r="J114" s="4"/>
      <c r="K114" s="4">
        <v>206</v>
      </c>
      <c r="L114" s="4">
        <v>20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8" x14ac:dyDescent="0.2">
      <c r="A115" s="4">
        <v>50</v>
      </c>
      <c r="B115" s="4">
        <v>0</v>
      </c>
      <c r="C115" s="4">
        <v>0</v>
      </c>
      <c r="D115" s="4">
        <v>1</v>
      </c>
      <c r="E115" s="4">
        <v>207</v>
      </c>
      <c r="F115" s="4">
        <f>Source!U93</f>
        <v>398.81599999999997</v>
      </c>
      <c r="G115" s="4" t="s">
        <v>85</v>
      </c>
      <c r="H115" s="4" t="s">
        <v>86</v>
      </c>
      <c r="I115" s="4"/>
      <c r="J115" s="4"/>
      <c r="K115" s="4">
        <v>207</v>
      </c>
      <c r="L115" s="4">
        <v>21</v>
      </c>
      <c r="M115" s="4">
        <v>3</v>
      </c>
      <c r="N115" s="4" t="s">
        <v>3</v>
      </c>
      <c r="O115" s="4">
        <v>-1</v>
      </c>
      <c r="P115" s="4"/>
      <c r="Q115" s="4"/>
      <c r="R115" s="4"/>
      <c r="S115" s="4"/>
      <c r="T115" s="4"/>
      <c r="U115" s="4"/>
      <c r="V115" s="4"/>
      <c r="W115" s="4">
        <v>398.81599999999997</v>
      </c>
      <c r="X115" s="4">
        <v>1</v>
      </c>
      <c r="Y115" s="4">
        <v>398.81599999999997</v>
      </c>
      <c r="Z115" s="4"/>
      <c r="AA115" s="4"/>
      <c r="AB115" s="4"/>
    </row>
    <row r="116" spans="1:28" x14ac:dyDescent="0.2">
      <c r="A116" s="4">
        <v>50</v>
      </c>
      <c r="B116" s="4">
        <v>0</v>
      </c>
      <c r="C116" s="4">
        <v>0</v>
      </c>
      <c r="D116" s="4">
        <v>1</v>
      </c>
      <c r="E116" s="4">
        <v>208</v>
      </c>
      <c r="F116" s="4">
        <f>Source!V93</f>
        <v>0</v>
      </c>
      <c r="G116" s="4" t="s">
        <v>87</v>
      </c>
      <c r="H116" s="4" t="s">
        <v>88</v>
      </c>
      <c r="I116" s="4"/>
      <c r="J116" s="4"/>
      <c r="K116" s="4">
        <v>208</v>
      </c>
      <c r="L116" s="4">
        <v>22</v>
      </c>
      <c r="M116" s="4">
        <v>3</v>
      </c>
      <c r="N116" s="4" t="s">
        <v>3</v>
      </c>
      <c r="O116" s="4">
        <v>-1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8" x14ac:dyDescent="0.2">
      <c r="A117" s="4">
        <v>50</v>
      </c>
      <c r="B117" s="4">
        <v>0</v>
      </c>
      <c r="C117" s="4">
        <v>0</v>
      </c>
      <c r="D117" s="4">
        <v>1</v>
      </c>
      <c r="E117" s="4">
        <v>209</v>
      </c>
      <c r="F117" s="4">
        <f>ROUND(Source!W93,O117)</f>
        <v>0</v>
      </c>
      <c r="G117" s="4" t="s">
        <v>89</v>
      </c>
      <c r="H117" s="4" t="s">
        <v>90</v>
      </c>
      <c r="I117" s="4"/>
      <c r="J117" s="4"/>
      <c r="K117" s="4">
        <v>209</v>
      </c>
      <c r="L117" s="4">
        <v>23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8" x14ac:dyDescent="0.2">
      <c r="A118" s="4">
        <v>50</v>
      </c>
      <c r="B118" s="4">
        <v>0</v>
      </c>
      <c r="C118" s="4">
        <v>0</v>
      </c>
      <c r="D118" s="4">
        <v>1</v>
      </c>
      <c r="E118" s="4">
        <v>233</v>
      </c>
      <c r="F118" s="4">
        <f>ROUND(Source!BD93,O118)</f>
        <v>0</v>
      </c>
      <c r="G118" s="4" t="s">
        <v>91</v>
      </c>
      <c r="H118" s="4" t="s">
        <v>92</v>
      </c>
      <c r="I118" s="4"/>
      <c r="J118" s="4"/>
      <c r="K118" s="4">
        <v>233</v>
      </c>
      <c r="L118" s="4">
        <v>24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8" x14ac:dyDescent="0.2">
      <c r="A119" s="4">
        <v>50</v>
      </c>
      <c r="B119" s="4">
        <v>0</v>
      </c>
      <c r="C119" s="4">
        <v>0</v>
      </c>
      <c r="D119" s="4">
        <v>1</v>
      </c>
      <c r="E119" s="4">
        <v>210</v>
      </c>
      <c r="F119" s="4">
        <f>ROUND(Source!X93,O119)</f>
        <v>132093.54</v>
      </c>
      <c r="G119" s="4" t="s">
        <v>93</v>
      </c>
      <c r="H119" s="4" t="s">
        <v>94</v>
      </c>
      <c r="I119" s="4"/>
      <c r="J119" s="4"/>
      <c r="K119" s="4">
        <v>210</v>
      </c>
      <c r="L119" s="4">
        <v>25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132093.54</v>
      </c>
      <c r="X119" s="4">
        <v>1</v>
      </c>
      <c r="Y119" s="4">
        <v>132093.54</v>
      </c>
      <c r="Z119" s="4"/>
      <c r="AA119" s="4"/>
      <c r="AB119" s="4"/>
    </row>
    <row r="120" spans="1:28" x14ac:dyDescent="0.2">
      <c r="A120" s="4">
        <v>50</v>
      </c>
      <c r="B120" s="4">
        <v>0</v>
      </c>
      <c r="C120" s="4">
        <v>0</v>
      </c>
      <c r="D120" s="4">
        <v>1</v>
      </c>
      <c r="E120" s="4">
        <v>211</v>
      </c>
      <c r="F120" s="4">
        <f>ROUND(Source!Y93,O120)</f>
        <v>77369.070000000007</v>
      </c>
      <c r="G120" s="4" t="s">
        <v>95</v>
      </c>
      <c r="H120" s="4" t="s">
        <v>96</v>
      </c>
      <c r="I120" s="4"/>
      <c r="J120" s="4"/>
      <c r="K120" s="4">
        <v>211</v>
      </c>
      <c r="L120" s="4">
        <v>26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77369.070000000007</v>
      </c>
      <c r="X120" s="4">
        <v>1</v>
      </c>
      <c r="Y120" s="4">
        <v>77369.070000000007</v>
      </c>
      <c r="Z120" s="4"/>
      <c r="AA120" s="4"/>
      <c r="AB120" s="4"/>
    </row>
    <row r="121" spans="1:28" x14ac:dyDescent="0.2">
      <c r="A121" s="4">
        <v>50</v>
      </c>
      <c r="B121" s="4">
        <v>0</v>
      </c>
      <c r="C121" s="4">
        <v>0</v>
      </c>
      <c r="D121" s="4">
        <v>1</v>
      </c>
      <c r="E121" s="4">
        <v>224</v>
      </c>
      <c r="F121" s="4">
        <f>ROUND(Source!AR93,O121)</f>
        <v>558029.1</v>
      </c>
      <c r="G121" s="4" t="s">
        <v>97</v>
      </c>
      <c r="H121" s="4" t="s">
        <v>98</v>
      </c>
      <c r="I121" s="4"/>
      <c r="J121" s="4"/>
      <c r="K121" s="4">
        <v>224</v>
      </c>
      <c r="L121" s="4">
        <v>27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558029.1</v>
      </c>
      <c r="X121" s="4">
        <v>1</v>
      </c>
      <c r="Y121" s="4">
        <v>558029.1</v>
      </c>
      <c r="Z121" s="4"/>
      <c r="AA121" s="4"/>
      <c r="AB121" s="4"/>
    </row>
    <row r="123" spans="1:28" x14ac:dyDescent="0.2">
      <c r="A123">
        <v>71</v>
      </c>
      <c r="B123">
        <v>1</v>
      </c>
      <c r="D123">
        <v>388</v>
      </c>
      <c r="E123">
        <v>42347911</v>
      </c>
      <c r="F123" t="s">
        <v>3</v>
      </c>
      <c r="G123" t="s">
        <v>3</v>
      </c>
      <c r="H123">
        <v>-1</v>
      </c>
      <c r="I123">
        <v>-1</v>
      </c>
    </row>
    <row r="126" spans="1:28" x14ac:dyDescent="0.2">
      <c r="A126">
        <v>-1</v>
      </c>
    </row>
    <row r="128" spans="1:28" x14ac:dyDescent="0.2">
      <c r="A128" s="3">
        <v>75</v>
      </c>
      <c r="B128" s="3" t="s">
        <v>99</v>
      </c>
      <c r="C128" s="3">
        <v>2024</v>
      </c>
      <c r="D128" s="3">
        <v>0</v>
      </c>
      <c r="E128" s="3">
        <v>3</v>
      </c>
      <c r="F128" s="3"/>
      <c r="G128" s="3">
        <v>0</v>
      </c>
      <c r="H128" s="3">
        <v>2</v>
      </c>
      <c r="I128" s="3">
        <v>1</v>
      </c>
      <c r="J128" s="3">
        <v>1</v>
      </c>
      <c r="K128" s="3">
        <v>95</v>
      </c>
      <c r="L128" s="3">
        <v>65</v>
      </c>
      <c r="M128" s="3">
        <v>0</v>
      </c>
      <c r="N128" s="3">
        <v>50571332</v>
      </c>
      <c r="O128" s="3">
        <v>1</v>
      </c>
    </row>
    <row r="129" spans="1:50" x14ac:dyDescent="0.2">
      <c r="A129" s="5">
        <v>1</v>
      </c>
      <c r="B129" s="5" t="s">
        <v>100</v>
      </c>
      <c r="C129" s="5" t="s">
        <v>101</v>
      </c>
      <c r="D129" s="5">
        <v>2024</v>
      </c>
      <c r="E129" s="5">
        <v>3</v>
      </c>
      <c r="F129" s="5">
        <v>1</v>
      </c>
      <c r="G129" s="5">
        <v>1</v>
      </c>
      <c r="H129" s="5">
        <v>0</v>
      </c>
      <c r="I129" s="5">
        <v>2</v>
      </c>
      <c r="J129" s="5">
        <v>1</v>
      </c>
      <c r="K129" s="5">
        <v>9.57</v>
      </c>
      <c r="L129" s="5">
        <v>6.92</v>
      </c>
      <c r="M129" s="5">
        <v>1</v>
      </c>
      <c r="N129" s="5">
        <v>1</v>
      </c>
      <c r="O129" s="5">
        <v>9.57</v>
      </c>
      <c r="P129" s="5">
        <v>6.92</v>
      </c>
      <c r="Q129" s="5">
        <v>1</v>
      </c>
      <c r="R129" s="5" t="s">
        <v>3</v>
      </c>
      <c r="S129" s="5" t="s">
        <v>3</v>
      </c>
      <c r="T129" s="5" t="s">
        <v>3</v>
      </c>
      <c r="U129" s="5" t="s">
        <v>3</v>
      </c>
      <c r="V129" s="5" t="s">
        <v>3</v>
      </c>
      <c r="W129" s="5" t="s">
        <v>3</v>
      </c>
      <c r="X129" s="5" t="s">
        <v>3</v>
      </c>
      <c r="Y129" s="5" t="s">
        <v>3</v>
      </c>
      <c r="Z129" s="5" t="s">
        <v>3</v>
      </c>
      <c r="AA129" s="5" t="s">
        <v>102</v>
      </c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>
        <v>50571333</v>
      </c>
      <c r="AO129" s="5"/>
      <c r="AP129" s="5"/>
      <c r="AQ129" s="5"/>
      <c r="AR129" s="5"/>
      <c r="AS129" s="5"/>
      <c r="AT129" s="5"/>
      <c r="AU129" s="5"/>
      <c r="AV129" s="5"/>
      <c r="AW129" s="5"/>
      <c r="AX129" s="5"/>
    </row>
    <row r="133" spans="1:50" x14ac:dyDescent="0.2">
      <c r="A133">
        <v>65</v>
      </c>
      <c r="C133">
        <v>1</v>
      </c>
      <c r="D133">
        <v>0</v>
      </c>
      <c r="E133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E0A52-AA4B-484E-8E1C-67FFCE780913}">
  <dimension ref="A1:EC5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103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65736</v>
      </c>
      <c r="M1">
        <v>10</v>
      </c>
      <c r="N1">
        <v>11</v>
      </c>
      <c r="O1">
        <v>9</v>
      </c>
      <c r="P1">
        <v>0</v>
      </c>
      <c r="Q1">
        <v>1</v>
      </c>
    </row>
    <row r="4" spans="1:133" x14ac:dyDescent="0.2">
      <c r="A4" s="1">
        <v>1</v>
      </c>
      <c r="B4" s="1">
        <v>1</v>
      </c>
      <c r="C4" s="1">
        <v>-1</v>
      </c>
      <c r="D4" s="1"/>
      <c r="E4" s="1"/>
      <c r="F4" s="1"/>
      <c r="G4" s="1" t="s">
        <v>4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5</v>
      </c>
      <c r="G12" s="1" t="s">
        <v>6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9</v>
      </c>
      <c r="BZ12" s="1" t="s">
        <v>10</v>
      </c>
      <c r="CA12" s="1" t="s">
        <v>11</v>
      </c>
      <c r="CB12" s="1" t="s">
        <v>11</v>
      </c>
      <c r="CC12" s="1" t="s">
        <v>11</v>
      </c>
      <c r="CD12" s="1" t="s">
        <v>11</v>
      </c>
      <c r="CE12" s="1" t="s">
        <v>12</v>
      </c>
      <c r="CF12" s="1">
        <v>0</v>
      </c>
      <c r="CG12" s="1">
        <v>0</v>
      </c>
      <c r="CH12" s="1">
        <v>8200</v>
      </c>
      <c r="CI12" s="1" t="s">
        <v>3</v>
      </c>
      <c r="CJ12" s="1" t="s">
        <v>3</v>
      </c>
      <c r="CK12" s="1">
        <v>71</v>
      </c>
      <c r="CL12" s="1"/>
      <c r="CM12" s="1"/>
      <c r="CN12" s="1"/>
      <c r="CO12" s="1"/>
      <c r="CP12" s="1"/>
      <c r="CQ12" s="1" t="s">
        <v>13</v>
      </c>
      <c r="CR12" s="1" t="s">
        <v>14</v>
      </c>
      <c r="CS12" s="1">
        <v>41660</v>
      </c>
      <c r="CT12" s="1">
        <v>1</v>
      </c>
      <c r="CU12" s="1">
        <v>71</v>
      </c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50571332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16</v>
      </c>
      <c r="D16" s="6" t="s">
        <v>15</v>
      </c>
      <c r="E16" s="7">
        <f>ROUND((Source!F80)/1000,2)</f>
        <v>159.86000000000001</v>
      </c>
      <c r="F16" s="7">
        <f>ROUND((Source!F81)/1000,2)</f>
        <v>0</v>
      </c>
      <c r="G16" s="7">
        <f>ROUND((Source!F72)/1000,2)</f>
        <v>0</v>
      </c>
      <c r="H16" s="7">
        <f>ROUND((Source!F82)/1000+(Source!F83)/1000,2)</f>
        <v>398.17</v>
      </c>
      <c r="I16" s="7">
        <f>E16+F16+G16+H16</f>
        <v>558.03</v>
      </c>
      <c r="J16" s="7">
        <f>ROUND((Source!F78+Source!F77)/1000,2)</f>
        <v>209.17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315827.07</v>
      </c>
      <c r="AU16" s="7">
        <v>0</v>
      </c>
      <c r="AV16" s="7">
        <v>0</v>
      </c>
      <c r="AW16" s="7">
        <v>0</v>
      </c>
      <c r="AX16" s="7">
        <v>0</v>
      </c>
      <c r="AY16" s="7">
        <v>127122.03</v>
      </c>
      <c r="AZ16" s="7">
        <v>20462.14</v>
      </c>
      <c r="BA16" s="7">
        <v>188705.04</v>
      </c>
      <c r="BB16" s="7">
        <v>159861.45000000001</v>
      </c>
      <c r="BC16" s="7">
        <v>0</v>
      </c>
      <c r="BD16" s="7">
        <v>398167.65</v>
      </c>
      <c r="BE16" s="7">
        <v>0</v>
      </c>
      <c r="BF16" s="7">
        <v>398.81599999999997</v>
      </c>
      <c r="BG16" s="7">
        <v>0</v>
      </c>
      <c r="BH16" s="7">
        <v>0</v>
      </c>
      <c r="BI16" s="7">
        <v>132093.54</v>
      </c>
      <c r="BJ16" s="7">
        <v>77369.070000000007</v>
      </c>
      <c r="BK16" s="7">
        <v>558029.1</v>
      </c>
    </row>
    <row r="18" spans="1:19" x14ac:dyDescent="0.2">
      <c r="A18">
        <v>51</v>
      </c>
      <c r="E18" s="8">
        <f>SUMIF(A16:A17,3,E16:E17)</f>
        <v>159.86000000000001</v>
      </c>
      <c r="F18" s="8">
        <f>SUMIF(A16:A17,3,F16:F17)</f>
        <v>0</v>
      </c>
      <c r="G18" s="8">
        <f>SUMIF(A16:A17,3,G16:G17)</f>
        <v>0</v>
      </c>
      <c r="H18" s="8">
        <f>SUMIF(A16:A17,3,H16:H17)</f>
        <v>398.17</v>
      </c>
      <c r="I18" s="8">
        <f>SUMIF(A16:A17,3,I16:I17)</f>
        <v>558.03</v>
      </c>
      <c r="J18" s="8">
        <f>SUMIF(A16:A17,3,J16:J17)</f>
        <v>209.17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315827.07</v>
      </c>
      <c r="G20" s="4" t="s">
        <v>45</v>
      </c>
      <c r="H20" s="4" t="s">
        <v>46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0</v>
      </c>
      <c r="G21" s="4" t="s">
        <v>47</v>
      </c>
      <c r="H21" s="4" t="s">
        <v>48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49</v>
      </c>
      <c r="H22" s="4" t="s">
        <v>50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0</v>
      </c>
      <c r="G23" s="4" t="s">
        <v>51</v>
      </c>
      <c r="H23" s="4" t="s">
        <v>52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0</v>
      </c>
      <c r="G24" s="4" t="s">
        <v>53</v>
      </c>
      <c r="H24" s="4" t="s">
        <v>54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55</v>
      </c>
      <c r="H25" s="4" t="s">
        <v>56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0</v>
      </c>
      <c r="G26" s="4" t="s">
        <v>57</v>
      </c>
      <c r="H26" s="4" t="s">
        <v>58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59</v>
      </c>
      <c r="H27" s="4" t="s">
        <v>60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61</v>
      </c>
      <c r="H28" s="4" t="s">
        <v>62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63</v>
      </c>
      <c r="H29" s="4" t="s">
        <v>64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127122.03</v>
      </c>
      <c r="G30" s="4" t="s">
        <v>65</v>
      </c>
      <c r="H30" s="4" t="s">
        <v>66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67</v>
      </c>
      <c r="H31" s="4" t="s">
        <v>68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20462.14</v>
      </c>
      <c r="G32" s="4" t="s">
        <v>69</v>
      </c>
      <c r="H32" s="4" t="s">
        <v>70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188705.04</v>
      </c>
      <c r="G33" s="4" t="s">
        <v>71</v>
      </c>
      <c r="H33" s="4" t="s">
        <v>72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73</v>
      </c>
      <c r="H34" s="4" t="s">
        <v>74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159861.45000000001</v>
      </c>
      <c r="G35" s="4" t="s">
        <v>75</v>
      </c>
      <c r="H35" s="4" t="s">
        <v>76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77</v>
      </c>
      <c r="H36" s="4" t="s">
        <v>78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398167.65</v>
      </c>
      <c r="G37" s="4" t="s">
        <v>79</v>
      </c>
      <c r="H37" s="4" t="s">
        <v>80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81</v>
      </c>
      <c r="H38" s="4" t="s">
        <v>82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83</v>
      </c>
      <c r="H39" s="4" t="s">
        <v>84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398.81599999999997</v>
      </c>
      <c r="G40" s="4" t="s">
        <v>85</v>
      </c>
      <c r="H40" s="4" t="s">
        <v>86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87</v>
      </c>
      <c r="H41" s="4" t="s">
        <v>88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89</v>
      </c>
      <c r="H42" s="4" t="s">
        <v>90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91</v>
      </c>
      <c r="H43" s="4" t="s">
        <v>92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132093.54</v>
      </c>
      <c r="G44" s="4" t="s">
        <v>93</v>
      </c>
      <c r="H44" s="4" t="s">
        <v>94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77369.070000000007</v>
      </c>
      <c r="G45" s="4" t="s">
        <v>95</v>
      </c>
      <c r="H45" s="4" t="s">
        <v>96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558029.1</v>
      </c>
      <c r="G46" s="4" t="s">
        <v>97</v>
      </c>
      <c r="H46" s="4" t="s">
        <v>98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50" x14ac:dyDescent="0.2">
      <c r="A51" s="3">
        <v>75</v>
      </c>
      <c r="B51" s="3" t="s">
        <v>99</v>
      </c>
      <c r="C51" s="3">
        <v>2024</v>
      </c>
      <c r="D51" s="3">
        <v>0</v>
      </c>
      <c r="E51" s="3">
        <v>3</v>
      </c>
      <c r="F51" s="3"/>
      <c r="G51" s="3">
        <v>0</v>
      </c>
      <c r="H51" s="3">
        <v>2</v>
      </c>
      <c r="I51" s="3">
        <v>1</v>
      </c>
      <c r="J51" s="3">
        <v>1</v>
      </c>
      <c r="K51" s="3">
        <v>95</v>
      </c>
      <c r="L51" s="3">
        <v>65</v>
      </c>
      <c r="M51" s="3">
        <v>0</v>
      </c>
      <c r="N51" s="3">
        <v>50571332</v>
      </c>
      <c r="O51" s="3">
        <v>1</v>
      </c>
    </row>
    <row r="52" spans="1:50" x14ac:dyDescent="0.2">
      <c r="A52" s="5">
        <v>1</v>
      </c>
      <c r="B52" s="5" t="s">
        <v>100</v>
      </c>
      <c r="C52" s="5" t="s">
        <v>101</v>
      </c>
      <c r="D52" s="5">
        <v>2024</v>
      </c>
      <c r="E52" s="5">
        <v>3</v>
      </c>
      <c r="F52" s="5">
        <v>1</v>
      </c>
      <c r="G52" s="5">
        <v>1</v>
      </c>
      <c r="H52" s="5">
        <v>0</v>
      </c>
      <c r="I52" s="5">
        <v>2</v>
      </c>
      <c r="J52" s="5">
        <v>1</v>
      </c>
      <c r="K52" s="5">
        <v>9.57</v>
      </c>
      <c r="L52" s="5">
        <v>6.92</v>
      </c>
      <c r="M52" s="5">
        <v>1</v>
      </c>
      <c r="N52" s="5">
        <v>1</v>
      </c>
      <c r="O52" s="5">
        <v>9.57</v>
      </c>
      <c r="P52" s="5">
        <v>6.92</v>
      </c>
      <c r="Q52" s="5">
        <v>1</v>
      </c>
      <c r="R52" s="5" t="s">
        <v>3</v>
      </c>
      <c r="S52" s="5" t="s">
        <v>3</v>
      </c>
      <c r="T52" s="5" t="s">
        <v>3</v>
      </c>
      <c r="U52" s="5" t="s">
        <v>3</v>
      </c>
      <c r="V52" s="5" t="s">
        <v>3</v>
      </c>
      <c r="W52" s="5" t="s">
        <v>3</v>
      </c>
      <c r="X52" s="5" t="s">
        <v>3</v>
      </c>
      <c r="Y52" s="5" t="s">
        <v>3</v>
      </c>
      <c r="Z52" s="5" t="s">
        <v>3</v>
      </c>
      <c r="AA52" s="5" t="s">
        <v>102</v>
      </c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>
        <v>50571333</v>
      </c>
      <c r="AO52" s="5"/>
      <c r="AP52" s="5"/>
      <c r="AQ52" s="5"/>
      <c r="AR52" s="5"/>
      <c r="AS52" s="5"/>
      <c r="AT52" s="5"/>
      <c r="AU52" s="5"/>
      <c r="AV52" s="5"/>
      <c r="AW52" s="5"/>
      <c r="AX52" s="5"/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439DC-AD17-47B0-AACA-6A8328ED5D65}">
  <dimension ref="A1:DO12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ROW(Source!A28)</f>
        <v>28</v>
      </c>
      <c r="B1">
        <v>50571332</v>
      </c>
      <c r="C1">
        <v>50571454</v>
      </c>
      <c r="D1">
        <v>30515951</v>
      </c>
      <c r="E1">
        <v>30515945</v>
      </c>
      <c r="F1">
        <v>1</v>
      </c>
      <c r="G1">
        <v>30515945</v>
      </c>
      <c r="H1">
        <v>1</v>
      </c>
      <c r="I1" t="s">
        <v>104</v>
      </c>
      <c r="J1" t="s">
        <v>3</v>
      </c>
      <c r="K1" t="s">
        <v>105</v>
      </c>
      <c r="L1">
        <v>1191</v>
      </c>
      <c r="N1">
        <v>1013</v>
      </c>
      <c r="O1" t="s">
        <v>106</v>
      </c>
      <c r="P1" t="s">
        <v>106</v>
      </c>
      <c r="Q1">
        <v>1</v>
      </c>
      <c r="W1">
        <v>0</v>
      </c>
      <c r="X1">
        <v>476480486</v>
      </c>
      <c r="Y1">
        <f>(AT1*0.8)</f>
        <v>52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5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65</v>
      </c>
      <c r="AU1" t="s">
        <v>24</v>
      </c>
      <c r="AV1">
        <v>1</v>
      </c>
      <c r="AW1">
        <v>2</v>
      </c>
      <c r="AX1">
        <v>50571456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ROUND(AT1*Source!I28*AH1*AL1,2)</f>
        <v>0</v>
      </c>
      <c r="CV1">
        <f>ROUND(Y1*Source!I28,9)</f>
        <v>104</v>
      </c>
      <c r="CW1">
        <v>0</v>
      </c>
      <c r="CX1">
        <f>ROUND(Y1*Source!I28,9)</f>
        <v>104</v>
      </c>
      <c r="CY1">
        <f>AD1</f>
        <v>0</v>
      </c>
      <c r="CZ1">
        <f>AH1</f>
        <v>0</v>
      </c>
      <c r="DA1">
        <f>AL1</f>
        <v>1</v>
      </c>
      <c r="DB1">
        <f>ROUND((ROUND(AT1*CZ1,2)*0.8),6)</f>
        <v>0</v>
      </c>
      <c r="DC1">
        <f>ROUND((ROUND(AT1*AG1,2)*0.8),6)</f>
        <v>0</v>
      </c>
      <c r="DD1" t="s">
        <v>3</v>
      </c>
      <c r="DE1" t="s">
        <v>3</v>
      </c>
      <c r="DF1">
        <f>ROUND(ROUND(AE1,2)*CX1,2)</f>
        <v>0</v>
      </c>
      <c r="DG1">
        <f>ROUND(ROUND(AF1,2)*CX1,2)</f>
        <v>0</v>
      </c>
      <c r="DH1">
        <f>ROUND(ROUND(AG1,2)*CX1,2)</f>
        <v>0</v>
      </c>
      <c r="DI1">
        <f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ROW(Source!A29)</f>
        <v>29</v>
      </c>
      <c r="B2">
        <v>50571332</v>
      </c>
      <c r="C2">
        <v>50571457</v>
      </c>
      <c r="D2">
        <v>30515951</v>
      </c>
      <c r="E2">
        <v>30515945</v>
      </c>
      <c r="F2">
        <v>1</v>
      </c>
      <c r="G2">
        <v>30515945</v>
      </c>
      <c r="H2">
        <v>1</v>
      </c>
      <c r="I2" t="s">
        <v>104</v>
      </c>
      <c r="J2" t="s">
        <v>3</v>
      </c>
      <c r="K2" t="s">
        <v>105</v>
      </c>
      <c r="L2">
        <v>1191</v>
      </c>
      <c r="N2">
        <v>1013</v>
      </c>
      <c r="O2" t="s">
        <v>106</v>
      </c>
      <c r="P2" t="s">
        <v>106</v>
      </c>
      <c r="Q2">
        <v>1</v>
      </c>
      <c r="W2">
        <v>0</v>
      </c>
      <c r="X2">
        <v>476480486</v>
      </c>
      <c r="Y2">
        <f>(AT2*0.8)</f>
        <v>34.4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5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43</v>
      </c>
      <c r="AU2" t="s">
        <v>24</v>
      </c>
      <c r="AV2">
        <v>1</v>
      </c>
      <c r="AW2">
        <v>2</v>
      </c>
      <c r="AX2">
        <v>50571459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U2">
        <f>ROUND(AT2*Source!I29*AH2*AL2,2)</f>
        <v>0</v>
      </c>
      <c r="CV2">
        <f>ROUND(Y2*Source!I29,9)</f>
        <v>206.4</v>
      </c>
      <c r="CW2">
        <v>0</v>
      </c>
      <c r="CX2">
        <f>ROUND(Y2*Source!I29,9)</f>
        <v>206.4</v>
      </c>
      <c r="CY2">
        <f>AD2</f>
        <v>0</v>
      </c>
      <c r="CZ2">
        <f>AH2</f>
        <v>0</v>
      </c>
      <c r="DA2">
        <f>AL2</f>
        <v>1</v>
      </c>
      <c r="DB2">
        <f>ROUND((ROUND(AT2*CZ2,2)*0.8),6)</f>
        <v>0</v>
      </c>
      <c r="DC2">
        <f>ROUND((ROUND(AT2*AG2,2)*0.8),6)</f>
        <v>0</v>
      </c>
      <c r="DD2" t="s">
        <v>3</v>
      </c>
      <c r="DE2" t="s">
        <v>3</v>
      </c>
      <c r="DF2">
        <f>ROUND(ROUND(AE2,2)*CX2,2)</f>
        <v>0</v>
      </c>
      <c r="DG2">
        <f>ROUND(ROUND(AF2,2)*CX2,2)</f>
        <v>0</v>
      </c>
      <c r="DH2">
        <f>ROUND(ROUND(AG2,2)*CX2,2)</f>
        <v>0</v>
      </c>
      <c r="DI2">
        <f>ROUND(ROUND(AH2,2)*CX2,2)</f>
        <v>0</v>
      </c>
      <c r="DJ2">
        <f>DI2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ROW(Source!A30)</f>
        <v>30</v>
      </c>
      <c r="B3">
        <v>50571332</v>
      </c>
      <c r="C3">
        <v>50571460</v>
      </c>
      <c r="D3">
        <v>30515951</v>
      </c>
      <c r="E3">
        <v>30515945</v>
      </c>
      <c r="F3">
        <v>1</v>
      </c>
      <c r="G3">
        <v>30515945</v>
      </c>
      <c r="H3">
        <v>1</v>
      </c>
      <c r="I3" t="s">
        <v>104</v>
      </c>
      <c r="J3" t="s">
        <v>3</v>
      </c>
      <c r="K3" t="s">
        <v>105</v>
      </c>
      <c r="L3">
        <v>1191</v>
      </c>
      <c r="N3">
        <v>1013</v>
      </c>
      <c r="O3" t="s">
        <v>106</v>
      </c>
      <c r="P3" t="s">
        <v>106</v>
      </c>
      <c r="Q3">
        <v>1</v>
      </c>
      <c r="W3">
        <v>0</v>
      </c>
      <c r="X3">
        <v>476480486</v>
      </c>
      <c r="Y3">
        <f>(AT3*0.8)</f>
        <v>7.3680000000000012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M3">
        <v>5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9.2100000000000009</v>
      </c>
      <c r="AU3" t="s">
        <v>24</v>
      </c>
      <c r="AV3">
        <v>1</v>
      </c>
      <c r="AW3">
        <v>2</v>
      </c>
      <c r="AX3">
        <v>50571462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U3">
        <f>ROUND(AT3*Source!I30*AH3*AL3,2)</f>
        <v>0</v>
      </c>
      <c r="CV3">
        <f>ROUND(Y3*Source!I30,9)</f>
        <v>88.415999999999997</v>
      </c>
      <c r="CW3">
        <v>0</v>
      </c>
      <c r="CX3">
        <f>ROUND(Y3*Source!I30,9)</f>
        <v>88.415999999999997</v>
      </c>
      <c r="CY3">
        <f>AD3</f>
        <v>0</v>
      </c>
      <c r="CZ3">
        <f>AH3</f>
        <v>0</v>
      </c>
      <c r="DA3">
        <f>AL3</f>
        <v>1</v>
      </c>
      <c r="DB3">
        <f>ROUND((ROUND(AT3*CZ3,2)*0.8),6)</f>
        <v>0</v>
      </c>
      <c r="DC3">
        <f>ROUND((ROUND(AT3*AG3,2)*0.8),6)</f>
        <v>0</v>
      </c>
      <c r="DD3" t="s">
        <v>3</v>
      </c>
      <c r="DE3" t="s">
        <v>3</v>
      </c>
      <c r="DF3">
        <f>ROUND(ROUND(AE3,2)*CX3,2)</f>
        <v>0</v>
      </c>
      <c r="DG3">
        <f>ROUND(ROUND(AF3,2)*CX3,2)</f>
        <v>0</v>
      </c>
      <c r="DH3">
        <f>ROUND(ROUND(AG3,2)*CX3,2)</f>
        <v>0</v>
      </c>
      <c r="DI3">
        <f>ROUND(ROUND(AH3,2)*CX3,2)</f>
        <v>0</v>
      </c>
      <c r="DJ3">
        <f>DI3</f>
        <v>0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123" spans="9:9" x14ac:dyDescent="0.2">
      <c r="I123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F806D-15AE-4830-8B3B-819A5F69C5D8}">
  <dimension ref="A1:AR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50571456</v>
      </c>
      <c r="C1">
        <v>50571454</v>
      </c>
      <c r="D1">
        <v>30515951</v>
      </c>
      <c r="E1">
        <v>30515945</v>
      </c>
      <c r="F1">
        <v>1</v>
      </c>
      <c r="G1">
        <v>30515945</v>
      </c>
      <c r="H1">
        <v>1</v>
      </c>
      <c r="I1" t="s">
        <v>104</v>
      </c>
      <c r="J1" t="s">
        <v>3</v>
      </c>
      <c r="K1" t="s">
        <v>105</v>
      </c>
      <c r="L1">
        <v>1191</v>
      </c>
      <c r="N1">
        <v>1013</v>
      </c>
      <c r="O1" t="s">
        <v>106</v>
      </c>
      <c r="P1" t="s">
        <v>106</v>
      </c>
      <c r="Q1">
        <v>1</v>
      </c>
      <c r="X1">
        <v>65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24</v>
      </c>
      <c r="AG1">
        <v>52</v>
      </c>
      <c r="AH1">
        <v>2</v>
      </c>
      <c r="AI1">
        <v>50571455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ROW(Source!A29)</f>
        <v>29</v>
      </c>
      <c r="B2">
        <v>50571459</v>
      </c>
      <c r="C2">
        <v>50571457</v>
      </c>
      <c r="D2">
        <v>30515951</v>
      </c>
      <c r="E2">
        <v>30515945</v>
      </c>
      <c r="F2">
        <v>1</v>
      </c>
      <c r="G2">
        <v>30515945</v>
      </c>
      <c r="H2">
        <v>1</v>
      </c>
      <c r="I2" t="s">
        <v>104</v>
      </c>
      <c r="J2" t="s">
        <v>3</v>
      </c>
      <c r="K2" t="s">
        <v>105</v>
      </c>
      <c r="L2">
        <v>1191</v>
      </c>
      <c r="N2">
        <v>1013</v>
      </c>
      <c r="O2" t="s">
        <v>106</v>
      </c>
      <c r="P2" t="s">
        <v>106</v>
      </c>
      <c r="Q2">
        <v>1</v>
      </c>
      <c r="X2">
        <v>43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24</v>
      </c>
      <c r="AG2">
        <v>34.4</v>
      </c>
      <c r="AH2">
        <v>2</v>
      </c>
      <c r="AI2">
        <v>50571458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ROW(Source!A30)</f>
        <v>30</v>
      </c>
      <c r="B3">
        <v>50571462</v>
      </c>
      <c r="C3">
        <v>50571460</v>
      </c>
      <c r="D3">
        <v>30515951</v>
      </c>
      <c r="E3">
        <v>30515945</v>
      </c>
      <c r="F3">
        <v>1</v>
      </c>
      <c r="G3">
        <v>30515945</v>
      </c>
      <c r="H3">
        <v>1</v>
      </c>
      <c r="I3" t="s">
        <v>104</v>
      </c>
      <c r="J3" t="s">
        <v>3</v>
      </c>
      <c r="K3" t="s">
        <v>105</v>
      </c>
      <c r="L3">
        <v>1191</v>
      </c>
      <c r="N3">
        <v>1013</v>
      </c>
      <c r="O3" t="s">
        <v>106</v>
      </c>
      <c r="P3" t="s">
        <v>106</v>
      </c>
      <c r="Q3">
        <v>1</v>
      </c>
      <c r="X3">
        <v>9.2100000000000009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24</v>
      </c>
      <c r="AG3">
        <v>7.3680000000000003</v>
      </c>
      <c r="AH3">
        <v>2</v>
      </c>
      <c r="AI3">
        <v>50571461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AC4EC-9E7E-43D1-87B0-568161499BBF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Смета по ТСН-2001(с доп.43</vt:lpstr>
      <vt:lpstr>Source</vt:lpstr>
      <vt:lpstr>SourceObSm</vt:lpstr>
      <vt:lpstr>SmtRes</vt:lpstr>
      <vt:lpstr>EtalonRes</vt:lpstr>
      <vt:lpstr>SrcKA</vt:lpstr>
      <vt:lpstr>'Смета по ТСН-2001(с доп.43'!Заголовки_для_печати</vt:lpstr>
      <vt:lpstr>'Смета по ТСН-2001(с доп.43'!Область_печати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Shirokova</dc:creator>
  <cp:lastModifiedBy>Шишканов Михаил Владимирович</cp:lastModifiedBy>
  <dcterms:created xsi:type="dcterms:W3CDTF">2024-09-13T10:21:33Z</dcterms:created>
  <dcterms:modified xsi:type="dcterms:W3CDTF">2024-10-14T08:26:05Z</dcterms:modified>
</cp:coreProperties>
</file>