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Смета по ТСН-2001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по ТСН-2001'!$26:$26</definedName>
    <definedName name="_xlnm.Print_Area" localSheetId="0">'Смета по ТСН-2001'!$A$1:$K$270</definedName>
  </definedNames>
  <calcPr calcId="152511"/>
</workbook>
</file>

<file path=xl/calcChain.xml><?xml version="1.0" encoding="utf-8"?>
<calcChain xmlns="http://schemas.openxmlformats.org/spreadsheetml/2006/main">
  <c r="H268" i="5" l="1"/>
  <c r="H265" i="5"/>
  <c r="C268" i="5"/>
  <c r="C265" i="5"/>
  <c r="J262" i="5"/>
  <c r="C262" i="5"/>
  <c r="J261" i="5"/>
  <c r="C261" i="5"/>
  <c r="J260" i="5"/>
  <c r="C260" i="5"/>
  <c r="J259" i="5"/>
  <c r="C259" i="5"/>
  <c r="J258" i="5"/>
  <c r="C258" i="5"/>
  <c r="J257" i="5"/>
  <c r="C257" i="5"/>
  <c r="J256" i="5"/>
  <c r="C256" i="5"/>
  <c r="J255" i="5"/>
  <c r="C255" i="5"/>
  <c r="J23" i="5"/>
  <c r="J21" i="5"/>
  <c r="J20" i="5"/>
  <c r="J19" i="5"/>
  <c r="J18" i="5"/>
  <c r="J17" i="5"/>
  <c r="J16" i="5"/>
  <c r="I23" i="5"/>
  <c r="I254" i="5"/>
  <c r="J254" i="5"/>
  <c r="I253" i="5"/>
  <c r="J253" i="5"/>
  <c r="A252" i="5"/>
  <c r="I250" i="5"/>
  <c r="J250" i="5"/>
  <c r="I249" i="5"/>
  <c r="J249" i="5"/>
  <c r="A248" i="5"/>
  <c r="AA246" i="5"/>
  <c r="Z246" i="5"/>
  <c r="Y246" i="5"/>
  <c r="J245" i="5"/>
  <c r="E245" i="5"/>
  <c r="K244" i="5"/>
  <c r="J244" i="5"/>
  <c r="I244" i="5"/>
  <c r="W244" i="5" s="1"/>
  <c r="H244" i="5"/>
  <c r="G244" i="5"/>
  <c r="F244" i="5"/>
  <c r="K243" i="5"/>
  <c r="J243" i="5"/>
  <c r="I243" i="5"/>
  <c r="X246" i="5" s="1"/>
  <c r="H243" i="5"/>
  <c r="G243" i="5"/>
  <c r="F243" i="5"/>
  <c r="V242" i="5"/>
  <c r="K245" i="5" s="1"/>
  <c r="J246" i="5" s="1"/>
  <c r="T242" i="5"/>
  <c r="R242" i="5"/>
  <c r="U242" i="5"/>
  <c r="I245" i="5" s="1"/>
  <c r="S242" i="5"/>
  <c r="Q242" i="5"/>
  <c r="E242" i="5"/>
  <c r="D242" i="5"/>
  <c r="B242" i="5"/>
  <c r="A242" i="5"/>
  <c r="Z241" i="5"/>
  <c r="Y241" i="5"/>
  <c r="X241" i="5"/>
  <c r="I240" i="5"/>
  <c r="H240" i="5"/>
  <c r="G240" i="5"/>
  <c r="E240" i="5"/>
  <c r="J239" i="5"/>
  <c r="I239" i="5"/>
  <c r="E239" i="5"/>
  <c r="J238" i="5"/>
  <c r="E238" i="5"/>
  <c r="K237" i="5"/>
  <c r="J237" i="5"/>
  <c r="W237" i="5"/>
  <c r="I237" i="5"/>
  <c r="H237" i="5"/>
  <c r="G237" i="5"/>
  <c r="F237" i="5"/>
  <c r="V236" i="5"/>
  <c r="T236" i="5"/>
  <c r="K239" i="5" s="1"/>
  <c r="R236" i="5"/>
  <c r="K238" i="5" s="1"/>
  <c r="U236" i="5"/>
  <c r="S236" i="5"/>
  <c r="Q236" i="5"/>
  <c r="I238" i="5" s="1"/>
  <c r="E236" i="5"/>
  <c r="D236" i="5"/>
  <c r="B236" i="5"/>
  <c r="A236" i="5"/>
  <c r="Z235" i="5"/>
  <c r="Y235" i="5"/>
  <c r="X235" i="5"/>
  <c r="I234" i="5"/>
  <c r="H234" i="5"/>
  <c r="G234" i="5"/>
  <c r="E234" i="5"/>
  <c r="J233" i="5"/>
  <c r="E233" i="5"/>
  <c r="J232" i="5"/>
  <c r="E232" i="5"/>
  <c r="K231" i="5"/>
  <c r="J231" i="5"/>
  <c r="I231" i="5"/>
  <c r="H231" i="5"/>
  <c r="G231" i="5"/>
  <c r="F231" i="5"/>
  <c r="V230" i="5"/>
  <c r="T230" i="5"/>
  <c r="K233" i="5" s="1"/>
  <c r="R230" i="5"/>
  <c r="K232" i="5" s="1"/>
  <c r="U230" i="5"/>
  <c r="S230" i="5"/>
  <c r="I233" i="5" s="1"/>
  <c r="Q230" i="5"/>
  <c r="I232" i="5" s="1"/>
  <c r="E230" i="5"/>
  <c r="D230" i="5"/>
  <c r="B230" i="5"/>
  <c r="A230" i="5"/>
  <c r="Z229" i="5"/>
  <c r="Y229" i="5"/>
  <c r="X229" i="5"/>
  <c r="I228" i="5"/>
  <c r="H228" i="5"/>
  <c r="G228" i="5"/>
  <c r="E228" i="5"/>
  <c r="J227" i="5"/>
  <c r="I227" i="5"/>
  <c r="E227" i="5"/>
  <c r="K226" i="5"/>
  <c r="J226" i="5"/>
  <c r="I226" i="5"/>
  <c r="O229" i="5" s="1"/>
  <c r="E226" i="5"/>
  <c r="K225" i="5"/>
  <c r="J225" i="5"/>
  <c r="W225" i="5"/>
  <c r="I225" i="5"/>
  <c r="H229" i="5" s="1"/>
  <c r="H225" i="5"/>
  <c r="G225" i="5"/>
  <c r="F225" i="5"/>
  <c r="V224" i="5"/>
  <c r="T224" i="5"/>
  <c r="K227" i="5" s="1"/>
  <c r="R224" i="5"/>
  <c r="U224" i="5"/>
  <c r="S224" i="5"/>
  <c r="Q224" i="5"/>
  <c r="E224" i="5"/>
  <c r="D224" i="5"/>
  <c r="B224" i="5"/>
  <c r="A224" i="5"/>
  <c r="A223" i="5"/>
  <c r="J221" i="5"/>
  <c r="C221" i="5"/>
  <c r="I220" i="5"/>
  <c r="J220" i="5"/>
  <c r="I219" i="5"/>
  <c r="J219" i="5"/>
  <c r="A218" i="5"/>
  <c r="AA216" i="5"/>
  <c r="Z216" i="5"/>
  <c r="Y216" i="5"/>
  <c r="X216" i="5"/>
  <c r="O216" i="5"/>
  <c r="H216" i="5"/>
  <c r="P216" i="5"/>
  <c r="J216" i="5"/>
  <c r="K215" i="5"/>
  <c r="J215" i="5"/>
  <c r="I215" i="5"/>
  <c r="H215" i="5"/>
  <c r="G215" i="5"/>
  <c r="F215" i="5"/>
  <c r="V214" i="5"/>
  <c r="T214" i="5"/>
  <c r="R214" i="5"/>
  <c r="U214" i="5"/>
  <c r="S214" i="5"/>
  <c r="Q214" i="5"/>
  <c r="E214" i="5"/>
  <c r="D214" i="5"/>
  <c r="B214" i="5"/>
  <c r="A214" i="5"/>
  <c r="Z213" i="5"/>
  <c r="Y213" i="5"/>
  <c r="X213" i="5"/>
  <c r="O213" i="5"/>
  <c r="H218" i="5" s="1"/>
  <c r="H213" i="5"/>
  <c r="P213" i="5"/>
  <c r="J218" i="5" s="1"/>
  <c r="J213" i="5"/>
  <c r="K212" i="5"/>
  <c r="J212" i="5"/>
  <c r="I212" i="5"/>
  <c r="AA213" i="5" s="1"/>
  <c r="H212" i="5"/>
  <c r="G212" i="5"/>
  <c r="F212" i="5"/>
  <c r="V211" i="5"/>
  <c r="T211" i="5"/>
  <c r="R211" i="5"/>
  <c r="U211" i="5"/>
  <c r="S211" i="5"/>
  <c r="Q211" i="5"/>
  <c r="E211" i="5"/>
  <c r="D211" i="5"/>
  <c r="B211" i="5"/>
  <c r="A211" i="5"/>
  <c r="A210" i="5"/>
  <c r="J208" i="5"/>
  <c r="C208" i="5"/>
  <c r="I207" i="5"/>
  <c r="J207" i="5"/>
  <c r="I206" i="5"/>
  <c r="J206" i="5"/>
  <c r="A205" i="5"/>
  <c r="AA203" i="5"/>
  <c r="Z203" i="5"/>
  <c r="X203" i="5"/>
  <c r="I202" i="5"/>
  <c r="H202" i="5"/>
  <c r="G202" i="5"/>
  <c r="E202" i="5"/>
  <c r="J201" i="5"/>
  <c r="E201" i="5"/>
  <c r="J200" i="5"/>
  <c r="E200" i="5"/>
  <c r="J199" i="5"/>
  <c r="E199" i="5"/>
  <c r="K198" i="5"/>
  <c r="J198" i="5"/>
  <c r="H198" i="5"/>
  <c r="AA198" i="5"/>
  <c r="Z198" i="5"/>
  <c r="X198" i="5"/>
  <c r="I198" i="5"/>
  <c r="Y198" i="5" s="1"/>
  <c r="F198" i="5"/>
  <c r="V198" i="5"/>
  <c r="T198" i="5"/>
  <c r="R198" i="5"/>
  <c r="U198" i="5"/>
  <c r="S198" i="5"/>
  <c r="Q198" i="5"/>
  <c r="E198" i="5"/>
  <c r="D198" i="5"/>
  <c r="B198" i="5"/>
  <c r="A198" i="5"/>
  <c r="K197" i="5"/>
  <c r="J197" i="5"/>
  <c r="I197" i="5"/>
  <c r="H197" i="5"/>
  <c r="G197" i="5"/>
  <c r="F197" i="5"/>
  <c r="K196" i="5"/>
  <c r="J196" i="5"/>
  <c r="W196" i="5"/>
  <c r="I196" i="5"/>
  <c r="H196" i="5"/>
  <c r="G196" i="5"/>
  <c r="F196" i="5"/>
  <c r="K195" i="5"/>
  <c r="J195" i="5"/>
  <c r="I195" i="5"/>
  <c r="H195" i="5"/>
  <c r="G195" i="5"/>
  <c r="F195" i="5"/>
  <c r="K194" i="5"/>
  <c r="J194" i="5"/>
  <c r="I194" i="5"/>
  <c r="H194" i="5"/>
  <c r="G194" i="5"/>
  <c r="F194" i="5"/>
  <c r="V193" i="5"/>
  <c r="K201" i="5" s="1"/>
  <c r="T193" i="5"/>
  <c r="K200" i="5" s="1"/>
  <c r="R193" i="5"/>
  <c r="K199" i="5" s="1"/>
  <c r="U193" i="5"/>
  <c r="I201" i="5" s="1"/>
  <c r="S193" i="5"/>
  <c r="I200" i="5" s="1"/>
  <c r="Q193" i="5"/>
  <c r="I199" i="5" s="1"/>
  <c r="E193" i="5"/>
  <c r="D193" i="5"/>
  <c r="B193" i="5"/>
  <c r="A193" i="5"/>
  <c r="AA192" i="5"/>
  <c r="Z192" i="5"/>
  <c r="Y192" i="5"/>
  <c r="X192" i="5"/>
  <c r="I191" i="5"/>
  <c r="H191" i="5"/>
  <c r="G191" i="5"/>
  <c r="E191" i="5"/>
  <c r="J190" i="5"/>
  <c r="I190" i="5"/>
  <c r="E190" i="5"/>
  <c r="K189" i="5"/>
  <c r="J189" i="5"/>
  <c r="I189" i="5"/>
  <c r="E189" i="5"/>
  <c r="K188" i="5"/>
  <c r="J188" i="5"/>
  <c r="I188" i="5"/>
  <c r="O192" i="5" s="1"/>
  <c r="H188" i="5"/>
  <c r="G188" i="5"/>
  <c r="F188" i="5"/>
  <c r="K187" i="5"/>
  <c r="J187" i="5"/>
  <c r="W187" i="5"/>
  <c r="I187" i="5"/>
  <c r="H192" i="5" s="1"/>
  <c r="H187" i="5"/>
  <c r="G187" i="5"/>
  <c r="F187" i="5"/>
  <c r="V186" i="5"/>
  <c r="T186" i="5"/>
  <c r="K190" i="5" s="1"/>
  <c r="R186" i="5"/>
  <c r="U186" i="5"/>
  <c r="S186" i="5"/>
  <c r="Q186" i="5"/>
  <c r="E186" i="5"/>
  <c r="D186" i="5"/>
  <c r="B186" i="5"/>
  <c r="A186" i="5"/>
  <c r="AA185" i="5"/>
  <c r="Z185" i="5"/>
  <c r="X185" i="5"/>
  <c r="H185" i="5"/>
  <c r="J185" i="5"/>
  <c r="K184" i="5"/>
  <c r="P185" i="5" s="1"/>
  <c r="J184" i="5"/>
  <c r="I184" i="5"/>
  <c r="Y185" i="5" s="1"/>
  <c r="H184" i="5"/>
  <c r="G184" i="5"/>
  <c r="F184" i="5"/>
  <c r="V184" i="5"/>
  <c r="T184" i="5"/>
  <c r="R184" i="5"/>
  <c r="U184" i="5"/>
  <c r="S184" i="5"/>
  <c r="Q184" i="5"/>
  <c r="E184" i="5"/>
  <c r="D184" i="5"/>
  <c r="B184" i="5"/>
  <c r="A184" i="5"/>
  <c r="AA183" i="5"/>
  <c r="Z183" i="5"/>
  <c r="X183" i="5"/>
  <c r="I182" i="5"/>
  <c r="H182" i="5"/>
  <c r="G182" i="5"/>
  <c r="E182" i="5"/>
  <c r="J181" i="5"/>
  <c r="E181" i="5"/>
  <c r="J180" i="5"/>
  <c r="E180" i="5"/>
  <c r="J179" i="5"/>
  <c r="E179" i="5"/>
  <c r="K178" i="5"/>
  <c r="J178" i="5"/>
  <c r="I178" i="5"/>
  <c r="H178" i="5"/>
  <c r="G178" i="5"/>
  <c r="F178" i="5"/>
  <c r="K177" i="5"/>
  <c r="J177" i="5"/>
  <c r="W177" i="5"/>
  <c r="I177" i="5"/>
  <c r="H177" i="5"/>
  <c r="G177" i="5"/>
  <c r="F177" i="5"/>
  <c r="K176" i="5"/>
  <c r="J176" i="5"/>
  <c r="I176" i="5"/>
  <c r="H176" i="5"/>
  <c r="G176" i="5"/>
  <c r="F176" i="5"/>
  <c r="K175" i="5"/>
  <c r="J175" i="5"/>
  <c r="W175" i="5"/>
  <c r="I175" i="5"/>
  <c r="H175" i="5"/>
  <c r="G175" i="5"/>
  <c r="F175" i="5"/>
  <c r="V174" i="5"/>
  <c r="K181" i="5" s="1"/>
  <c r="T174" i="5"/>
  <c r="K180" i="5" s="1"/>
  <c r="R174" i="5"/>
  <c r="K179" i="5" s="1"/>
  <c r="U174" i="5"/>
  <c r="I181" i="5" s="1"/>
  <c r="S174" i="5"/>
  <c r="I180" i="5" s="1"/>
  <c r="Q174" i="5"/>
  <c r="I179" i="5" s="1"/>
  <c r="E174" i="5"/>
  <c r="D174" i="5"/>
  <c r="B174" i="5"/>
  <c r="A174" i="5"/>
  <c r="AA173" i="5"/>
  <c r="Z173" i="5"/>
  <c r="Y173" i="5"/>
  <c r="X173" i="5"/>
  <c r="O173" i="5"/>
  <c r="H173" i="5"/>
  <c r="P173" i="5"/>
  <c r="J173" i="5"/>
  <c r="K172" i="5"/>
  <c r="J172" i="5"/>
  <c r="I172" i="5"/>
  <c r="H172" i="5"/>
  <c r="G172" i="5"/>
  <c r="F172" i="5"/>
  <c r="V172" i="5"/>
  <c r="T172" i="5"/>
  <c r="R172" i="5"/>
  <c r="U172" i="5"/>
  <c r="S172" i="5"/>
  <c r="Q172" i="5"/>
  <c r="E172" i="5"/>
  <c r="D172" i="5"/>
  <c r="B172" i="5"/>
  <c r="A172" i="5"/>
  <c r="AA171" i="5"/>
  <c r="Z171" i="5"/>
  <c r="X171" i="5"/>
  <c r="I170" i="5"/>
  <c r="H170" i="5"/>
  <c r="G170" i="5"/>
  <c r="E170" i="5"/>
  <c r="K169" i="5"/>
  <c r="J169" i="5"/>
  <c r="I169" i="5"/>
  <c r="E169" i="5"/>
  <c r="J168" i="5"/>
  <c r="E168" i="5"/>
  <c r="J167" i="5"/>
  <c r="E167" i="5"/>
  <c r="K166" i="5"/>
  <c r="J166" i="5"/>
  <c r="I166" i="5"/>
  <c r="H166" i="5"/>
  <c r="G166" i="5"/>
  <c r="F166" i="5"/>
  <c r="K165" i="5"/>
  <c r="J165" i="5"/>
  <c r="I165" i="5"/>
  <c r="W165" i="5" s="1"/>
  <c r="H165" i="5"/>
  <c r="G165" i="5"/>
  <c r="F165" i="5"/>
  <c r="K164" i="5"/>
  <c r="J164" i="5"/>
  <c r="I164" i="5"/>
  <c r="H164" i="5"/>
  <c r="G164" i="5"/>
  <c r="F164" i="5"/>
  <c r="K163" i="5"/>
  <c r="J163" i="5"/>
  <c r="I163" i="5"/>
  <c r="H163" i="5"/>
  <c r="G163" i="5"/>
  <c r="F163" i="5"/>
  <c r="V162" i="5"/>
  <c r="T162" i="5"/>
  <c r="K168" i="5" s="1"/>
  <c r="R162" i="5"/>
  <c r="K167" i="5" s="1"/>
  <c r="U162" i="5"/>
  <c r="S162" i="5"/>
  <c r="I168" i="5" s="1"/>
  <c r="Q162" i="5"/>
  <c r="I167" i="5" s="1"/>
  <c r="E162" i="5"/>
  <c r="D162" i="5"/>
  <c r="B162" i="5"/>
  <c r="A162" i="5"/>
  <c r="AA161" i="5"/>
  <c r="Z161" i="5"/>
  <c r="X161" i="5"/>
  <c r="I160" i="5"/>
  <c r="H160" i="5"/>
  <c r="G160" i="5"/>
  <c r="E160" i="5"/>
  <c r="J159" i="5"/>
  <c r="E159" i="5"/>
  <c r="J158" i="5"/>
  <c r="E158" i="5"/>
  <c r="J157" i="5"/>
  <c r="E157" i="5"/>
  <c r="K156" i="5"/>
  <c r="J156" i="5"/>
  <c r="H156" i="5"/>
  <c r="AA156" i="5"/>
  <c r="Z156" i="5"/>
  <c r="X156" i="5"/>
  <c r="I156" i="5"/>
  <c r="Y156" i="5" s="1"/>
  <c r="F156" i="5"/>
  <c r="V156" i="5"/>
  <c r="T156" i="5"/>
  <c r="R156" i="5"/>
  <c r="U156" i="5"/>
  <c r="S156" i="5"/>
  <c r="Q156" i="5"/>
  <c r="E156" i="5"/>
  <c r="D156" i="5"/>
  <c r="B156" i="5"/>
  <c r="A156" i="5"/>
  <c r="K155" i="5"/>
  <c r="J155" i="5"/>
  <c r="W155" i="5"/>
  <c r="I155" i="5"/>
  <c r="H155" i="5"/>
  <c r="G155" i="5"/>
  <c r="F155" i="5"/>
  <c r="K154" i="5"/>
  <c r="J154" i="5"/>
  <c r="I154" i="5"/>
  <c r="H154" i="5"/>
  <c r="G154" i="5"/>
  <c r="F154" i="5"/>
  <c r="K153" i="5"/>
  <c r="J153" i="5"/>
  <c r="I153" i="5"/>
  <c r="H153" i="5"/>
  <c r="G153" i="5"/>
  <c r="F153" i="5"/>
  <c r="V152" i="5"/>
  <c r="K159" i="5" s="1"/>
  <c r="T152" i="5"/>
  <c r="K158" i="5" s="1"/>
  <c r="R152" i="5"/>
  <c r="K157" i="5" s="1"/>
  <c r="U152" i="5"/>
  <c r="I159" i="5" s="1"/>
  <c r="S152" i="5"/>
  <c r="I158" i="5" s="1"/>
  <c r="Q152" i="5"/>
  <c r="I157" i="5" s="1"/>
  <c r="E152" i="5"/>
  <c r="D152" i="5"/>
  <c r="B152" i="5"/>
  <c r="A152" i="5"/>
  <c r="AA151" i="5"/>
  <c r="Z151" i="5"/>
  <c r="X151" i="5"/>
  <c r="O151" i="5"/>
  <c r="P151" i="5"/>
  <c r="J151" i="5"/>
  <c r="K150" i="5"/>
  <c r="J150" i="5"/>
  <c r="I150" i="5"/>
  <c r="Y151" i="5" s="1"/>
  <c r="H150" i="5"/>
  <c r="G150" i="5"/>
  <c r="F150" i="5"/>
  <c r="V150" i="5"/>
  <c r="T150" i="5"/>
  <c r="R150" i="5"/>
  <c r="U150" i="5"/>
  <c r="S150" i="5"/>
  <c r="Q150" i="5"/>
  <c r="E150" i="5"/>
  <c r="D150" i="5"/>
  <c r="B150" i="5"/>
  <c r="A150" i="5"/>
  <c r="AA149" i="5"/>
  <c r="Z149" i="5"/>
  <c r="X149" i="5"/>
  <c r="I148" i="5"/>
  <c r="H148" i="5"/>
  <c r="G148" i="5"/>
  <c r="E148" i="5"/>
  <c r="K147" i="5"/>
  <c r="J147" i="5"/>
  <c r="I147" i="5"/>
  <c r="E147" i="5"/>
  <c r="J146" i="5"/>
  <c r="E146" i="5"/>
  <c r="J145" i="5"/>
  <c r="I145" i="5"/>
  <c r="E145" i="5"/>
  <c r="K144" i="5"/>
  <c r="J144" i="5"/>
  <c r="I144" i="5"/>
  <c r="H144" i="5"/>
  <c r="G144" i="5"/>
  <c r="F144" i="5"/>
  <c r="K143" i="5"/>
  <c r="J143" i="5"/>
  <c r="I143" i="5"/>
  <c r="W143" i="5" s="1"/>
  <c r="H143" i="5"/>
  <c r="G143" i="5"/>
  <c r="F143" i="5"/>
  <c r="K142" i="5"/>
  <c r="J142" i="5"/>
  <c r="I142" i="5"/>
  <c r="H142" i="5"/>
  <c r="G142" i="5"/>
  <c r="F142" i="5"/>
  <c r="K141" i="5"/>
  <c r="J141" i="5"/>
  <c r="I141" i="5"/>
  <c r="H141" i="5"/>
  <c r="G141" i="5"/>
  <c r="F141" i="5"/>
  <c r="V140" i="5"/>
  <c r="T140" i="5"/>
  <c r="K146" i="5" s="1"/>
  <c r="R140" i="5"/>
  <c r="K145" i="5" s="1"/>
  <c r="U140" i="5"/>
  <c r="S140" i="5"/>
  <c r="I146" i="5" s="1"/>
  <c r="Q140" i="5"/>
  <c r="E140" i="5"/>
  <c r="D140" i="5"/>
  <c r="B140" i="5"/>
  <c r="A140" i="5"/>
  <c r="AA139" i="5"/>
  <c r="Z139" i="5"/>
  <c r="X139" i="5"/>
  <c r="I138" i="5"/>
  <c r="H138" i="5"/>
  <c r="G138" i="5"/>
  <c r="E138" i="5"/>
  <c r="J137" i="5"/>
  <c r="I137" i="5"/>
  <c r="E137" i="5"/>
  <c r="K136" i="5"/>
  <c r="J136" i="5"/>
  <c r="I136" i="5"/>
  <c r="E136" i="5"/>
  <c r="J135" i="5"/>
  <c r="I135" i="5"/>
  <c r="E135" i="5"/>
  <c r="K134" i="5"/>
  <c r="J134" i="5"/>
  <c r="I134" i="5"/>
  <c r="Y139" i="5" s="1"/>
  <c r="H134" i="5"/>
  <c r="G134" i="5"/>
  <c r="F134" i="5"/>
  <c r="K133" i="5"/>
  <c r="J133" i="5"/>
  <c r="W133" i="5"/>
  <c r="I133" i="5"/>
  <c r="H133" i="5"/>
  <c r="G133" i="5"/>
  <c r="F133" i="5"/>
  <c r="K132" i="5"/>
  <c r="J132" i="5"/>
  <c r="I132" i="5"/>
  <c r="H132" i="5"/>
  <c r="G132" i="5"/>
  <c r="F132" i="5"/>
  <c r="K131" i="5"/>
  <c r="J131" i="5"/>
  <c r="I131" i="5"/>
  <c r="O139" i="5" s="1"/>
  <c r="H131" i="5"/>
  <c r="G131" i="5"/>
  <c r="F131" i="5"/>
  <c r="V130" i="5"/>
  <c r="K137" i="5" s="1"/>
  <c r="T130" i="5"/>
  <c r="R130" i="5"/>
  <c r="K135" i="5" s="1"/>
  <c r="U130" i="5"/>
  <c r="S130" i="5"/>
  <c r="Q130" i="5"/>
  <c r="E130" i="5"/>
  <c r="D130" i="5"/>
  <c r="B130" i="5"/>
  <c r="A130" i="5"/>
  <c r="AA129" i="5"/>
  <c r="Z129" i="5"/>
  <c r="X129" i="5"/>
  <c r="I128" i="5"/>
  <c r="H128" i="5"/>
  <c r="G128" i="5"/>
  <c r="E128" i="5"/>
  <c r="K127" i="5"/>
  <c r="J127" i="5"/>
  <c r="I127" i="5"/>
  <c r="E127" i="5"/>
  <c r="J126" i="5"/>
  <c r="E126" i="5"/>
  <c r="J125" i="5"/>
  <c r="I125" i="5"/>
  <c r="E125" i="5"/>
  <c r="K124" i="5"/>
  <c r="J124" i="5"/>
  <c r="I124" i="5"/>
  <c r="H124" i="5"/>
  <c r="G124" i="5"/>
  <c r="F124" i="5"/>
  <c r="K123" i="5"/>
  <c r="J123" i="5"/>
  <c r="I123" i="5"/>
  <c r="W123" i="5" s="1"/>
  <c r="H123" i="5"/>
  <c r="G123" i="5"/>
  <c r="F123" i="5"/>
  <c r="K122" i="5"/>
  <c r="J122" i="5"/>
  <c r="I122" i="5"/>
  <c r="H122" i="5"/>
  <c r="G122" i="5"/>
  <c r="F122" i="5"/>
  <c r="K121" i="5"/>
  <c r="J121" i="5"/>
  <c r="I121" i="5"/>
  <c r="H121" i="5"/>
  <c r="G121" i="5"/>
  <c r="F121" i="5"/>
  <c r="V120" i="5"/>
  <c r="T120" i="5"/>
  <c r="K126" i="5" s="1"/>
  <c r="R120" i="5"/>
  <c r="K125" i="5" s="1"/>
  <c r="U120" i="5"/>
  <c r="S120" i="5"/>
  <c r="I126" i="5" s="1"/>
  <c r="Q120" i="5"/>
  <c r="E120" i="5"/>
  <c r="D120" i="5"/>
  <c r="B120" i="5"/>
  <c r="A120" i="5"/>
  <c r="AA119" i="5"/>
  <c r="Z119" i="5"/>
  <c r="X119" i="5"/>
  <c r="I118" i="5"/>
  <c r="H118" i="5"/>
  <c r="G118" i="5"/>
  <c r="E118" i="5"/>
  <c r="J117" i="5"/>
  <c r="I117" i="5"/>
  <c r="E117" i="5"/>
  <c r="K116" i="5"/>
  <c r="J116" i="5"/>
  <c r="I116" i="5"/>
  <c r="E116" i="5"/>
  <c r="J115" i="5"/>
  <c r="I115" i="5"/>
  <c r="E115" i="5"/>
  <c r="K114" i="5"/>
  <c r="J114" i="5"/>
  <c r="I114" i="5"/>
  <c r="Y119" i="5" s="1"/>
  <c r="H114" i="5"/>
  <c r="G114" i="5"/>
  <c r="F114" i="5"/>
  <c r="K113" i="5"/>
  <c r="J113" i="5"/>
  <c r="W113" i="5"/>
  <c r="I113" i="5"/>
  <c r="H113" i="5"/>
  <c r="G113" i="5"/>
  <c r="F113" i="5"/>
  <c r="K112" i="5"/>
  <c r="J112" i="5"/>
  <c r="I112" i="5"/>
  <c r="H112" i="5"/>
  <c r="G112" i="5"/>
  <c r="F112" i="5"/>
  <c r="K111" i="5"/>
  <c r="J111" i="5"/>
  <c r="I111" i="5"/>
  <c r="O119" i="5" s="1"/>
  <c r="H111" i="5"/>
  <c r="G111" i="5"/>
  <c r="F111" i="5"/>
  <c r="V110" i="5"/>
  <c r="K117" i="5" s="1"/>
  <c r="T110" i="5"/>
  <c r="R110" i="5"/>
  <c r="K115" i="5" s="1"/>
  <c r="U110" i="5"/>
  <c r="S110" i="5"/>
  <c r="Q110" i="5"/>
  <c r="E110" i="5"/>
  <c r="D110" i="5"/>
  <c r="B110" i="5"/>
  <c r="A110" i="5"/>
  <c r="AA109" i="5"/>
  <c r="Z109" i="5"/>
  <c r="X109" i="5"/>
  <c r="I108" i="5"/>
  <c r="H108" i="5"/>
  <c r="G108" i="5"/>
  <c r="E108" i="5"/>
  <c r="K107" i="5"/>
  <c r="J107" i="5"/>
  <c r="I107" i="5"/>
  <c r="E107" i="5"/>
  <c r="J106" i="5"/>
  <c r="E106" i="5"/>
  <c r="J105" i="5"/>
  <c r="I105" i="5"/>
  <c r="E105" i="5"/>
  <c r="K104" i="5"/>
  <c r="J104" i="5"/>
  <c r="I104" i="5"/>
  <c r="H104" i="5"/>
  <c r="G104" i="5"/>
  <c r="F104" i="5"/>
  <c r="K103" i="5"/>
  <c r="J103" i="5"/>
  <c r="I103" i="5"/>
  <c r="W103" i="5" s="1"/>
  <c r="H103" i="5"/>
  <c r="G103" i="5"/>
  <c r="F103" i="5"/>
  <c r="K102" i="5"/>
  <c r="J102" i="5"/>
  <c r="I102" i="5"/>
  <c r="H102" i="5"/>
  <c r="G102" i="5"/>
  <c r="F102" i="5"/>
  <c r="K101" i="5"/>
  <c r="J101" i="5"/>
  <c r="I101" i="5"/>
  <c r="H101" i="5"/>
  <c r="G101" i="5"/>
  <c r="F101" i="5"/>
  <c r="V100" i="5"/>
  <c r="T100" i="5"/>
  <c r="K106" i="5" s="1"/>
  <c r="R100" i="5"/>
  <c r="K105" i="5" s="1"/>
  <c r="U100" i="5"/>
  <c r="S100" i="5"/>
  <c r="I106" i="5" s="1"/>
  <c r="Q100" i="5"/>
  <c r="E100" i="5"/>
  <c r="D100" i="5"/>
  <c r="B100" i="5"/>
  <c r="A100" i="5"/>
  <c r="AA99" i="5"/>
  <c r="Z99" i="5"/>
  <c r="Y99" i="5"/>
  <c r="K98" i="5"/>
  <c r="P99" i="5" s="1"/>
  <c r="J98" i="5"/>
  <c r="I98" i="5"/>
  <c r="X99" i="5" s="1"/>
  <c r="H98" i="5"/>
  <c r="G98" i="5"/>
  <c r="F98" i="5"/>
  <c r="V98" i="5"/>
  <c r="T98" i="5"/>
  <c r="R98" i="5"/>
  <c r="U98" i="5"/>
  <c r="S98" i="5"/>
  <c r="Q98" i="5"/>
  <c r="E98" i="5"/>
  <c r="D98" i="5"/>
  <c r="B98" i="5"/>
  <c r="A98" i="5"/>
  <c r="AA97" i="5"/>
  <c r="Z97" i="5"/>
  <c r="X97" i="5"/>
  <c r="I96" i="5"/>
  <c r="H96" i="5"/>
  <c r="G96" i="5"/>
  <c r="E96" i="5"/>
  <c r="J95" i="5"/>
  <c r="I95" i="5"/>
  <c r="E95" i="5"/>
  <c r="K94" i="5"/>
  <c r="J94" i="5"/>
  <c r="I94" i="5"/>
  <c r="E94" i="5"/>
  <c r="J93" i="5"/>
  <c r="I93" i="5"/>
  <c r="E93" i="5"/>
  <c r="K92" i="5"/>
  <c r="J92" i="5"/>
  <c r="I92" i="5"/>
  <c r="Y97" i="5" s="1"/>
  <c r="H92" i="5"/>
  <c r="G92" i="5"/>
  <c r="F92" i="5"/>
  <c r="K91" i="5"/>
  <c r="J91" i="5"/>
  <c r="W91" i="5"/>
  <c r="I91" i="5"/>
  <c r="H91" i="5"/>
  <c r="G91" i="5"/>
  <c r="F91" i="5"/>
  <c r="K90" i="5"/>
  <c r="J90" i="5"/>
  <c r="I90" i="5"/>
  <c r="H90" i="5"/>
  <c r="G90" i="5"/>
  <c r="F90" i="5"/>
  <c r="K89" i="5"/>
  <c r="J89" i="5"/>
  <c r="I89" i="5"/>
  <c r="O97" i="5" s="1"/>
  <c r="H89" i="5"/>
  <c r="G89" i="5"/>
  <c r="F89" i="5"/>
  <c r="V88" i="5"/>
  <c r="K95" i="5" s="1"/>
  <c r="T88" i="5"/>
  <c r="R88" i="5"/>
  <c r="K93" i="5" s="1"/>
  <c r="U88" i="5"/>
  <c r="S88" i="5"/>
  <c r="Q88" i="5"/>
  <c r="E88" i="5"/>
  <c r="D88" i="5"/>
  <c r="B88" i="5"/>
  <c r="A88" i="5"/>
  <c r="AA87" i="5"/>
  <c r="Z87" i="5"/>
  <c r="X87" i="5"/>
  <c r="I86" i="5"/>
  <c r="H86" i="5"/>
  <c r="G86" i="5"/>
  <c r="E86" i="5"/>
  <c r="K85" i="5"/>
  <c r="J85" i="5"/>
  <c r="I85" i="5"/>
  <c r="E85" i="5"/>
  <c r="J84" i="5"/>
  <c r="E84" i="5"/>
  <c r="J83" i="5"/>
  <c r="I83" i="5"/>
  <c r="E83" i="5"/>
  <c r="K82" i="5"/>
  <c r="J82" i="5"/>
  <c r="I82" i="5"/>
  <c r="H82" i="5"/>
  <c r="G82" i="5"/>
  <c r="F82" i="5"/>
  <c r="K81" i="5"/>
  <c r="J81" i="5"/>
  <c r="I81" i="5"/>
  <c r="W81" i="5" s="1"/>
  <c r="H81" i="5"/>
  <c r="G81" i="5"/>
  <c r="F81" i="5"/>
  <c r="K80" i="5"/>
  <c r="J80" i="5"/>
  <c r="I80" i="5"/>
  <c r="H80" i="5"/>
  <c r="G80" i="5"/>
  <c r="F80" i="5"/>
  <c r="K79" i="5"/>
  <c r="J79" i="5"/>
  <c r="I79" i="5"/>
  <c r="H79" i="5"/>
  <c r="G79" i="5"/>
  <c r="F79" i="5"/>
  <c r="V78" i="5"/>
  <c r="T78" i="5"/>
  <c r="K84" i="5" s="1"/>
  <c r="R78" i="5"/>
  <c r="K83" i="5" s="1"/>
  <c r="U78" i="5"/>
  <c r="S78" i="5"/>
  <c r="I84" i="5" s="1"/>
  <c r="Q78" i="5"/>
  <c r="E78" i="5"/>
  <c r="D78" i="5"/>
  <c r="B78" i="5"/>
  <c r="A78" i="5"/>
  <c r="A77" i="5"/>
  <c r="J75" i="5"/>
  <c r="C75" i="5"/>
  <c r="I74" i="5"/>
  <c r="J74" i="5"/>
  <c r="I73" i="5"/>
  <c r="J73" i="5"/>
  <c r="A72" i="5"/>
  <c r="AA70" i="5"/>
  <c r="Z70" i="5"/>
  <c r="Y70" i="5"/>
  <c r="I69" i="5"/>
  <c r="H69" i="5"/>
  <c r="G69" i="5"/>
  <c r="E69" i="5"/>
  <c r="J68" i="5"/>
  <c r="I68" i="5"/>
  <c r="E68" i="5"/>
  <c r="J67" i="5"/>
  <c r="E67" i="5"/>
  <c r="K66" i="5"/>
  <c r="J66" i="5"/>
  <c r="H66" i="5"/>
  <c r="AA66" i="5"/>
  <c r="Z66" i="5"/>
  <c r="Y66" i="5"/>
  <c r="I66" i="5"/>
  <c r="X66" i="5" s="1"/>
  <c r="F66" i="5"/>
  <c r="V66" i="5"/>
  <c r="T66" i="5"/>
  <c r="R66" i="5"/>
  <c r="U66" i="5"/>
  <c r="S66" i="5"/>
  <c r="Q66" i="5"/>
  <c r="E66" i="5"/>
  <c r="D66" i="5"/>
  <c r="B66" i="5"/>
  <c r="A66" i="5"/>
  <c r="K65" i="5"/>
  <c r="J65" i="5"/>
  <c r="W65" i="5"/>
  <c r="I65" i="5"/>
  <c r="X70" i="5" s="1"/>
  <c r="H65" i="5"/>
  <c r="G65" i="5"/>
  <c r="F65" i="5"/>
  <c r="V64" i="5"/>
  <c r="T64" i="5"/>
  <c r="K68" i="5" s="1"/>
  <c r="R64" i="5"/>
  <c r="K67" i="5" s="1"/>
  <c r="P70" i="5" s="1"/>
  <c r="U64" i="5"/>
  <c r="S64" i="5"/>
  <c r="Q64" i="5"/>
  <c r="I67" i="5" s="1"/>
  <c r="O70" i="5" s="1"/>
  <c r="E64" i="5"/>
  <c r="D64" i="5"/>
  <c r="B64" i="5"/>
  <c r="A64" i="5"/>
  <c r="AA63" i="5"/>
  <c r="Z63" i="5"/>
  <c r="Y63" i="5"/>
  <c r="X63" i="5"/>
  <c r="O63" i="5"/>
  <c r="K62" i="5"/>
  <c r="P63" i="5" s="1"/>
  <c r="J62" i="5"/>
  <c r="I62" i="5"/>
  <c r="H63" i="5" s="1"/>
  <c r="H62" i="5"/>
  <c r="G62" i="5"/>
  <c r="F62" i="5"/>
  <c r="V62" i="5"/>
  <c r="T62" i="5"/>
  <c r="R62" i="5"/>
  <c r="U62" i="5"/>
  <c r="S62" i="5"/>
  <c r="Q62" i="5"/>
  <c r="E62" i="5"/>
  <c r="D62" i="5"/>
  <c r="B62" i="5"/>
  <c r="A62" i="5"/>
  <c r="AA61" i="5"/>
  <c r="Z61" i="5"/>
  <c r="Y61" i="5"/>
  <c r="X61" i="5"/>
  <c r="O61" i="5"/>
  <c r="K60" i="5"/>
  <c r="P61" i="5" s="1"/>
  <c r="J60" i="5"/>
  <c r="I60" i="5"/>
  <c r="H61" i="5" s="1"/>
  <c r="H60" i="5"/>
  <c r="G60" i="5"/>
  <c r="F60" i="5"/>
  <c r="V60" i="5"/>
  <c r="T60" i="5"/>
  <c r="R60" i="5"/>
  <c r="U60" i="5"/>
  <c r="S60" i="5"/>
  <c r="Q60" i="5"/>
  <c r="E60" i="5"/>
  <c r="D60" i="5"/>
  <c r="B60" i="5"/>
  <c r="A60" i="5"/>
  <c r="AA59" i="5"/>
  <c r="Z59" i="5"/>
  <c r="Y59" i="5"/>
  <c r="O59" i="5"/>
  <c r="K58" i="5"/>
  <c r="P59" i="5" s="1"/>
  <c r="J58" i="5"/>
  <c r="I58" i="5"/>
  <c r="X59" i="5" s="1"/>
  <c r="H58" i="5"/>
  <c r="G58" i="5"/>
  <c r="F58" i="5"/>
  <c r="V58" i="5"/>
  <c r="T58" i="5"/>
  <c r="R58" i="5"/>
  <c r="U58" i="5"/>
  <c r="S58" i="5"/>
  <c r="Q58" i="5"/>
  <c r="E58" i="5"/>
  <c r="D58" i="5"/>
  <c r="B58" i="5"/>
  <c r="A58" i="5"/>
  <c r="AA57" i="5"/>
  <c r="Z57" i="5"/>
  <c r="Y57" i="5"/>
  <c r="I56" i="5"/>
  <c r="H56" i="5"/>
  <c r="G56" i="5"/>
  <c r="E56" i="5"/>
  <c r="K55" i="5"/>
  <c r="J55" i="5"/>
  <c r="I55" i="5"/>
  <c r="E55" i="5"/>
  <c r="K54" i="5"/>
  <c r="P57" i="5" s="1"/>
  <c r="J54" i="5"/>
  <c r="E54" i="5"/>
  <c r="K53" i="5"/>
  <c r="J53" i="5"/>
  <c r="I53" i="5"/>
  <c r="H53" i="5"/>
  <c r="G53" i="5"/>
  <c r="F53" i="5"/>
  <c r="K52" i="5"/>
  <c r="J52" i="5"/>
  <c r="W52" i="5"/>
  <c r="I52" i="5"/>
  <c r="H52" i="5"/>
  <c r="G52" i="5"/>
  <c r="F52" i="5"/>
  <c r="V51" i="5"/>
  <c r="T51" i="5"/>
  <c r="R51" i="5"/>
  <c r="U51" i="5"/>
  <c r="S51" i="5"/>
  <c r="Q51" i="5"/>
  <c r="I54" i="5" s="1"/>
  <c r="E51" i="5"/>
  <c r="D51" i="5"/>
  <c r="B51" i="5"/>
  <c r="A51" i="5"/>
  <c r="C50" i="5"/>
  <c r="AA49" i="5"/>
  <c r="Z49" i="5"/>
  <c r="Y49" i="5"/>
  <c r="I48" i="5"/>
  <c r="H48" i="5"/>
  <c r="G48" i="5"/>
  <c r="E48" i="5"/>
  <c r="K47" i="5"/>
  <c r="J47" i="5"/>
  <c r="E47" i="5"/>
  <c r="K46" i="5"/>
  <c r="J46" i="5"/>
  <c r="I46" i="5"/>
  <c r="H49" i="5" s="1"/>
  <c r="E46" i="5"/>
  <c r="K45" i="5"/>
  <c r="P49" i="5" s="1"/>
  <c r="J45" i="5"/>
  <c r="I45" i="5"/>
  <c r="W45" i="5" s="1"/>
  <c r="H45" i="5"/>
  <c r="G45" i="5"/>
  <c r="F45" i="5"/>
  <c r="V44" i="5"/>
  <c r="T44" i="5"/>
  <c r="R44" i="5"/>
  <c r="U44" i="5"/>
  <c r="S44" i="5"/>
  <c r="I47" i="5" s="1"/>
  <c r="O49" i="5" s="1"/>
  <c r="Q44" i="5"/>
  <c r="E44" i="5"/>
  <c r="D44" i="5"/>
  <c r="B44" i="5"/>
  <c r="A44" i="5"/>
  <c r="AA43" i="5"/>
  <c r="Z43" i="5"/>
  <c r="Y43" i="5"/>
  <c r="X43" i="5"/>
  <c r="H43" i="5"/>
  <c r="P43" i="5"/>
  <c r="J43" i="5"/>
  <c r="K42" i="5"/>
  <c r="J42" i="5"/>
  <c r="I42" i="5"/>
  <c r="O43" i="5" s="1"/>
  <c r="H42" i="5"/>
  <c r="G42" i="5"/>
  <c r="F42" i="5"/>
  <c r="V42" i="5"/>
  <c r="T42" i="5"/>
  <c r="R42" i="5"/>
  <c r="U42" i="5"/>
  <c r="S42" i="5"/>
  <c r="Q42" i="5"/>
  <c r="E42" i="5"/>
  <c r="D42" i="5"/>
  <c r="B42" i="5"/>
  <c r="A42" i="5"/>
  <c r="AA41" i="5"/>
  <c r="Z41" i="5"/>
  <c r="Y41" i="5"/>
  <c r="I40" i="5"/>
  <c r="H40" i="5"/>
  <c r="G40" i="5"/>
  <c r="E40" i="5"/>
  <c r="J39" i="5"/>
  <c r="E39" i="5"/>
  <c r="J38" i="5"/>
  <c r="E38" i="5"/>
  <c r="K37" i="5"/>
  <c r="J37" i="5"/>
  <c r="I37" i="5"/>
  <c r="W37" i="5" s="1"/>
  <c r="H37" i="5"/>
  <c r="G37" i="5"/>
  <c r="F37" i="5"/>
  <c r="V36" i="5"/>
  <c r="T36" i="5"/>
  <c r="K39" i="5" s="1"/>
  <c r="R36" i="5"/>
  <c r="K38" i="5" s="1"/>
  <c r="U36" i="5"/>
  <c r="S36" i="5"/>
  <c r="I39" i="5" s="1"/>
  <c r="Q36" i="5"/>
  <c r="I38" i="5" s="1"/>
  <c r="E36" i="5"/>
  <c r="D36" i="5"/>
  <c r="B36" i="5"/>
  <c r="A36" i="5"/>
  <c r="AA35" i="5"/>
  <c r="Z35" i="5"/>
  <c r="I19" i="5" s="1"/>
  <c r="Y35" i="5"/>
  <c r="I34" i="5"/>
  <c r="H34" i="5"/>
  <c r="G34" i="5"/>
  <c r="E34" i="5"/>
  <c r="J33" i="5"/>
  <c r="I33" i="5"/>
  <c r="E33" i="5"/>
  <c r="K32" i="5"/>
  <c r="J32" i="5"/>
  <c r="I32" i="5"/>
  <c r="X35" i="5" s="1"/>
  <c r="E32" i="5"/>
  <c r="K31" i="5"/>
  <c r="J31" i="5"/>
  <c r="W31" i="5"/>
  <c r="I31" i="5"/>
  <c r="O35" i="5" s="1"/>
  <c r="H31" i="5"/>
  <c r="G31" i="5"/>
  <c r="F31" i="5"/>
  <c r="V30" i="5"/>
  <c r="T30" i="5"/>
  <c r="K33" i="5" s="1"/>
  <c r="R30" i="5"/>
  <c r="U30" i="5"/>
  <c r="S30" i="5"/>
  <c r="Q30" i="5"/>
  <c r="E30" i="5"/>
  <c r="D30" i="5"/>
  <c r="B30" i="5"/>
  <c r="A30" i="5"/>
  <c r="C29" i="5"/>
  <c r="A28" i="5"/>
  <c r="A14" i="5"/>
  <c r="AK11" i="5"/>
  <c r="A11" i="5"/>
  <c r="A3" i="5" s="1"/>
  <c r="A9" i="5"/>
  <c r="A6" i="5"/>
  <c r="A1" i="5"/>
  <c r="O183" i="5" l="1"/>
  <c r="P139" i="5"/>
  <c r="P171" i="5"/>
  <c r="P192" i="5"/>
  <c r="J70" i="5"/>
  <c r="J97" i="5"/>
  <c r="H161" i="5"/>
  <c r="J183" i="5"/>
  <c r="P241" i="5"/>
  <c r="J87" i="5"/>
  <c r="P87" i="5"/>
  <c r="P119" i="5"/>
  <c r="Y149" i="5"/>
  <c r="Y161" i="5"/>
  <c r="P183" i="5"/>
  <c r="P229" i="5"/>
  <c r="J109" i="5"/>
  <c r="P109" i="5"/>
  <c r="X57" i="5"/>
  <c r="Y203" i="5"/>
  <c r="AA235" i="5"/>
  <c r="O57" i="5"/>
  <c r="P41" i="5"/>
  <c r="J41" i="5"/>
  <c r="P97" i="5"/>
  <c r="Y129" i="5"/>
  <c r="J149" i="5"/>
  <c r="P149" i="5"/>
  <c r="J161" i="5"/>
  <c r="P161" i="5"/>
  <c r="P35" i="5"/>
  <c r="Y87" i="5"/>
  <c r="I18" i="5" s="1"/>
  <c r="J203" i="5"/>
  <c r="P203" i="5"/>
  <c r="J235" i="5"/>
  <c r="P235" i="5"/>
  <c r="H241" i="5"/>
  <c r="AA241" i="5"/>
  <c r="O241" i="5"/>
  <c r="P246" i="5"/>
  <c r="I17" i="5"/>
  <c r="Y109" i="5"/>
  <c r="J129" i="5"/>
  <c r="P129" i="5"/>
  <c r="O171" i="5"/>
  <c r="Y183" i="5"/>
  <c r="X49" i="5"/>
  <c r="J57" i="5"/>
  <c r="J59" i="5"/>
  <c r="J61" i="5"/>
  <c r="J63" i="5"/>
  <c r="W79" i="5"/>
  <c r="H87" i="5"/>
  <c r="W101" i="5"/>
  <c r="H109" i="5"/>
  <c r="W121" i="5"/>
  <c r="H129" i="5"/>
  <c r="W141" i="5"/>
  <c r="H149" i="5"/>
  <c r="H151" i="5"/>
  <c r="Y171" i="5"/>
  <c r="W194" i="5"/>
  <c r="W231" i="5"/>
  <c r="O87" i="5"/>
  <c r="O109" i="5"/>
  <c r="O129" i="5"/>
  <c r="O149" i="5"/>
  <c r="H183" i="5"/>
  <c r="AA229" i="5"/>
  <c r="I20" i="5" s="1"/>
  <c r="H235" i="5"/>
  <c r="H246" i="5"/>
  <c r="H41" i="5"/>
  <c r="J35" i="5"/>
  <c r="O41" i="5"/>
  <c r="I16" i="5" s="1"/>
  <c r="H57" i="5"/>
  <c r="H59" i="5"/>
  <c r="H70" i="5"/>
  <c r="J99" i="5"/>
  <c r="J119" i="5"/>
  <c r="J139" i="5"/>
  <c r="O161" i="5"/>
  <c r="O185" i="5"/>
  <c r="J192" i="5"/>
  <c r="J229" i="5"/>
  <c r="O235" i="5"/>
  <c r="H248" i="5" s="1"/>
  <c r="O246" i="5"/>
  <c r="X41" i="5"/>
  <c r="J171" i="5"/>
  <c r="H203" i="5"/>
  <c r="H35" i="5"/>
  <c r="J49" i="5"/>
  <c r="W89" i="5"/>
  <c r="H97" i="5"/>
  <c r="H99" i="5"/>
  <c r="W111" i="5"/>
  <c r="I21" i="5" s="1"/>
  <c r="H119" i="5"/>
  <c r="W131" i="5"/>
  <c r="H139" i="5"/>
  <c r="W153" i="5"/>
  <c r="O203" i="5"/>
  <c r="J241" i="5"/>
  <c r="O99" i="5"/>
  <c r="W163" i="5"/>
  <c r="H171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1" i="3"/>
  <c r="CY1" i="3"/>
  <c r="CZ1" i="3"/>
  <c r="DA1" i="3"/>
  <c r="DB1" i="3"/>
  <c r="DC1" i="3"/>
  <c r="A2" i="3"/>
  <c r="CY2" i="3"/>
  <c r="CZ2" i="3"/>
  <c r="DA2" i="3"/>
  <c r="DB2" i="3"/>
  <c r="DC2" i="3"/>
  <c r="A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Y5" i="3"/>
  <c r="CZ5" i="3"/>
  <c r="DA5" i="3"/>
  <c r="DB5" i="3"/>
  <c r="DC5" i="3"/>
  <c r="A6" i="3"/>
  <c r="CX6" i="3"/>
  <c r="CY6" i="3"/>
  <c r="CZ6" i="3"/>
  <c r="DB6" i="3" s="1"/>
  <c r="DA6" i="3"/>
  <c r="DC6" i="3"/>
  <c r="A7" i="3"/>
  <c r="CX7" i="3"/>
  <c r="CY7" i="3"/>
  <c r="CZ7" i="3"/>
  <c r="DB7" i="3" s="1"/>
  <c r="DA7" i="3"/>
  <c r="DC7" i="3"/>
  <c r="A8" i="3"/>
  <c r="CX8" i="3"/>
  <c r="CY8" i="3"/>
  <c r="CZ8" i="3"/>
  <c r="DB8" i="3" s="1"/>
  <c r="DA8" i="3"/>
  <c r="DC8" i="3"/>
  <c r="A9" i="3"/>
  <c r="CX9" i="3"/>
  <c r="CY9" i="3"/>
  <c r="CZ9" i="3"/>
  <c r="DA9" i="3"/>
  <c r="DB9" i="3"/>
  <c r="DC9" i="3"/>
  <c r="A10" i="3"/>
  <c r="CX10" i="3"/>
  <c r="CY10" i="3"/>
  <c r="CZ10" i="3"/>
  <c r="DA10" i="3"/>
  <c r="DB10" i="3"/>
  <c r="DC10" i="3"/>
  <c r="A11" i="3"/>
  <c r="CX11" i="3"/>
  <c r="CY11" i="3"/>
  <c r="CZ11" i="3"/>
  <c r="DB11" i="3" s="1"/>
  <c r="DA11" i="3"/>
  <c r="DC11" i="3"/>
  <c r="A12" i="3"/>
  <c r="CX12" i="3"/>
  <c r="CY12" i="3"/>
  <c r="CZ12" i="3"/>
  <c r="DA12" i="3"/>
  <c r="DB12" i="3"/>
  <c r="DC12" i="3"/>
  <c r="A13" i="3"/>
  <c r="CX13" i="3"/>
  <c r="CY13" i="3"/>
  <c r="CZ13" i="3"/>
  <c r="DA13" i="3"/>
  <c r="DB13" i="3"/>
  <c r="DC13" i="3"/>
  <c r="A14" i="3"/>
  <c r="CX14" i="3"/>
  <c r="CY14" i="3"/>
  <c r="CZ14" i="3"/>
  <c r="DB14" i="3" s="1"/>
  <c r="DA14" i="3"/>
  <c r="DC14" i="3"/>
  <c r="A15" i="3"/>
  <c r="CY15" i="3"/>
  <c r="CZ15" i="3"/>
  <c r="DB15" i="3" s="1"/>
  <c r="DA15" i="3"/>
  <c r="DC15" i="3"/>
  <c r="A16" i="3"/>
  <c r="CY16" i="3"/>
  <c r="CZ16" i="3"/>
  <c r="DB16" i="3" s="1"/>
  <c r="DA16" i="3"/>
  <c r="DC16" i="3"/>
  <c r="A17" i="3"/>
  <c r="CX17" i="3"/>
  <c r="CY17" i="3"/>
  <c r="CZ17" i="3"/>
  <c r="DA17" i="3"/>
  <c r="DB17" i="3"/>
  <c r="DC17" i="3"/>
  <c r="A18" i="3"/>
  <c r="CX18" i="3"/>
  <c r="CY18" i="3"/>
  <c r="CZ18" i="3"/>
  <c r="DA18" i="3"/>
  <c r="DB18" i="3"/>
  <c r="DC18" i="3"/>
  <c r="A19" i="3"/>
  <c r="CX19" i="3"/>
  <c r="CY19" i="3"/>
  <c r="CZ19" i="3"/>
  <c r="DB19" i="3" s="1"/>
  <c r="DA19" i="3"/>
  <c r="DC19" i="3"/>
  <c r="A20" i="3"/>
  <c r="CX20" i="3"/>
  <c r="CY20" i="3"/>
  <c r="CZ20" i="3"/>
  <c r="DA20" i="3"/>
  <c r="DB20" i="3"/>
  <c r="DC20" i="3"/>
  <c r="A21" i="3"/>
  <c r="CX21" i="3"/>
  <c r="CY21" i="3"/>
  <c r="CZ21" i="3"/>
  <c r="DA21" i="3"/>
  <c r="DB21" i="3"/>
  <c r="DC21" i="3"/>
  <c r="A22" i="3"/>
  <c r="CX22" i="3"/>
  <c r="CY22" i="3"/>
  <c r="CZ22" i="3"/>
  <c r="DB22" i="3" s="1"/>
  <c r="DA22" i="3"/>
  <c r="DC22" i="3"/>
  <c r="A23" i="3"/>
  <c r="CX23" i="3"/>
  <c r="CY23" i="3"/>
  <c r="CZ23" i="3"/>
  <c r="DB23" i="3" s="1"/>
  <c r="DA23" i="3"/>
  <c r="DC23" i="3"/>
  <c r="A24" i="3"/>
  <c r="CX24" i="3"/>
  <c r="CY24" i="3"/>
  <c r="CZ24" i="3"/>
  <c r="DB24" i="3" s="1"/>
  <c r="DA24" i="3"/>
  <c r="DC24" i="3"/>
  <c r="A25" i="3"/>
  <c r="CX25" i="3"/>
  <c r="CY25" i="3"/>
  <c r="CZ25" i="3"/>
  <c r="DA25" i="3"/>
  <c r="DB25" i="3"/>
  <c r="DC25" i="3"/>
  <c r="A26" i="3"/>
  <c r="CY26" i="3"/>
  <c r="CZ26" i="3"/>
  <c r="DA26" i="3"/>
  <c r="DB26" i="3"/>
  <c r="DC26" i="3"/>
  <c r="A27" i="3"/>
  <c r="CX27" i="3"/>
  <c r="CY27" i="3"/>
  <c r="CZ27" i="3"/>
  <c r="DB27" i="3" s="1"/>
  <c r="DA27" i="3"/>
  <c r="DC27" i="3"/>
  <c r="A28" i="3"/>
  <c r="CY28" i="3"/>
  <c r="CZ28" i="3"/>
  <c r="DA28" i="3"/>
  <c r="DB28" i="3"/>
  <c r="DC28" i="3"/>
  <c r="A29" i="3"/>
  <c r="CY29" i="3"/>
  <c r="CZ29" i="3"/>
  <c r="DA29" i="3"/>
  <c r="DB29" i="3"/>
  <c r="DC29" i="3"/>
  <c r="A30" i="3"/>
  <c r="CX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X32" i="3"/>
  <c r="CY32" i="3"/>
  <c r="CZ32" i="3"/>
  <c r="DB32" i="3" s="1"/>
  <c r="DA32" i="3"/>
  <c r="DC32" i="3"/>
  <c r="A33" i="3"/>
  <c r="CX33" i="3"/>
  <c r="CY33" i="3"/>
  <c r="CZ33" i="3"/>
  <c r="DA33" i="3"/>
  <c r="DB33" i="3"/>
  <c r="DC33" i="3"/>
  <c r="A34" i="3"/>
  <c r="CX34" i="3"/>
  <c r="CY34" i="3"/>
  <c r="CZ34" i="3"/>
  <c r="DA34" i="3"/>
  <c r="DB34" i="3"/>
  <c r="DC34" i="3"/>
  <c r="A35" i="3"/>
  <c r="CY35" i="3"/>
  <c r="CZ35" i="3"/>
  <c r="DB35" i="3" s="1"/>
  <c r="DA35" i="3"/>
  <c r="DC35" i="3"/>
  <c r="A36" i="3"/>
  <c r="CX36" i="3"/>
  <c r="CY36" i="3"/>
  <c r="CZ36" i="3"/>
  <c r="DA36" i="3"/>
  <c r="DB36" i="3"/>
  <c r="DC36" i="3"/>
  <c r="A37" i="3"/>
  <c r="CX37" i="3"/>
  <c r="CY37" i="3"/>
  <c r="CZ37" i="3"/>
  <c r="DA37" i="3"/>
  <c r="DB37" i="3"/>
  <c r="DC37" i="3"/>
  <c r="A38" i="3"/>
  <c r="CX38" i="3"/>
  <c r="CY38" i="3"/>
  <c r="CZ38" i="3"/>
  <c r="DA38" i="3"/>
  <c r="DB38" i="3"/>
  <c r="DC38" i="3"/>
  <c r="A39" i="3"/>
  <c r="CX39" i="3"/>
  <c r="CY39" i="3"/>
  <c r="CZ39" i="3"/>
  <c r="DB39" i="3" s="1"/>
  <c r="DA39" i="3"/>
  <c r="DC39" i="3"/>
  <c r="A40" i="3"/>
  <c r="CX40" i="3"/>
  <c r="CY40" i="3"/>
  <c r="CZ40" i="3"/>
  <c r="DB40" i="3" s="1"/>
  <c r="DA40" i="3"/>
  <c r="DC40" i="3"/>
  <c r="A41" i="3"/>
  <c r="CX41" i="3"/>
  <c r="CY41" i="3"/>
  <c r="CZ41" i="3"/>
  <c r="DA41" i="3"/>
  <c r="DB41" i="3"/>
  <c r="DC41" i="3"/>
  <c r="A42" i="3"/>
  <c r="CX42" i="3"/>
  <c r="CY42" i="3"/>
  <c r="CZ42" i="3"/>
  <c r="DA42" i="3"/>
  <c r="DB42" i="3"/>
  <c r="DC42" i="3"/>
  <c r="A43" i="3"/>
  <c r="CY43" i="3"/>
  <c r="CZ43" i="3"/>
  <c r="DB43" i="3" s="1"/>
  <c r="DA43" i="3"/>
  <c r="DC43" i="3"/>
  <c r="A44" i="3"/>
  <c r="CX44" i="3"/>
  <c r="CY44" i="3"/>
  <c r="CZ44" i="3"/>
  <c r="DA44" i="3"/>
  <c r="DB44" i="3"/>
  <c r="DC44" i="3"/>
  <c r="A45" i="3"/>
  <c r="CY45" i="3"/>
  <c r="CZ45" i="3"/>
  <c r="DA45" i="3"/>
  <c r="DB45" i="3"/>
  <c r="DC45" i="3"/>
  <c r="A46" i="3"/>
  <c r="CY46" i="3"/>
  <c r="CZ46" i="3"/>
  <c r="DA46" i="3"/>
  <c r="DB46" i="3"/>
  <c r="DC46" i="3"/>
  <c r="A47" i="3"/>
  <c r="CX47" i="3"/>
  <c r="CY47" i="3"/>
  <c r="CZ47" i="3"/>
  <c r="DB47" i="3" s="1"/>
  <c r="DA47" i="3"/>
  <c r="DC47" i="3"/>
  <c r="A48" i="3"/>
  <c r="CY48" i="3"/>
  <c r="CZ48" i="3"/>
  <c r="DB48" i="3" s="1"/>
  <c r="DA48" i="3"/>
  <c r="DC48" i="3"/>
  <c r="A49" i="3"/>
  <c r="CX49" i="3"/>
  <c r="CY49" i="3"/>
  <c r="CZ49" i="3"/>
  <c r="DA49" i="3"/>
  <c r="DB49" i="3"/>
  <c r="DC49" i="3"/>
  <c r="A50" i="3"/>
  <c r="CX50" i="3"/>
  <c r="CY50" i="3"/>
  <c r="CZ50" i="3"/>
  <c r="DA50" i="3"/>
  <c r="DB50" i="3"/>
  <c r="DC50" i="3"/>
  <c r="A51" i="3"/>
  <c r="CX51" i="3"/>
  <c r="CY51" i="3"/>
  <c r="CZ51" i="3"/>
  <c r="DB51" i="3" s="1"/>
  <c r="DA51" i="3"/>
  <c r="DC5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K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9" i="1"/>
  <c r="D29" i="1"/>
  <c r="I29" i="1"/>
  <c r="V29" i="1" s="1"/>
  <c r="AC29" i="1"/>
  <c r="P29" i="1" s="1"/>
  <c r="AD29" i="1"/>
  <c r="AE29" i="1"/>
  <c r="AF29" i="1"/>
  <c r="AG29" i="1"/>
  <c r="CU29" i="1" s="1"/>
  <c r="AH29" i="1"/>
  <c r="AI29" i="1"/>
  <c r="AJ29" i="1"/>
  <c r="CR29" i="1"/>
  <c r="CS29" i="1"/>
  <c r="CV29" i="1"/>
  <c r="CW29" i="1"/>
  <c r="CX29" i="1"/>
  <c r="FR29" i="1"/>
  <c r="GL29" i="1"/>
  <c r="GO29" i="1"/>
  <c r="GP29" i="1"/>
  <c r="GV29" i="1"/>
  <c r="HC29" i="1"/>
  <c r="C30" i="1"/>
  <c r="D30" i="1"/>
  <c r="I30" i="1"/>
  <c r="CX5" i="3" s="1"/>
  <c r="P30" i="1"/>
  <c r="R30" i="1"/>
  <c r="GK30" i="1" s="1"/>
  <c r="T30" i="1"/>
  <c r="AB30" i="1"/>
  <c r="AC30" i="1"/>
  <c r="AD30" i="1"/>
  <c r="AE30" i="1"/>
  <c r="AF30" i="1"/>
  <c r="S30" i="1" s="1"/>
  <c r="AG30" i="1"/>
  <c r="AH30" i="1"/>
  <c r="CV30" i="1" s="1"/>
  <c r="U30" i="1" s="1"/>
  <c r="AI30" i="1"/>
  <c r="AJ30" i="1"/>
  <c r="CX30" i="1" s="1"/>
  <c r="W30" i="1" s="1"/>
  <c r="CQ30" i="1"/>
  <c r="CR30" i="1"/>
  <c r="CS30" i="1"/>
  <c r="CU30" i="1"/>
  <c r="CW30" i="1"/>
  <c r="V30" i="1" s="1"/>
  <c r="FR30" i="1"/>
  <c r="GL30" i="1"/>
  <c r="GO30" i="1"/>
  <c r="GP30" i="1"/>
  <c r="GV30" i="1"/>
  <c r="GX30" i="1"/>
  <c r="HC30" i="1"/>
  <c r="I31" i="1"/>
  <c r="Q31" i="1" s="1"/>
  <c r="P31" i="1"/>
  <c r="R31" i="1"/>
  <c r="GK31" i="1" s="1"/>
  <c r="AB31" i="1"/>
  <c r="AC31" i="1"/>
  <c r="AD31" i="1"/>
  <c r="AE31" i="1"/>
  <c r="AF31" i="1"/>
  <c r="S31" i="1" s="1"/>
  <c r="AG31" i="1"/>
  <c r="AH31" i="1"/>
  <c r="CV31" i="1" s="1"/>
  <c r="U31" i="1" s="1"/>
  <c r="AI31" i="1"/>
  <c r="AJ31" i="1"/>
  <c r="CX31" i="1" s="1"/>
  <c r="W31" i="1" s="1"/>
  <c r="CQ31" i="1"/>
  <c r="CR31" i="1"/>
  <c r="CS31" i="1"/>
  <c r="CU31" i="1"/>
  <c r="T31" i="1" s="1"/>
  <c r="CW31" i="1"/>
  <c r="V31" i="1" s="1"/>
  <c r="FR31" i="1"/>
  <c r="GL31" i="1"/>
  <c r="GO31" i="1"/>
  <c r="GP31" i="1"/>
  <c r="GV31" i="1"/>
  <c r="HC31" i="1" s="1"/>
  <c r="GX31" i="1" s="1"/>
  <c r="C32" i="1"/>
  <c r="D32" i="1"/>
  <c r="I32" i="1"/>
  <c r="P32" i="1" s="1"/>
  <c r="T32" i="1"/>
  <c r="V32" i="1"/>
  <c r="AC32" i="1"/>
  <c r="AD32" i="1"/>
  <c r="AB32" i="1" s="1"/>
  <c r="AE32" i="1"/>
  <c r="AF32" i="1"/>
  <c r="CT32" i="1" s="1"/>
  <c r="AG32" i="1"/>
  <c r="AH32" i="1"/>
  <c r="CV32" i="1" s="1"/>
  <c r="U32" i="1" s="1"/>
  <c r="AI32" i="1"/>
  <c r="AJ32" i="1"/>
  <c r="CX32" i="1" s="1"/>
  <c r="W32" i="1" s="1"/>
  <c r="CQ32" i="1"/>
  <c r="CR32" i="1"/>
  <c r="CS32" i="1"/>
  <c r="CU32" i="1"/>
  <c r="CW32" i="1"/>
  <c r="FR32" i="1"/>
  <c r="GL32" i="1"/>
  <c r="GO32" i="1"/>
  <c r="GP32" i="1"/>
  <c r="GV32" i="1"/>
  <c r="HC32" i="1" s="1"/>
  <c r="GX32" i="1" s="1"/>
  <c r="C34" i="1"/>
  <c r="D34" i="1"/>
  <c r="Q34" i="1"/>
  <c r="S34" i="1"/>
  <c r="CY34" i="1" s="1"/>
  <c r="X34" i="1" s="1"/>
  <c r="AC34" i="1"/>
  <c r="AE34" i="1"/>
  <c r="R34" i="1" s="1"/>
  <c r="GK34" i="1" s="1"/>
  <c r="AF34" i="1"/>
  <c r="AG34" i="1"/>
  <c r="CU34" i="1" s="1"/>
  <c r="T34" i="1" s="1"/>
  <c r="AH34" i="1"/>
  <c r="AI34" i="1"/>
  <c r="CW34" i="1" s="1"/>
  <c r="V34" i="1" s="1"/>
  <c r="AJ34" i="1"/>
  <c r="CR34" i="1"/>
  <c r="CT34" i="1"/>
  <c r="CV34" i="1"/>
  <c r="U34" i="1" s="1"/>
  <c r="CX34" i="1"/>
  <c r="W34" i="1" s="1"/>
  <c r="CZ34" i="1"/>
  <c r="Y34" i="1" s="1"/>
  <c r="FR34" i="1"/>
  <c r="GL34" i="1"/>
  <c r="GO34" i="1"/>
  <c r="GP34" i="1"/>
  <c r="GV34" i="1"/>
  <c r="HC34" i="1" s="1"/>
  <c r="GX34" i="1" s="1"/>
  <c r="P35" i="1"/>
  <c r="R35" i="1"/>
  <c r="GK35" i="1" s="1"/>
  <c r="T35" i="1"/>
  <c r="AC35" i="1"/>
  <c r="AD35" i="1"/>
  <c r="AB35" i="1" s="1"/>
  <c r="AE35" i="1"/>
  <c r="Q35" i="1" s="1"/>
  <c r="AF35" i="1"/>
  <c r="S35" i="1" s="1"/>
  <c r="CZ35" i="1" s="1"/>
  <c r="Y35" i="1" s="1"/>
  <c r="AG35" i="1"/>
  <c r="AH35" i="1"/>
  <c r="CV35" i="1" s="1"/>
  <c r="U35" i="1" s="1"/>
  <c r="AI35" i="1"/>
  <c r="AJ35" i="1"/>
  <c r="CX35" i="1" s="1"/>
  <c r="W35" i="1" s="1"/>
  <c r="CQ35" i="1"/>
  <c r="CR35" i="1"/>
  <c r="CS35" i="1"/>
  <c r="CU35" i="1"/>
  <c r="CW35" i="1"/>
  <c r="V35" i="1" s="1"/>
  <c r="CY35" i="1"/>
  <c r="X35" i="1" s="1"/>
  <c r="FR35" i="1"/>
  <c r="GL35" i="1"/>
  <c r="GO35" i="1"/>
  <c r="GP35" i="1"/>
  <c r="GV35" i="1"/>
  <c r="HC35" i="1" s="1"/>
  <c r="GX35" i="1" s="1"/>
  <c r="C36" i="1"/>
  <c r="D36" i="1"/>
  <c r="S36" i="1"/>
  <c r="CY36" i="1" s="1"/>
  <c r="X36" i="1" s="1"/>
  <c r="U36" i="1"/>
  <c r="W36" i="1"/>
  <c r="Y36" i="1"/>
  <c r="AC36" i="1"/>
  <c r="P36" i="1" s="1"/>
  <c r="AE36" i="1"/>
  <c r="Q36" i="1" s="1"/>
  <c r="AF36" i="1"/>
  <c r="AG36" i="1"/>
  <c r="CU36" i="1" s="1"/>
  <c r="T36" i="1" s="1"/>
  <c r="AH36" i="1"/>
  <c r="AI36" i="1"/>
  <c r="CW36" i="1" s="1"/>
  <c r="V36" i="1" s="1"/>
  <c r="AJ36" i="1"/>
  <c r="CT36" i="1"/>
  <c r="CV36" i="1"/>
  <c r="CX36" i="1"/>
  <c r="CZ36" i="1"/>
  <c r="FR36" i="1"/>
  <c r="GL36" i="1"/>
  <c r="GO36" i="1"/>
  <c r="GP36" i="1"/>
  <c r="GV36" i="1"/>
  <c r="HC36" i="1"/>
  <c r="GX36" i="1" s="1"/>
  <c r="I37" i="1"/>
  <c r="S37" i="1"/>
  <c r="CY37" i="1" s="1"/>
  <c r="X37" i="1" s="1"/>
  <c r="U37" i="1"/>
  <c r="W37" i="1"/>
  <c r="AC37" i="1"/>
  <c r="AE37" i="1"/>
  <c r="AF37" i="1"/>
  <c r="AG37" i="1"/>
  <c r="CU37" i="1" s="1"/>
  <c r="T37" i="1" s="1"/>
  <c r="AH37" i="1"/>
  <c r="AI37" i="1"/>
  <c r="CW37" i="1" s="1"/>
  <c r="V37" i="1" s="1"/>
  <c r="AJ37" i="1"/>
  <c r="CT37" i="1"/>
  <c r="CV37" i="1"/>
  <c r="CX37" i="1"/>
  <c r="CZ37" i="1"/>
  <c r="Y37" i="1" s="1"/>
  <c r="FR37" i="1"/>
  <c r="GL37" i="1"/>
  <c r="GO37" i="1"/>
  <c r="GP37" i="1"/>
  <c r="GV37" i="1"/>
  <c r="HC37" i="1" s="1"/>
  <c r="GX37" i="1" s="1"/>
  <c r="I38" i="1"/>
  <c r="Q38" i="1"/>
  <c r="S38" i="1"/>
  <c r="CY38" i="1" s="1"/>
  <c r="X38" i="1" s="1"/>
  <c r="Y38" i="1"/>
  <c r="AC38" i="1"/>
  <c r="AE38" i="1"/>
  <c r="AF38" i="1"/>
  <c r="AG38" i="1"/>
  <c r="CU38" i="1" s="1"/>
  <c r="T38" i="1" s="1"/>
  <c r="AH38" i="1"/>
  <c r="AI38" i="1"/>
  <c r="CW38" i="1" s="1"/>
  <c r="V38" i="1" s="1"/>
  <c r="AJ38" i="1"/>
  <c r="CR38" i="1"/>
  <c r="CT38" i="1"/>
  <c r="CV38" i="1"/>
  <c r="U38" i="1" s="1"/>
  <c r="CX38" i="1"/>
  <c r="W38" i="1" s="1"/>
  <c r="CZ38" i="1"/>
  <c r="FR38" i="1"/>
  <c r="GL38" i="1"/>
  <c r="GO38" i="1"/>
  <c r="GP38" i="1"/>
  <c r="GV38" i="1"/>
  <c r="HC38" i="1" s="1"/>
  <c r="GX38" i="1" s="1"/>
  <c r="P39" i="1"/>
  <c r="R39" i="1"/>
  <c r="GK39" i="1" s="1"/>
  <c r="T39" i="1"/>
  <c r="AB39" i="1"/>
  <c r="AC39" i="1"/>
  <c r="AD39" i="1"/>
  <c r="AE39" i="1"/>
  <c r="Q39" i="1" s="1"/>
  <c r="AF39" i="1"/>
  <c r="AG39" i="1"/>
  <c r="AH39" i="1"/>
  <c r="CV39" i="1" s="1"/>
  <c r="U39" i="1" s="1"/>
  <c r="AI39" i="1"/>
  <c r="AJ39" i="1"/>
  <c r="CX39" i="1" s="1"/>
  <c r="W39" i="1" s="1"/>
  <c r="CQ39" i="1"/>
  <c r="CR39" i="1"/>
  <c r="CS39" i="1"/>
  <c r="CU39" i="1"/>
  <c r="CW39" i="1"/>
  <c r="V39" i="1" s="1"/>
  <c r="FR39" i="1"/>
  <c r="GL39" i="1"/>
  <c r="BZ47" i="1" s="1"/>
  <c r="GO39" i="1"/>
  <c r="GP39" i="1"/>
  <c r="GV39" i="1"/>
  <c r="HC39" i="1" s="1"/>
  <c r="GX39" i="1"/>
  <c r="I40" i="1"/>
  <c r="Q40" i="1" s="1"/>
  <c r="R40" i="1"/>
  <c r="GK40" i="1" s="1"/>
  <c r="AB40" i="1"/>
  <c r="AC40" i="1"/>
  <c r="P40" i="1" s="1"/>
  <c r="AD40" i="1"/>
  <c r="AE40" i="1"/>
  <c r="AF40" i="1"/>
  <c r="CT40" i="1" s="1"/>
  <c r="AG40" i="1"/>
  <c r="AH40" i="1"/>
  <c r="CV40" i="1" s="1"/>
  <c r="AI40" i="1"/>
  <c r="AJ40" i="1"/>
  <c r="CX40" i="1" s="1"/>
  <c r="W40" i="1" s="1"/>
  <c r="CR40" i="1"/>
  <c r="CS40" i="1"/>
  <c r="CU40" i="1"/>
  <c r="T40" i="1" s="1"/>
  <c r="CW40" i="1"/>
  <c r="V40" i="1" s="1"/>
  <c r="FR40" i="1"/>
  <c r="GL40" i="1"/>
  <c r="GO40" i="1"/>
  <c r="GP40" i="1"/>
  <c r="GV40" i="1"/>
  <c r="HC40" i="1"/>
  <c r="C41" i="1"/>
  <c r="D41" i="1"/>
  <c r="I41" i="1"/>
  <c r="AB41" i="1"/>
  <c r="AC41" i="1"/>
  <c r="AD41" i="1"/>
  <c r="AE41" i="1"/>
  <c r="AF41" i="1"/>
  <c r="AG41" i="1"/>
  <c r="AH41" i="1"/>
  <c r="CV41" i="1" s="1"/>
  <c r="AI41" i="1"/>
  <c r="AJ41" i="1"/>
  <c r="CX41" i="1" s="1"/>
  <c r="CQ41" i="1"/>
  <c r="CR41" i="1"/>
  <c r="CS41" i="1"/>
  <c r="CT41" i="1"/>
  <c r="CU41" i="1"/>
  <c r="CW41" i="1"/>
  <c r="FR41" i="1"/>
  <c r="BY47" i="1" s="1"/>
  <c r="GL41" i="1"/>
  <c r="GO41" i="1"/>
  <c r="GP41" i="1"/>
  <c r="GV41" i="1"/>
  <c r="HC41" i="1"/>
  <c r="AC42" i="1"/>
  <c r="AE42" i="1"/>
  <c r="AD42" i="1" s="1"/>
  <c r="AB42" i="1" s="1"/>
  <c r="AF42" i="1"/>
  <c r="AG42" i="1"/>
  <c r="AH42" i="1"/>
  <c r="CV42" i="1" s="1"/>
  <c r="AI42" i="1"/>
  <c r="AJ42" i="1"/>
  <c r="CX42" i="1" s="1"/>
  <c r="CQ42" i="1"/>
  <c r="CS42" i="1"/>
  <c r="CU42" i="1"/>
  <c r="CW42" i="1"/>
  <c r="FR42" i="1"/>
  <c r="GL42" i="1"/>
  <c r="GO42" i="1"/>
  <c r="GP42" i="1"/>
  <c r="GV42" i="1"/>
  <c r="HC42" i="1" s="1"/>
  <c r="C43" i="1"/>
  <c r="D43" i="1"/>
  <c r="AB43" i="1"/>
  <c r="AC43" i="1"/>
  <c r="AE43" i="1"/>
  <c r="AD43" i="1" s="1"/>
  <c r="AF43" i="1"/>
  <c r="S43" i="1" s="1"/>
  <c r="CY43" i="1" s="1"/>
  <c r="X43" i="1" s="1"/>
  <c r="AG43" i="1"/>
  <c r="CU43" i="1" s="1"/>
  <c r="T43" i="1" s="1"/>
  <c r="AH43" i="1"/>
  <c r="AI43" i="1"/>
  <c r="AJ43" i="1"/>
  <c r="CX43" i="1" s="1"/>
  <c r="W43" i="1" s="1"/>
  <c r="CS43" i="1"/>
  <c r="CT43" i="1"/>
  <c r="CV43" i="1"/>
  <c r="U43" i="1" s="1"/>
  <c r="CW43" i="1"/>
  <c r="V43" i="1" s="1"/>
  <c r="CZ43" i="1"/>
  <c r="Y43" i="1" s="1"/>
  <c r="FR43" i="1"/>
  <c r="GL43" i="1"/>
  <c r="GO43" i="1"/>
  <c r="GP43" i="1"/>
  <c r="GV43" i="1"/>
  <c r="HC43" i="1" s="1"/>
  <c r="GX43" i="1" s="1"/>
  <c r="C44" i="1"/>
  <c r="D44" i="1"/>
  <c r="R44" i="1"/>
  <c r="S44" i="1"/>
  <c r="T44" i="1"/>
  <c r="AB44" i="1"/>
  <c r="AC44" i="1"/>
  <c r="P44" i="1" s="1"/>
  <c r="AD44" i="1"/>
  <c r="AE44" i="1"/>
  <c r="Q44" i="1" s="1"/>
  <c r="AF44" i="1"/>
  <c r="CT44" i="1" s="1"/>
  <c r="AG44" i="1"/>
  <c r="AH44" i="1"/>
  <c r="CV44" i="1" s="1"/>
  <c r="U44" i="1" s="1"/>
  <c r="AI44" i="1"/>
  <c r="AJ44" i="1"/>
  <c r="CR44" i="1"/>
  <c r="CS44" i="1"/>
  <c r="CU44" i="1"/>
  <c r="CW44" i="1"/>
  <c r="V44" i="1" s="1"/>
  <c r="CX44" i="1"/>
  <c r="W44" i="1" s="1"/>
  <c r="FR44" i="1"/>
  <c r="GK44" i="1"/>
  <c r="GL44" i="1"/>
  <c r="GO44" i="1"/>
  <c r="GP44" i="1"/>
  <c r="GV44" i="1"/>
  <c r="HC44" i="1"/>
  <c r="GX44" i="1" s="1"/>
  <c r="I45" i="1"/>
  <c r="Q45" i="1" s="1"/>
  <c r="S45" i="1"/>
  <c r="CY45" i="1" s="1"/>
  <c r="X45" i="1" s="1"/>
  <c r="V45" i="1"/>
  <c r="AC45" i="1"/>
  <c r="P45" i="1" s="1"/>
  <c r="AD45" i="1"/>
  <c r="AB45" i="1" s="1"/>
  <c r="AE45" i="1"/>
  <c r="R45" i="1" s="1"/>
  <c r="GK45" i="1" s="1"/>
  <c r="AF45" i="1"/>
  <c r="CT45" i="1" s="1"/>
  <c r="AG45" i="1"/>
  <c r="AH45" i="1"/>
  <c r="AI45" i="1"/>
  <c r="AJ45" i="1"/>
  <c r="CQ45" i="1"/>
  <c r="CR45" i="1"/>
  <c r="CU45" i="1"/>
  <c r="T45" i="1" s="1"/>
  <c r="CV45" i="1"/>
  <c r="U45" i="1" s="1"/>
  <c r="CW45" i="1"/>
  <c r="CX45" i="1"/>
  <c r="CZ45" i="1"/>
  <c r="Y45" i="1" s="1"/>
  <c r="FR45" i="1"/>
  <c r="GL45" i="1"/>
  <c r="GO45" i="1"/>
  <c r="GP45" i="1"/>
  <c r="GV45" i="1"/>
  <c r="GX45" i="1"/>
  <c r="HC45" i="1"/>
  <c r="B47" i="1"/>
  <c r="B26" i="1" s="1"/>
  <c r="C47" i="1"/>
  <c r="C26" i="1" s="1"/>
  <c r="D47" i="1"/>
  <c r="D26" i="1" s="1"/>
  <c r="F47" i="1"/>
  <c r="F26" i="1" s="1"/>
  <c r="G47" i="1"/>
  <c r="G26" i="1" s="1"/>
  <c r="AU47" i="1"/>
  <c r="BX47" i="1"/>
  <c r="BX26" i="1" s="1"/>
  <c r="CC47" i="1"/>
  <c r="CC26" i="1" s="1"/>
  <c r="CD47" i="1"/>
  <c r="CD26" i="1" s="1"/>
  <c r="CK47" i="1"/>
  <c r="BB47" i="1" s="1"/>
  <c r="CL47" i="1"/>
  <c r="CL26" i="1" s="1"/>
  <c r="CM47" i="1"/>
  <c r="CM26" i="1" s="1"/>
  <c r="D79" i="1"/>
  <c r="E81" i="1"/>
  <c r="Z81" i="1"/>
  <c r="AA81" i="1"/>
  <c r="AM81" i="1"/>
  <c r="AN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EG81" i="1"/>
  <c r="EH81" i="1"/>
  <c r="EI81" i="1"/>
  <c r="EJ81" i="1"/>
  <c r="EK81" i="1"/>
  <c r="EL81" i="1"/>
  <c r="EM81" i="1"/>
  <c r="EN81" i="1"/>
  <c r="EO81" i="1"/>
  <c r="EP81" i="1"/>
  <c r="EQ81" i="1"/>
  <c r="ER81" i="1"/>
  <c r="ES81" i="1"/>
  <c r="ET81" i="1"/>
  <c r="EU81" i="1"/>
  <c r="EV81" i="1"/>
  <c r="EW81" i="1"/>
  <c r="EX81" i="1"/>
  <c r="EY81" i="1"/>
  <c r="EZ81" i="1"/>
  <c r="FA81" i="1"/>
  <c r="FB81" i="1"/>
  <c r="FC81" i="1"/>
  <c r="FD81" i="1"/>
  <c r="FE81" i="1"/>
  <c r="FF81" i="1"/>
  <c r="FG81" i="1"/>
  <c r="FH81" i="1"/>
  <c r="FI81" i="1"/>
  <c r="FJ81" i="1"/>
  <c r="FK81" i="1"/>
  <c r="FL81" i="1"/>
  <c r="FM81" i="1"/>
  <c r="FN81" i="1"/>
  <c r="FO81" i="1"/>
  <c r="FP81" i="1"/>
  <c r="FQ81" i="1"/>
  <c r="FR81" i="1"/>
  <c r="FS81" i="1"/>
  <c r="FT81" i="1"/>
  <c r="FU81" i="1"/>
  <c r="FV81" i="1"/>
  <c r="FW81" i="1"/>
  <c r="FX81" i="1"/>
  <c r="FY81" i="1"/>
  <c r="FZ81" i="1"/>
  <c r="GA81" i="1"/>
  <c r="GB81" i="1"/>
  <c r="GC81" i="1"/>
  <c r="GD81" i="1"/>
  <c r="GE81" i="1"/>
  <c r="GF81" i="1"/>
  <c r="GG81" i="1"/>
  <c r="GH81" i="1"/>
  <c r="GI81" i="1"/>
  <c r="GJ81" i="1"/>
  <c r="GK81" i="1"/>
  <c r="GL81" i="1"/>
  <c r="GM81" i="1"/>
  <c r="GN81" i="1"/>
  <c r="GO81" i="1"/>
  <c r="GP81" i="1"/>
  <c r="GQ81" i="1"/>
  <c r="GR81" i="1"/>
  <c r="GS81" i="1"/>
  <c r="GT81" i="1"/>
  <c r="GU81" i="1"/>
  <c r="GV81" i="1"/>
  <c r="GW81" i="1"/>
  <c r="GX81" i="1"/>
  <c r="D83" i="1"/>
  <c r="I83" i="1"/>
  <c r="P83" i="1" s="1"/>
  <c r="V83" i="1"/>
  <c r="W83" i="1"/>
  <c r="AC83" i="1"/>
  <c r="AB83" i="1" s="1"/>
  <c r="AD83" i="1"/>
  <c r="AE83" i="1"/>
  <c r="R83" i="1" s="1"/>
  <c r="GK83" i="1" s="1"/>
  <c r="AF83" i="1"/>
  <c r="S83" i="1" s="1"/>
  <c r="AG83" i="1"/>
  <c r="CU83" i="1" s="1"/>
  <c r="T83" i="1" s="1"/>
  <c r="AH83" i="1"/>
  <c r="CV83" i="1" s="1"/>
  <c r="U83" i="1" s="1"/>
  <c r="AI83" i="1"/>
  <c r="AJ83" i="1"/>
  <c r="CQ83" i="1"/>
  <c r="CR83" i="1"/>
  <c r="CS83" i="1"/>
  <c r="CT83" i="1"/>
  <c r="CW83" i="1"/>
  <c r="CX83" i="1"/>
  <c r="FR83" i="1"/>
  <c r="GL83" i="1"/>
  <c r="GN83" i="1"/>
  <c r="GP83" i="1"/>
  <c r="GV83" i="1"/>
  <c r="HC83" i="1"/>
  <c r="GX83" i="1" s="1"/>
  <c r="D84" i="1"/>
  <c r="T84" i="1"/>
  <c r="U84" i="1"/>
  <c r="AC84" i="1"/>
  <c r="P84" i="1" s="1"/>
  <c r="AE84" i="1"/>
  <c r="AF84" i="1"/>
  <c r="CT84" i="1" s="1"/>
  <c r="AG84" i="1"/>
  <c r="AH84" i="1"/>
  <c r="AI84" i="1"/>
  <c r="AJ84" i="1"/>
  <c r="CX84" i="1" s="1"/>
  <c r="W84" i="1" s="1"/>
  <c r="CQ84" i="1"/>
  <c r="CR84" i="1"/>
  <c r="CU84" i="1"/>
  <c r="CV84" i="1"/>
  <c r="CW84" i="1"/>
  <c r="V84" i="1" s="1"/>
  <c r="FR84" i="1"/>
  <c r="GL84" i="1"/>
  <c r="GN84" i="1"/>
  <c r="GP84" i="1"/>
  <c r="GV84" i="1"/>
  <c r="HC84" i="1" s="1"/>
  <c r="GX84" i="1" s="1"/>
  <c r="C85" i="1"/>
  <c r="D85" i="1"/>
  <c r="I85" i="1"/>
  <c r="CX26" i="3" s="1"/>
  <c r="P85" i="1"/>
  <c r="Q85" i="1"/>
  <c r="AC85" i="1"/>
  <c r="AD85" i="1"/>
  <c r="AE85" i="1"/>
  <c r="AF85" i="1"/>
  <c r="AB85" i="1" s="1"/>
  <c r="AG85" i="1"/>
  <c r="AH85" i="1"/>
  <c r="AI85" i="1"/>
  <c r="CW85" i="1" s="1"/>
  <c r="V85" i="1" s="1"/>
  <c r="AJ85" i="1"/>
  <c r="CX85" i="1" s="1"/>
  <c r="W85" i="1" s="1"/>
  <c r="CQ85" i="1"/>
  <c r="CR85" i="1"/>
  <c r="CS85" i="1"/>
  <c r="CU85" i="1"/>
  <c r="T85" i="1" s="1"/>
  <c r="CV85" i="1"/>
  <c r="U85" i="1" s="1"/>
  <c r="FR85" i="1"/>
  <c r="GL85" i="1"/>
  <c r="GN85" i="1"/>
  <c r="GP85" i="1"/>
  <c r="GV85" i="1"/>
  <c r="HC85" i="1" s="1"/>
  <c r="GX85" i="1" s="1"/>
  <c r="C86" i="1"/>
  <c r="D86" i="1"/>
  <c r="U86" i="1"/>
  <c r="AC86" i="1"/>
  <c r="P86" i="1" s="1"/>
  <c r="AE86" i="1"/>
  <c r="Q86" i="1" s="1"/>
  <c r="AF86" i="1"/>
  <c r="AG86" i="1"/>
  <c r="CU86" i="1" s="1"/>
  <c r="T86" i="1" s="1"/>
  <c r="AH86" i="1"/>
  <c r="AI86" i="1"/>
  <c r="CW86" i="1" s="1"/>
  <c r="V86" i="1" s="1"/>
  <c r="AJ86" i="1"/>
  <c r="CR86" i="1"/>
  <c r="CS86" i="1"/>
  <c r="CV86" i="1"/>
  <c r="CX86" i="1"/>
  <c r="W86" i="1" s="1"/>
  <c r="FR86" i="1"/>
  <c r="GL86" i="1"/>
  <c r="GN86" i="1"/>
  <c r="GP86" i="1"/>
  <c r="GV86" i="1"/>
  <c r="HC86" i="1" s="1"/>
  <c r="GX86" i="1"/>
  <c r="T87" i="1"/>
  <c r="U87" i="1"/>
  <c r="AC87" i="1"/>
  <c r="P87" i="1" s="1"/>
  <c r="AE87" i="1"/>
  <c r="AF87" i="1"/>
  <c r="CT87" i="1" s="1"/>
  <c r="AG87" i="1"/>
  <c r="AH87" i="1"/>
  <c r="AI87" i="1"/>
  <c r="AJ87" i="1"/>
  <c r="CX87" i="1" s="1"/>
  <c r="W87" i="1" s="1"/>
  <c r="CQ87" i="1"/>
  <c r="CR87" i="1"/>
  <c r="CU87" i="1"/>
  <c r="CV87" i="1"/>
  <c r="CW87" i="1"/>
  <c r="V87" i="1" s="1"/>
  <c r="FR87" i="1"/>
  <c r="GL87" i="1"/>
  <c r="GO87" i="1"/>
  <c r="GP87" i="1"/>
  <c r="GV87" i="1"/>
  <c r="HC87" i="1" s="1"/>
  <c r="GX87" i="1" s="1"/>
  <c r="D88" i="1"/>
  <c r="I88" i="1"/>
  <c r="Q88" i="1"/>
  <c r="R88" i="1"/>
  <c r="GK88" i="1" s="1"/>
  <c r="AC88" i="1"/>
  <c r="CQ88" i="1" s="1"/>
  <c r="AE88" i="1"/>
  <c r="AD88" i="1" s="1"/>
  <c r="AB88" i="1" s="1"/>
  <c r="AF88" i="1"/>
  <c r="S88" i="1" s="1"/>
  <c r="AG88" i="1"/>
  <c r="CU88" i="1" s="1"/>
  <c r="T88" i="1" s="1"/>
  <c r="AH88" i="1"/>
  <c r="AI88" i="1"/>
  <c r="AJ88" i="1"/>
  <c r="CX88" i="1" s="1"/>
  <c r="W88" i="1" s="1"/>
  <c r="CR88" i="1"/>
  <c r="CT88" i="1"/>
  <c r="CV88" i="1"/>
  <c r="U88" i="1" s="1"/>
  <c r="CW88" i="1"/>
  <c r="V88" i="1" s="1"/>
  <c r="FR88" i="1"/>
  <c r="GL88" i="1"/>
  <c r="GN88" i="1"/>
  <c r="GP88" i="1"/>
  <c r="GV88" i="1"/>
  <c r="HC88" i="1"/>
  <c r="GX88" i="1" s="1"/>
  <c r="D89" i="1"/>
  <c r="P89" i="1"/>
  <c r="S89" i="1"/>
  <c r="CY89" i="1" s="1"/>
  <c r="W89" i="1"/>
  <c r="X89" i="1"/>
  <c r="AC89" i="1"/>
  <c r="AE89" i="1"/>
  <c r="Q89" i="1" s="1"/>
  <c r="AF89" i="1"/>
  <c r="AG89" i="1"/>
  <c r="AH89" i="1"/>
  <c r="CV89" i="1" s="1"/>
  <c r="U89" i="1" s="1"/>
  <c r="AI89" i="1"/>
  <c r="CW89" i="1" s="1"/>
  <c r="V89" i="1" s="1"/>
  <c r="AJ89" i="1"/>
  <c r="CR89" i="1"/>
  <c r="CT89" i="1"/>
  <c r="CU89" i="1"/>
  <c r="T89" i="1" s="1"/>
  <c r="CX89" i="1"/>
  <c r="CZ89" i="1"/>
  <c r="Y89" i="1" s="1"/>
  <c r="FR89" i="1"/>
  <c r="GL89" i="1"/>
  <c r="GN89" i="1"/>
  <c r="GP89" i="1"/>
  <c r="GV89" i="1"/>
  <c r="HC89" i="1"/>
  <c r="GX89" i="1" s="1"/>
  <c r="C90" i="1"/>
  <c r="D90" i="1"/>
  <c r="I90" i="1"/>
  <c r="CX28" i="3" s="1"/>
  <c r="Q90" i="1"/>
  <c r="S90" i="1"/>
  <c r="T90" i="1"/>
  <c r="AC90" i="1"/>
  <c r="AD90" i="1"/>
  <c r="AE90" i="1"/>
  <c r="CS90" i="1" s="1"/>
  <c r="AF90" i="1"/>
  <c r="AG90" i="1"/>
  <c r="CU90" i="1" s="1"/>
  <c r="AH90" i="1"/>
  <c r="AI90" i="1"/>
  <c r="CW90" i="1" s="1"/>
  <c r="V90" i="1" s="1"/>
  <c r="AJ90" i="1"/>
  <c r="CR90" i="1"/>
  <c r="CT90" i="1"/>
  <c r="CV90" i="1"/>
  <c r="U90" i="1" s="1"/>
  <c r="CX90" i="1"/>
  <c r="W90" i="1" s="1"/>
  <c r="CY90" i="1"/>
  <c r="X90" i="1" s="1"/>
  <c r="CZ90" i="1"/>
  <c r="Y90" i="1" s="1"/>
  <c r="FR90" i="1"/>
  <c r="GL90" i="1"/>
  <c r="GN90" i="1"/>
  <c r="GP90" i="1"/>
  <c r="GV90" i="1"/>
  <c r="HC90" i="1"/>
  <c r="GX90" i="1" s="1"/>
  <c r="C91" i="1"/>
  <c r="D91" i="1"/>
  <c r="I91" i="1"/>
  <c r="CX29" i="3" s="1"/>
  <c r="Q91" i="1"/>
  <c r="S91" i="1"/>
  <c r="CY91" i="1" s="1"/>
  <c r="X91" i="1" s="1"/>
  <c r="AC91" i="1"/>
  <c r="P91" i="1" s="1"/>
  <c r="CP91" i="1" s="1"/>
  <c r="O91" i="1" s="1"/>
  <c r="AE91" i="1"/>
  <c r="AF91" i="1"/>
  <c r="AG91" i="1"/>
  <c r="AH91" i="1"/>
  <c r="CV91" i="1" s="1"/>
  <c r="U91" i="1" s="1"/>
  <c r="AI91" i="1"/>
  <c r="CW91" i="1" s="1"/>
  <c r="V91" i="1" s="1"/>
  <c r="AJ91" i="1"/>
  <c r="CR91" i="1"/>
  <c r="CS91" i="1"/>
  <c r="CT91" i="1"/>
  <c r="CU91" i="1"/>
  <c r="T91" i="1" s="1"/>
  <c r="CX91" i="1"/>
  <c r="W91" i="1" s="1"/>
  <c r="FR91" i="1"/>
  <c r="GL91" i="1"/>
  <c r="GN91" i="1"/>
  <c r="GP91" i="1"/>
  <c r="GV91" i="1"/>
  <c r="GX91" i="1"/>
  <c r="HC91" i="1"/>
  <c r="C92" i="1"/>
  <c r="D92" i="1"/>
  <c r="P92" i="1"/>
  <c r="AC92" i="1"/>
  <c r="AE92" i="1"/>
  <c r="Q92" i="1" s="1"/>
  <c r="AF92" i="1"/>
  <c r="CT92" i="1" s="1"/>
  <c r="AG92" i="1"/>
  <c r="AH92" i="1"/>
  <c r="AI92" i="1"/>
  <c r="CW92" i="1" s="1"/>
  <c r="V92" i="1" s="1"/>
  <c r="AJ92" i="1"/>
  <c r="CR92" i="1"/>
  <c r="CU92" i="1"/>
  <c r="T92" i="1" s="1"/>
  <c r="CV92" i="1"/>
  <c r="U92" i="1" s="1"/>
  <c r="CX92" i="1"/>
  <c r="W92" i="1" s="1"/>
  <c r="FR92" i="1"/>
  <c r="GL92" i="1"/>
  <c r="GN92" i="1"/>
  <c r="GP92" i="1"/>
  <c r="GV92" i="1"/>
  <c r="HC92" i="1" s="1"/>
  <c r="GX92" i="1" s="1"/>
  <c r="D93" i="1"/>
  <c r="I93" i="1"/>
  <c r="S93" i="1" s="1"/>
  <c r="CY93" i="1" s="1"/>
  <c r="X93" i="1" s="1"/>
  <c r="P93" i="1"/>
  <c r="Q93" i="1"/>
  <c r="CP93" i="1" s="1"/>
  <c r="O93" i="1" s="1"/>
  <c r="AB93" i="1"/>
  <c r="AC93" i="1"/>
  <c r="CQ93" i="1" s="1"/>
  <c r="AE93" i="1"/>
  <c r="AD93" i="1" s="1"/>
  <c r="AF93" i="1"/>
  <c r="AG93" i="1"/>
  <c r="AH93" i="1"/>
  <c r="AI93" i="1"/>
  <c r="AJ93" i="1"/>
  <c r="CS93" i="1"/>
  <c r="CT93" i="1"/>
  <c r="CU93" i="1"/>
  <c r="T93" i="1" s="1"/>
  <c r="CV93" i="1"/>
  <c r="U93" i="1" s="1"/>
  <c r="CW93" i="1"/>
  <c r="V93" i="1" s="1"/>
  <c r="CX93" i="1"/>
  <c r="W93" i="1" s="1"/>
  <c r="CZ93" i="1"/>
  <c r="Y93" i="1" s="1"/>
  <c r="FR93" i="1"/>
  <c r="GL93" i="1"/>
  <c r="GN93" i="1"/>
  <c r="GP93" i="1"/>
  <c r="GV93" i="1"/>
  <c r="HC93" i="1" s="1"/>
  <c r="GX93" i="1" s="1"/>
  <c r="C94" i="1"/>
  <c r="D94" i="1"/>
  <c r="I94" i="1"/>
  <c r="CX31" i="3" s="1"/>
  <c r="Q94" i="1"/>
  <c r="R94" i="1"/>
  <c r="GK94" i="1" s="1"/>
  <c r="AB94" i="1"/>
  <c r="AC94" i="1"/>
  <c r="AD94" i="1"/>
  <c r="AE94" i="1"/>
  <c r="AF94" i="1"/>
  <c r="S94" i="1" s="1"/>
  <c r="AG94" i="1"/>
  <c r="AH94" i="1"/>
  <c r="CV94" i="1" s="1"/>
  <c r="U94" i="1" s="1"/>
  <c r="AI94" i="1"/>
  <c r="AJ94" i="1"/>
  <c r="CX94" i="1" s="1"/>
  <c r="W94" i="1" s="1"/>
  <c r="CQ94" i="1"/>
  <c r="CR94" i="1"/>
  <c r="CS94" i="1"/>
  <c r="CU94" i="1"/>
  <c r="T94" i="1" s="1"/>
  <c r="CW94" i="1"/>
  <c r="V94" i="1" s="1"/>
  <c r="FR94" i="1"/>
  <c r="GL94" i="1"/>
  <c r="GN94" i="1"/>
  <c r="GP94" i="1"/>
  <c r="GV94" i="1"/>
  <c r="GX94" i="1"/>
  <c r="HC94" i="1"/>
  <c r="C95" i="1"/>
  <c r="D95" i="1"/>
  <c r="S95" i="1"/>
  <c r="CY95" i="1" s="1"/>
  <c r="X95" i="1" s="1"/>
  <c r="U95" i="1"/>
  <c r="W95" i="1"/>
  <c r="AC95" i="1"/>
  <c r="P95" i="1" s="1"/>
  <c r="AE95" i="1"/>
  <c r="Q95" i="1" s="1"/>
  <c r="AF95" i="1"/>
  <c r="AG95" i="1"/>
  <c r="CU95" i="1" s="1"/>
  <c r="T95" i="1" s="1"/>
  <c r="AH95" i="1"/>
  <c r="AI95" i="1"/>
  <c r="CW95" i="1" s="1"/>
  <c r="V95" i="1" s="1"/>
  <c r="AJ95" i="1"/>
  <c r="CR95" i="1"/>
  <c r="CT95" i="1"/>
  <c r="CV95" i="1"/>
  <c r="CX95" i="1"/>
  <c r="CZ95" i="1"/>
  <c r="Y95" i="1" s="1"/>
  <c r="FR95" i="1"/>
  <c r="GL95" i="1"/>
  <c r="GN95" i="1"/>
  <c r="GP95" i="1"/>
  <c r="GV95" i="1"/>
  <c r="HC95" i="1"/>
  <c r="GX95" i="1" s="1"/>
  <c r="AC96" i="1"/>
  <c r="AE96" i="1"/>
  <c r="CR96" i="1" s="1"/>
  <c r="AF96" i="1"/>
  <c r="AG96" i="1"/>
  <c r="CU96" i="1" s="1"/>
  <c r="AH96" i="1"/>
  <c r="AI96" i="1"/>
  <c r="CW96" i="1" s="1"/>
  <c r="AJ96" i="1"/>
  <c r="CT96" i="1"/>
  <c r="CV96" i="1"/>
  <c r="CX96" i="1"/>
  <c r="FR96" i="1"/>
  <c r="GL96" i="1"/>
  <c r="GN96" i="1"/>
  <c r="GP96" i="1"/>
  <c r="GV96" i="1"/>
  <c r="HC96" i="1" s="1"/>
  <c r="C97" i="1"/>
  <c r="D97" i="1"/>
  <c r="P97" i="1"/>
  <c r="CP97" i="1" s="1"/>
  <c r="O97" i="1" s="1"/>
  <c r="Q97" i="1"/>
  <c r="R97" i="1"/>
  <c r="GK97" i="1" s="1"/>
  <c r="AB97" i="1"/>
  <c r="AC97" i="1"/>
  <c r="AD97" i="1"/>
  <c r="AE97" i="1"/>
  <c r="AF97" i="1"/>
  <c r="S97" i="1" s="1"/>
  <c r="AG97" i="1"/>
  <c r="AH97" i="1"/>
  <c r="CV97" i="1" s="1"/>
  <c r="U97" i="1" s="1"/>
  <c r="AI97" i="1"/>
  <c r="AJ97" i="1"/>
  <c r="CX97" i="1" s="1"/>
  <c r="W97" i="1" s="1"/>
  <c r="CQ97" i="1"/>
  <c r="CR97" i="1"/>
  <c r="CS97" i="1"/>
  <c r="CU97" i="1"/>
  <c r="T97" i="1" s="1"/>
  <c r="CW97" i="1"/>
  <c r="V97" i="1" s="1"/>
  <c r="FR97" i="1"/>
  <c r="GL97" i="1"/>
  <c r="GN97" i="1"/>
  <c r="GP97" i="1"/>
  <c r="GV97" i="1"/>
  <c r="GX97" i="1"/>
  <c r="HC97" i="1"/>
  <c r="P98" i="1"/>
  <c r="Q98" i="1"/>
  <c r="W98" i="1"/>
  <c r="AC98" i="1"/>
  <c r="AE98" i="1"/>
  <c r="R98" i="1" s="1"/>
  <c r="GK98" i="1" s="1"/>
  <c r="AF98" i="1"/>
  <c r="S98" i="1" s="1"/>
  <c r="AG98" i="1"/>
  <c r="CU98" i="1" s="1"/>
  <c r="T98" i="1" s="1"/>
  <c r="AH98" i="1"/>
  <c r="AI98" i="1"/>
  <c r="CW98" i="1" s="1"/>
  <c r="V98" i="1" s="1"/>
  <c r="AJ98" i="1"/>
  <c r="CR98" i="1"/>
  <c r="CT98" i="1"/>
  <c r="CV98" i="1"/>
  <c r="U98" i="1" s="1"/>
  <c r="CX98" i="1"/>
  <c r="FR98" i="1"/>
  <c r="GL98" i="1"/>
  <c r="GO98" i="1"/>
  <c r="GP98" i="1"/>
  <c r="GV98" i="1"/>
  <c r="HC98" i="1"/>
  <c r="GX98" i="1" s="1"/>
  <c r="C99" i="1"/>
  <c r="D99" i="1"/>
  <c r="R99" i="1"/>
  <c r="GK99" i="1" s="1"/>
  <c r="T99" i="1"/>
  <c r="V99" i="1"/>
  <c r="AC99" i="1"/>
  <c r="P99" i="1" s="1"/>
  <c r="AD99" i="1"/>
  <c r="AE99" i="1"/>
  <c r="Q99" i="1" s="1"/>
  <c r="AF99" i="1"/>
  <c r="AG99" i="1"/>
  <c r="AH99" i="1"/>
  <c r="CV99" i="1" s="1"/>
  <c r="U99" i="1" s="1"/>
  <c r="AI99" i="1"/>
  <c r="AJ99" i="1"/>
  <c r="CX99" i="1" s="1"/>
  <c r="W99" i="1" s="1"/>
  <c r="CQ99" i="1"/>
  <c r="CR99" i="1"/>
  <c r="CS99" i="1"/>
  <c r="CU99" i="1"/>
  <c r="CW99" i="1"/>
  <c r="FR99" i="1"/>
  <c r="GL99" i="1"/>
  <c r="GN99" i="1"/>
  <c r="GP99" i="1"/>
  <c r="GV99" i="1"/>
  <c r="HC99" i="1" s="1"/>
  <c r="GX99" i="1" s="1"/>
  <c r="S100" i="1"/>
  <c r="CY100" i="1" s="1"/>
  <c r="X100" i="1" s="1"/>
  <c r="U100" i="1"/>
  <c r="AC100" i="1"/>
  <c r="AE100" i="1"/>
  <c r="AF100" i="1"/>
  <c r="AG100" i="1"/>
  <c r="CU100" i="1" s="1"/>
  <c r="T100" i="1" s="1"/>
  <c r="AH100" i="1"/>
  <c r="AI100" i="1"/>
  <c r="CW100" i="1" s="1"/>
  <c r="V100" i="1" s="1"/>
  <c r="AJ100" i="1"/>
  <c r="CT100" i="1"/>
  <c r="CV100" i="1"/>
  <c r="CX100" i="1"/>
  <c r="W100" i="1" s="1"/>
  <c r="CZ100" i="1"/>
  <c r="Y100" i="1" s="1"/>
  <c r="FR100" i="1"/>
  <c r="GL100" i="1"/>
  <c r="GO100" i="1"/>
  <c r="GP100" i="1"/>
  <c r="GV100" i="1"/>
  <c r="HC100" i="1" s="1"/>
  <c r="GX100" i="1" s="1"/>
  <c r="C101" i="1"/>
  <c r="D101" i="1"/>
  <c r="I101" i="1"/>
  <c r="CX35" i="3" s="1"/>
  <c r="P101" i="1"/>
  <c r="Q101" i="1"/>
  <c r="W101" i="1"/>
  <c r="AC101" i="1"/>
  <c r="AE101" i="1"/>
  <c r="R101" i="1" s="1"/>
  <c r="AF101" i="1"/>
  <c r="S101" i="1" s="1"/>
  <c r="CY101" i="1" s="1"/>
  <c r="X101" i="1" s="1"/>
  <c r="AG101" i="1"/>
  <c r="CU101" i="1" s="1"/>
  <c r="T101" i="1" s="1"/>
  <c r="AH101" i="1"/>
  <c r="AI101" i="1"/>
  <c r="CW101" i="1" s="1"/>
  <c r="V101" i="1" s="1"/>
  <c r="AJ101" i="1"/>
  <c r="CR101" i="1"/>
  <c r="CT101" i="1"/>
  <c r="CV101" i="1"/>
  <c r="U101" i="1" s="1"/>
  <c r="CX101" i="1"/>
  <c r="FR101" i="1"/>
  <c r="GK101" i="1"/>
  <c r="GL101" i="1"/>
  <c r="GN101" i="1"/>
  <c r="GP101" i="1"/>
  <c r="GV101" i="1"/>
  <c r="HC101" i="1" s="1"/>
  <c r="GX101" i="1" s="1"/>
  <c r="I102" i="1"/>
  <c r="S102" i="1"/>
  <c r="CY102" i="1" s="1"/>
  <c r="X102" i="1" s="1"/>
  <c r="U102" i="1"/>
  <c r="W102" i="1"/>
  <c r="AC102" i="1"/>
  <c r="AE102" i="1"/>
  <c r="AF102" i="1"/>
  <c r="AG102" i="1"/>
  <c r="CU102" i="1" s="1"/>
  <c r="T102" i="1" s="1"/>
  <c r="AH102" i="1"/>
  <c r="AI102" i="1"/>
  <c r="CW102" i="1" s="1"/>
  <c r="V102" i="1" s="1"/>
  <c r="AJ102" i="1"/>
  <c r="CT102" i="1"/>
  <c r="CV102" i="1"/>
  <c r="CX102" i="1"/>
  <c r="FR102" i="1"/>
  <c r="GL102" i="1"/>
  <c r="GN102" i="1"/>
  <c r="GP102" i="1"/>
  <c r="GV102" i="1"/>
  <c r="HC102" i="1"/>
  <c r="GX102" i="1" s="1"/>
  <c r="C103" i="1"/>
  <c r="D103" i="1"/>
  <c r="P103" i="1"/>
  <c r="CP103" i="1" s="1"/>
  <c r="O103" i="1" s="1"/>
  <c r="Q103" i="1"/>
  <c r="R103" i="1"/>
  <c r="GK103" i="1" s="1"/>
  <c r="S103" i="1"/>
  <c r="CZ103" i="1" s="1"/>
  <c r="Y103" i="1" s="1"/>
  <c r="X103" i="1"/>
  <c r="AB103" i="1"/>
  <c r="AC103" i="1"/>
  <c r="AD103" i="1"/>
  <c r="AE103" i="1"/>
  <c r="AF103" i="1"/>
  <c r="CT103" i="1" s="1"/>
  <c r="AG103" i="1"/>
  <c r="AH103" i="1"/>
  <c r="CV103" i="1" s="1"/>
  <c r="U103" i="1" s="1"/>
  <c r="AI103" i="1"/>
  <c r="AJ103" i="1"/>
  <c r="CX103" i="1" s="1"/>
  <c r="W103" i="1" s="1"/>
  <c r="CQ103" i="1"/>
  <c r="CR103" i="1"/>
  <c r="CS103" i="1"/>
  <c r="CU103" i="1"/>
  <c r="T103" i="1" s="1"/>
  <c r="CW103" i="1"/>
  <c r="V103" i="1" s="1"/>
  <c r="CY103" i="1"/>
  <c r="FR103" i="1"/>
  <c r="GL103" i="1"/>
  <c r="GN103" i="1"/>
  <c r="GP103" i="1"/>
  <c r="GV103" i="1"/>
  <c r="GX103" i="1"/>
  <c r="HC103" i="1"/>
  <c r="I104" i="1"/>
  <c r="Q104" i="1" s="1"/>
  <c r="P104" i="1"/>
  <c r="R104" i="1"/>
  <c r="GK104" i="1" s="1"/>
  <c r="V104" i="1"/>
  <c r="AC104" i="1"/>
  <c r="AD104" i="1"/>
  <c r="AE104" i="1"/>
  <c r="AF104" i="1"/>
  <c r="AB104" i="1" s="1"/>
  <c r="AG104" i="1"/>
  <c r="AH104" i="1"/>
  <c r="CV104" i="1" s="1"/>
  <c r="U104" i="1" s="1"/>
  <c r="AI104" i="1"/>
  <c r="AJ104" i="1"/>
  <c r="CX104" i="1" s="1"/>
  <c r="W104" i="1" s="1"/>
  <c r="CQ104" i="1"/>
  <c r="CR104" i="1"/>
  <c r="CS104" i="1"/>
  <c r="CU104" i="1"/>
  <c r="T104" i="1" s="1"/>
  <c r="CW104" i="1"/>
  <c r="FR104" i="1"/>
  <c r="GL104" i="1"/>
  <c r="GN104" i="1"/>
  <c r="GP104" i="1"/>
  <c r="GV104" i="1"/>
  <c r="GX104" i="1"/>
  <c r="HC104" i="1"/>
  <c r="C105" i="1"/>
  <c r="D105" i="1"/>
  <c r="S105" i="1"/>
  <c r="CY105" i="1" s="1"/>
  <c r="X105" i="1" s="1"/>
  <c r="U105" i="1"/>
  <c r="W105" i="1"/>
  <c r="AC105" i="1"/>
  <c r="AE105" i="1"/>
  <c r="AF105" i="1"/>
  <c r="AG105" i="1"/>
  <c r="CU105" i="1" s="1"/>
  <c r="T105" i="1" s="1"/>
  <c r="AH105" i="1"/>
  <c r="AI105" i="1"/>
  <c r="CW105" i="1" s="1"/>
  <c r="V105" i="1" s="1"/>
  <c r="AJ105" i="1"/>
  <c r="CS105" i="1"/>
  <c r="CT105" i="1"/>
  <c r="CV105" i="1"/>
  <c r="CX105" i="1"/>
  <c r="CZ105" i="1"/>
  <c r="Y105" i="1" s="1"/>
  <c r="FR105" i="1"/>
  <c r="GL105" i="1"/>
  <c r="GN105" i="1"/>
  <c r="GP105" i="1"/>
  <c r="GV105" i="1"/>
  <c r="HC105" i="1"/>
  <c r="GX105" i="1" s="1"/>
  <c r="I106" i="1"/>
  <c r="S106" i="1"/>
  <c r="T106" i="1"/>
  <c r="U106" i="1"/>
  <c r="AC106" i="1"/>
  <c r="AD106" i="1"/>
  <c r="AE106" i="1"/>
  <c r="Q106" i="1" s="1"/>
  <c r="AF106" i="1"/>
  <c r="AG106" i="1"/>
  <c r="CU106" i="1" s="1"/>
  <c r="AH106" i="1"/>
  <c r="AI106" i="1"/>
  <c r="CW106" i="1" s="1"/>
  <c r="V106" i="1" s="1"/>
  <c r="AJ106" i="1"/>
  <c r="CQ106" i="1"/>
  <c r="CR106" i="1"/>
  <c r="CT106" i="1"/>
  <c r="CV106" i="1"/>
  <c r="CX106" i="1"/>
  <c r="W106" i="1" s="1"/>
  <c r="CY106" i="1"/>
  <c r="X106" i="1" s="1"/>
  <c r="CZ106" i="1"/>
  <c r="Y106" i="1" s="1"/>
  <c r="FR106" i="1"/>
  <c r="GL106" i="1"/>
  <c r="GN106" i="1"/>
  <c r="GP106" i="1"/>
  <c r="GV106" i="1"/>
  <c r="HC106" i="1" s="1"/>
  <c r="GX106" i="1" s="1"/>
  <c r="C107" i="1"/>
  <c r="D107" i="1"/>
  <c r="P107" i="1"/>
  <c r="Q107" i="1"/>
  <c r="R107" i="1"/>
  <c r="GK107" i="1" s="1"/>
  <c r="AB107" i="1"/>
  <c r="AC107" i="1"/>
  <c r="AD107" i="1"/>
  <c r="AE107" i="1"/>
  <c r="AF107" i="1"/>
  <c r="AG107" i="1"/>
  <c r="AH107" i="1"/>
  <c r="CV107" i="1" s="1"/>
  <c r="U107" i="1" s="1"/>
  <c r="AI107" i="1"/>
  <c r="CW107" i="1" s="1"/>
  <c r="V107" i="1" s="1"/>
  <c r="AJ107" i="1"/>
  <c r="CX107" i="1" s="1"/>
  <c r="W107" i="1" s="1"/>
  <c r="CQ107" i="1"/>
  <c r="CR107" i="1"/>
  <c r="CS107" i="1"/>
  <c r="CU107" i="1"/>
  <c r="T107" i="1" s="1"/>
  <c r="FR107" i="1"/>
  <c r="GL107" i="1"/>
  <c r="GN107" i="1"/>
  <c r="GP107" i="1"/>
  <c r="GV107" i="1"/>
  <c r="GX107" i="1"/>
  <c r="HC107" i="1"/>
  <c r="I108" i="1"/>
  <c r="Q108" i="1" s="1"/>
  <c r="R108" i="1"/>
  <c r="GK108" i="1" s="1"/>
  <c r="AB108" i="1"/>
  <c r="AC108" i="1"/>
  <c r="AD108" i="1"/>
  <c r="AE108" i="1"/>
  <c r="AF108" i="1"/>
  <c r="AG108" i="1"/>
  <c r="AH108" i="1"/>
  <c r="CV108" i="1" s="1"/>
  <c r="AI108" i="1"/>
  <c r="AJ108" i="1"/>
  <c r="CX108" i="1" s="1"/>
  <c r="W108" i="1" s="1"/>
  <c r="CQ108" i="1"/>
  <c r="CR108" i="1"/>
  <c r="CS108" i="1"/>
  <c r="CT108" i="1"/>
  <c r="CU108" i="1"/>
  <c r="CW108" i="1"/>
  <c r="V108" i="1" s="1"/>
  <c r="FR108" i="1"/>
  <c r="GL108" i="1"/>
  <c r="BZ121" i="1" s="1"/>
  <c r="GN108" i="1"/>
  <c r="GP108" i="1"/>
  <c r="GV108" i="1"/>
  <c r="HC108" i="1"/>
  <c r="GX108" i="1" s="1"/>
  <c r="C109" i="1"/>
  <c r="D109" i="1"/>
  <c r="O109" i="1"/>
  <c r="Q109" i="1"/>
  <c r="S109" i="1"/>
  <c r="AC109" i="1"/>
  <c r="P109" i="1" s="1"/>
  <c r="AE109" i="1"/>
  <c r="CS109" i="1" s="1"/>
  <c r="AF109" i="1"/>
  <c r="AG109" i="1"/>
  <c r="CU109" i="1" s="1"/>
  <c r="T109" i="1" s="1"/>
  <c r="AH109" i="1"/>
  <c r="AI109" i="1"/>
  <c r="AJ109" i="1"/>
  <c r="CX109" i="1" s="1"/>
  <c r="W109" i="1" s="1"/>
  <c r="CP109" i="1"/>
  <c r="CR109" i="1"/>
  <c r="CT109" i="1"/>
  <c r="CV109" i="1"/>
  <c r="U109" i="1" s="1"/>
  <c r="CW109" i="1"/>
  <c r="V109" i="1" s="1"/>
  <c r="CY109" i="1"/>
  <c r="X109" i="1" s="1"/>
  <c r="CZ109" i="1"/>
  <c r="Y109" i="1" s="1"/>
  <c r="FR109" i="1"/>
  <c r="GL109" i="1"/>
  <c r="GN109" i="1"/>
  <c r="GP109" i="1"/>
  <c r="GV109" i="1"/>
  <c r="HC109" i="1" s="1"/>
  <c r="GX109" i="1" s="1"/>
  <c r="C110" i="1"/>
  <c r="D110" i="1"/>
  <c r="P110" i="1"/>
  <c r="R110" i="1"/>
  <c r="GK110" i="1" s="1"/>
  <c r="T110" i="1"/>
  <c r="X110" i="1"/>
  <c r="Y110" i="1"/>
  <c r="AC110" i="1"/>
  <c r="AD110" i="1"/>
  <c r="AB110" i="1" s="1"/>
  <c r="AE110" i="1"/>
  <c r="Q110" i="1" s="1"/>
  <c r="AF110" i="1"/>
  <c r="S110" i="1" s="1"/>
  <c r="AG110" i="1"/>
  <c r="AH110" i="1"/>
  <c r="AI110" i="1"/>
  <c r="AJ110" i="1"/>
  <c r="CX110" i="1" s="1"/>
  <c r="W110" i="1" s="1"/>
  <c r="CQ110" i="1"/>
  <c r="CR110" i="1"/>
  <c r="CS110" i="1"/>
  <c r="CT110" i="1"/>
  <c r="CU110" i="1"/>
  <c r="CV110" i="1"/>
  <c r="U110" i="1" s="1"/>
  <c r="CW110" i="1"/>
  <c r="V110" i="1" s="1"/>
  <c r="CY110" i="1"/>
  <c r="CZ110" i="1"/>
  <c r="FR110" i="1"/>
  <c r="GL110" i="1"/>
  <c r="GN110" i="1"/>
  <c r="GP110" i="1"/>
  <c r="GV110" i="1"/>
  <c r="HC110" i="1"/>
  <c r="GX110" i="1" s="1"/>
  <c r="S111" i="1"/>
  <c r="CY111" i="1" s="1"/>
  <c r="X111" i="1" s="1"/>
  <c r="W111" i="1"/>
  <c r="AC111" i="1"/>
  <c r="AE111" i="1"/>
  <c r="R111" i="1" s="1"/>
  <c r="GK111" i="1" s="1"/>
  <c r="AF111" i="1"/>
  <c r="CT111" i="1" s="1"/>
  <c r="AG111" i="1"/>
  <c r="AH111" i="1"/>
  <c r="CV111" i="1" s="1"/>
  <c r="U111" i="1" s="1"/>
  <c r="AI111" i="1"/>
  <c r="CW111" i="1" s="1"/>
  <c r="V111" i="1" s="1"/>
  <c r="AJ111" i="1"/>
  <c r="CQ111" i="1"/>
  <c r="CR111" i="1"/>
  <c r="CU111" i="1"/>
  <c r="T111" i="1" s="1"/>
  <c r="CX111" i="1"/>
  <c r="CZ111" i="1"/>
  <c r="Y111" i="1" s="1"/>
  <c r="FR111" i="1"/>
  <c r="GL111" i="1"/>
  <c r="GO111" i="1"/>
  <c r="GP111" i="1"/>
  <c r="GV111" i="1"/>
  <c r="HC111" i="1"/>
  <c r="GX111" i="1" s="1"/>
  <c r="C112" i="1"/>
  <c r="D112" i="1"/>
  <c r="S112" i="1"/>
  <c r="W112" i="1"/>
  <c r="AC112" i="1"/>
  <c r="P112" i="1" s="1"/>
  <c r="CP112" i="1" s="1"/>
  <c r="O112" i="1" s="1"/>
  <c r="AD112" i="1"/>
  <c r="AE112" i="1"/>
  <c r="Q112" i="1" s="1"/>
  <c r="AF112" i="1"/>
  <c r="AG112" i="1"/>
  <c r="CU112" i="1" s="1"/>
  <c r="T112" i="1" s="1"/>
  <c r="AH112" i="1"/>
  <c r="CV112" i="1" s="1"/>
  <c r="U112" i="1" s="1"/>
  <c r="AI112" i="1"/>
  <c r="AJ112" i="1"/>
  <c r="CQ112" i="1"/>
  <c r="CR112" i="1"/>
  <c r="CT112" i="1"/>
  <c r="CW112" i="1"/>
  <c r="V112" i="1" s="1"/>
  <c r="CX112" i="1"/>
  <c r="CY112" i="1"/>
  <c r="X112" i="1" s="1"/>
  <c r="CZ112" i="1"/>
  <c r="Y112" i="1" s="1"/>
  <c r="FR112" i="1"/>
  <c r="GL112" i="1"/>
  <c r="GN112" i="1"/>
  <c r="GP112" i="1"/>
  <c r="GV112" i="1"/>
  <c r="HC112" i="1"/>
  <c r="GX112" i="1" s="1"/>
  <c r="C113" i="1"/>
  <c r="D113" i="1"/>
  <c r="P113" i="1"/>
  <c r="CP113" i="1" s="1"/>
  <c r="O113" i="1" s="1"/>
  <c r="Q113" i="1"/>
  <c r="R113" i="1"/>
  <c r="GK113" i="1" s="1"/>
  <c r="S113" i="1"/>
  <c r="T113" i="1"/>
  <c r="Y113" i="1"/>
  <c r="AC113" i="1"/>
  <c r="AD113" i="1"/>
  <c r="AB113" i="1" s="1"/>
  <c r="AE113" i="1"/>
  <c r="CS113" i="1" s="1"/>
  <c r="AF113" i="1"/>
  <c r="AG113" i="1"/>
  <c r="AH113" i="1"/>
  <c r="AI113" i="1"/>
  <c r="AJ113" i="1"/>
  <c r="CX113" i="1" s="1"/>
  <c r="W113" i="1" s="1"/>
  <c r="CQ113" i="1"/>
  <c r="CR113" i="1"/>
  <c r="CT113" i="1"/>
  <c r="CU113" i="1"/>
  <c r="CV113" i="1"/>
  <c r="U113" i="1" s="1"/>
  <c r="CW113" i="1"/>
  <c r="V113" i="1" s="1"/>
  <c r="CY113" i="1"/>
  <c r="X113" i="1" s="1"/>
  <c r="CZ113" i="1"/>
  <c r="FR113" i="1"/>
  <c r="GL113" i="1"/>
  <c r="GN113" i="1"/>
  <c r="GP113" i="1"/>
  <c r="GV113" i="1"/>
  <c r="HC113" i="1" s="1"/>
  <c r="GX113" i="1" s="1"/>
  <c r="Q114" i="1"/>
  <c r="R114" i="1"/>
  <c r="S114" i="1"/>
  <c r="AC114" i="1"/>
  <c r="AD114" i="1"/>
  <c r="AE114" i="1"/>
  <c r="AF114" i="1"/>
  <c r="AG114" i="1"/>
  <c r="AH114" i="1"/>
  <c r="AI114" i="1"/>
  <c r="CW114" i="1" s="1"/>
  <c r="V114" i="1" s="1"/>
  <c r="AJ114" i="1"/>
  <c r="CR114" i="1"/>
  <c r="CS114" i="1"/>
  <c r="CT114" i="1"/>
  <c r="CU114" i="1"/>
  <c r="T114" i="1" s="1"/>
  <c r="CV114" i="1"/>
  <c r="U114" i="1" s="1"/>
  <c r="CX114" i="1"/>
  <c r="W114" i="1" s="1"/>
  <c r="FR114" i="1"/>
  <c r="GK114" i="1"/>
  <c r="GL114" i="1"/>
  <c r="GN114" i="1"/>
  <c r="GP114" i="1"/>
  <c r="GV114" i="1"/>
  <c r="HC114" i="1"/>
  <c r="GX114" i="1" s="1"/>
  <c r="C115" i="1"/>
  <c r="D115" i="1"/>
  <c r="I115" i="1"/>
  <c r="CX43" i="3" s="1"/>
  <c r="S115" i="1"/>
  <c r="W115" i="1"/>
  <c r="AC115" i="1"/>
  <c r="P115" i="1" s="1"/>
  <c r="AE115" i="1"/>
  <c r="R115" i="1" s="1"/>
  <c r="GK115" i="1" s="1"/>
  <c r="AF115" i="1"/>
  <c r="AG115" i="1"/>
  <c r="CU115" i="1" s="1"/>
  <c r="T115" i="1" s="1"/>
  <c r="AH115" i="1"/>
  <c r="CV115" i="1" s="1"/>
  <c r="U115" i="1" s="1"/>
  <c r="AI115" i="1"/>
  <c r="AJ115" i="1"/>
  <c r="CQ115" i="1"/>
  <c r="CR115" i="1"/>
  <c r="CT115" i="1"/>
  <c r="CW115" i="1"/>
  <c r="V115" i="1" s="1"/>
  <c r="CX115" i="1"/>
  <c r="CY115" i="1"/>
  <c r="X115" i="1" s="1"/>
  <c r="CZ115" i="1"/>
  <c r="Y115" i="1" s="1"/>
  <c r="FR115" i="1"/>
  <c r="GL115" i="1"/>
  <c r="GN115" i="1"/>
  <c r="GP115" i="1"/>
  <c r="GV115" i="1"/>
  <c r="HC115" i="1"/>
  <c r="GX115" i="1" s="1"/>
  <c r="C116" i="1"/>
  <c r="D116" i="1"/>
  <c r="P116" i="1"/>
  <c r="CP116" i="1" s="1"/>
  <c r="O116" i="1" s="1"/>
  <c r="Q116" i="1"/>
  <c r="R116" i="1"/>
  <c r="GK116" i="1" s="1"/>
  <c r="S116" i="1"/>
  <c r="T116" i="1"/>
  <c r="Y116" i="1"/>
  <c r="AC116" i="1"/>
  <c r="AD116" i="1"/>
  <c r="AB116" i="1" s="1"/>
  <c r="AE116" i="1"/>
  <c r="CS116" i="1" s="1"/>
  <c r="AF116" i="1"/>
  <c r="AG116" i="1"/>
  <c r="AH116" i="1"/>
  <c r="AI116" i="1"/>
  <c r="AJ116" i="1"/>
  <c r="CX116" i="1" s="1"/>
  <c r="W116" i="1" s="1"/>
  <c r="CQ116" i="1"/>
  <c r="CR116" i="1"/>
  <c r="CT116" i="1"/>
  <c r="CU116" i="1"/>
  <c r="CV116" i="1"/>
  <c r="U116" i="1" s="1"/>
  <c r="CW116" i="1"/>
  <c r="V116" i="1" s="1"/>
  <c r="CY116" i="1"/>
  <c r="X116" i="1" s="1"/>
  <c r="CZ116" i="1"/>
  <c r="FR116" i="1"/>
  <c r="GL116" i="1"/>
  <c r="GN116" i="1"/>
  <c r="GP116" i="1"/>
  <c r="GV116" i="1"/>
  <c r="HC116" i="1" s="1"/>
  <c r="GX116" i="1" s="1"/>
  <c r="I117" i="1"/>
  <c r="Q117" i="1" s="1"/>
  <c r="P117" i="1"/>
  <c r="CP117" i="1" s="1"/>
  <c r="O117" i="1" s="1"/>
  <c r="R117" i="1"/>
  <c r="GK117" i="1" s="1"/>
  <c r="AB117" i="1"/>
  <c r="AC117" i="1"/>
  <c r="CQ117" i="1" s="1"/>
  <c r="AE117" i="1"/>
  <c r="AD117" i="1" s="1"/>
  <c r="AF117" i="1"/>
  <c r="S117" i="1" s="1"/>
  <c r="AG117" i="1"/>
  <c r="AH117" i="1"/>
  <c r="CV117" i="1" s="1"/>
  <c r="U117" i="1" s="1"/>
  <c r="AI117" i="1"/>
  <c r="AJ117" i="1"/>
  <c r="CX117" i="1" s="1"/>
  <c r="W117" i="1" s="1"/>
  <c r="CR117" i="1"/>
  <c r="CS117" i="1"/>
  <c r="CT117" i="1"/>
  <c r="CU117" i="1"/>
  <c r="T117" i="1" s="1"/>
  <c r="CW117" i="1"/>
  <c r="V117" i="1" s="1"/>
  <c r="FR117" i="1"/>
  <c r="GL117" i="1"/>
  <c r="GN117" i="1"/>
  <c r="GP117" i="1"/>
  <c r="GV117" i="1"/>
  <c r="HC117" i="1"/>
  <c r="GX117" i="1" s="1"/>
  <c r="C118" i="1"/>
  <c r="D118" i="1"/>
  <c r="I118" i="1"/>
  <c r="AC118" i="1"/>
  <c r="P118" i="1" s="1"/>
  <c r="AD118" i="1"/>
  <c r="AE118" i="1"/>
  <c r="AF118" i="1"/>
  <c r="AG118" i="1"/>
  <c r="CU118" i="1" s="1"/>
  <c r="T118" i="1" s="1"/>
  <c r="AH118" i="1"/>
  <c r="AI118" i="1"/>
  <c r="AJ118" i="1"/>
  <c r="CQ118" i="1"/>
  <c r="CR118" i="1"/>
  <c r="CS118" i="1"/>
  <c r="CV118" i="1"/>
  <c r="U118" i="1" s="1"/>
  <c r="CW118" i="1"/>
  <c r="CX118" i="1"/>
  <c r="W118" i="1" s="1"/>
  <c r="FR118" i="1"/>
  <c r="GL118" i="1"/>
  <c r="GN118" i="1"/>
  <c r="GP118" i="1"/>
  <c r="GV118" i="1"/>
  <c r="GX118" i="1"/>
  <c r="HC118" i="1"/>
  <c r="AB119" i="1"/>
  <c r="AC119" i="1"/>
  <c r="AD119" i="1"/>
  <c r="AE119" i="1"/>
  <c r="CS119" i="1" s="1"/>
  <c r="AF119" i="1"/>
  <c r="AG119" i="1"/>
  <c r="AH119" i="1"/>
  <c r="AI119" i="1"/>
  <c r="AJ119" i="1"/>
  <c r="CX119" i="1" s="1"/>
  <c r="CQ119" i="1"/>
  <c r="CR119" i="1"/>
  <c r="CT119" i="1"/>
  <c r="CU119" i="1"/>
  <c r="CV119" i="1"/>
  <c r="CW119" i="1"/>
  <c r="FR119" i="1"/>
  <c r="GL119" i="1"/>
  <c r="GN119" i="1"/>
  <c r="GP119" i="1"/>
  <c r="GV119" i="1"/>
  <c r="HC119" i="1" s="1"/>
  <c r="B121" i="1"/>
  <c r="B81" i="1" s="1"/>
  <c r="C121" i="1"/>
  <c r="C81" i="1" s="1"/>
  <c r="D121" i="1"/>
  <c r="D81" i="1" s="1"/>
  <c r="F121" i="1"/>
  <c r="F81" i="1" s="1"/>
  <c r="G121" i="1"/>
  <c r="G81" i="1" s="1"/>
  <c r="BD121" i="1"/>
  <c r="BD81" i="1" s="1"/>
  <c r="BX121" i="1"/>
  <c r="BX81" i="1" s="1"/>
  <c r="BY121" i="1"/>
  <c r="CG121" i="1"/>
  <c r="CG81" i="1" s="1"/>
  <c r="CK121" i="1"/>
  <c r="CK81" i="1" s="1"/>
  <c r="CL121" i="1"/>
  <c r="CL81" i="1" s="1"/>
  <c r="CM121" i="1"/>
  <c r="CM81" i="1" s="1"/>
  <c r="D152" i="1"/>
  <c r="B154" i="1"/>
  <c r="E154" i="1"/>
  <c r="G154" i="1"/>
  <c r="Z154" i="1"/>
  <c r="AA154" i="1"/>
  <c r="AM154" i="1"/>
  <c r="AN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BR154" i="1"/>
  <c r="BS154" i="1"/>
  <c r="BT154" i="1"/>
  <c r="BU154" i="1"/>
  <c r="BV154" i="1"/>
  <c r="BW154" i="1"/>
  <c r="CK154" i="1"/>
  <c r="CL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EG154" i="1"/>
  <c r="EH154" i="1"/>
  <c r="EI154" i="1"/>
  <c r="EJ154" i="1"/>
  <c r="EK154" i="1"/>
  <c r="EL154" i="1"/>
  <c r="EM154" i="1"/>
  <c r="EN154" i="1"/>
  <c r="EO154" i="1"/>
  <c r="EP154" i="1"/>
  <c r="EQ154" i="1"/>
  <c r="ER154" i="1"/>
  <c r="ES154" i="1"/>
  <c r="ET154" i="1"/>
  <c r="EU154" i="1"/>
  <c r="EV154" i="1"/>
  <c r="EW154" i="1"/>
  <c r="EX154" i="1"/>
  <c r="EY154" i="1"/>
  <c r="EZ154" i="1"/>
  <c r="FA154" i="1"/>
  <c r="FB154" i="1"/>
  <c r="FC154" i="1"/>
  <c r="FD154" i="1"/>
  <c r="FE154" i="1"/>
  <c r="FF154" i="1"/>
  <c r="FG154" i="1"/>
  <c r="FH154" i="1"/>
  <c r="FI154" i="1"/>
  <c r="FJ154" i="1"/>
  <c r="FK154" i="1"/>
  <c r="FL154" i="1"/>
  <c r="FM154" i="1"/>
  <c r="FN154" i="1"/>
  <c r="FO154" i="1"/>
  <c r="FP154" i="1"/>
  <c r="FQ154" i="1"/>
  <c r="FR154" i="1"/>
  <c r="FS154" i="1"/>
  <c r="FT154" i="1"/>
  <c r="FU154" i="1"/>
  <c r="FV154" i="1"/>
  <c r="FW154" i="1"/>
  <c r="FX154" i="1"/>
  <c r="FY154" i="1"/>
  <c r="FZ154" i="1"/>
  <c r="GA154" i="1"/>
  <c r="GB154" i="1"/>
  <c r="GC154" i="1"/>
  <c r="GD154" i="1"/>
  <c r="GE154" i="1"/>
  <c r="GF154" i="1"/>
  <c r="GG154" i="1"/>
  <c r="GH154" i="1"/>
  <c r="GI154" i="1"/>
  <c r="GJ154" i="1"/>
  <c r="GK154" i="1"/>
  <c r="GL154" i="1"/>
  <c r="GM154" i="1"/>
  <c r="GN154" i="1"/>
  <c r="GO154" i="1"/>
  <c r="GP154" i="1"/>
  <c r="GQ154" i="1"/>
  <c r="GR154" i="1"/>
  <c r="GS154" i="1"/>
  <c r="GT154" i="1"/>
  <c r="GU154" i="1"/>
  <c r="GV154" i="1"/>
  <c r="GW154" i="1"/>
  <c r="GX154" i="1"/>
  <c r="C156" i="1"/>
  <c r="D156" i="1"/>
  <c r="Q156" i="1"/>
  <c r="R156" i="1"/>
  <c r="S156" i="1"/>
  <c r="X156" i="1"/>
  <c r="AC156" i="1"/>
  <c r="AB156" i="1" s="1"/>
  <c r="AD156" i="1"/>
  <c r="AE156" i="1"/>
  <c r="AF156" i="1"/>
  <c r="AG156" i="1"/>
  <c r="CU156" i="1" s="1"/>
  <c r="T156" i="1" s="1"/>
  <c r="AH156" i="1"/>
  <c r="AI156" i="1"/>
  <c r="CW156" i="1" s="1"/>
  <c r="V156" i="1" s="1"/>
  <c r="AJ156" i="1"/>
  <c r="CR156" i="1"/>
  <c r="CS156" i="1"/>
  <c r="CT156" i="1"/>
  <c r="CV156" i="1"/>
  <c r="U156" i="1" s="1"/>
  <c r="CX156" i="1"/>
  <c r="W156" i="1" s="1"/>
  <c r="CY156" i="1"/>
  <c r="FR156" i="1"/>
  <c r="GL156" i="1"/>
  <c r="BZ161" i="1" s="1"/>
  <c r="GN156" i="1"/>
  <c r="CB161" i="1" s="1"/>
  <c r="GO156" i="1"/>
  <c r="GV156" i="1"/>
  <c r="HC156" i="1" s="1"/>
  <c r="GX156" i="1" s="1"/>
  <c r="D157" i="1"/>
  <c r="I157" i="1"/>
  <c r="P157" i="1" s="1"/>
  <c r="R157" i="1"/>
  <c r="AC157" i="1"/>
  <c r="CQ157" i="1" s="1"/>
  <c r="AE157" i="1"/>
  <c r="AD157" i="1" s="1"/>
  <c r="AF157" i="1"/>
  <c r="S157" i="1" s="1"/>
  <c r="CY157" i="1" s="1"/>
  <c r="X157" i="1" s="1"/>
  <c r="AG157" i="1"/>
  <c r="CU157" i="1" s="1"/>
  <c r="AH157" i="1"/>
  <c r="AI157" i="1"/>
  <c r="CW157" i="1" s="1"/>
  <c r="V157" i="1" s="1"/>
  <c r="AJ157" i="1"/>
  <c r="CX157" i="1" s="1"/>
  <c r="W157" i="1" s="1"/>
  <c r="CR157" i="1"/>
  <c r="CS157" i="1"/>
  <c r="CV157" i="1"/>
  <c r="U157" i="1" s="1"/>
  <c r="CZ157" i="1"/>
  <c r="Y157" i="1" s="1"/>
  <c r="FR157" i="1"/>
  <c r="GL157" i="1"/>
  <c r="GN157" i="1"/>
  <c r="GO157" i="1"/>
  <c r="CC161" i="1" s="1"/>
  <c r="AT161" i="1" s="1"/>
  <c r="AT154" i="1" s="1"/>
  <c r="GV157" i="1"/>
  <c r="GX157" i="1"/>
  <c r="HC157" i="1"/>
  <c r="C158" i="1"/>
  <c r="D158" i="1"/>
  <c r="I158" i="1"/>
  <c r="R158" i="1"/>
  <c r="AC158" i="1"/>
  <c r="P158" i="1" s="1"/>
  <c r="AD158" i="1"/>
  <c r="AE158" i="1"/>
  <c r="AF158" i="1"/>
  <c r="S158" i="1" s="1"/>
  <c r="AG158" i="1"/>
  <c r="CU158" i="1" s="1"/>
  <c r="T158" i="1" s="1"/>
  <c r="AH158" i="1"/>
  <c r="CV158" i="1" s="1"/>
  <c r="AI158" i="1"/>
  <c r="AJ158" i="1"/>
  <c r="CR158" i="1"/>
  <c r="CS158" i="1"/>
  <c r="CT158" i="1"/>
  <c r="CW158" i="1"/>
  <c r="V158" i="1" s="1"/>
  <c r="CX158" i="1"/>
  <c r="W158" i="1" s="1"/>
  <c r="FR158" i="1"/>
  <c r="GL158" i="1"/>
  <c r="GN158" i="1"/>
  <c r="GO158" i="1"/>
  <c r="GV158" i="1"/>
  <c r="HC158" i="1"/>
  <c r="GX158" i="1" s="1"/>
  <c r="D159" i="1"/>
  <c r="AC159" i="1"/>
  <c r="AE159" i="1"/>
  <c r="CS159" i="1" s="1"/>
  <c r="AF159" i="1"/>
  <c r="AG159" i="1"/>
  <c r="AH159" i="1"/>
  <c r="AI159" i="1"/>
  <c r="CW159" i="1" s="1"/>
  <c r="AJ159" i="1"/>
  <c r="CX159" i="1" s="1"/>
  <c r="CQ159" i="1"/>
  <c r="CT159" i="1"/>
  <c r="CU159" i="1"/>
  <c r="CV159" i="1"/>
  <c r="FR159" i="1"/>
  <c r="GL159" i="1"/>
  <c r="GN159" i="1"/>
  <c r="GO159" i="1"/>
  <c r="GV159" i="1"/>
  <c r="HC159" i="1" s="1"/>
  <c r="B161" i="1"/>
  <c r="C161" i="1"/>
  <c r="C154" i="1" s="1"/>
  <c r="D161" i="1"/>
  <c r="D154" i="1" s="1"/>
  <c r="F161" i="1"/>
  <c r="F154" i="1" s="1"/>
  <c r="G161" i="1"/>
  <c r="AO161" i="1"/>
  <c r="F165" i="1" s="1"/>
  <c r="BC161" i="1"/>
  <c r="BC154" i="1" s="1"/>
  <c r="BX161" i="1"/>
  <c r="CK161" i="1"/>
  <c r="BB161" i="1" s="1"/>
  <c r="BB154" i="1" s="1"/>
  <c r="CL161" i="1"/>
  <c r="CM161" i="1"/>
  <c r="CM154" i="1" s="1"/>
  <c r="F174" i="1"/>
  <c r="D192" i="1"/>
  <c r="E194" i="1"/>
  <c r="Z194" i="1"/>
  <c r="AA194" i="1"/>
  <c r="AM194" i="1"/>
  <c r="AN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W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EG194" i="1"/>
  <c r="EH194" i="1"/>
  <c r="EI194" i="1"/>
  <c r="EJ194" i="1"/>
  <c r="EK194" i="1"/>
  <c r="EL194" i="1"/>
  <c r="EM194" i="1"/>
  <c r="EN194" i="1"/>
  <c r="EO194" i="1"/>
  <c r="EP194" i="1"/>
  <c r="EQ194" i="1"/>
  <c r="ER194" i="1"/>
  <c r="ES194" i="1"/>
  <c r="ET194" i="1"/>
  <c r="EU194" i="1"/>
  <c r="EV194" i="1"/>
  <c r="EW194" i="1"/>
  <c r="EX194" i="1"/>
  <c r="EY194" i="1"/>
  <c r="EZ194" i="1"/>
  <c r="FA194" i="1"/>
  <c r="FB194" i="1"/>
  <c r="FC194" i="1"/>
  <c r="FD194" i="1"/>
  <c r="FE194" i="1"/>
  <c r="FF194" i="1"/>
  <c r="FG194" i="1"/>
  <c r="FH194" i="1"/>
  <c r="FI194" i="1"/>
  <c r="FJ194" i="1"/>
  <c r="FK194" i="1"/>
  <c r="FL194" i="1"/>
  <c r="FM194" i="1"/>
  <c r="FN194" i="1"/>
  <c r="FO194" i="1"/>
  <c r="FP194" i="1"/>
  <c r="FQ194" i="1"/>
  <c r="FR194" i="1"/>
  <c r="FS194" i="1"/>
  <c r="FT194" i="1"/>
  <c r="FU194" i="1"/>
  <c r="FV194" i="1"/>
  <c r="FW194" i="1"/>
  <c r="FX194" i="1"/>
  <c r="FY194" i="1"/>
  <c r="FZ194" i="1"/>
  <c r="GA194" i="1"/>
  <c r="GB194" i="1"/>
  <c r="GC194" i="1"/>
  <c r="GD194" i="1"/>
  <c r="GE194" i="1"/>
  <c r="GF194" i="1"/>
  <c r="GG194" i="1"/>
  <c r="GH194" i="1"/>
  <c r="GI194" i="1"/>
  <c r="GJ194" i="1"/>
  <c r="GK194" i="1"/>
  <c r="GL194" i="1"/>
  <c r="GM194" i="1"/>
  <c r="GN194" i="1"/>
  <c r="GO194" i="1"/>
  <c r="GP194" i="1"/>
  <c r="GQ194" i="1"/>
  <c r="GR194" i="1"/>
  <c r="GS194" i="1"/>
  <c r="GT194" i="1"/>
  <c r="GU194" i="1"/>
  <c r="GV194" i="1"/>
  <c r="GW194" i="1"/>
  <c r="GX194" i="1"/>
  <c r="C196" i="1"/>
  <c r="D196" i="1"/>
  <c r="S196" i="1"/>
  <c r="CY196" i="1" s="1"/>
  <c r="X196" i="1" s="1"/>
  <c r="U196" i="1"/>
  <c r="AH201" i="1" s="1"/>
  <c r="AC196" i="1"/>
  <c r="P196" i="1" s="1"/>
  <c r="AE196" i="1"/>
  <c r="Q196" i="1" s="1"/>
  <c r="AF196" i="1"/>
  <c r="AG196" i="1"/>
  <c r="CU196" i="1" s="1"/>
  <c r="T196" i="1" s="1"/>
  <c r="AH196" i="1"/>
  <c r="AI196" i="1"/>
  <c r="CW196" i="1" s="1"/>
  <c r="V196" i="1" s="1"/>
  <c r="AJ196" i="1"/>
  <c r="CR196" i="1"/>
  <c r="CT196" i="1"/>
  <c r="CV196" i="1"/>
  <c r="CX196" i="1"/>
  <c r="W196" i="1" s="1"/>
  <c r="CZ196" i="1"/>
  <c r="Y196" i="1" s="1"/>
  <c r="FR196" i="1"/>
  <c r="GL196" i="1"/>
  <c r="GN196" i="1"/>
  <c r="GO196" i="1"/>
  <c r="CC201" i="1" s="1"/>
  <c r="GV196" i="1"/>
  <c r="HC196" i="1" s="1"/>
  <c r="GX196" i="1" s="1"/>
  <c r="C197" i="1"/>
  <c r="D197" i="1"/>
  <c r="P197" i="1"/>
  <c r="Q197" i="1"/>
  <c r="R197" i="1"/>
  <c r="GK197" i="1" s="1"/>
  <c r="AB197" i="1"/>
  <c r="AC197" i="1"/>
  <c r="AD197" i="1"/>
  <c r="AE197" i="1"/>
  <c r="AF197" i="1"/>
  <c r="CT197" i="1" s="1"/>
  <c r="AG197" i="1"/>
  <c r="AH197" i="1"/>
  <c r="CV197" i="1" s="1"/>
  <c r="U197" i="1" s="1"/>
  <c r="AI197" i="1"/>
  <c r="AJ197" i="1"/>
  <c r="CX197" i="1" s="1"/>
  <c r="W197" i="1" s="1"/>
  <c r="CQ197" i="1"/>
  <c r="CR197" i="1"/>
  <c r="CS197" i="1"/>
  <c r="CU197" i="1"/>
  <c r="T197" i="1" s="1"/>
  <c r="CW197" i="1"/>
  <c r="V197" i="1" s="1"/>
  <c r="FR197" i="1"/>
  <c r="BY201" i="1" s="1"/>
  <c r="GL197" i="1"/>
  <c r="GN197" i="1"/>
  <c r="GO197" i="1"/>
  <c r="GV197" i="1"/>
  <c r="GX197" i="1"/>
  <c r="HC197" i="1"/>
  <c r="C198" i="1"/>
  <c r="D198" i="1"/>
  <c r="S198" i="1"/>
  <c r="CY198" i="1" s="1"/>
  <c r="X198" i="1" s="1"/>
  <c r="U198" i="1"/>
  <c r="W198" i="1"/>
  <c r="AC198" i="1"/>
  <c r="AE198" i="1"/>
  <c r="R198" i="1" s="1"/>
  <c r="GK198" i="1" s="1"/>
  <c r="AF198" i="1"/>
  <c r="AG198" i="1"/>
  <c r="CU198" i="1" s="1"/>
  <c r="T198" i="1" s="1"/>
  <c r="AH198" i="1"/>
  <c r="AI198" i="1"/>
  <c r="CW198" i="1" s="1"/>
  <c r="V198" i="1" s="1"/>
  <c r="AJ198" i="1"/>
  <c r="CR198" i="1"/>
  <c r="CT198" i="1"/>
  <c r="CV198" i="1"/>
  <c r="CX198" i="1"/>
  <c r="FR198" i="1"/>
  <c r="GL198" i="1"/>
  <c r="GN198" i="1"/>
  <c r="GO198" i="1"/>
  <c r="GV198" i="1"/>
  <c r="HC198" i="1"/>
  <c r="GX198" i="1" s="1"/>
  <c r="I199" i="1"/>
  <c r="S199" i="1"/>
  <c r="CY199" i="1" s="1"/>
  <c r="X199" i="1" s="1"/>
  <c r="U199" i="1"/>
  <c r="AC199" i="1"/>
  <c r="P199" i="1" s="1"/>
  <c r="AE199" i="1"/>
  <c r="R199" i="1" s="1"/>
  <c r="GK199" i="1" s="1"/>
  <c r="AF199" i="1"/>
  <c r="AG199" i="1"/>
  <c r="CU199" i="1" s="1"/>
  <c r="T199" i="1" s="1"/>
  <c r="AH199" i="1"/>
  <c r="AI199" i="1"/>
  <c r="CW199" i="1" s="1"/>
  <c r="V199" i="1" s="1"/>
  <c r="AJ199" i="1"/>
  <c r="CT199" i="1"/>
  <c r="CV199" i="1"/>
  <c r="CX199" i="1"/>
  <c r="W199" i="1" s="1"/>
  <c r="CZ199" i="1"/>
  <c r="Y199" i="1" s="1"/>
  <c r="FR199" i="1"/>
  <c r="GL199" i="1"/>
  <c r="GO199" i="1"/>
  <c r="GP199" i="1"/>
  <c r="GV199" i="1"/>
  <c r="HC199" i="1" s="1"/>
  <c r="GX199" i="1" s="1"/>
  <c r="B201" i="1"/>
  <c r="B194" i="1" s="1"/>
  <c r="C201" i="1"/>
  <c r="C194" i="1" s="1"/>
  <c r="D201" i="1"/>
  <c r="D194" i="1" s="1"/>
  <c r="F201" i="1"/>
  <c r="F194" i="1" s="1"/>
  <c r="G201" i="1"/>
  <c r="G194" i="1" s="1"/>
  <c r="BX201" i="1"/>
  <c r="BX194" i="1" s="1"/>
  <c r="BZ201" i="1"/>
  <c r="BZ194" i="1" s="1"/>
  <c r="CK201" i="1"/>
  <c r="BB201" i="1" s="1"/>
  <c r="CL201" i="1"/>
  <c r="CL194" i="1" s="1"/>
  <c r="CM201" i="1"/>
  <c r="BD201" i="1" s="1"/>
  <c r="B231" i="1"/>
  <c r="B22" i="1" s="1"/>
  <c r="C231" i="1"/>
  <c r="C22" i="1" s="1"/>
  <c r="D231" i="1"/>
  <c r="D22" i="1" s="1"/>
  <c r="F231" i="1"/>
  <c r="F22" i="1" s="1"/>
  <c r="G231" i="1"/>
  <c r="G22" i="1" s="1"/>
  <c r="B269" i="1"/>
  <c r="B18" i="1" s="1"/>
  <c r="C269" i="1"/>
  <c r="C18" i="1" s="1"/>
  <c r="D269" i="1"/>
  <c r="D18" i="1" s="1"/>
  <c r="F269" i="1"/>
  <c r="F18" i="1" s="1"/>
  <c r="G269" i="1"/>
  <c r="H252" i="5" l="1"/>
  <c r="H72" i="5"/>
  <c r="J205" i="5"/>
  <c r="H205" i="5"/>
  <c r="J252" i="5"/>
  <c r="J72" i="5"/>
  <c r="J248" i="5"/>
  <c r="G18" i="1"/>
  <c r="AI201" i="1"/>
  <c r="CJ201" i="1"/>
  <c r="AT201" i="1"/>
  <c r="CC194" i="1"/>
  <c r="F226" i="1"/>
  <c r="BD194" i="1"/>
  <c r="BY194" i="1"/>
  <c r="AP201" i="1"/>
  <c r="CI201" i="1"/>
  <c r="AG201" i="1"/>
  <c r="CP196" i="1"/>
  <c r="O196" i="1" s="1"/>
  <c r="AH194" i="1"/>
  <c r="U201" i="1"/>
  <c r="BB194" i="1"/>
  <c r="F214" i="1"/>
  <c r="AJ201" i="1"/>
  <c r="CZ158" i="1"/>
  <c r="Y158" i="1" s="1"/>
  <c r="CY158" i="1"/>
  <c r="X158" i="1" s="1"/>
  <c r="BZ154" i="1"/>
  <c r="AQ161" i="1"/>
  <c r="AQ201" i="1"/>
  <c r="Q198" i="1"/>
  <c r="AD201" i="1" s="1"/>
  <c r="CK194" i="1"/>
  <c r="BX154" i="1"/>
  <c r="CG161" i="1"/>
  <c r="AS161" i="1"/>
  <c r="CB154" i="1"/>
  <c r="CQ114" i="1"/>
  <c r="P114" i="1"/>
  <c r="CP114" i="1" s="1"/>
  <c r="O114" i="1" s="1"/>
  <c r="AB114" i="1"/>
  <c r="CD121" i="1"/>
  <c r="CR199" i="1"/>
  <c r="Q199" i="1"/>
  <c r="CP199" i="1" s="1"/>
  <c r="O199" i="1" s="1"/>
  <c r="CS199" i="1"/>
  <c r="P198" i="1"/>
  <c r="CP198" i="1" s="1"/>
  <c r="O198" i="1" s="1"/>
  <c r="S197" i="1"/>
  <c r="CP197" i="1" s="1"/>
  <c r="O197" i="1" s="1"/>
  <c r="CS196" i="1"/>
  <c r="BD161" i="1"/>
  <c r="CT157" i="1"/>
  <c r="Q157" i="1"/>
  <c r="CZ156" i="1"/>
  <c r="Y156" i="1" s="1"/>
  <c r="AO154" i="1"/>
  <c r="F146" i="1"/>
  <c r="CX45" i="3"/>
  <c r="CX46" i="3"/>
  <c r="I119" i="1"/>
  <c r="Q118" i="1"/>
  <c r="CP118" i="1" s="1"/>
  <c r="O118" i="1" s="1"/>
  <c r="R118" i="1"/>
  <c r="GK118" i="1" s="1"/>
  <c r="CY114" i="1"/>
  <c r="X114" i="1" s="1"/>
  <c r="CZ114" i="1"/>
  <c r="Y114" i="1" s="1"/>
  <c r="CC154" i="1"/>
  <c r="BY81" i="1"/>
  <c r="CI121" i="1"/>
  <c r="GX119" i="1"/>
  <c r="CG201" i="1"/>
  <c r="CQ199" i="1"/>
  <c r="AD199" i="1"/>
  <c r="CS198" i="1"/>
  <c r="CQ196" i="1"/>
  <c r="AD196" i="1"/>
  <c r="AB196" i="1" s="1"/>
  <c r="F179" i="1"/>
  <c r="CR159" i="1"/>
  <c r="AD159" i="1"/>
  <c r="AB159" i="1" s="1"/>
  <c r="CQ158" i="1"/>
  <c r="AB157" i="1"/>
  <c r="CP157" i="1"/>
  <c r="O157" i="1" s="1"/>
  <c r="CQ156" i="1"/>
  <c r="CT118" i="1"/>
  <c r="S118" i="1"/>
  <c r="CY117" i="1"/>
  <c r="X117" i="1" s="1"/>
  <c r="GO117" i="1" s="1"/>
  <c r="CZ117" i="1"/>
  <c r="Y117" i="1" s="1"/>
  <c r="CZ198" i="1"/>
  <c r="Y198" i="1" s="1"/>
  <c r="CX48" i="3"/>
  <c r="I159" i="1"/>
  <c r="U159" i="1" s="1"/>
  <c r="Q158" i="1"/>
  <c r="CP158" i="1" s="1"/>
  <c r="O158" i="1" s="1"/>
  <c r="P156" i="1"/>
  <c r="GM116" i="1"/>
  <c r="GO116" i="1"/>
  <c r="BZ81" i="1"/>
  <c r="AQ121" i="1"/>
  <c r="AO201" i="1"/>
  <c r="AB199" i="1"/>
  <c r="CQ198" i="1"/>
  <c r="AD198" i="1"/>
  <c r="AB198" i="1" s="1"/>
  <c r="R196" i="1"/>
  <c r="F177" i="1"/>
  <c r="AB158" i="1"/>
  <c r="BY161" i="1"/>
  <c r="AX121" i="1"/>
  <c r="GO109" i="1"/>
  <c r="W119" i="1"/>
  <c r="GM113" i="1"/>
  <c r="GO113" i="1"/>
  <c r="BC201" i="1"/>
  <c r="U158" i="1"/>
  <c r="AH161" i="1" s="1"/>
  <c r="T157" i="1"/>
  <c r="AP121" i="1"/>
  <c r="V118" i="1"/>
  <c r="R102" i="1"/>
  <c r="GK102" i="1" s="1"/>
  <c r="AD102" i="1"/>
  <c r="AB102" i="1" s="1"/>
  <c r="CS102" i="1"/>
  <c r="AO121" i="1"/>
  <c r="CS115" i="1"/>
  <c r="CS112" i="1"/>
  <c r="P108" i="1"/>
  <c r="CP108" i="1" s="1"/>
  <c r="O108" i="1" s="1"/>
  <c r="P106" i="1"/>
  <c r="CP106" i="1" s="1"/>
  <c r="O106" i="1" s="1"/>
  <c r="AB106" i="1"/>
  <c r="CR102" i="1"/>
  <c r="P102" i="1"/>
  <c r="CQ102" i="1"/>
  <c r="AB99" i="1"/>
  <c r="CS111" i="1"/>
  <c r="CP110" i="1"/>
  <c r="O110" i="1" s="1"/>
  <c r="GM103" i="1"/>
  <c r="GO103" i="1"/>
  <c r="CP99" i="1"/>
  <c r="O99" i="1" s="1"/>
  <c r="P90" i="1"/>
  <c r="CP90" i="1" s="1"/>
  <c r="O90" i="1" s="1"/>
  <c r="AB90" i="1"/>
  <c r="CQ90" i="1"/>
  <c r="BC121" i="1"/>
  <c r="AD115" i="1"/>
  <c r="CS100" i="1"/>
  <c r="Q100" i="1"/>
  <c r="R100" i="1"/>
  <c r="GK100" i="1" s="1"/>
  <c r="AD100" i="1"/>
  <c r="AB100" i="1" s="1"/>
  <c r="CY94" i="1"/>
  <c r="X94" i="1" s="1"/>
  <c r="CZ94" i="1"/>
  <c r="Y94" i="1" s="1"/>
  <c r="AU26" i="1"/>
  <c r="F67" i="1"/>
  <c r="BB121" i="1"/>
  <c r="AB118" i="1"/>
  <c r="AD111" i="1"/>
  <c r="AB111" i="1" s="1"/>
  <c r="CR100" i="1"/>
  <c r="P100" i="1"/>
  <c r="CP100" i="1" s="1"/>
  <c r="O100" i="1" s="1"/>
  <c r="CQ100" i="1"/>
  <c r="CP95" i="1"/>
  <c r="O95" i="1" s="1"/>
  <c r="AB115" i="1"/>
  <c r="AB112" i="1"/>
  <c r="R112" i="1"/>
  <c r="GK112" i="1" s="1"/>
  <c r="GM112" i="1" s="1"/>
  <c r="Q111" i="1"/>
  <c r="U108" i="1"/>
  <c r="Q105" i="1"/>
  <c r="R105" i="1"/>
  <c r="GK105" i="1" s="1"/>
  <c r="AD105" i="1"/>
  <c r="S104" i="1"/>
  <c r="CP104" i="1" s="1"/>
  <c r="O104" i="1" s="1"/>
  <c r="CT104" i="1"/>
  <c r="CZ102" i="1"/>
  <c r="Y102" i="1" s="1"/>
  <c r="CP98" i="1"/>
  <c r="O98" i="1" s="1"/>
  <c r="BY26" i="1"/>
  <c r="AP47" i="1"/>
  <c r="CI47" i="1"/>
  <c r="CX16" i="3"/>
  <c r="CX15" i="3"/>
  <c r="Q41" i="1"/>
  <c r="I42" i="1"/>
  <c r="P41" i="1"/>
  <c r="R41" i="1"/>
  <c r="GK41" i="1" s="1"/>
  <c r="V41" i="1"/>
  <c r="Q115" i="1"/>
  <c r="CP115" i="1" s="1"/>
  <c r="O115" i="1" s="1"/>
  <c r="P111" i="1"/>
  <c r="CP111" i="1" s="1"/>
  <c r="O111" i="1" s="1"/>
  <c r="CQ109" i="1"/>
  <c r="AD109" i="1"/>
  <c r="AB109" i="1" s="1"/>
  <c r="R109" i="1"/>
  <c r="GK109" i="1" s="1"/>
  <c r="GM109" i="1" s="1"/>
  <c r="S107" i="1"/>
  <c r="CT107" i="1"/>
  <c r="CR105" i="1"/>
  <c r="P105" i="1"/>
  <c r="CP105" i="1" s="1"/>
  <c r="O105" i="1" s="1"/>
  <c r="AB105" i="1"/>
  <c r="CQ105" i="1"/>
  <c r="Q102" i="1"/>
  <c r="CP101" i="1"/>
  <c r="O101" i="1" s="1"/>
  <c r="CY97" i="1"/>
  <c r="X97" i="1" s="1"/>
  <c r="GO97" i="1" s="1"/>
  <c r="CZ97" i="1"/>
  <c r="Y97" i="1" s="1"/>
  <c r="CY88" i="1"/>
  <c r="X88" i="1" s="1"/>
  <c r="CZ88" i="1"/>
  <c r="Y88" i="1" s="1"/>
  <c r="T42" i="1"/>
  <c r="S108" i="1"/>
  <c r="T108" i="1"/>
  <c r="CS106" i="1"/>
  <c r="R106" i="1"/>
  <c r="GK106" i="1" s="1"/>
  <c r="CZ101" i="1"/>
  <c r="Y101" i="1" s="1"/>
  <c r="CT99" i="1"/>
  <c r="S99" i="1"/>
  <c r="CY98" i="1"/>
  <c r="X98" i="1" s="1"/>
  <c r="CZ98" i="1"/>
  <c r="Y98" i="1" s="1"/>
  <c r="CS96" i="1"/>
  <c r="R96" i="1"/>
  <c r="GK96" i="1" s="1"/>
  <c r="AD96" i="1"/>
  <c r="AB92" i="1"/>
  <c r="GO91" i="1"/>
  <c r="CQ96" i="1"/>
  <c r="CS95" i="1"/>
  <c r="CS87" i="1"/>
  <c r="Q87" i="1"/>
  <c r="CP87" i="1" s="1"/>
  <c r="O87" i="1" s="1"/>
  <c r="R87" i="1"/>
  <c r="GK87" i="1" s="1"/>
  <c r="AD87" i="1"/>
  <c r="AB87" i="1" s="1"/>
  <c r="CY83" i="1"/>
  <c r="X83" i="1" s="1"/>
  <c r="CZ83" i="1"/>
  <c r="Y83" i="1" s="1"/>
  <c r="CY44" i="1"/>
  <c r="X44" i="1" s="1"/>
  <c r="CZ44" i="1"/>
  <c r="Y44" i="1" s="1"/>
  <c r="GX42" i="1"/>
  <c r="T41" i="1"/>
  <c r="CY31" i="1"/>
  <c r="X31" i="1" s="1"/>
  <c r="CZ31" i="1"/>
  <c r="Y31" i="1" s="1"/>
  <c r="CS101" i="1"/>
  <c r="CS98" i="1"/>
  <c r="CT97" i="1"/>
  <c r="AB96" i="1"/>
  <c r="CQ95" i="1"/>
  <c r="AD95" i="1"/>
  <c r="CT94" i="1"/>
  <c r="CS92" i="1"/>
  <c r="R91" i="1"/>
  <c r="GK91" i="1" s="1"/>
  <c r="AD91" i="1"/>
  <c r="CT86" i="1"/>
  <c r="S86" i="1"/>
  <c r="CS84" i="1"/>
  <c r="Q84" i="1"/>
  <c r="CP84" i="1" s="1"/>
  <c r="O84" i="1" s="1"/>
  <c r="R84" i="1"/>
  <c r="AD84" i="1"/>
  <c r="AB84" i="1" s="1"/>
  <c r="BB26" i="1"/>
  <c r="F61" i="1"/>
  <c r="W42" i="1"/>
  <c r="GX41" i="1"/>
  <c r="CP36" i="1"/>
  <c r="O36" i="1" s="1"/>
  <c r="AB91" i="1"/>
  <c r="CQ91" i="1"/>
  <c r="CQ101" i="1"/>
  <c r="AD101" i="1"/>
  <c r="AB101" i="1" s="1"/>
  <c r="CQ98" i="1"/>
  <c r="AD98" i="1"/>
  <c r="AB98" i="1" s="1"/>
  <c r="AB95" i="1"/>
  <c r="R95" i="1"/>
  <c r="GK95" i="1" s="1"/>
  <c r="CQ92" i="1"/>
  <c r="AD92" i="1"/>
  <c r="S92" i="1"/>
  <c r="CP92" i="1" s="1"/>
  <c r="O92" i="1" s="1"/>
  <c r="CZ91" i="1"/>
  <c r="Y91" i="1" s="1"/>
  <c r="GM91" i="1" s="1"/>
  <c r="BZ26" i="1"/>
  <c r="AQ47" i="1"/>
  <c r="R92" i="1"/>
  <c r="GK92" i="1" s="1"/>
  <c r="CP89" i="1"/>
  <c r="O89" i="1" s="1"/>
  <c r="CP44" i="1"/>
  <c r="O44" i="1" s="1"/>
  <c r="I96" i="1"/>
  <c r="T96" i="1" s="1"/>
  <c r="P94" i="1"/>
  <c r="CP94" i="1" s="1"/>
  <c r="O94" i="1" s="1"/>
  <c r="CR93" i="1"/>
  <c r="R93" i="1"/>
  <c r="GK93" i="1" s="1"/>
  <c r="GM93" i="1" s="1"/>
  <c r="BC47" i="1"/>
  <c r="CP45" i="1"/>
  <c r="O45" i="1" s="1"/>
  <c r="V42" i="1"/>
  <c r="AI47" i="1" s="1"/>
  <c r="W41" i="1"/>
  <c r="AT47" i="1"/>
  <c r="CS45" i="1"/>
  <c r="CQ44" i="1"/>
  <c r="CQ40" i="1"/>
  <c r="R38" i="1"/>
  <c r="GK38" i="1" s="1"/>
  <c r="AD38" i="1"/>
  <c r="CS38" i="1"/>
  <c r="CR36" i="1"/>
  <c r="CP35" i="1"/>
  <c r="O35" i="1" s="1"/>
  <c r="R90" i="1"/>
  <c r="GK90" i="1" s="1"/>
  <c r="CS89" i="1"/>
  <c r="P88" i="1"/>
  <c r="S87" i="1"/>
  <c r="CQ86" i="1"/>
  <c r="AD86" i="1"/>
  <c r="AB86" i="1" s="1"/>
  <c r="CT85" i="1"/>
  <c r="S84" i="1"/>
  <c r="U41" i="1"/>
  <c r="AB38" i="1"/>
  <c r="CQ38" i="1"/>
  <c r="P38" i="1"/>
  <c r="CP38" i="1" s="1"/>
  <c r="O38" i="1" s="1"/>
  <c r="CY30" i="1"/>
  <c r="X30" i="1" s="1"/>
  <c r="CZ30" i="1"/>
  <c r="Y30" i="1" s="1"/>
  <c r="Q29" i="1"/>
  <c r="CX1" i="3"/>
  <c r="CQ89" i="1"/>
  <c r="AD89" i="1"/>
  <c r="AB89" i="1" s="1"/>
  <c r="CS88" i="1"/>
  <c r="R86" i="1"/>
  <c r="GK86" i="1" s="1"/>
  <c r="S42" i="1"/>
  <c r="CT42" i="1"/>
  <c r="S41" i="1"/>
  <c r="GX40" i="1"/>
  <c r="S39" i="1"/>
  <c r="CT39" i="1"/>
  <c r="CQ34" i="1"/>
  <c r="P34" i="1"/>
  <c r="W29" i="1"/>
  <c r="T29" i="1"/>
  <c r="AG47" i="1" s="1"/>
  <c r="CG47" i="1"/>
  <c r="W45" i="1"/>
  <c r="R43" i="1"/>
  <c r="GK43" i="1" s="1"/>
  <c r="R42" i="1"/>
  <c r="GK42" i="1" s="1"/>
  <c r="U40" i="1"/>
  <c r="AD37" i="1"/>
  <c r="AB37" i="1" s="1"/>
  <c r="CS37" i="1"/>
  <c r="Q37" i="1"/>
  <c r="R37" i="1"/>
  <c r="GK37" i="1" s="1"/>
  <c r="CT29" i="1"/>
  <c r="S29" i="1"/>
  <c r="R89" i="1"/>
  <c r="GK89" i="1" s="1"/>
  <c r="S85" i="1"/>
  <c r="CP85" i="1" s="1"/>
  <c r="O85" i="1" s="1"/>
  <c r="Q83" i="1"/>
  <c r="AO47" i="1"/>
  <c r="CR43" i="1"/>
  <c r="P43" i="1"/>
  <c r="CP43" i="1" s="1"/>
  <c r="O43" i="1" s="1"/>
  <c r="CQ43" i="1"/>
  <c r="Q43" i="1"/>
  <c r="CR42" i="1"/>
  <c r="CR37" i="1"/>
  <c r="CQ37" i="1"/>
  <c r="P37" i="1"/>
  <c r="CP37" i="1" s="1"/>
  <c r="O37" i="1" s="1"/>
  <c r="GX29" i="1"/>
  <c r="CJ47" i="1" s="1"/>
  <c r="U29" i="1"/>
  <c r="R29" i="1"/>
  <c r="R85" i="1"/>
  <c r="GK85" i="1" s="1"/>
  <c r="BD47" i="1"/>
  <c r="S40" i="1"/>
  <c r="CS36" i="1"/>
  <c r="R36" i="1"/>
  <c r="GK36" i="1" s="1"/>
  <c r="AD36" i="1"/>
  <c r="AB36" i="1" s="1"/>
  <c r="CP31" i="1"/>
  <c r="O31" i="1" s="1"/>
  <c r="CQ36" i="1"/>
  <c r="CT35" i="1"/>
  <c r="S32" i="1"/>
  <c r="CT31" i="1"/>
  <c r="Q30" i="1"/>
  <c r="CP30" i="1" s="1"/>
  <c r="O30" i="1" s="1"/>
  <c r="R32" i="1"/>
  <c r="GK32" i="1" s="1"/>
  <c r="CQ29" i="1"/>
  <c r="CS34" i="1"/>
  <c r="Q32" i="1"/>
  <c r="CP32" i="1" s="1"/>
  <c r="O32" i="1" s="1"/>
  <c r="CT30" i="1"/>
  <c r="AB29" i="1"/>
  <c r="CX2" i="3"/>
  <c r="AD34" i="1"/>
  <c r="AB34" i="1" s="1"/>
  <c r="CX3" i="3"/>
  <c r="CX4" i="3"/>
  <c r="GM199" i="1" l="1"/>
  <c r="GN199" i="1"/>
  <c r="CB201" i="1" s="1"/>
  <c r="GM115" i="1"/>
  <c r="GO115" i="1"/>
  <c r="AH154" i="1"/>
  <c r="U161" i="1"/>
  <c r="AI26" i="1"/>
  <c r="V47" i="1"/>
  <c r="AD194" i="1"/>
  <c r="Q201" i="1"/>
  <c r="GM30" i="1"/>
  <c r="GN30" i="1"/>
  <c r="CG26" i="1"/>
  <c r="AX47" i="1"/>
  <c r="AQ26" i="1"/>
  <c r="F58" i="1"/>
  <c r="AQ231" i="1"/>
  <c r="GM105" i="1"/>
  <c r="GO105" i="1"/>
  <c r="CI26" i="1"/>
  <c r="AZ47" i="1"/>
  <c r="V96" i="1"/>
  <c r="F217" i="1"/>
  <c r="BC194" i="1"/>
  <c r="GO93" i="1"/>
  <c r="GP198" i="1"/>
  <c r="GM198" i="1"/>
  <c r="AJ194" i="1"/>
  <c r="W201" i="1"/>
  <c r="AC201" i="1"/>
  <c r="AP194" i="1"/>
  <c r="F210" i="1"/>
  <c r="V159" i="1"/>
  <c r="AI161" i="1" s="1"/>
  <c r="CJ26" i="1"/>
  <c r="BA47" i="1"/>
  <c r="GN37" i="1"/>
  <c r="GM37" i="1"/>
  <c r="AO26" i="1"/>
  <c r="F52" i="1"/>
  <c r="AO231" i="1"/>
  <c r="T47" i="1"/>
  <c r="AG26" i="1"/>
  <c r="CZ41" i="1"/>
  <c r="Y41" i="1" s="1"/>
  <c r="CY41" i="1"/>
  <c r="X41" i="1" s="1"/>
  <c r="CY84" i="1"/>
  <c r="X84" i="1" s="1"/>
  <c r="GM84" i="1" s="1"/>
  <c r="CZ84" i="1"/>
  <c r="Y84" i="1" s="1"/>
  <c r="GO84" i="1" s="1"/>
  <c r="GN36" i="1"/>
  <c r="GM36" i="1"/>
  <c r="W96" i="1"/>
  <c r="AJ121" i="1" s="1"/>
  <c r="AP26" i="1"/>
  <c r="F57" i="1"/>
  <c r="AP231" i="1"/>
  <c r="GM106" i="1"/>
  <c r="GO106" i="1"/>
  <c r="AX81" i="1"/>
  <c r="F128" i="1"/>
  <c r="CP156" i="1"/>
  <c r="O156" i="1" s="1"/>
  <c r="CZ118" i="1"/>
  <c r="Y118" i="1" s="1"/>
  <c r="CY118" i="1"/>
  <c r="X118" i="1" s="1"/>
  <c r="GM118" i="1" s="1"/>
  <c r="GM117" i="1"/>
  <c r="AB201" i="1"/>
  <c r="CJ194" i="1"/>
  <c r="BA201" i="1"/>
  <c r="CY86" i="1"/>
  <c r="X86" i="1" s="1"/>
  <c r="CZ86" i="1"/>
  <c r="Y86" i="1" s="1"/>
  <c r="CY104" i="1"/>
  <c r="X104" i="1" s="1"/>
  <c r="GO104" i="1" s="1"/>
  <c r="CZ104" i="1"/>
  <c r="Y104" i="1" s="1"/>
  <c r="GM90" i="1"/>
  <c r="GO90" i="1"/>
  <c r="GM158" i="1"/>
  <c r="GP158" i="1"/>
  <c r="AQ194" i="1"/>
  <c r="F211" i="1"/>
  <c r="AJ47" i="1"/>
  <c r="GM35" i="1"/>
  <c r="GN35" i="1"/>
  <c r="BD26" i="1"/>
  <c r="F73" i="1"/>
  <c r="BD231" i="1"/>
  <c r="CP34" i="1"/>
  <c r="O34" i="1" s="1"/>
  <c r="CY42" i="1"/>
  <c r="X42" i="1" s="1"/>
  <c r="CZ42" i="1"/>
  <c r="Y42" i="1" s="1"/>
  <c r="CP29" i="1"/>
  <c r="O29" i="1" s="1"/>
  <c r="GO94" i="1"/>
  <c r="GM94" i="1"/>
  <c r="CP86" i="1"/>
  <c r="O86" i="1" s="1"/>
  <c r="CY107" i="1"/>
  <c r="X107" i="1" s="1"/>
  <c r="CZ107" i="1"/>
  <c r="Y107" i="1" s="1"/>
  <c r="CP41" i="1"/>
  <c r="O41" i="1" s="1"/>
  <c r="BB81" i="1"/>
  <c r="F134" i="1"/>
  <c r="BB231" i="1"/>
  <c r="AP161" i="1"/>
  <c r="BY154" i="1"/>
  <c r="CI161" i="1"/>
  <c r="S159" i="1"/>
  <c r="GX159" i="1"/>
  <c r="CJ161" i="1" s="1"/>
  <c r="P159" i="1"/>
  <c r="Q159" i="1"/>
  <c r="CI81" i="1"/>
  <c r="AZ121" i="1"/>
  <c r="P119" i="1"/>
  <c r="Q119" i="1"/>
  <c r="AD121" i="1" s="1"/>
  <c r="S119" i="1"/>
  <c r="T119" i="1"/>
  <c r="AG121" i="1" s="1"/>
  <c r="R119" i="1"/>
  <c r="GK119" i="1" s="1"/>
  <c r="AD161" i="1"/>
  <c r="V119" i="1"/>
  <c r="T201" i="1"/>
  <c r="AG194" i="1"/>
  <c r="AI194" i="1"/>
  <c r="V201" i="1"/>
  <c r="Q96" i="1"/>
  <c r="S96" i="1"/>
  <c r="U96" i="1"/>
  <c r="CY108" i="1"/>
  <c r="X108" i="1" s="1"/>
  <c r="CZ108" i="1"/>
  <c r="Y108" i="1" s="1"/>
  <c r="GM108" i="1" s="1"/>
  <c r="GO101" i="1"/>
  <c r="GM101" i="1"/>
  <c r="Q42" i="1"/>
  <c r="AD47" i="1" s="1"/>
  <c r="P42" i="1"/>
  <c r="U42" i="1"/>
  <c r="GM97" i="1"/>
  <c r="GM95" i="1"/>
  <c r="GO95" i="1"/>
  <c r="F205" i="1"/>
  <c r="AO194" i="1"/>
  <c r="GP157" i="1"/>
  <c r="GM157" i="1"/>
  <c r="AQ154" i="1"/>
  <c r="F171" i="1"/>
  <c r="GO112" i="1"/>
  <c r="CZ39" i="1"/>
  <c r="Y39" i="1" s="1"/>
  <c r="CY39" i="1"/>
  <c r="X39" i="1" s="1"/>
  <c r="CY85" i="1"/>
  <c r="X85" i="1" s="1"/>
  <c r="GO85" i="1" s="1"/>
  <c r="CZ85" i="1"/>
  <c r="Y85" i="1" s="1"/>
  <c r="GM31" i="1"/>
  <c r="GN31" i="1"/>
  <c r="GK29" i="1"/>
  <c r="AE47" i="1"/>
  <c r="CY29" i="1"/>
  <c r="X29" i="1" s="1"/>
  <c r="CZ29" i="1"/>
  <c r="Y29" i="1" s="1"/>
  <c r="AL47" i="1" s="1"/>
  <c r="AF47" i="1"/>
  <c r="GN38" i="1"/>
  <c r="GM38" i="1"/>
  <c r="CY87" i="1"/>
  <c r="X87" i="1" s="1"/>
  <c r="GM87" i="1" s="1"/>
  <c r="CZ87" i="1"/>
  <c r="Y87" i="1" s="1"/>
  <c r="GM44" i="1"/>
  <c r="GN44" i="1"/>
  <c r="CY92" i="1"/>
  <c r="X92" i="1" s="1"/>
  <c r="GM92" i="1" s="1"/>
  <c r="CZ92" i="1"/>
  <c r="Y92" i="1" s="1"/>
  <c r="AO81" i="1"/>
  <c r="F125" i="1"/>
  <c r="AP81" i="1"/>
  <c r="F130" i="1"/>
  <c r="W159" i="1"/>
  <c r="AJ161" i="1" s="1"/>
  <c r="AQ81" i="1"/>
  <c r="F131" i="1"/>
  <c r="BD154" i="1"/>
  <c r="F186" i="1"/>
  <c r="CD81" i="1"/>
  <c r="AU121" i="1"/>
  <c r="AS154" i="1"/>
  <c r="F178" i="1"/>
  <c r="U194" i="1"/>
  <c r="F223" i="1"/>
  <c r="CZ32" i="1"/>
  <c r="Y32" i="1" s="1"/>
  <c r="CY32" i="1"/>
  <c r="X32" i="1" s="1"/>
  <c r="GM32" i="1" s="1"/>
  <c r="CZ40" i="1"/>
  <c r="Y40" i="1" s="1"/>
  <c r="CY40" i="1"/>
  <c r="X40" i="1" s="1"/>
  <c r="AT26" i="1"/>
  <c r="F66" i="1"/>
  <c r="CP40" i="1"/>
  <c r="O40" i="1" s="1"/>
  <c r="CP39" i="1"/>
  <c r="O39" i="1" s="1"/>
  <c r="AH47" i="1"/>
  <c r="CP88" i="1"/>
  <c r="O88" i="1" s="1"/>
  <c r="GN45" i="1"/>
  <c r="GM45" i="1"/>
  <c r="GM89" i="1"/>
  <c r="GO89" i="1"/>
  <c r="CZ99" i="1"/>
  <c r="Y99" i="1" s="1"/>
  <c r="CY99" i="1"/>
  <c r="X99" i="1" s="1"/>
  <c r="GO99" i="1" s="1"/>
  <c r="CP83" i="1"/>
  <c r="O83" i="1" s="1"/>
  <c r="GN98" i="1"/>
  <c r="GM98" i="1"/>
  <c r="BC81" i="1"/>
  <c r="F137" i="1"/>
  <c r="CP102" i="1"/>
  <c r="O102" i="1" s="1"/>
  <c r="P96" i="1"/>
  <c r="CP96" i="1" s="1"/>
  <c r="O96" i="1" s="1"/>
  <c r="CP107" i="1"/>
  <c r="O107" i="1" s="1"/>
  <c r="R159" i="1"/>
  <c r="AE161" i="1" s="1"/>
  <c r="U119" i="1"/>
  <c r="AX161" i="1"/>
  <c r="CG154" i="1"/>
  <c r="T159" i="1"/>
  <c r="AG161" i="1" s="1"/>
  <c r="GM43" i="1"/>
  <c r="GN43" i="1"/>
  <c r="BC26" i="1"/>
  <c r="F64" i="1"/>
  <c r="BC231" i="1"/>
  <c r="GK84" i="1"/>
  <c r="AE121" i="1"/>
  <c r="GN111" i="1"/>
  <c r="GM111" i="1"/>
  <c r="GM100" i="1"/>
  <c r="GN100" i="1"/>
  <c r="GO110" i="1"/>
  <c r="GM110" i="1"/>
  <c r="GX96" i="1"/>
  <c r="CJ121" i="1" s="1"/>
  <c r="AE201" i="1"/>
  <c r="GK196" i="1"/>
  <c r="GM196" i="1" s="1"/>
  <c r="CG194" i="1"/>
  <c r="AX201" i="1"/>
  <c r="CZ197" i="1"/>
  <c r="Y197" i="1" s="1"/>
  <c r="AL201" i="1" s="1"/>
  <c r="AF201" i="1"/>
  <c r="CY197" i="1"/>
  <c r="X197" i="1" s="1"/>
  <c r="AK201" i="1" s="1"/>
  <c r="GM114" i="1"/>
  <c r="GO114" i="1"/>
  <c r="CI194" i="1"/>
  <c r="AZ201" i="1"/>
  <c r="F219" i="1"/>
  <c r="AT194" i="1"/>
  <c r="AD26" i="1" l="1"/>
  <c r="Q47" i="1"/>
  <c r="AD81" i="1"/>
  <c r="Q121" i="1"/>
  <c r="T161" i="1"/>
  <c r="AG154" i="1"/>
  <c r="AG81" i="1"/>
  <c r="T121" i="1"/>
  <c r="AE154" i="1"/>
  <c r="R161" i="1"/>
  <c r="AC121" i="1"/>
  <c r="AU81" i="1"/>
  <c r="F140" i="1"/>
  <c r="CY96" i="1"/>
  <c r="X96" i="1" s="1"/>
  <c r="CZ96" i="1"/>
  <c r="Y96" i="1" s="1"/>
  <c r="AD154" i="1"/>
  <c r="Q161" i="1"/>
  <c r="GM99" i="1"/>
  <c r="CE201" i="1"/>
  <c r="CF201" i="1"/>
  <c r="AC194" i="1"/>
  <c r="CH201" i="1"/>
  <c r="P201" i="1"/>
  <c r="AI121" i="1"/>
  <c r="AX26" i="1"/>
  <c r="F55" i="1"/>
  <c r="AX231" i="1"/>
  <c r="GO92" i="1"/>
  <c r="GM197" i="1"/>
  <c r="CA201" i="1" s="1"/>
  <c r="AX194" i="1"/>
  <c r="F208" i="1"/>
  <c r="GM83" i="1"/>
  <c r="GO83" i="1"/>
  <c r="AB121" i="1"/>
  <c r="AZ194" i="1"/>
  <c r="F212" i="1"/>
  <c r="GO107" i="1"/>
  <c r="GM107" i="1"/>
  <c r="GO88" i="1"/>
  <c r="GM88" i="1"/>
  <c r="CP42" i="1"/>
  <c r="O42" i="1" s="1"/>
  <c r="CP159" i="1"/>
  <c r="O159" i="1" s="1"/>
  <c r="BB22" i="1"/>
  <c r="BB269" i="1"/>
  <c r="F244" i="1"/>
  <c r="AP22" i="1"/>
  <c r="F240" i="1"/>
  <c r="G16" i="2" s="1"/>
  <c r="G18" i="2" s="1"/>
  <c r="AP269" i="1"/>
  <c r="W194" i="1"/>
  <c r="F225" i="1"/>
  <c r="AZ26" i="1"/>
  <c r="F59" i="1"/>
  <c r="Q194" i="1"/>
  <c r="F213" i="1"/>
  <c r="AH26" i="1"/>
  <c r="U47" i="1"/>
  <c r="BA161" i="1"/>
  <c r="CJ154" i="1"/>
  <c r="GM29" i="1"/>
  <c r="GN29" i="1"/>
  <c r="GO108" i="1"/>
  <c r="GN87" i="1"/>
  <c r="CB121" i="1" s="1"/>
  <c r="GM85" i="1"/>
  <c r="GM96" i="1"/>
  <c r="GO96" i="1"/>
  <c r="R201" i="1"/>
  <c r="AE194" i="1"/>
  <c r="GM102" i="1"/>
  <c r="GO102" i="1"/>
  <c r="GM39" i="1"/>
  <c r="GN39" i="1"/>
  <c r="AF26" i="1"/>
  <c r="S47" i="1"/>
  <c r="F224" i="1"/>
  <c r="V194" i="1"/>
  <c r="CZ119" i="1"/>
  <c r="Y119" i="1" s="1"/>
  <c r="AL121" i="1" s="1"/>
  <c r="CY119" i="1"/>
  <c r="X119" i="1" s="1"/>
  <c r="CY159" i="1"/>
  <c r="X159" i="1" s="1"/>
  <c r="AK161" i="1" s="1"/>
  <c r="CZ159" i="1"/>
  <c r="Y159" i="1" s="1"/>
  <c r="AL161" i="1" s="1"/>
  <c r="AF161" i="1"/>
  <c r="BA194" i="1"/>
  <c r="F221" i="1"/>
  <c r="AC161" i="1"/>
  <c r="BA26" i="1"/>
  <c r="F68" i="1"/>
  <c r="V26" i="1"/>
  <c r="F71" i="1"/>
  <c r="CI154" i="1"/>
  <c r="AZ161" i="1"/>
  <c r="GM41" i="1"/>
  <c r="GN41" i="1"/>
  <c r="AJ26" i="1"/>
  <c r="W47" i="1"/>
  <c r="AB161" i="1"/>
  <c r="GP156" i="1"/>
  <c r="GM156" i="1"/>
  <c r="AJ81" i="1"/>
  <c r="W121" i="1"/>
  <c r="CB194" i="1"/>
  <c r="AS201" i="1"/>
  <c r="CJ81" i="1"/>
  <c r="BA121" i="1"/>
  <c r="GM40" i="1"/>
  <c r="GN40" i="1"/>
  <c r="AK47" i="1"/>
  <c r="CP119" i="1"/>
  <c r="O119" i="1" s="1"/>
  <c r="AC47" i="1"/>
  <c r="GP196" i="1"/>
  <c r="CD201" i="1" s="1"/>
  <c r="T26" i="1"/>
  <c r="F69" i="1"/>
  <c r="T231" i="1"/>
  <c r="V161" i="1"/>
  <c r="AI154" i="1"/>
  <c r="AQ22" i="1"/>
  <c r="AQ269" i="1"/>
  <c r="F241" i="1"/>
  <c r="GO118" i="1"/>
  <c r="AL26" i="1"/>
  <c r="Y47" i="1"/>
  <c r="AF194" i="1"/>
  <c r="S201" i="1"/>
  <c r="BC22" i="1"/>
  <c r="F247" i="1"/>
  <c r="BC269" i="1"/>
  <c r="F168" i="1"/>
  <c r="AX154" i="1"/>
  <c r="AJ154" i="1"/>
  <c r="W161" i="1"/>
  <c r="AE26" i="1"/>
  <c r="R47" i="1"/>
  <c r="T194" i="1"/>
  <c r="F222" i="1"/>
  <c r="AZ81" i="1"/>
  <c r="F132" i="1"/>
  <c r="F170" i="1"/>
  <c r="AP154" i="1"/>
  <c r="GN34" i="1"/>
  <c r="GM34" i="1"/>
  <c r="AO22" i="1"/>
  <c r="F235" i="1"/>
  <c r="AO269" i="1"/>
  <c r="GN32" i="1"/>
  <c r="GM104" i="1"/>
  <c r="AE81" i="1"/>
  <c r="R121" i="1"/>
  <c r="AK194" i="1"/>
  <c r="X201" i="1"/>
  <c r="AL194" i="1"/>
  <c r="Y201" i="1"/>
  <c r="AH121" i="1"/>
  <c r="GM86" i="1"/>
  <c r="GO86" i="1"/>
  <c r="BD22" i="1"/>
  <c r="BD269" i="1"/>
  <c r="F256" i="1"/>
  <c r="O201" i="1"/>
  <c r="AB194" i="1"/>
  <c r="AF121" i="1"/>
  <c r="GP197" i="1"/>
  <c r="F183" i="1"/>
  <c r="U154" i="1"/>
  <c r="AL81" i="1" l="1"/>
  <c r="Y121" i="1"/>
  <c r="CA194" i="1"/>
  <c r="AR201" i="1"/>
  <c r="R81" i="1"/>
  <c r="F135" i="1"/>
  <c r="AK26" i="1"/>
  <c r="X47" i="1"/>
  <c r="AZ154" i="1"/>
  <c r="F172" i="1"/>
  <c r="P161" i="1"/>
  <c r="CE161" i="1"/>
  <c r="CF161" i="1"/>
  <c r="CH161" i="1"/>
  <c r="AC154" i="1"/>
  <c r="CB47" i="1"/>
  <c r="AZ231" i="1"/>
  <c r="R194" i="1"/>
  <c r="F215" i="1"/>
  <c r="BB18" i="1"/>
  <c r="F282" i="1"/>
  <c r="CF194" i="1"/>
  <c r="AW201" i="1"/>
  <c r="F216" i="1"/>
  <c r="S194" i="1"/>
  <c r="W154" i="1"/>
  <c r="F185" i="1"/>
  <c r="V154" i="1"/>
  <c r="F184" i="1"/>
  <c r="Y26" i="1"/>
  <c r="F75" i="1"/>
  <c r="Y231" i="1"/>
  <c r="T22" i="1"/>
  <c r="F252" i="1"/>
  <c r="T269" i="1"/>
  <c r="S26" i="1"/>
  <c r="F63" i="1"/>
  <c r="AX22" i="1"/>
  <c r="AX269" i="1"/>
  <c r="F238" i="1"/>
  <c r="CE194" i="1"/>
  <c r="AV201" i="1"/>
  <c r="T154" i="1"/>
  <c r="F182" i="1"/>
  <c r="AB154" i="1"/>
  <c r="O161" i="1"/>
  <c r="F181" i="1"/>
  <c r="BA154" i="1"/>
  <c r="GP159" i="1"/>
  <c r="CD161" i="1" s="1"/>
  <c r="GM159" i="1"/>
  <c r="CA161" i="1" s="1"/>
  <c r="AB81" i="1"/>
  <c r="O121" i="1"/>
  <c r="AC81" i="1"/>
  <c r="CH121" i="1"/>
  <c r="P121" i="1"/>
  <c r="CF121" i="1"/>
  <c r="CE121" i="1"/>
  <c r="AH81" i="1"/>
  <c r="U121" i="1"/>
  <c r="BA81" i="1"/>
  <c r="F141" i="1"/>
  <c r="Y194" i="1"/>
  <c r="F228" i="1"/>
  <c r="AO18" i="1"/>
  <c r="F273" i="1"/>
  <c r="W26" i="1"/>
  <c r="F72" i="1"/>
  <c r="W231" i="1"/>
  <c r="Y161" i="1"/>
  <c r="AL154" i="1"/>
  <c r="U26" i="1"/>
  <c r="F70" i="1"/>
  <c r="U231" i="1"/>
  <c r="GM42" i="1"/>
  <c r="CA47" i="1" s="1"/>
  <c r="GN42" i="1"/>
  <c r="CC121" i="1"/>
  <c r="F173" i="1"/>
  <c r="Q154" i="1"/>
  <c r="F175" i="1"/>
  <c r="R154" i="1"/>
  <c r="Q81" i="1"/>
  <c r="F133" i="1"/>
  <c r="AF81" i="1"/>
  <c r="S121" i="1"/>
  <c r="BC18" i="1"/>
  <c r="F285" i="1"/>
  <c r="AK154" i="1"/>
  <c r="X161" i="1"/>
  <c r="CB81" i="1"/>
  <c r="AS121" i="1"/>
  <c r="AP18" i="1"/>
  <c r="F278" i="1"/>
  <c r="AI81" i="1"/>
  <c r="V121" i="1"/>
  <c r="AF154" i="1"/>
  <c r="S161" i="1"/>
  <c r="O194" i="1"/>
  <c r="F203" i="1"/>
  <c r="F218" i="1"/>
  <c r="AS194" i="1"/>
  <c r="BA231" i="1"/>
  <c r="X194" i="1"/>
  <c r="F227" i="1"/>
  <c r="AQ18" i="1"/>
  <c r="F279" i="1"/>
  <c r="AC26" i="1"/>
  <c r="CE47" i="1"/>
  <c r="CF47" i="1"/>
  <c r="CH47" i="1"/>
  <c r="P47" i="1"/>
  <c r="P194" i="1"/>
  <c r="F204" i="1"/>
  <c r="T81" i="1"/>
  <c r="F142" i="1"/>
  <c r="Q26" i="1"/>
  <c r="F60" i="1"/>
  <c r="Q231" i="1"/>
  <c r="CD194" i="1"/>
  <c r="AU201" i="1"/>
  <c r="BD18" i="1"/>
  <c r="F294" i="1"/>
  <c r="R26" i="1"/>
  <c r="F62" i="1"/>
  <c r="R231" i="1"/>
  <c r="GM119" i="1"/>
  <c r="CA121" i="1" s="1"/>
  <c r="GO119" i="1"/>
  <c r="W81" i="1"/>
  <c r="F145" i="1"/>
  <c r="AB47" i="1"/>
  <c r="CH194" i="1"/>
  <c r="AY201" i="1"/>
  <c r="AK121" i="1"/>
  <c r="CA81" i="1" l="1"/>
  <c r="AR121" i="1"/>
  <c r="CA154" i="1"/>
  <c r="AR161" i="1"/>
  <c r="CA26" i="1"/>
  <c r="AR47" i="1"/>
  <c r="AU161" i="1"/>
  <c r="CD154" i="1"/>
  <c r="CB26" i="1"/>
  <c r="AS47" i="1"/>
  <c r="X26" i="1"/>
  <c r="F74" i="1"/>
  <c r="CE26" i="1"/>
  <c r="AV47" i="1"/>
  <c r="O81" i="1"/>
  <c r="F123" i="1"/>
  <c r="U81" i="1"/>
  <c r="F143" i="1"/>
  <c r="CC81" i="1"/>
  <c r="AT121" i="1"/>
  <c r="AV194" i="1"/>
  <c r="F206" i="1"/>
  <c r="CH154" i="1"/>
  <c r="AY161" i="1"/>
  <c r="W22" i="1"/>
  <c r="F255" i="1"/>
  <c r="W269" i="1"/>
  <c r="T18" i="1"/>
  <c r="F290" i="1"/>
  <c r="CF154" i="1"/>
  <c r="AW161" i="1"/>
  <c r="AY194" i="1"/>
  <c r="F209" i="1"/>
  <c r="S81" i="1"/>
  <c r="F136" i="1"/>
  <c r="F220" i="1"/>
  <c r="AU194" i="1"/>
  <c r="X154" i="1"/>
  <c r="F187" i="1"/>
  <c r="AV161" i="1"/>
  <c r="CE154" i="1"/>
  <c r="AR194" i="1"/>
  <c r="F229" i="1"/>
  <c r="F264" i="1" s="1"/>
  <c r="AB26" i="1"/>
  <c r="O47" i="1"/>
  <c r="F176" i="1"/>
  <c r="S154" i="1"/>
  <c r="U22" i="1"/>
  <c r="F253" i="1"/>
  <c r="U269" i="1"/>
  <c r="CE81" i="1"/>
  <c r="AV121" i="1"/>
  <c r="CF81" i="1"/>
  <c r="AW121" i="1"/>
  <c r="P26" i="1"/>
  <c r="F51" i="1"/>
  <c r="P231" i="1"/>
  <c r="V81" i="1"/>
  <c r="F144" i="1"/>
  <c r="V231" i="1"/>
  <c r="P81" i="1"/>
  <c r="F124" i="1"/>
  <c r="AX18" i="1"/>
  <c r="F276" i="1"/>
  <c r="P154" i="1"/>
  <c r="F164" i="1"/>
  <c r="AS81" i="1"/>
  <c r="F138" i="1"/>
  <c r="Q22" i="1"/>
  <c r="F243" i="1"/>
  <c r="Q269" i="1"/>
  <c r="CH26" i="1"/>
  <c r="AY47" i="1"/>
  <c r="BA22" i="1"/>
  <c r="F251" i="1"/>
  <c r="BA269" i="1"/>
  <c r="CH81" i="1"/>
  <c r="AY121" i="1"/>
  <c r="O154" i="1"/>
  <c r="F163" i="1"/>
  <c r="Y22" i="1"/>
  <c r="Y269" i="1"/>
  <c r="F258" i="1"/>
  <c r="Y81" i="1"/>
  <c r="F148" i="1"/>
  <c r="AK81" i="1"/>
  <c r="X121" i="1"/>
  <c r="X231" i="1" s="1"/>
  <c r="R22" i="1"/>
  <c r="F245" i="1"/>
  <c r="R269" i="1"/>
  <c r="CF26" i="1"/>
  <c r="AW47" i="1"/>
  <c r="F188" i="1"/>
  <c r="Y154" i="1"/>
  <c r="S231" i="1"/>
  <c r="F207" i="1"/>
  <c r="AW194" i="1"/>
  <c r="AZ22" i="1"/>
  <c r="AZ269" i="1"/>
  <c r="F242" i="1"/>
  <c r="X22" i="1" l="1"/>
  <c r="F257" i="1"/>
  <c r="X269" i="1"/>
  <c r="S22" i="1"/>
  <c r="S269" i="1"/>
  <c r="F246" i="1"/>
  <c r="J16" i="2" s="1"/>
  <c r="J18" i="2" s="1"/>
  <c r="F167" i="1"/>
  <c r="AW154" i="1"/>
  <c r="AY81" i="1"/>
  <c r="F129" i="1"/>
  <c r="AV26" i="1"/>
  <c r="F53" i="1"/>
  <c r="AV231" i="1"/>
  <c r="AU154" i="1"/>
  <c r="F180" i="1"/>
  <c r="AU231" i="1"/>
  <c r="O26" i="1"/>
  <c r="F50" i="1"/>
  <c r="O231" i="1"/>
  <c r="AR26" i="1"/>
  <c r="F76" i="1"/>
  <c r="F77" i="1" s="1"/>
  <c r="F260" i="1" s="1"/>
  <c r="AR231" i="1"/>
  <c r="AV81" i="1"/>
  <c r="F126" i="1"/>
  <c r="AT81" i="1"/>
  <c r="F139" i="1"/>
  <c r="AT231" i="1"/>
  <c r="Q18" i="1"/>
  <c r="F281" i="1"/>
  <c r="AZ18" i="1"/>
  <c r="F280" i="1"/>
  <c r="W18" i="1"/>
  <c r="F293" i="1"/>
  <c r="AR154" i="1"/>
  <c r="F189" i="1"/>
  <c r="F190" i="1" s="1"/>
  <c r="F263" i="1" s="1"/>
  <c r="AW81" i="1"/>
  <c r="F127" i="1"/>
  <c r="AW26" i="1"/>
  <c r="F54" i="1"/>
  <c r="AW231" i="1"/>
  <c r="R18" i="1"/>
  <c r="F283" i="1"/>
  <c r="Y18" i="1"/>
  <c r="F296" i="1"/>
  <c r="U18" i="1"/>
  <c r="F291" i="1"/>
  <c r="V22" i="1"/>
  <c r="F254" i="1"/>
  <c r="V269" i="1"/>
  <c r="AY26" i="1"/>
  <c r="F56" i="1"/>
  <c r="AY231" i="1"/>
  <c r="P22" i="1"/>
  <c r="F234" i="1"/>
  <c r="P269" i="1"/>
  <c r="AS26" i="1"/>
  <c r="F65" i="1"/>
  <c r="AS231" i="1"/>
  <c r="AR81" i="1"/>
  <c r="F149" i="1"/>
  <c r="F150" i="1" s="1"/>
  <c r="F261" i="1" s="1"/>
  <c r="F262" i="1" s="1"/>
  <c r="X81" i="1"/>
  <c r="F147" i="1"/>
  <c r="BA18" i="1"/>
  <c r="F289" i="1"/>
  <c r="AV154" i="1"/>
  <c r="F166" i="1"/>
  <c r="AY154" i="1"/>
  <c r="F169" i="1"/>
  <c r="AU22" i="1" l="1"/>
  <c r="F250" i="1"/>
  <c r="H16" i="2" s="1"/>
  <c r="H18" i="2" s="1"/>
  <c r="AU269" i="1"/>
  <c r="P18" i="1"/>
  <c r="F272" i="1"/>
  <c r="F265" i="1"/>
  <c r="AV22" i="1"/>
  <c r="AV269" i="1"/>
  <c r="F236" i="1"/>
  <c r="S18" i="1"/>
  <c r="F284" i="1"/>
  <c r="AY22" i="1"/>
  <c r="AY269" i="1"/>
  <c r="F239" i="1"/>
  <c r="AT22" i="1"/>
  <c r="F249" i="1"/>
  <c r="F16" i="2" s="1"/>
  <c r="F18" i="2" s="1"/>
  <c r="AT269" i="1"/>
  <c r="O22" i="1"/>
  <c r="F233" i="1"/>
  <c r="O269" i="1"/>
  <c r="X18" i="1"/>
  <c r="F295" i="1"/>
  <c r="AR22" i="1"/>
  <c r="F259" i="1"/>
  <c r="AR269" i="1"/>
  <c r="AW22" i="1"/>
  <c r="F237" i="1"/>
  <c r="AW269" i="1"/>
  <c r="AS22" i="1"/>
  <c r="AS269" i="1"/>
  <c r="F248" i="1"/>
  <c r="E16" i="2" s="1"/>
  <c r="V18" i="1"/>
  <c r="F292" i="1"/>
  <c r="AY18" i="1" l="1"/>
  <c r="F277" i="1"/>
  <c r="AV18" i="1"/>
  <c r="F274" i="1"/>
  <c r="AW18" i="1"/>
  <c r="F275" i="1"/>
  <c r="AU18" i="1"/>
  <c r="F288" i="1"/>
  <c r="I16" i="2"/>
  <c r="I18" i="2" s="1"/>
  <c r="E18" i="2"/>
  <c r="AS18" i="1"/>
  <c r="F286" i="1"/>
  <c r="F49" i="1"/>
  <c r="F266" i="1"/>
  <c r="F267" i="1" s="1"/>
  <c r="O18" i="1"/>
  <c r="F271" i="1"/>
  <c r="F298" i="1" s="1"/>
  <c r="AR18" i="1"/>
  <c r="F297" i="1"/>
  <c r="AT18" i="1"/>
  <c r="F287" i="1"/>
  <c r="F299" i="1" l="1"/>
  <c r="F300" i="1"/>
</calcChain>
</file>

<file path=xl/sharedStrings.xml><?xml version="1.0" encoding="utf-8"?>
<sst xmlns="http://schemas.openxmlformats.org/spreadsheetml/2006/main" count="3941" uniqueCount="448">
  <si>
    <t>Smeta.RU  (495) 974-1589</t>
  </si>
  <si>
    <t>_PS_</t>
  </si>
  <si>
    <t>Smeta.RU</t>
  </si>
  <si>
    <t>ООО "Инженерные коммуникации СТОУН"  Доп. раб. место  MCCS-0028578</t>
  </si>
  <si>
    <t>4 КЛ "Строительство РП-1, 2КЛ-10кВ от ПС "Павелецкая" до РП-_(Копия)</t>
  </si>
  <si>
    <t/>
  </si>
  <si>
    <t>Калинкина А.А.</t>
  </si>
  <si>
    <t>Инженер-сметчик I категории</t>
  </si>
  <si>
    <t>Гапченко И.В.</t>
  </si>
  <si>
    <t>Генеральный директор</t>
  </si>
  <si>
    <t>ООО "Энергии Технологии", 127254, город Москва, Огородный проезд, дом.16, строение 17, комната 306,307,310</t>
  </si>
  <si>
    <t>Захарченко Н.Н.</t>
  </si>
  <si>
    <t>ООО "Инженерные коммуникации СТОУН", 141101, область Московская, район Щёлковский, город Щёлково, улица Заводская, дом 2, корпус 305А, помещение 28</t>
  </si>
  <si>
    <t>Сметные нормы списания</t>
  </si>
  <si>
    <t>Коды ОКП для ТСН-2001 МГЭ</t>
  </si>
  <si>
    <t>ТСН-2001 (МГЭ) - Новое строительство</t>
  </si>
  <si>
    <t>Типовой расчет Smeta.ru вер. 10 для ТСН-2001 МГЭ (Строительство), Доп 53 (от 01.08.2018 г.)</t>
  </si>
  <si>
    <t>Территориальные сметные нормативы для Москвы ТСН-2001 (МГЭ)</t>
  </si>
  <si>
    <t>Поправки для ТСН-2001 от 06.05.2019 г.</t>
  </si>
  <si>
    <t>4</t>
  </si>
  <si>
    <t>Прокладка КЛ-20кВ в земле</t>
  </si>
  <si>
    <t>50-2016-ЭС-2</t>
  </si>
  <si>
    <t>Новый раздел</t>
  </si>
  <si>
    <t>Прокладка кабеля в земле. Строительные работы.</t>
  </si>
  <si>
    <t>Землянные работы (100% под напряжением, 100% вручную)</t>
  </si>
  <si>
    <t>2</t>
  </si>
  <si>
    <t>3.1-51-1</t>
  </si>
  <si>
    <t>Разработка грунта вручную в траншеях глубиной до 2 м без креплений с откосами группа грунтов 1-3</t>
  </si>
  <si>
    <t>100 м3 грунта</t>
  </si>
  <si>
    <t>ТСН-2001.3. Доп. 1-42. Сб. 1, т. 51, поз. 1</t>
  </si>
  <si>
    <t>*1,2*1,15</t>
  </si>
  <si>
    <t>Строительные работы</t>
  </si>
  <si>
    <t>ТСН-2001.3-1. 1-49...1-55</t>
  </si>
  <si>
    <t>ТСН-2001.3-1-15</t>
  </si>
  <si>
    <t>3.1-53-1</t>
  </si>
  <si>
    <t>Засыпка вручную траншей, пазух котлованов и ям группа грунтов 1-3</t>
  </si>
  <si>
    <t>ТСН-2001.3. Доп. 1-42. Сб. 1, т. 53, поз. 1</t>
  </si>
  <si>
    <t>5</t>
  </si>
  <si>
    <t>1.1-1-766</t>
  </si>
  <si>
    <t>Песок для строительных работ, рядовой</t>
  </si>
  <si>
    <t>м3</t>
  </si>
  <si>
    <t>ТСН-2001.1. Доп. 1-42. Р. 1, о. 1, поз. 766</t>
  </si>
  <si>
    <t>Материалы строительные</t>
  </si>
  <si>
    <t>ТСН-2001.1 Материалы строительные</t>
  </si>
  <si>
    <t>ТСН-2001.1-1</t>
  </si>
  <si>
    <t>6</t>
  </si>
  <si>
    <t>6.51-6-1</t>
  </si>
  <si>
    <t>Погрузка грунта вручную в автомобили-самосвалы с выгрузкой</t>
  </si>
  <si>
    <t>ТСН-2001.6. Доп. 1-42. Сб. 51, т. 6, поз. 1</t>
  </si>
  <si>
    <t>Ремонтно-строительные работы</t>
  </si>
  <si>
    <t>ТСН-2001.6-51. 51-6</t>
  </si>
  <si>
    <t>ТСН-2001.6-51-4</t>
  </si>
  <si>
    <t>Прокладка труб</t>
  </si>
  <si>
    <t>7</t>
  </si>
  <si>
    <t>3.34-18-1</t>
  </si>
  <si>
    <t>Устройство трубопроводов из полиэтиленовых труб до 2-х отверстий</t>
  </si>
  <si>
    <t>1 канало-километр трубопровода</t>
  </si>
  <si>
    <t>ТСН-2001.3 Доп. 45, Сб. 34, т. 18, поз. 1</t>
  </si>
  <si>
    <t>ТСН-2001.3-34. 34-17...34-28</t>
  </si>
  <si>
    <t>ТСН-2001.3-34-6</t>
  </si>
  <si>
    <t>9</t>
  </si>
  <si>
    <t>1.12-5-708</t>
  </si>
  <si>
    <t>Трубы напорные из полиэтилена (ПЭ-100) SDR 17 (1,0 МПа) с защитным покрытием в виде тонкостенного слоя из упрочненного полипропилена, диаметр 225 мм, толщина стенки 13,4 мм</t>
  </si>
  <si>
    <t>м</t>
  </si>
  <si>
    <t>ТСН-2001.1. Доп. 1-42. Р. 12, о. 5, поз. 708</t>
  </si>
  <si>
    <t>11</t>
  </si>
  <si>
    <t>3.34-17-3</t>
  </si>
  <si>
    <t>Устройство трубопроводов из асбестоцементных труб с соединением манжетами полиэтиленовыми до 2-х отверстий</t>
  </si>
  <si>
    <t>ТСН-2001.3. Доп. 1-42. Сб. 34, т. 17, поз. 3</t>
  </si>
  <si>
    <t>11,1</t>
  </si>
  <si>
    <t>1.12-3-25</t>
  </si>
  <si>
    <t>Трубы асбестоцементные безнапорные, диаметр условного прохода, мм, 100, внутренний диаметр 100 мм</t>
  </si>
  <si>
    <t>ТСН-2001.1. Доп. 1-42. Р. 12, о. 3, поз. 25</t>
  </si>
  <si>
    <t>11,2</t>
  </si>
  <si>
    <t>1.12-3-26</t>
  </si>
  <si>
    <t>Трубы асбестоцементные безнапорные, диаметр условного прохода, мм, 150, внутренний диаметр 141 мм</t>
  </si>
  <si>
    <t>ТСН-2001.1. Доп. 1-42. Р. 12, о. 3, поз. 26</t>
  </si>
  <si>
    <t>12</t>
  </si>
  <si>
    <t>1.12-3-62</t>
  </si>
  <si>
    <t>Заглушки (пробки) полиэтиленовые ПКП-2 для каналов кабельной канализации из асбестоцементных труб внутренним диаметром 150 мм</t>
  </si>
  <si>
    <t>шт.</t>
  </si>
  <si>
    <t>ТСН-2001.1. Доп. 1-42. Р. 12, о. 3, поз. 62</t>
  </si>
  <si>
    <t>13</t>
  </si>
  <si>
    <t>14</t>
  </si>
  <si>
    <t>3.13-31-1</t>
  </si>
  <si>
    <t>Огнезащитное покрытие электрических кабелей, проложенных в коллекторах, мастикой "МПВО" вручную</t>
  </si>
  <si>
    <t>м2 покрытия</t>
  </si>
  <si>
    <t>ТСН-2001.3. Доп. 1-42. Сб. 13, т. 31, поз. 1</t>
  </si>
  <si>
    <t>ТСН-2001.3-13. 13-17-6, 13-17-7, 13-18...13-38</t>
  </si>
  <si>
    <t>ТСН-2001.3-13-3</t>
  </si>
  <si>
    <t>14,1</t>
  </si>
  <si>
    <t>1.1-1-1970</t>
  </si>
  <si>
    <t>Паста огнезащитная терморасширяющаяся для защиты электрических кабелей, марка "Огракс-В1"</t>
  </si>
  <si>
    <t>т</t>
  </si>
  <si>
    <t>ТСН-2001.1. Доп. 1-42. Р. 1, о. 1, поз. 1970</t>
  </si>
  <si>
    <t>16</t>
  </si>
  <si>
    <t>6.69-2-4</t>
  </si>
  <si>
    <t>Пробивка отбойным молотком сквозных отверстий в бетонных стенах и фундаментах толщиной 0,4 м для трубопроводов диаметром 200 мм</t>
  </si>
  <si>
    <t>100 отверстий</t>
  </si>
  <si>
    <t>ТСН-2001.6. Доп. 1-42. Сб. 69, т. 2, поз. 4</t>
  </si>
  <si>
    <t>ТСН-2001.6-69. 69-1...69-49</t>
  </si>
  <si>
    <t>ТСН-2001.6-69-1</t>
  </si>
  <si>
    <t>17</t>
  </si>
  <si>
    <t>6.69-9-3</t>
  </si>
  <si>
    <t>Заделка отверстий в бетонных перекрытиях в местах прохода трубопроводов</t>
  </si>
  <si>
    <t>ТСН-2001.6. Доп. 1-42. Сб. 69, т. 9, поз. 3</t>
  </si>
  <si>
    <t>17,1</t>
  </si>
  <si>
    <t>1.3-1-36</t>
  </si>
  <si>
    <t>Смеси бетонные, БСГ, тяжелого бетона на гранитном щебне, класс прочности В7,5 (М100); П3, фракция 5-20</t>
  </si>
  <si>
    <t>ТСН-2001.1. Доп. 1-42. Р. 3, о. 1, поз. 36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</si>
  <si>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</si>
  <si>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</si>
  <si>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</si>
  <si>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</si>
  <si>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</si>
  <si>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</si>
  <si>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</si>
  <si>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</si>
  <si>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</si>
  <si>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</si>
  <si>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</si>
  <si>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</si>
  <si>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</si>
  <si>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</si>
  <si>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</si>
  <si>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</si>
  <si>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</si>
  <si>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</si>
  <si>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</si>
  <si>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</si>
  <si>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</si>
  <si>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</si>
  <si>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</si>
  <si>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</si>
  <si>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</si>
  <si>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</si>
  <si>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</si>
  <si>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</si>
  <si>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</si>
  <si>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</si>
  <si>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</si>
  <si>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</si>
  <si>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</si>
  <si>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</si>
  <si>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</si>
  <si>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</si>
  <si>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</si>
  <si>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</si>
  <si>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</si>
  <si>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</si>
  <si>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</si>
  <si>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</si>
  <si>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</si>
  <si>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</si>
  <si>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</si>
  <si>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</si>
  <si>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</si>
  <si>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</si>
  <si>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</si>
  <si>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</si>
  <si>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</si>
  <si>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</si>
  <si>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</si>
  <si>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</si>
  <si>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</t>
  </si>
  <si>
    <t>Итого по разделу</t>
  </si>
  <si>
    <t>Прокладка кабеля в земле. Монтажные работы.</t>
  </si>
  <si>
    <t>1</t>
  </si>
  <si>
    <t>4.8-74-1</t>
  </si>
  <si>
    <t>Устройство постели при одном кабеле в траншее</t>
  </si>
  <si>
    <t>100 М КАБЕЛЯ</t>
  </si>
  <si>
    <t>ТСН-2001.4. Доп. 1-42. Сб. 8, т. 74, поз. 1</t>
  </si>
  <si>
    <t>Монтаж оборудования</t>
  </si>
  <si>
    <t>ТСН-2001.4-8. 8-73...8-80</t>
  </si>
  <si>
    <t>ТСН-2001.4-8-3</t>
  </si>
  <si>
    <t>3</t>
  </si>
  <si>
    <t>4.8-74-2</t>
  </si>
  <si>
    <t>Устройство постели, на каждый последующий кабель добавлять к позиции 4.8-74-1</t>
  </si>
  <si>
    <t>ТСН-2001.4. Доп. 1-42. Сб. 8, т. 74, поз. 2</t>
  </si>
  <si>
    <t>4.8-308-1</t>
  </si>
  <si>
    <t>Кабели одножильные с изоляцией из сшитого полиэтилена напряжением до 35 кВ с укладкой в треугольник в готовых траншеях</t>
  </si>
  <si>
    <t>100 м</t>
  </si>
  <si>
    <t>ТСН-2001.4. Доп. 1-42. Сб. 8, т. 308, поз. 1</t>
  </si>
  <si>
    <t>ТСН-2001.4-8. 8-291...292 (доп. 24)</t>
  </si>
  <si>
    <t>ТСН-2001.4-8-29</t>
  </si>
  <si>
    <t>8</t>
  </si>
  <si>
    <t>4.8-80-4</t>
  </si>
  <si>
    <t>Кабели до 35 кВ в проложенных трубах, блоках и коробах, кабель, масса 1 м, до 6 кг (ГНБ)</t>
  </si>
  <si>
    <t>ТСН-2001.4. Доп. 1-42. Сб. 8, т. 80, поз. 4</t>
  </si>
  <si>
    <t>Кабели до 35 кВ в проложенных трубах, блоках и коробах, кабель, масса 1 м, до 6 кг</t>
  </si>
  <si>
    <t>10</t>
  </si>
  <si>
    <t>4.8-309-1</t>
  </si>
  <si>
    <t>Кабели одножильные с изоляцией из сшитого полиэтилена напряжением до 35 кВ с укладкой в треугольник по установленным конструкциям (заводка кабеля в коллектор, прокладка по коллектору Магистральный и ТЭС)</t>
  </si>
  <si>
    <t>ТСН-2001.4. Доп. 1-42. Сб. 8, т. 309, поз. 1</t>
  </si>
  <si>
    <t>4.8-77-4</t>
  </si>
  <si>
    <t>Кабели до 35 кВ, прокладываемые по дну канала без креплений, кабель, масса 1 м, до 6 кг</t>
  </si>
  <si>
    <t>ТСН-2001.4. Доп. 1-42. Сб. 8, т. 77, поз. 4</t>
  </si>
  <si>
    <t>1.23-7-723</t>
  </si>
  <si>
    <t>Кабели силовые с изоляцией из сшитого полиэтилена, в оболочке из полиэтилена увеличенной толщины, с двойной и дополнительной продольной герметизацией жил, напряжение 20000 В, марка АПвПу2гж, число жил, сечение жилы/сечение экрана 1х500/70 мм2</t>
  </si>
  <si>
    <t>км</t>
  </si>
  <si>
    <t>ТСН-2001.1. Доп. 1-42. Р. 23, о. 7, поз. 723</t>
  </si>
  <si>
    <t>Материалы монтажные</t>
  </si>
  <si>
    <t>ТСН-2001.1 Материалы монтажные</t>
  </si>
  <si>
    <t>ТСН-2001.1-2</t>
  </si>
  <si>
    <t>4.8-75-1</t>
  </si>
  <si>
    <t>Покрытие кабелей, проложенных в траншее, кирпичом, одного кабеля (прим. кирпич между взаиморезервируемыми кабелями 20кВ)</t>
  </si>
  <si>
    <t>ТСН-2001.4. Доп. 1-42. Сб. 8, т. 75, поз. 1</t>
  </si>
  <si>
    <t>18</t>
  </si>
  <si>
    <t>1.1-1-351</t>
  </si>
  <si>
    <t>Кирпич керамический обыкновенный, размер 250х120х65 мм, марка 100</t>
  </si>
  <si>
    <t>1000 шт.</t>
  </si>
  <si>
    <t>ТСН-2001.1. Доп. 1-42. Р. 1, о. 1, поз. 351</t>
  </si>
  <si>
    <t>19</t>
  </si>
  <si>
    <t>20</t>
  </si>
  <si>
    <t>21</t>
  </si>
  <si>
    <t>4.8-75-6</t>
  </si>
  <si>
    <t>Покрытие кабелей, проложенных в траншее, плитами из полимернаполненных материалов в один ряд размером 48х36 см, расположенными вдоль кабельной линии</t>
  </si>
  <si>
    <t>ТСН-2001.4. Доп. 1-42. Сб. 8, т. 75, поз. 6</t>
  </si>
  <si>
    <t>21,1</t>
  </si>
  <si>
    <t>1.1-1-3459</t>
  </si>
  <si>
    <t>Плиты из полимернаполненной композиции на основе волластонита для закрытия кабеля ПЗК 48х36</t>
  </si>
  <si>
    <t>ТСН-2001.1. Доп. 1-42. Р. 1, о. 1, поз. 3459</t>
  </si>
  <si>
    <t>22</t>
  </si>
  <si>
    <t>22,1</t>
  </si>
  <si>
    <t>23</t>
  </si>
  <si>
    <t>4.8-75-10</t>
  </si>
  <si>
    <t>Покрытие кабелей, проложенных в траншее, плитами из полимернаполненных материалов, добавлять на каждый последующий ряд к позиции 4.8-75-6</t>
  </si>
  <si>
    <t>ТСН-2001.4. Доп. 1-42. Сб. 8, т. 75, поз. 10</t>
  </si>
  <si>
    <t>23,1</t>
  </si>
  <si>
    <t>24</t>
  </si>
  <si>
    <t>24,1</t>
  </si>
  <si>
    <t>25</t>
  </si>
  <si>
    <t>4.8-304-2</t>
  </si>
  <si>
    <t>Муфты соединительные для одножильного экранированного кабеля с изоляцией из сшитого полиэтилена, напряжением до 35 кВ</t>
  </si>
  <si>
    <t>1 комплект</t>
  </si>
  <si>
    <t>ТСН-2001.4. Доп. 1-42. Сб. 8, т. 304, поз. 2</t>
  </si>
  <si>
    <t>26</t>
  </si>
  <si>
    <t>27</t>
  </si>
  <si>
    <t>сч. №1129 от 25.06.2019г.</t>
  </si>
  <si>
    <t>Муфта соединительная 1ПСт-20-500-В</t>
  </si>
  <si>
    <t>ШТ</t>
  </si>
  <si>
    <t>*1,02</t>
  </si>
  <si>
    <t>Материалы</t>
  </si>
  <si>
    <t>Материалы, изделия и конструкции</t>
  </si>
  <si>
    <t>[9 333,8 / 1,2 /  5,36]</t>
  </si>
  <si>
    <t>28</t>
  </si>
  <si>
    <t>4.8-305-2</t>
  </si>
  <si>
    <t>Муфты концевые для одножильного экранированного кабеля с изоляцией из сшитого полиэтилена, напряжением до 35 кВ</t>
  </si>
  <si>
    <t>ТСН-2001.4. Доп. 1-42. Сб. 8, т. 305, поз. 2</t>
  </si>
  <si>
    <t>29</t>
  </si>
  <si>
    <t>30</t>
  </si>
  <si>
    <t>1.21-5-1221</t>
  </si>
  <si>
    <t>Муфты концевые внутренней установки для экранированных одножильных кабелей с пластмассовой изоляцией на напряжение 20 кВ, с болтовыми наконечниками, тип POLT-24D/1XI-L12B</t>
  </si>
  <si>
    <t>ТСН-2001.1. Доп. 1-42. Р. 21, о. 5, поз. 1221</t>
  </si>
  <si>
    <t>31</t>
  </si>
  <si>
    <t>4.8-76-8</t>
  </si>
  <si>
    <t>Присоединение к зажимам жил проводов или кабелей, провод или кабель, сечение до 500 мм2</t>
  </si>
  <si>
    <t>100 шт.</t>
  </si>
  <si>
    <t>ТСН-2001.4. Доп. 1-42. Сб. 8, т. 76, поз. 8</t>
  </si>
  <si>
    <t>*1,15*1,2</t>
  </si>
  <si>
    <t>32</t>
  </si>
  <si>
    <t>4.8-306-2</t>
  </si>
  <si>
    <t>Система изоляционных адаптеров для кабельных вводов напряжением до 20 кВ</t>
  </si>
  <si>
    <t>100 жил</t>
  </si>
  <si>
    <t>ТСН-2001.4. Доп. 1-42. Сб. 8, т. 306, поз. 2</t>
  </si>
  <si>
    <t>33</t>
  </si>
  <si>
    <t>1.21-5-608</t>
  </si>
  <si>
    <t>Система изоляционных т-образных и прямых адаптеров, фирма "Райхем", для кабельных вводов элегазовых (SF6) распределительных устройств на напряжение 10 и 20 кВ, 400/600 А, тип RICS 5143</t>
  </si>
  <si>
    <t>компл.</t>
  </si>
  <si>
    <t>ТСН-2001.1. Доп. 1-42. Р. 21, о. 5, поз. 608</t>
  </si>
  <si>
    <t>34</t>
  </si>
  <si>
    <t>4.8-301-1</t>
  </si>
  <si>
    <t>Уплотнитель кабельного прохода термоусаживаемый</t>
  </si>
  <si>
    <t>100 компл.</t>
  </si>
  <si>
    <t>ТСН-2001.4. Доп. 1-42. Сб. 8, т. 301, поз. 1</t>
  </si>
  <si>
    <t>34,1</t>
  </si>
  <si>
    <t>1.21-5-1069</t>
  </si>
  <si>
    <t>Уплотнители кабельных проходов, тип УКПТ</t>
  </si>
  <si>
    <t>КОМПЛЕКТ</t>
  </si>
  <si>
    <t>ТСН-2001.1. Доп. 1-42. Р. 21, о. 5, поз. 1069</t>
  </si>
  <si>
    <t>Прочие работы</t>
  </si>
  <si>
    <t>15.1-23-10</t>
  </si>
  <si>
    <t>Перевозка строительного мусора на расстояние 23 км автосамосвалами грузоподъемностью до 10 т</t>
  </si>
  <si>
    <t>1 Т</t>
  </si>
  <si>
    <t>ТСН-2001.15. Доп. 1-42. Сб. 1, т. 23, поз. 10</t>
  </si>
  <si>
    <t>Транспортные затраты</t>
  </si>
  <si>
    <t>ТСН-2001.15-1. Содержание свалки</t>
  </si>
  <si>
    <t>ТСН-2001.15-1-2</t>
  </si>
  <si>
    <t>15.1-0-1</t>
  </si>
  <si>
    <t>Размещение строительного мусора</t>
  </si>
  <si>
    <t>ТСН-2001.15 Доп. 44, Сб. 1, т. 0, поз. 1</t>
  </si>
  <si>
    <t>15.1-30-1</t>
  </si>
  <si>
    <t>Перевозка грунта с I по V группы на расстояние 30 км автосамосвалами грузоподъемностью до 10 т</t>
  </si>
  <si>
    <t>1 м3</t>
  </si>
  <si>
    <t>ТСН-2001.15. Доп. 1-42. Сб. 1, т. 30, поз. 1</t>
  </si>
  <si>
    <t>15.1-0-9</t>
  </si>
  <si>
    <t>Размещение грунтов, полученных в результате производства земляных работ, не используемых для обратной засыпки: грунты не замусоренные экологически чистые</t>
  </si>
  <si>
    <t>ТСН-2001.15. Доп. 1-42. Сб. 1, т. 0, поз. 9</t>
  </si>
  <si>
    <t>Пусконаладочные работы</t>
  </si>
  <si>
    <t>5.10-35-2</t>
  </si>
  <si>
    <t>Кабельные линии в питающих центрах</t>
  </si>
  <si>
    <t>1 линия кабеля (3 испытания 1-го образца)</t>
  </si>
  <si>
    <t>ТСН-2001.5. Доп. 1-42. Сб. 10, т. 35, поз. 2</t>
  </si>
  <si>
    <t>Поправка: ТСН-2001.5. р2. тб1. п. 5  Наименование: В электроустановках, находящихся под напряжением: с оформлением наряда-допуска</t>
  </si>
  <si>
    <t>)*1,3</t>
  </si>
  <si>
    <t>ТСН-2001.5-10. 10-4...10-44</t>
  </si>
  <si>
    <t>ТСН-2001.5-10-1</t>
  </si>
  <si>
    <t>Поправка: ТСН-2001.5. р2. тб1. п. 5</t>
  </si>
  <si>
    <t>5.10-44-1</t>
  </si>
  <si>
    <t>Кабельные линии, испытание оболочек из сшитого полиэтилена каждой строительной длины силовых кабелей на напряжение 10 кВ</t>
  </si>
  <si>
    <t>1 испытание</t>
  </si>
  <si>
    <t>ТСН-2001.5. Доп. 1-42. Сб. 10, т. 44, поз. 1</t>
  </si>
  <si>
    <t>5.10-35-3</t>
  </si>
  <si>
    <t>Испытание образцов кабелей напряжением 6-10 кВ, отечественного и импортного производства</t>
  </si>
  <si>
    <t>ТСН-2001.5. Доп. 1-42. Сб. 10, т. 35, поз. 3</t>
  </si>
  <si>
    <t>2.1-8-3</t>
  </si>
  <si>
    <t>Автолаборатории</t>
  </si>
  <si>
    <t>маш.-ч.</t>
  </si>
  <si>
    <t>ТСН-2001.2. Доп. 1-42, п. 1-8-3 (085001)</t>
  </si>
  <si>
    <t>Механизмы</t>
  </si>
  <si>
    <t>ТСН-2001. Машины и механизмы</t>
  </si>
  <si>
    <t>ТСН-2001.2</t>
  </si>
  <si>
    <t>Стр</t>
  </si>
  <si>
    <t>Монт</t>
  </si>
  <si>
    <t>Монтажные работы</t>
  </si>
  <si>
    <t>вре</t>
  </si>
  <si>
    <t>Временные здания и сооружения 1,5%</t>
  </si>
  <si>
    <t>Прочие1</t>
  </si>
  <si>
    <t>пнр</t>
  </si>
  <si>
    <t>ит</t>
  </si>
  <si>
    <t>Итого</t>
  </si>
  <si>
    <t>ндс</t>
  </si>
  <si>
    <t>НДС-20%</t>
  </si>
  <si>
    <t>вс</t>
  </si>
  <si>
    <t>Всего по акту с НДС</t>
  </si>
  <si>
    <t>Итог</t>
  </si>
  <si>
    <t>НДС</t>
  </si>
  <si>
    <t>НДС 18%</t>
  </si>
  <si>
    <t>Уровень цен</t>
  </si>
  <si>
    <t>Сборник индексов</t>
  </si>
  <si>
    <t>Коэффициенты к ТСН-2001 МГЭ</t>
  </si>
  <si>
    <t>149</t>
  </si>
  <si>
    <t>_OBSM_</t>
  </si>
  <si>
    <t>9999990008</t>
  </si>
  <si>
    <t>Трудозатраты рабочих</t>
  </si>
  <si>
    <t>чел.-ч.</t>
  </si>
  <si>
    <t>ТСН-2001.1. База. Р.1, о.1, поз.766</t>
  </si>
  <si>
    <t>ПЕСОК ДЛЯ СТРОИТЕЛЬНЫХ РАБОТ, РЯДОВОЙ</t>
  </si>
  <si>
    <t>2248115000</t>
  </si>
  <si>
    <t>Трубопроводы для внутренней канализации из полиэтиленовых труб</t>
  </si>
  <si>
    <t>9999990006</t>
  </si>
  <si>
    <t>Стоимость прочих материалов (ЭСН)</t>
  </si>
  <si>
    <t>руб.</t>
  </si>
  <si>
    <t>1.12-5-115</t>
  </si>
  <si>
    <t>ТСН-2001.1. База. Р.12, о.5, поз.115</t>
  </si>
  <si>
    <t>МУФТЫ ПОЛИЭТИЛЕНОВЫЕ, ДИАМЕТР 100 ММ</t>
  </si>
  <si>
    <t>10 шт.</t>
  </si>
  <si>
    <t>2.1-10-4</t>
  </si>
  <si>
    <t>ТСН-2001.2. Доп. 46. п.1-10-4 (101001)</t>
  </si>
  <si>
    <t>Компрессоры прицепные с двигателем внутреннего сгорания, производительность до 2,5 м3/мин, мощность двигателя до 23 кВт (31,3 л.с.)</t>
  </si>
  <si>
    <t>2.1-30-54</t>
  </si>
  <si>
    <t>ТСН-2001.2. Доп. 1-42, п. 1-30-54 (308901)</t>
  </si>
  <si>
    <t>Молотки отбойные</t>
  </si>
  <si>
    <t>1.1-1-132</t>
  </si>
  <si>
    <t>ТСН-2001.1. База. Р.1, о.1, поз.132</t>
  </si>
  <si>
    <t>ГВОЗДИ СТРОИТЕЛЬНЫЕ</t>
  </si>
  <si>
    <t>1.1-1-221</t>
  </si>
  <si>
    <t>ТСН-2001.1. База. Р.1, о.1, поз.221</t>
  </si>
  <si>
    <t>ДОСКИ ХВОЙНЫХ ПОРОД, ОБРЕЗНЫЕ, ДЛИНА 2-6,5 М, СОРТ II, ТОЛЩИНА 25-32 ММ</t>
  </si>
  <si>
    <t>1.1-1-77</t>
  </si>
  <si>
    <t>ТСН-2001.1. База. Р.1, о.1, поз.77</t>
  </si>
  <si>
    <t>БРУСКИ ХВОЙНЫХ ПОРОД ОБРЕЗНЫЕ, ДЛИНА 2-6,5 М, СОРТ II, ТОЛЩИНА 50-60 ММ</t>
  </si>
  <si>
    <t>1.1-1-955</t>
  </si>
  <si>
    <t>ТСН-2001.1. База. Р.1, о.1, поз.955</t>
  </si>
  <si>
    <t>ПРОВОЛОКА СТАЛЬНАЯ ВЯЗАЛЬНАЯ</t>
  </si>
  <si>
    <t>9999990007</t>
  </si>
  <si>
    <t>Стоимость прочих машин (ЭСН)</t>
  </si>
  <si>
    <t>2248110000</t>
  </si>
  <si>
    <t>Трубы из полиэтилена для кабельной канализации</t>
  </si>
  <si>
    <t>ТСН-2001.1. Доп. 1-42. Р. 12, о. 5, поз. 115</t>
  </si>
  <si>
    <t>Муфты полиэтиленовые, диаметр 100 мм</t>
  </si>
  <si>
    <t>2257420000</t>
  </si>
  <si>
    <t>Состав огнезащитный, марка "МПВО"</t>
  </si>
  <si>
    <t>кг</t>
  </si>
  <si>
    <t>ТСН-2001.1. Доп. 1-42. Р. 1, о. 1, поз. 132</t>
  </si>
  <si>
    <t>Гвозди строительные</t>
  </si>
  <si>
    <t>ТСН-2001.1. Доп. 1-42. Р. 1, о. 1, поз. 221</t>
  </si>
  <si>
    <t>Доски хвойных пород, обрезные, длина 2-6,5 м, сорт II, толщина 25-32 мм</t>
  </si>
  <si>
    <t>ТСН-2001.1. Доп. 1-42. Р. 1, о. 1, поз. 77</t>
  </si>
  <si>
    <t>Бруски хвойных пород обрезные, длина 2-6,5 м, сорт II, толщина 50-60 мм</t>
  </si>
  <si>
    <t>ТСН-2001.1. Доп. 1-42. Р. 1, о. 1, поз. 955</t>
  </si>
  <si>
    <t>Проволока стальная вязальная</t>
  </si>
  <si>
    <t>5745010000</t>
  </si>
  <si>
    <t>Бетон (класс по проекту)</t>
  </si>
  <si>
    <t>3538851000</t>
  </si>
  <si>
    <t>Кабели с изоляцией из сшитого полиэтилена</t>
  </si>
  <si>
    <t>5716191000</t>
  </si>
  <si>
    <t>Плиты ПЗК 48х36, для защиты кабельных линий</t>
  </si>
  <si>
    <t>3449630000</t>
  </si>
  <si>
    <t>Муфты соединительные термоусаживаемые (359900)</t>
  </si>
  <si>
    <t>Муфты концевые термоусаживаемые (359900)</t>
  </si>
  <si>
    <t>0254211000</t>
  </si>
  <si>
    <t>Смазка силиконовая универсальная</t>
  </si>
  <si>
    <t>3449638000</t>
  </si>
  <si>
    <t>Система изоляционных адаптеров</t>
  </si>
  <si>
    <t>5296335000</t>
  </si>
  <si>
    <t>Уплотнители кабельных проходов</t>
  </si>
  <si>
    <t>КЛ в земле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</si>
  <si>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</si>
  <si>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</si>
  <si>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</si>
  <si>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    цена</t>
  </si>
  <si>
    <t>текущая   цена</t>
  </si>
  <si>
    <t>Сметная стоимость</t>
  </si>
  <si>
    <t>Оборудование</t>
  </si>
  <si>
    <t>Средства на оплату труда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</si>
  <si>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</si>
  <si>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</si>
  <si>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</si>
  <si>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</si>
  <si>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</si>
  <si>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</si>
  <si>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</si>
  <si>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</si>
  <si>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</si>
  <si>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</si>
  <si>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</si>
  <si>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</si>
  <si>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Форма № 1б</t>
  </si>
  <si>
    <t>Составлен(а) в уровне текущих (прогнозных) цен Коэффициенты к ТСН-2001 МГЭ №149 февраль 2019 года</t>
  </si>
  <si>
    <t>ЗП</t>
  </si>
  <si>
    <t>НР от ЗП</t>
  </si>
  <si>
    <t>%</t>
  </si>
  <si>
    <t>СП от ЗП</t>
  </si>
  <si>
    <t>ЗТР</t>
  </si>
  <si>
    <t>чел-ч</t>
  </si>
  <si>
    <t>МР</t>
  </si>
  <si>
    <t xml:space="preserve">   Итого по ТСН-2001.16</t>
  </si>
  <si>
    <t xml:space="preserve">   Итого возвратных сумм</t>
  </si>
  <si>
    <t>ЭМ</t>
  </si>
  <si>
    <t>в т.ч. ЗПМ</t>
  </si>
  <si>
    <t>НР и СП от ЗПМ</t>
  </si>
  <si>
    <r>
      <t>Муфта соединительная 1ПСт-20-500-В</t>
    </r>
    <r>
      <rPr>
        <i/>
        <sz val="10"/>
        <rFont val="Arial"/>
        <family val="2"/>
        <charset val="204"/>
      </rPr>
      <t xml:space="preserve">
Базисная стоимость: 1 451,15 = [9 333,8 / 1,2 /  5,36]</t>
    </r>
  </si>
  <si>
    <t xml:space="preserve">  тыс.руб</t>
  </si>
  <si>
    <t xml:space="preserve">Составил   </t>
  </si>
  <si>
    <t>[должность,подпись(инициалы,фамилия)]</t>
  </si>
  <si>
    <t xml:space="preserve">Проверил   </t>
  </si>
  <si>
    <t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</si>
</sst>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#,##0.00####;[Red]\-\ #,##0.00####"/>
  </numFmts>
  <fonts count="20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 wrapText="1"/>
    </xf>
    <xf numFmtId="164" fontId="11" fillId="0" borderId="0" xfId="0" applyNumberFormat="1" applyFont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5" xfId="0" applyBorder="1"/>
    <xf numFmtId="0" fontId="11" fillId="0" borderId="0" xfId="0" quotePrefix="1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0" fontId="11" fillId="0" borderId="1" xfId="0" applyFont="1" applyBorder="1"/>
    <xf numFmtId="0" fontId="19" fillId="0" borderId="0" xfId="0" applyFont="1"/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164" fontId="17" fillId="0" borderId="5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69"/>
  <sheetViews>
    <sheetView tabSelected="1" topLeftCell="A215" zoomScaleNormal="100" workbookViewId="0">
      <selection activeCell="A150" sqref="A15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8" max="8" width="10.7109375" customWidth="1"/>
    <col min="9" max="11" width="12.7109375" customWidth="1"/>
    <col min="15" max="36" width="0" hidden="1" customWidth="1"/>
    <col min="37" max="37" width="150.7109375" hidden="1" customWidth="1"/>
    <col min="38" max="38" width="104.7109375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 t="s">
        <v>428</v>
      </c>
    </row>
    <row r="3" spans="1:37" ht="48" customHeight="1" x14ac:dyDescent="0.25">
      <c r="A3" s="46" t="str">
        <f>A11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37" x14ac:dyDescent="0.2">
      <c r="A4" s="32" t="s">
        <v>408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37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37" ht="15.75" x14ac:dyDescent="0.25">
      <c r="A6" s="46" t="str">
        <f>CONCATENATE( "ЛОКАЛЬНАЯ СМЕТА № ",IF(Source!F20&lt;&gt;"Новая локальная смета", Source!F20, ""))</f>
        <v>ЛОКАЛЬНАЯ СМЕТА № 2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37" x14ac:dyDescent="0.2">
      <c r="A7" s="44" t="s">
        <v>409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37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37" ht="18" x14ac:dyDescent="0.25">
      <c r="A9" s="48" t="str">
        <f>IF(Source!G20&lt;&gt;"Новая локальная смета", Source!G20, "")</f>
        <v>Прокладка КЛ-20кВ в земле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37" ht="12.7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37" ht="54" hidden="1" x14ac:dyDescent="0.25">
      <c r="A11" s="49" t="str">
        <f>IF(Source!G12&lt;&gt;"Новый объект", Source!G12, "")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AK11" s="16" t="str">
        <f>IF(Source!G12&lt;&gt;"Новый объект", Source!G12, "")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</row>
    <row r="12" spans="1:37" x14ac:dyDescent="0.2">
      <c r="A12" s="44" t="s">
        <v>410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37" ht="14.2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37" ht="14.25" hidden="1" x14ac:dyDescent="0.2">
      <c r="A14" s="33" t="str">
        <f>CONCATENATE( "Основание: чертежи № ", Source!J20)</f>
        <v>Основание: чертежи № 50-2016-ЭС-2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37" ht="28.5" hidden="1" x14ac:dyDescent="0.2">
      <c r="A15" s="10"/>
      <c r="B15" s="10"/>
      <c r="C15" s="10"/>
      <c r="D15" s="10"/>
      <c r="E15" s="10"/>
      <c r="F15" s="10"/>
      <c r="G15" s="10"/>
      <c r="H15" s="10"/>
      <c r="I15" s="11" t="s">
        <v>411</v>
      </c>
      <c r="J15" s="11" t="s">
        <v>412</v>
      </c>
      <c r="K15" s="10"/>
    </row>
    <row r="16" spans="1:37" ht="14.25" hidden="1" x14ac:dyDescent="0.2">
      <c r="A16" s="10"/>
      <c r="B16" s="10"/>
      <c r="C16" s="10"/>
      <c r="D16" s="10"/>
      <c r="E16" s="10"/>
      <c r="F16" s="40" t="s">
        <v>413</v>
      </c>
      <c r="G16" s="40"/>
      <c r="H16" s="40"/>
      <c r="I16" s="12">
        <f>SUM(O27:O254)/1000</f>
        <v>1282.2958800000001</v>
      </c>
      <c r="J16" s="12">
        <f>(Source!F259/1000)</f>
        <v>9078.6774800000003</v>
      </c>
      <c r="K16" s="10" t="s">
        <v>443</v>
      </c>
    </row>
    <row r="17" spans="1:23" ht="14.25" hidden="1" x14ac:dyDescent="0.2">
      <c r="A17" s="10"/>
      <c r="B17" s="10"/>
      <c r="C17" s="10"/>
      <c r="D17" s="10"/>
      <c r="E17" s="10"/>
      <c r="F17" s="40" t="s">
        <v>31</v>
      </c>
      <c r="G17" s="40"/>
      <c r="H17" s="40"/>
      <c r="I17" s="12">
        <f>SUM(X27:X254)/1000</f>
        <v>334.03199000000006</v>
      </c>
      <c r="J17" s="12">
        <f>(Source!F248)/1000</f>
        <v>1724.19643</v>
      </c>
      <c r="K17" s="10" t="s">
        <v>443</v>
      </c>
    </row>
    <row r="18" spans="1:23" ht="14.25" hidden="1" x14ac:dyDescent="0.2">
      <c r="A18" s="10"/>
      <c r="B18" s="10"/>
      <c r="C18" s="10"/>
      <c r="D18" s="10"/>
      <c r="E18" s="10"/>
      <c r="F18" s="40" t="s">
        <v>324</v>
      </c>
      <c r="G18" s="40"/>
      <c r="H18" s="40"/>
      <c r="I18" s="12">
        <f>SUM(Y27:Y254)/1000</f>
        <v>866.35079000000007</v>
      </c>
      <c r="J18" s="12">
        <f>(Source!F249)/1000</f>
        <v>5964.7632999999996</v>
      </c>
      <c r="K18" s="10" t="s">
        <v>443</v>
      </c>
    </row>
    <row r="19" spans="1:23" ht="14.25" hidden="1" x14ac:dyDescent="0.2">
      <c r="A19" s="10"/>
      <c r="B19" s="10"/>
      <c r="C19" s="10"/>
      <c r="D19" s="10"/>
      <c r="E19" s="10"/>
      <c r="F19" s="40" t="s">
        <v>414</v>
      </c>
      <c r="G19" s="40"/>
      <c r="H19" s="40"/>
      <c r="I19" s="12">
        <f>SUM(Z27:Z254)/1000</f>
        <v>0</v>
      </c>
      <c r="J19" s="12">
        <f>(Source!F240)/1000</f>
        <v>0</v>
      </c>
      <c r="K19" s="10" t="s">
        <v>443</v>
      </c>
    </row>
    <row r="20" spans="1:23" ht="14.25" hidden="1" x14ac:dyDescent="0.2">
      <c r="A20" s="10"/>
      <c r="B20" s="10"/>
      <c r="C20" s="10"/>
      <c r="D20" s="10"/>
      <c r="E20" s="10"/>
      <c r="F20" s="40" t="s">
        <v>280</v>
      </c>
      <c r="G20" s="40"/>
      <c r="H20" s="40"/>
      <c r="I20" s="12">
        <f>SUM(AA27:AA254)/1000</f>
        <v>81.9131</v>
      </c>
      <c r="J20" s="12">
        <f>(Source!F250+Source!F251)/1000</f>
        <v>1389.71775</v>
      </c>
      <c r="K20" s="10" t="s">
        <v>443</v>
      </c>
    </row>
    <row r="21" spans="1:23" ht="14.25" hidden="1" x14ac:dyDescent="0.2">
      <c r="A21" s="10"/>
      <c r="B21" s="10"/>
      <c r="C21" s="10"/>
      <c r="D21" s="10"/>
      <c r="E21" s="10"/>
      <c r="F21" s="40" t="s">
        <v>415</v>
      </c>
      <c r="G21" s="40"/>
      <c r="H21" s="40"/>
      <c r="I21" s="12">
        <f>SUM(W27:W254)/1000</f>
        <v>78.608360000000019</v>
      </c>
      <c r="J21" s="12">
        <f>(Source!F246+ Source!F245)/1000</f>
        <v>1684.57716</v>
      </c>
      <c r="K21" s="10" t="s">
        <v>443</v>
      </c>
    </row>
    <row r="22" spans="1:23" ht="14.25" hidden="1" x14ac:dyDescent="0.2">
      <c r="A22" s="10"/>
      <c r="B22" s="10"/>
      <c r="C22" s="10"/>
      <c r="D22" s="10"/>
      <c r="E22" s="10"/>
      <c r="F22" s="13" t="s">
        <v>416</v>
      </c>
      <c r="G22" s="13"/>
      <c r="H22" s="13"/>
      <c r="I22" s="12"/>
      <c r="J22" s="12"/>
      <c r="K22" s="10"/>
    </row>
    <row r="23" spans="1:23" ht="14.25" hidden="1" x14ac:dyDescent="0.2">
      <c r="A23" s="10"/>
      <c r="B23" s="10"/>
      <c r="C23" s="10"/>
      <c r="D23" s="10"/>
      <c r="E23" s="10"/>
      <c r="F23" s="41" t="s">
        <v>149</v>
      </c>
      <c r="G23" s="42"/>
      <c r="H23" s="42"/>
      <c r="I23" s="12">
        <f>SUM(AE27:AE254)/1000</f>
        <v>0</v>
      </c>
      <c r="J23" s="12">
        <f>SUM(AF27:AF254)/1000</f>
        <v>0</v>
      </c>
      <c r="K23" s="10" t="s">
        <v>443</v>
      </c>
    </row>
    <row r="24" spans="1:23" ht="14.25" x14ac:dyDescent="0.2">
      <c r="A24" s="43" t="s">
        <v>429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23" ht="57" x14ac:dyDescent="0.2">
      <c r="A25" s="14" t="s">
        <v>417</v>
      </c>
      <c r="B25" s="14" t="s">
        <v>418</v>
      </c>
      <c r="C25" s="14" t="s">
        <v>419</v>
      </c>
      <c r="D25" s="14" t="s">
        <v>420</v>
      </c>
      <c r="E25" s="14" t="s">
        <v>421</v>
      </c>
      <c r="F25" s="14" t="s">
        <v>422</v>
      </c>
      <c r="G25" s="15" t="s">
        <v>423</v>
      </c>
      <c r="H25" s="15" t="s">
        <v>424</v>
      </c>
      <c r="I25" s="14" t="s">
        <v>425</v>
      </c>
      <c r="J25" s="14" t="s">
        <v>426</v>
      </c>
      <c r="K25" s="14" t="s">
        <v>427</v>
      </c>
    </row>
    <row r="26" spans="1:23" ht="14.25" x14ac:dyDescent="0.2">
      <c r="A26" s="14">
        <v>1</v>
      </c>
      <c r="B26" s="14">
        <v>2</v>
      </c>
      <c r="C26" s="14">
        <v>3</v>
      </c>
      <c r="D26" s="14">
        <v>4</v>
      </c>
      <c r="E26" s="14">
        <v>5</v>
      </c>
      <c r="F26" s="14">
        <v>6</v>
      </c>
      <c r="G26" s="14">
        <v>7</v>
      </c>
      <c r="H26" s="14">
        <v>8</v>
      </c>
      <c r="I26" s="14">
        <v>9</v>
      </c>
      <c r="J26" s="14">
        <v>10</v>
      </c>
      <c r="K26" s="14">
        <v>11</v>
      </c>
    </row>
    <row r="28" spans="1:23" ht="16.5" x14ac:dyDescent="0.25">
      <c r="A28" s="39" t="str">
        <f>CONCATENATE("Раздел: ",IF(Source!G24&lt;&gt;"Новый раздел", Source!G24, ""))</f>
        <v>Раздел: Прокладка кабеля в земле. Строительные работы.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29" spans="1:23" ht="28.5" x14ac:dyDescent="0.2">
      <c r="C29" s="17" t="str">
        <f>Source!G28</f>
        <v>Землянные работы (100% под напряжением, 100% вручную)</v>
      </c>
    </row>
    <row r="30" spans="1:23" ht="42.75" x14ac:dyDescent="0.2">
      <c r="A30" s="18" t="str">
        <f>Source!E29</f>
        <v>2</v>
      </c>
      <c r="B30" s="19" t="str">
        <f>Source!F29</f>
        <v>3.1-51-1</v>
      </c>
      <c r="C30" s="19" t="s">
        <v>27</v>
      </c>
      <c r="D30" s="21" t="str">
        <f>Source!H29</f>
        <v>100 м3 грунта</v>
      </c>
      <c r="E30" s="20">
        <f>Source!I29</f>
        <v>1.5058</v>
      </c>
      <c r="F30" s="23"/>
      <c r="G30" s="22"/>
      <c r="H30" s="20"/>
      <c r="I30" s="24"/>
      <c r="J30" s="20"/>
      <c r="K30" s="24"/>
      <c r="Q30">
        <f>ROUND((Source!DN29/100)*ROUND((ROUND((Source!AF29*Source!AV29*Source!I29),2)),2), 2)</f>
        <v>5562.09</v>
      </c>
      <c r="R30">
        <f>Source!X29</f>
        <v>96491.69</v>
      </c>
      <c r="S30">
        <f>ROUND((Source!DO29/100)*ROUND((ROUND((Source!AF29*Source!AV29*Source!I29),2)),2), 2)</f>
        <v>4078.87</v>
      </c>
      <c r="T30">
        <f>Source!Y29</f>
        <v>46543.05</v>
      </c>
      <c r="U30">
        <f>ROUND((175/100)*ROUND((ROUND((Source!AE29*Source!AV29*Source!I29),2)),2), 2)</f>
        <v>0</v>
      </c>
      <c r="V30">
        <f>ROUND((157/100)*ROUND(ROUND((ROUND((Source!AE29*Source!AV29*Source!I29),2)*Source!BS29),2), 2), 2)</f>
        <v>0</v>
      </c>
    </row>
    <row r="31" spans="1:23" ht="14.25" x14ac:dyDescent="0.2">
      <c r="A31" s="18"/>
      <c r="B31" s="19"/>
      <c r="C31" s="19" t="s">
        <v>430</v>
      </c>
      <c r="D31" s="21"/>
      <c r="E31" s="20"/>
      <c r="F31" s="23">
        <f>Source!AO29</f>
        <v>2042.62</v>
      </c>
      <c r="G31" s="22" t="str">
        <f>Source!DG29</f>
        <v>*1,2*1,15</v>
      </c>
      <c r="H31" s="20">
        <f>Source!AV29</f>
        <v>1.248</v>
      </c>
      <c r="I31" s="24">
        <f>ROUND((ROUND((Source!AF29*Source!AV29*Source!I29),2)),2)</f>
        <v>5297.23</v>
      </c>
      <c r="J31" s="20">
        <f>IF(Source!BA29&lt;&gt; 0, Source!BA29, 1)</f>
        <v>21.43</v>
      </c>
      <c r="K31" s="24">
        <f>Source!S29</f>
        <v>113519.64</v>
      </c>
      <c r="W31">
        <f>I31</f>
        <v>5297.23</v>
      </c>
    </row>
    <row r="32" spans="1:23" ht="14.25" x14ac:dyDescent="0.2">
      <c r="A32" s="18"/>
      <c r="B32" s="19"/>
      <c r="C32" s="19" t="s">
        <v>431</v>
      </c>
      <c r="D32" s="21" t="s">
        <v>432</v>
      </c>
      <c r="E32" s="20">
        <f>Source!DN29</f>
        <v>105</v>
      </c>
      <c r="F32" s="23"/>
      <c r="G32" s="22"/>
      <c r="H32" s="20"/>
      <c r="I32" s="24">
        <f>SUM(Q30:Q31)</f>
        <v>5562.09</v>
      </c>
      <c r="J32" s="20">
        <f>Source!BZ29</f>
        <v>85</v>
      </c>
      <c r="K32" s="24">
        <f>SUM(R30:R31)</f>
        <v>96491.69</v>
      </c>
    </row>
    <row r="33" spans="1:27" ht="14.25" x14ac:dyDescent="0.2">
      <c r="A33" s="18"/>
      <c r="B33" s="19"/>
      <c r="C33" s="19" t="s">
        <v>433</v>
      </c>
      <c r="D33" s="21" t="s">
        <v>432</v>
      </c>
      <c r="E33" s="20">
        <f>Source!DO29</f>
        <v>77</v>
      </c>
      <c r="F33" s="23"/>
      <c r="G33" s="22"/>
      <c r="H33" s="20"/>
      <c r="I33" s="24">
        <f>SUM(S30:S32)</f>
        <v>4078.87</v>
      </c>
      <c r="J33" s="20">
        <f>Source!CA29</f>
        <v>41</v>
      </c>
      <c r="K33" s="24">
        <f>SUM(T30:T32)</f>
        <v>46543.05</v>
      </c>
    </row>
    <row r="34" spans="1:27" ht="14.25" x14ac:dyDescent="0.2">
      <c r="A34" s="18"/>
      <c r="B34" s="19"/>
      <c r="C34" s="19" t="s">
        <v>434</v>
      </c>
      <c r="D34" s="21" t="s">
        <v>435</v>
      </c>
      <c r="E34" s="20">
        <f>Source!AQ29</f>
        <v>192.7</v>
      </c>
      <c r="F34" s="23"/>
      <c r="G34" s="22" t="str">
        <f>Source!DI29</f>
        <v>*1,2*1,15</v>
      </c>
      <c r="H34" s="20">
        <f>Source!AV29</f>
        <v>1.248</v>
      </c>
      <c r="I34" s="24">
        <f>Source!U29</f>
        <v>499.73835075839986</v>
      </c>
      <c r="J34" s="20"/>
      <c r="K34" s="24"/>
    </row>
    <row r="35" spans="1:27" ht="15" x14ac:dyDescent="0.25">
      <c r="A35" s="26"/>
      <c r="B35" s="26"/>
      <c r="C35" s="26"/>
      <c r="D35" s="26"/>
      <c r="E35" s="26"/>
      <c r="F35" s="26"/>
      <c r="G35" s="26"/>
      <c r="H35" s="38">
        <f>I31+I32+I33</f>
        <v>14938.189999999999</v>
      </c>
      <c r="I35" s="38"/>
      <c r="J35" s="38">
        <f>K31+K32+K33</f>
        <v>256554.38</v>
      </c>
      <c r="K35" s="38"/>
      <c r="O35" s="25">
        <f>I31+I32+I33</f>
        <v>14938.189999999999</v>
      </c>
      <c r="P35" s="25">
        <f>K31+K32+K33</f>
        <v>256554.38</v>
      </c>
      <c r="X35">
        <f>IF(Source!BI29&lt;=1,I31+I32+I33-0, 0)</f>
        <v>14938.189999999999</v>
      </c>
      <c r="Y35">
        <f>IF(Source!BI29=2,I31+I32+I33-0, 0)</f>
        <v>0</v>
      </c>
      <c r="Z35">
        <f>IF(Source!BI29=3,I31+I32+I33-0, 0)</f>
        <v>0</v>
      </c>
      <c r="AA35">
        <f>IF(Source!BI29=4,I31+I32+I33,0)</f>
        <v>0</v>
      </c>
    </row>
    <row r="36" spans="1:27" ht="28.5" x14ac:dyDescent="0.2">
      <c r="A36" s="18" t="str">
        <f>Source!E30</f>
        <v>4</v>
      </c>
      <c r="B36" s="19" t="str">
        <f>Source!F30</f>
        <v>3.1-53-1</v>
      </c>
      <c r="C36" s="19" t="s">
        <v>35</v>
      </c>
      <c r="D36" s="21" t="str">
        <f>Source!H30</f>
        <v>100 м3 грунта</v>
      </c>
      <c r="E36" s="20">
        <f>Source!I30</f>
        <v>1.2156</v>
      </c>
      <c r="F36" s="23"/>
      <c r="G36" s="22"/>
      <c r="H36" s="20"/>
      <c r="I36" s="24"/>
      <c r="J36" s="20"/>
      <c r="K36" s="24"/>
      <c r="Q36">
        <f>ROUND((Source!DN30/100)*ROUND((ROUND((Source!AF30*Source!AV30*Source!I30),2)),2), 2)</f>
        <v>2310.63</v>
      </c>
      <c r="R36">
        <f>Source!X30</f>
        <v>40085.03</v>
      </c>
      <c r="S36">
        <f>ROUND((Source!DO30/100)*ROUND((ROUND((Source!AF30*Source!AV30*Source!I30),2)),2), 2)</f>
        <v>1694.46</v>
      </c>
      <c r="T36">
        <f>Source!Y30</f>
        <v>19335.13</v>
      </c>
      <c r="U36">
        <f>ROUND((175/100)*ROUND((ROUND((Source!AE30*Source!AV30*Source!I30),2)),2), 2)</f>
        <v>0</v>
      </c>
      <c r="V36">
        <f>ROUND((157/100)*ROUND(ROUND((ROUND((Source!AE30*Source!AV30*Source!I30),2)*Source!BS30),2), 2), 2)</f>
        <v>0</v>
      </c>
    </row>
    <row r="37" spans="1:27" ht="14.25" x14ac:dyDescent="0.2">
      <c r="A37" s="18"/>
      <c r="B37" s="19"/>
      <c r="C37" s="19" t="s">
        <v>430</v>
      </c>
      <c r="D37" s="21"/>
      <c r="E37" s="20"/>
      <c r="F37" s="23">
        <f>Source!AO30</f>
        <v>1051.1300000000001</v>
      </c>
      <c r="G37" s="22" t="str">
        <f>Source!DG30</f>
        <v>*1,2*1,15</v>
      </c>
      <c r="H37" s="20">
        <f>Source!AV30</f>
        <v>1.248</v>
      </c>
      <c r="I37" s="24">
        <f>ROUND((ROUND((Source!AF30*Source!AV30*Source!I30),2)),2)</f>
        <v>2200.6</v>
      </c>
      <c r="J37" s="20">
        <f>IF(Source!BA30&lt;&gt; 0, Source!BA30, 1)</f>
        <v>21.43</v>
      </c>
      <c r="K37" s="24">
        <f>Source!S30</f>
        <v>47158.86</v>
      </c>
      <c r="W37">
        <f>I37</f>
        <v>2200.6</v>
      </c>
    </row>
    <row r="38" spans="1:27" ht="14.25" x14ac:dyDescent="0.2">
      <c r="A38" s="18"/>
      <c r="B38" s="19"/>
      <c r="C38" s="19" t="s">
        <v>431</v>
      </c>
      <c r="D38" s="21" t="s">
        <v>432</v>
      </c>
      <c r="E38" s="20">
        <f>Source!DN30</f>
        <v>105</v>
      </c>
      <c r="F38" s="23"/>
      <c r="G38" s="22"/>
      <c r="H38" s="20"/>
      <c r="I38" s="24">
        <f>SUM(Q36:Q37)</f>
        <v>2310.63</v>
      </c>
      <c r="J38" s="20">
        <f>Source!BZ30</f>
        <v>85</v>
      </c>
      <c r="K38" s="24">
        <f>SUM(R36:R37)</f>
        <v>40085.03</v>
      </c>
    </row>
    <row r="39" spans="1:27" ht="14.25" x14ac:dyDescent="0.2">
      <c r="A39" s="18"/>
      <c r="B39" s="19"/>
      <c r="C39" s="19" t="s">
        <v>433</v>
      </c>
      <c r="D39" s="21" t="s">
        <v>432</v>
      </c>
      <c r="E39" s="20">
        <f>Source!DO30</f>
        <v>77</v>
      </c>
      <c r="F39" s="23"/>
      <c r="G39" s="22"/>
      <c r="H39" s="20"/>
      <c r="I39" s="24">
        <f>SUM(S36:S38)</f>
        <v>1694.46</v>
      </c>
      <c r="J39" s="20">
        <f>Source!CA30</f>
        <v>41</v>
      </c>
      <c r="K39" s="24">
        <f>SUM(T36:T38)</f>
        <v>19335.13</v>
      </c>
    </row>
    <row r="40" spans="1:27" ht="14.25" x14ac:dyDescent="0.2">
      <c r="A40" s="18"/>
      <c r="B40" s="19"/>
      <c r="C40" s="19" t="s">
        <v>434</v>
      </c>
      <c r="D40" s="21" t="s">
        <v>435</v>
      </c>
      <c r="E40" s="20">
        <f>Source!AQ30</f>
        <v>107.04</v>
      </c>
      <c r="F40" s="23"/>
      <c r="G40" s="22" t="str">
        <f>Source!DI30</f>
        <v>*1,2*1,15</v>
      </c>
      <c r="H40" s="20">
        <f>Source!AV30</f>
        <v>1.248</v>
      </c>
      <c r="I40" s="24">
        <f>Source!U30</f>
        <v>224.09412120576002</v>
      </c>
      <c r="J40" s="20"/>
      <c r="K40" s="24"/>
    </row>
    <row r="41" spans="1:27" ht="15" x14ac:dyDescent="0.25">
      <c r="A41" s="26"/>
      <c r="B41" s="26"/>
      <c r="C41" s="26"/>
      <c r="D41" s="26"/>
      <c r="E41" s="26"/>
      <c r="F41" s="26"/>
      <c r="G41" s="26"/>
      <c r="H41" s="38">
        <f>I37+I38+I39</f>
        <v>6205.69</v>
      </c>
      <c r="I41" s="38"/>
      <c r="J41" s="38">
        <f>K37+K38+K39</f>
        <v>106579.02</v>
      </c>
      <c r="K41" s="38"/>
      <c r="O41" s="25">
        <f>I37+I38+I39</f>
        <v>6205.69</v>
      </c>
      <c r="P41" s="25">
        <f>K37+K38+K39</f>
        <v>106579.02</v>
      </c>
      <c r="X41">
        <f>IF(Source!BI30&lt;=1,I37+I38+I39-0, 0)</f>
        <v>6205.69</v>
      </c>
      <c r="Y41">
        <f>IF(Source!BI30=2,I37+I38+I39-0, 0)</f>
        <v>0</v>
      </c>
      <c r="Z41">
        <f>IF(Source!BI30=3,I37+I38+I39-0, 0)</f>
        <v>0</v>
      </c>
      <c r="AA41">
        <f>IF(Source!BI30=4,I37+I38+I39,0)</f>
        <v>0</v>
      </c>
    </row>
    <row r="42" spans="1:27" ht="28.5" x14ac:dyDescent="0.2">
      <c r="A42" s="18" t="str">
        <f>Source!E31</f>
        <v>5</v>
      </c>
      <c r="B42" s="19" t="str">
        <f>Source!F31</f>
        <v>1.1-1-766</v>
      </c>
      <c r="C42" s="19" t="s">
        <v>39</v>
      </c>
      <c r="D42" s="21" t="str">
        <f>Source!H31</f>
        <v>м3</v>
      </c>
      <c r="E42" s="20">
        <f>Source!I31</f>
        <v>36.915999999999997</v>
      </c>
      <c r="F42" s="23">
        <f>Source!AL31</f>
        <v>104.99</v>
      </c>
      <c r="G42" s="22" t="str">
        <f>Source!DD31</f>
        <v/>
      </c>
      <c r="H42" s="20">
        <f>Source!AW31</f>
        <v>1</v>
      </c>
      <c r="I42" s="24">
        <f>ROUND((ROUND((Source!AC31*Source!AW31*Source!I31),2)),2)</f>
        <v>3875.81</v>
      </c>
      <c r="J42" s="20">
        <f>IF(Source!BC31&lt;&gt; 0, Source!BC31, 1)</f>
        <v>5.25</v>
      </c>
      <c r="K42" s="24">
        <f>Source!P31</f>
        <v>20348</v>
      </c>
      <c r="Q42">
        <f>ROUND((Source!DN31/100)*ROUND((ROUND((Source!AF31*Source!AV31*Source!I31),2)),2), 2)</f>
        <v>0</v>
      </c>
      <c r="R42">
        <f>Source!X31</f>
        <v>0</v>
      </c>
      <c r="S42">
        <f>ROUND((Source!DO31/100)*ROUND((ROUND((Source!AF31*Source!AV31*Source!I31),2)),2), 2)</f>
        <v>0</v>
      </c>
      <c r="T42">
        <f>Source!Y31</f>
        <v>0</v>
      </c>
      <c r="U42">
        <f>ROUND((175/100)*ROUND((ROUND((Source!AE31*Source!AV31*Source!I31),2)),2), 2)</f>
        <v>0</v>
      </c>
      <c r="V42">
        <f>ROUND((157/100)*ROUND(ROUND((ROUND((Source!AE31*Source!AV31*Source!I31),2)*Source!BS31),2), 2), 2)</f>
        <v>0</v>
      </c>
    </row>
    <row r="43" spans="1:27" ht="15" x14ac:dyDescent="0.25">
      <c r="A43" s="26"/>
      <c r="B43" s="26"/>
      <c r="C43" s="26"/>
      <c r="D43" s="26"/>
      <c r="E43" s="26"/>
      <c r="F43" s="26"/>
      <c r="G43" s="26"/>
      <c r="H43" s="38">
        <f>I42</f>
        <v>3875.81</v>
      </c>
      <c r="I43" s="38"/>
      <c r="J43" s="38">
        <f>K42</f>
        <v>20348</v>
      </c>
      <c r="K43" s="38"/>
      <c r="O43" s="25">
        <f>I42</f>
        <v>3875.81</v>
      </c>
      <c r="P43" s="25">
        <f>K42</f>
        <v>20348</v>
      </c>
      <c r="X43">
        <f>IF(Source!BI31&lt;=1,I42-0, 0)</f>
        <v>3875.81</v>
      </c>
      <c r="Y43">
        <f>IF(Source!BI31=2,I42-0, 0)</f>
        <v>0</v>
      </c>
      <c r="Z43">
        <f>IF(Source!BI31=3,I42-0, 0)</f>
        <v>0</v>
      </c>
      <c r="AA43">
        <f>IF(Source!BI31=4,I42,0)</f>
        <v>0</v>
      </c>
    </row>
    <row r="44" spans="1:27" ht="28.5" x14ac:dyDescent="0.2">
      <c r="A44" s="18" t="str">
        <f>Source!E32</f>
        <v>6</v>
      </c>
      <c r="B44" s="19" t="str">
        <f>Source!F32</f>
        <v>6.51-6-1</v>
      </c>
      <c r="C44" s="19" t="s">
        <v>47</v>
      </c>
      <c r="D44" s="21" t="str">
        <f>Source!H32</f>
        <v>100 м3 грунта</v>
      </c>
      <c r="E44" s="20">
        <f>Source!I32</f>
        <v>0.62570000000000003</v>
      </c>
      <c r="F44" s="23"/>
      <c r="G44" s="22"/>
      <c r="H44" s="20"/>
      <c r="I44" s="24"/>
      <c r="J44" s="20"/>
      <c r="K44" s="24"/>
      <c r="Q44">
        <f>ROUND((Source!DN32/100)*ROUND((ROUND((Source!AF32*Source!AV32*Source!I32),2)),2), 2)</f>
        <v>779.73</v>
      </c>
      <c r="R44">
        <f>Source!X32</f>
        <v>13404.48</v>
      </c>
      <c r="S44">
        <f>ROUND((Source!DO32/100)*ROUND((ROUND((Source!AF32*Source!AV32*Source!I32),2)),2), 2)</f>
        <v>574.09</v>
      </c>
      <c r="T44">
        <f>Source!Y32</f>
        <v>7528.54</v>
      </c>
      <c r="U44">
        <f>ROUND((175/100)*ROUND((ROUND((Source!AE32*Source!AV32*Source!I32),2)),2), 2)</f>
        <v>0</v>
      </c>
      <c r="V44">
        <f>ROUND((157/100)*ROUND(ROUND((ROUND((Source!AE32*Source!AV32*Source!I32),2)*Source!BS32),2), 2), 2)</f>
        <v>0</v>
      </c>
    </row>
    <row r="45" spans="1:27" ht="14.25" x14ac:dyDescent="0.2">
      <c r="A45" s="18"/>
      <c r="B45" s="19"/>
      <c r="C45" s="19" t="s">
        <v>430</v>
      </c>
      <c r="D45" s="21"/>
      <c r="E45" s="20"/>
      <c r="F45" s="23">
        <f>Source!AO32</f>
        <v>795.14</v>
      </c>
      <c r="G45" s="22" t="str">
        <f>Source!DG32</f>
        <v>*1,2*1,15</v>
      </c>
      <c r="H45" s="20">
        <f>Source!AV32</f>
        <v>1.248</v>
      </c>
      <c r="I45" s="24">
        <f>ROUND((ROUND((Source!AF32*Source!AV32*Source!I32),2)),2)</f>
        <v>856.85</v>
      </c>
      <c r="J45" s="20">
        <f>IF(Source!BA32&lt;&gt; 0, Source!BA32, 1)</f>
        <v>21.43</v>
      </c>
      <c r="K45" s="24">
        <f>Source!S32</f>
        <v>18362.3</v>
      </c>
      <c r="W45">
        <f>I45</f>
        <v>856.85</v>
      </c>
    </row>
    <row r="46" spans="1:27" ht="14.25" x14ac:dyDescent="0.2">
      <c r="A46" s="18"/>
      <c r="B46" s="19"/>
      <c r="C46" s="19" t="s">
        <v>431</v>
      </c>
      <c r="D46" s="21" t="s">
        <v>432</v>
      </c>
      <c r="E46" s="20">
        <f>Source!DN32</f>
        <v>91</v>
      </c>
      <c r="F46" s="23"/>
      <c r="G46" s="22"/>
      <c r="H46" s="20"/>
      <c r="I46" s="24">
        <f>SUM(Q44:Q45)</f>
        <v>779.73</v>
      </c>
      <c r="J46" s="20">
        <f>Source!BZ32</f>
        <v>73</v>
      </c>
      <c r="K46" s="24">
        <f>SUM(R44:R45)</f>
        <v>13404.48</v>
      </c>
    </row>
    <row r="47" spans="1:27" ht="14.25" x14ac:dyDescent="0.2">
      <c r="A47" s="18"/>
      <c r="B47" s="19"/>
      <c r="C47" s="19" t="s">
        <v>433</v>
      </c>
      <c r="D47" s="21" t="s">
        <v>432</v>
      </c>
      <c r="E47" s="20">
        <f>Source!DO32</f>
        <v>67</v>
      </c>
      <c r="F47" s="23"/>
      <c r="G47" s="22"/>
      <c r="H47" s="20"/>
      <c r="I47" s="24">
        <f>SUM(S44:S46)</f>
        <v>574.09</v>
      </c>
      <c r="J47" s="20">
        <f>Source!CA32</f>
        <v>41</v>
      </c>
      <c r="K47" s="24">
        <f>SUM(T44:T46)</f>
        <v>7528.54</v>
      </c>
    </row>
    <row r="48" spans="1:27" ht="14.25" x14ac:dyDescent="0.2">
      <c r="A48" s="18"/>
      <c r="B48" s="19"/>
      <c r="C48" s="19" t="s">
        <v>434</v>
      </c>
      <c r="D48" s="21" t="s">
        <v>435</v>
      </c>
      <c r="E48" s="20">
        <f>Source!AQ32</f>
        <v>83</v>
      </c>
      <c r="F48" s="23"/>
      <c r="G48" s="22" t="str">
        <f>Source!DI32</f>
        <v>*1,2*1,15</v>
      </c>
      <c r="H48" s="20">
        <f>Source!AV32</f>
        <v>1.248</v>
      </c>
      <c r="I48" s="24">
        <f>Source!U32</f>
        <v>89.441262143999992</v>
      </c>
      <c r="J48" s="20"/>
      <c r="K48" s="24"/>
    </row>
    <row r="49" spans="1:27" ht="15" x14ac:dyDescent="0.25">
      <c r="A49" s="26"/>
      <c r="B49" s="26"/>
      <c r="C49" s="26"/>
      <c r="D49" s="26"/>
      <c r="E49" s="26"/>
      <c r="F49" s="26"/>
      <c r="G49" s="26"/>
      <c r="H49" s="38">
        <f>I45+I46+I47</f>
        <v>2210.67</v>
      </c>
      <c r="I49" s="38"/>
      <c r="J49" s="38">
        <f>K45+K46+K47</f>
        <v>39295.32</v>
      </c>
      <c r="K49" s="38"/>
      <c r="O49" s="25">
        <f>I45+I46+I47</f>
        <v>2210.67</v>
      </c>
      <c r="P49" s="25">
        <f>K45+K46+K47</f>
        <v>39295.32</v>
      </c>
      <c r="X49">
        <f>IF(Source!BI32&lt;=1,I45+I46+I47-0, 0)</f>
        <v>2210.67</v>
      </c>
      <c r="Y49">
        <f>IF(Source!BI32=2,I45+I46+I47-0, 0)</f>
        <v>0</v>
      </c>
      <c r="Z49">
        <f>IF(Source!BI32=3,I45+I46+I47-0, 0)</f>
        <v>0</v>
      </c>
      <c r="AA49">
        <f>IF(Source!BI32=4,I45+I46+I47,0)</f>
        <v>0</v>
      </c>
    </row>
    <row r="50" spans="1:27" ht="14.25" x14ac:dyDescent="0.2">
      <c r="C50" s="17" t="str">
        <f>Source!G33</f>
        <v>Прокладка труб</v>
      </c>
    </row>
    <row r="51" spans="1:27" ht="57" x14ac:dyDescent="0.2">
      <c r="A51" s="18" t="str">
        <f>Source!E34</f>
        <v>7</v>
      </c>
      <c r="B51" s="19" t="str">
        <f>Source!F34</f>
        <v>3.34-18-1</v>
      </c>
      <c r="C51" s="19" t="s">
        <v>55</v>
      </c>
      <c r="D51" s="21" t="str">
        <f>Source!H34</f>
        <v>1 канало-километр трубопровода</v>
      </c>
      <c r="E51" s="20">
        <f>Source!I34</f>
        <v>0.246</v>
      </c>
      <c r="F51" s="23"/>
      <c r="G51" s="22"/>
      <c r="H51" s="20"/>
      <c r="I51" s="24"/>
      <c r="J51" s="20"/>
      <c r="K51" s="24"/>
      <c r="Q51">
        <f>ROUND((Source!DN34/100)*ROUND((ROUND((Source!AF34*Source!AV34*Source!I34),2)),2), 2)</f>
        <v>603.24</v>
      </c>
      <c r="R51">
        <f>Source!X34</f>
        <v>10388.17</v>
      </c>
      <c r="S51">
        <f>ROUND((Source!DO34/100)*ROUND((ROUND((Source!AF34*Source!AV34*Source!I34),2)),2), 2)</f>
        <v>377.03</v>
      </c>
      <c r="T51">
        <f>Source!Y34</f>
        <v>4732.3900000000003</v>
      </c>
      <c r="U51">
        <f>ROUND((175/100)*ROUND((ROUND((Source!AE34*Source!AV34*Source!I34),2)),2), 2)</f>
        <v>0</v>
      </c>
      <c r="V51">
        <f>ROUND((157/100)*ROUND(ROUND((ROUND((Source!AE34*Source!AV34*Source!I34),2)*Source!BS34),2), 2), 2)</f>
        <v>0</v>
      </c>
    </row>
    <row r="52" spans="1:27" ht="14.25" x14ac:dyDescent="0.2">
      <c r="A52" s="18"/>
      <c r="B52" s="19"/>
      <c r="C52" s="19" t="s">
        <v>430</v>
      </c>
      <c r="D52" s="21"/>
      <c r="E52" s="20"/>
      <c r="F52" s="23">
        <f>Source!AO34</f>
        <v>1486.94</v>
      </c>
      <c r="G52" s="22" t="str">
        <f>Source!DG34</f>
        <v>*1,2*1,15</v>
      </c>
      <c r="H52" s="20">
        <f>Source!AV34</f>
        <v>1.0669999999999999</v>
      </c>
      <c r="I52" s="24">
        <f>ROUND((ROUND((Source!AF34*Source!AV34*Source!I34),2)),2)</f>
        <v>538.61</v>
      </c>
      <c r="J52" s="20">
        <f>IF(Source!BA34&lt;&gt; 0, Source!BA34, 1)</f>
        <v>21.43</v>
      </c>
      <c r="K52" s="24">
        <f>Source!S34</f>
        <v>11542.41</v>
      </c>
      <c r="W52">
        <f>I52</f>
        <v>538.61</v>
      </c>
    </row>
    <row r="53" spans="1:27" ht="14.25" x14ac:dyDescent="0.2">
      <c r="A53" s="18"/>
      <c r="B53" s="19"/>
      <c r="C53" s="19" t="s">
        <v>436</v>
      </c>
      <c r="D53" s="21"/>
      <c r="E53" s="20"/>
      <c r="F53" s="23">
        <f>Source!AL34</f>
        <v>44.38</v>
      </c>
      <c r="G53" s="22" t="str">
        <f>Source!DD34</f>
        <v/>
      </c>
      <c r="H53" s="20">
        <f>Source!AW34</f>
        <v>1.081</v>
      </c>
      <c r="I53" s="24">
        <f>ROUND((ROUND((Source!AC34*Source!AW34*Source!I34),2)),2)</f>
        <v>11.8</v>
      </c>
      <c r="J53" s="20">
        <f>IF(Source!BC34&lt;&gt; 0, Source!BC34, 1)</f>
        <v>5.36</v>
      </c>
      <c r="K53" s="24">
        <f>Source!P34</f>
        <v>63.25</v>
      </c>
    </row>
    <row r="54" spans="1:27" ht="14.25" x14ac:dyDescent="0.2">
      <c r="A54" s="18"/>
      <c r="B54" s="19"/>
      <c r="C54" s="19" t="s">
        <v>431</v>
      </c>
      <c r="D54" s="21" t="s">
        <v>432</v>
      </c>
      <c r="E54" s="20">
        <f>Source!DN34</f>
        <v>112</v>
      </c>
      <c r="F54" s="23"/>
      <c r="G54" s="22"/>
      <c r="H54" s="20"/>
      <c r="I54" s="24">
        <f>SUM(Q51:Q53)</f>
        <v>603.24</v>
      </c>
      <c r="J54" s="20">
        <f>Source!BZ34</f>
        <v>90</v>
      </c>
      <c r="K54" s="24">
        <f>SUM(R51:R53)</f>
        <v>10388.17</v>
      </c>
    </row>
    <row r="55" spans="1:27" ht="14.25" x14ac:dyDescent="0.2">
      <c r="A55" s="18"/>
      <c r="B55" s="19"/>
      <c r="C55" s="19" t="s">
        <v>433</v>
      </c>
      <c r="D55" s="21" t="s">
        <v>432</v>
      </c>
      <c r="E55" s="20">
        <f>Source!DO34</f>
        <v>70</v>
      </c>
      <c r="F55" s="23"/>
      <c r="G55" s="22"/>
      <c r="H55" s="20"/>
      <c r="I55" s="24">
        <f>SUM(S51:S54)</f>
        <v>377.03</v>
      </c>
      <c r="J55" s="20">
        <f>Source!CA34</f>
        <v>41</v>
      </c>
      <c r="K55" s="24">
        <f>SUM(T51:T54)</f>
        <v>4732.3900000000003</v>
      </c>
    </row>
    <row r="56" spans="1:27" ht="14.25" x14ac:dyDescent="0.2">
      <c r="A56" s="18"/>
      <c r="B56" s="19"/>
      <c r="C56" s="19" t="s">
        <v>434</v>
      </c>
      <c r="D56" s="21" t="s">
        <v>435</v>
      </c>
      <c r="E56" s="20">
        <f>Source!AQ34</f>
        <v>133</v>
      </c>
      <c r="F56" s="23"/>
      <c r="G56" s="22" t="str">
        <f>Source!DI34</f>
        <v>*1,2*1,15</v>
      </c>
      <c r="H56" s="20">
        <f>Source!AV34</f>
        <v>1.0669999999999999</v>
      </c>
      <c r="I56" s="24">
        <f>Source!U34</f>
        <v>48.175946279999998</v>
      </c>
      <c r="J56" s="20"/>
      <c r="K56" s="24"/>
    </row>
    <row r="57" spans="1:27" ht="15" x14ac:dyDescent="0.25">
      <c r="A57" s="26"/>
      <c r="B57" s="26"/>
      <c r="C57" s="26"/>
      <c r="D57" s="26"/>
      <c r="E57" s="26"/>
      <c r="F57" s="26"/>
      <c r="G57" s="26"/>
      <c r="H57" s="38">
        <f>I52+I53+I54+I55</f>
        <v>1530.68</v>
      </c>
      <c r="I57" s="38"/>
      <c r="J57" s="38">
        <f>K52+K53+K54+K55</f>
        <v>26726.22</v>
      </c>
      <c r="K57" s="38"/>
      <c r="O57" s="25">
        <f>I52+I53+I54+I55</f>
        <v>1530.68</v>
      </c>
      <c r="P57" s="25">
        <f>K52+K53+K54+K55</f>
        <v>26726.22</v>
      </c>
      <c r="X57">
        <f>IF(Source!BI34&lt;=1,I52+I53+I54+I55-0, 0)</f>
        <v>1530.68</v>
      </c>
      <c r="Y57">
        <f>IF(Source!BI34=2,I52+I53+I54+I55-0, 0)</f>
        <v>0</v>
      </c>
      <c r="Z57">
        <f>IF(Source!BI34=3,I52+I53+I54+I55-0, 0)</f>
        <v>0</v>
      </c>
      <c r="AA57">
        <f>IF(Source!BI34=4,I52+I53+I54+I55,0)</f>
        <v>0</v>
      </c>
    </row>
    <row r="58" spans="1:27" ht="85.5" x14ac:dyDescent="0.2">
      <c r="A58" s="18" t="str">
        <f>Source!E35</f>
        <v>9</v>
      </c>
      <c r="B58" s="19" t="str">
        <f>Source!F35</f>
        <v>1.12-5-708</v>
      </c>
      <c r="C58" s="19" t="s">
        <v>62</v>
      </c>
      <c r="D58" s="21" t="str">
        <f>Source!H35</f>
        <v>м</v>
      </c>
      <c r="E58" s="20">
        <f>Source!I35</f>
        <v>246</v>
      </c>
      <c r="F58" s="23">
        <f>Source!AL35</f>
        <v>707.02</v>
      </c>
      <c r="G58" s="22" t="str">
        <f>Source!DD35</f>
        <v/>
      </c>
      <c r="H58" s="20">
        <f>Source!AW35</f>
        <v>1</v>
      </c>
      <c r="I58" s="24">
        <f>ROUND((ROUND((Source!AC35*Source!AW35*Source!I35),2)),2)</f>
        <v>173926.92</v>
      </c>
      <c r="J58" s="20">
        <f>IF(Source!BC35&lt;&gt; 0, Source!BC35, 1)</f>
        <v>2.98</v>
      </c>
      <c r="K58" s="24">
        <f>Source!P35</f>
        <v>518302.22</v>
      </c>
      <c r="Q58">
        <f>ROUND((Source!DN35/100)*ROUND((ROUND((Source!AF35*Source!AV35*Source!I35),2)),2), 2)</f>
        <v>0</v>
      </c>
      <c r="R58">
        <f>Source!X35</f>
        <v>0</v>
      </c>
      <c r="S58">
        <f>ROUND((Source!DO35/100)*ROUND((ROUND((Source!AF35*Source!AV35*Source!I35),2)),2), 2)</f>
        <v>0</v>
      </c>
      <c r="T58">
        <f>Source!Y35</f>
        <v>0</v>
      </c>
      <c r="U58">
        <f>ROUND((175/100)*ROUND((ROUND((Source!AE35*Source!AV35*Source!I35),2)),2), 2)</f>
        <v>0</v>
      </c>
      <c r="V58">
        <f>ROUND((157/100)*ROUND(ROUND((ROUND((Source!AE35*Source!AV35*Source!I35),2)*Source!BS35),2), 2), 2)</f>
        <v>0</v>
      </c>
    </row>
    <row r="59" spans="1:27" ht="15" x14ac:dyDescent="0.25">
      <c r="A59" s="26"/>
      <c r="B59" s="26"/>
      <c r="C59" s="26"/>
      <c r="D59" s="26"/>
      <c r="E59" s="26"/>
      <c r="F59" s="26"/>
      <c r="G59" s="26"/>
      <c r="H59" s="38">
        <f>I58</f>
        <v>173926.92</v>
      </c>
      <c r="I59" s="38"/>
      <c r="J59" s="38">
        <f>K58</f>
        <v>518302.22</v>
      </c>
      <c r="K59" s="38"/>
      <c r="O59" s="25">
        <f>I58</f>
        <v>173926.92</v>
      </c>
      <c r="P59" s="25">
        <f>K58</f>
        <v>518302.22</v>
      </c>
      <c r="X59">
        <f>IF(Source!BI35&lt;=1,I58-0, 0)</f>
        <v>173926.92</v>
      </c>
      <c r="Y59">
        <f>IF(Source!BI35=2,I58-0, 0)</f>
        <v>0</v>
      </c>
      <c r="Z59">
        <f>IF(Source!BI35=3,I58-0, 0)</f>
        <v>0</v>
      </c>
      <c r="AA59">
        <f>IF(Source!BI35=4,I58,0)</f>
        <v>0</v>
      </c>
    </row>
    <row r="60" spans="1:27" ht="57" x14ac:dyDescent="0.2">
      <c r="A60" s="18" t="str">
        <f>Source!E39</f>
        <v>12</v>
      </c>
      <c r="B60" s="19" t="str">
        <f>Source!F39</f>
        <v>1.12-3-62</v>
      </c>
      <c r="C60" s="19" t="s">
        <v>79</v>
      </c>
      <c r="D60" s="21" t="str">
        <f>Source!H39</f>
        <v>шт.</v>
      </c>
      <c r="E60" s="20">
        <f>Source!I39</f>
        <v>24</v>
      </c>
      <c r="F60" s="23">
        <f>Source!AL39</f>
        <v>3.9</v>
      </c>
      <c r="G60" s="22" t="str">
        <f>Source!DD39</f>
        <v/>
      </c>
      <c r="H60" s="20">
        <f>Source!AW39</f>
        <v>1</v>
      </c>
      <c r="I60" s="24">
        <f>ROUND((ROUND((Source!AC39*Source!AW39*Source!I39),2)),2)</f>
        <v>93.6</v>
      </c>
      <c r="J60" s="20">
        <f>IF(Source!BC39&lt;&gt; 0, Source!BC39, 1)</f>
        <v>8.99</v>
      </c>
      <c r="K60" s="24">
        <f>Source!P39</f>
        <v>841.46</v>
      </c>
      <c r="Q60">
        <f>ROUND((Source!DN39/100)*ROUND((ROUND((Source!AF39*Source!AV39*Source!I39),2)),2), 2)</f>
        <v>0</v>
      </c>
      <c r="R60">
        <f>Source!X39</f>
        <v>0</v>
      </c>
      <c r="S60">
        <f>ROUND((Source!DO39/100)*ROUND((ROUND((Source!AF39*Source!AV39*Source!I39),2)),2), 2)</f>
        <v>0</v>
      </c>
      <c r="T60">
        <f>Source!Y39</f>
        <v>0</v>
      </c>
      <c r="U60">
        <f>ROUND((175/100)*ROUND((ROUND((Source!AE39*Source!AV39*Source!I39),2)),2), 2)</f>
        <v>0</v>
      </c>
      <c r="V60">
        <f>ROUND((157/100)*ROUND(ROUND((ROUND((Source!AE39*Source!AV39*Source!I39),2)*Source!BS39),2), 2), 2)</f>
        <v>0</v>
      </c>
    </row>
    <row r="61" spans="1:27" ht="15" x14ac:dyDescent="0.25">
      <c r="A61" s="26"/>
      <c r="B61" s="26"/>
      <c r="C61" s="26"/>
      <c r="D61" s="26"/>
      <c r="E61" s="26"/>
      <c r="F61" s="26"/>
      <c r="G61" s="26"/>
      <c r="H61" s="38">
        <f>I60</f>
        <v>93.6</v>
      </c>
      <c r="I61" s="38"/>
      <c r="J61" s="38">
        <f>K60</f>
        <v>841.46</v>
      </c>
      <c r="K61" s="38"/>
      <c r="O61" s="25">
        <f>I60</f>
        <v>93.6</v>
      </c>
      <c r="P61" s="25">
        <f>K60</f>
        <v>841.46</v>
      </c>
      <c r="X61">
        <f>IF(Source!BI39&lt;=1,I60-0, 0)</f>
        <v>93.6</v>
      </c>
      <c r="Y61">
        <f>IF(Source!BI39=2,I60-0, 0)</f>
        <v>0</v>
      </c>
      <c r="Z61">
        <f>IF(Source!BI39=3,I60-0, 0)</f>
        <v>0</v>
      </c>
      <c r="AA61">
        <f>IF(Source!BI39=4,I60,0)</f>
        <v>0</v>
      </c>
    </row>
    <row r="62" spans="1:27" ht="28.5" x14ac:dyDescent="0.2">
      <c r="A62" s="18" t="str">
        <f>Source!E40</f>
        <v>13</v>
      </c>
      <c r="B62" s="19" t="str">
        <f>Source!F40</f>
        <v>1.1-1-766</v>
      </c>
      <c r="C62" s="19" t="s">
        <v>39</v>
      </c>
      <c r="D62" s="21" t="str">
        <f>Source!H40</f>
        <v>м3</v>
      </c>
      <c r="E62" s="20">
        <f>Source!I40</f>
        <v>14.432</v>
      </c>
      <c r="F62" s="23">
        <f>Source!AL40</f>
        <v>104.99</v>
      </c>
      <c r="G62" s="22" t="str">
        <f>Source!DD40</f>
        <v/>
      </c>
      <c r="H62" s="20">
        <f>Source!AW40</f>
        <v>1</v>
      </c>
      <c r="I62" s="24">
        <f>ROUND((ROUND((Source!AC40*Source!AW40*Source!I40),2)),2)</f>
        <v>1515.22</v>
      </c>
      <c r="J62" s="20">
        <f>IF(Source!BC40&lt;&gt; 0, Source!BC40, 1)</f>
        <v>5.25</v>
      </c>
      <c r="K62" s="24">
        <f>Source!P40</f>
        <v>7954.91</v>
      </c>
      <c r="Q62">
        <f>ROUND((Source!DN40/100)*ROUND((ROUND((Source!AF40*Source!AV40*Source!I40),2)),2), 2)</f>
        <v>0</v>
      </c>
      <c r="R62">
        <f>Source!X40</f>
        <v>0</v>
      </c>
      <c r="S62">
        <f>ROUND((Source!DO40/100)*ROUND((ROUND((Source!AF40*Source!AV40*Source!I40),2)),2), 2)</f>
        <v>0</v>
      </c>
      <c r="T62">
        <f>Source!Y40</f>
        <v>0</v>
      </c>
      <c r="U62">
        <f>ROUND((175/100)*ROUND((ROUND((Source!AE40*Source!AV40*Source!I40),2)),2), 2)</f>
        <v>0</v>
      </c>
      <c r="V62">
        <f>ROUND((157/100)*ROUND(ROUND((ROUND((Source!AE40*Source!AV40*Source!I40),2)*Source!BS40),2), 2), 2)</f>
        <v>0</v>
      </c>
    </row>
    <row r="63" spans="1:27" ht="15" x14ac:dyDescent="0.25">
      <c r="A63" s="26"/>
      <c r="B63" s="26"/>
      <c r="C63" s="26"/>
      <c r="D63" s="26"/>
      <c r="E63" s="26"/>
      <c r="F63" s="26"/>
      <c r="G63" s="26"/>
      <c r="H63" s="38">
        <f>I62</f>
        <v>1515.22</v>
      </c>
      <c r="I63" s="38"/>
      <c r="J63" s="38">
        <f>K62</f>
        <v>7954.91</v>
      </c>
      <c r="K63" s="38"/>
      <c r="O63" s="25">
        <f>I62</f>
        <v>1515.22</v>
      </c>
      <c r="P63" s="25">
        <f>K62</f>
        <v>7954.91</v>
      </c>
      <c r="X63">
        <f>IF(Source!BI40&lt;=1,I62-0, 0)</f>
        <v>1515.22</v>
      </c>
      <c r="Y63">
        <f>IF(Source!BI40=2,I62-0, 0)</f>
        <v>0</v>
      </c>
      <c r="Z63">
        <f>IF(Source!BI40=3,I62-0, 0)</f>
        <v>0</v>
      </c>
      <c r="AA63">
        <f>IF(Source!BI40=4,I62,0)</f>
        <v>0</v>
      </c>
    </row>
    <row r="64" spans="1:27" ht="42.75" x14ac:dyDescent="0.2">
      <c r="A64" s="18" t="str">
        <f>Source!E41</f>
        <v>14</v>
      </c>
      <c r="B64" s="19" t="str">
        <f>Source!F41</f>
        <v>3.13-31-1</v>
      </c>
      <c r="C64" s="19" t="s">
        <v>85</v>
      </c>
      <c r="D64" s="21" t="str">
        <f>Source!H41</f>
        <v>м2 покрытия</v>
      </c>
      <c r="E64" s="20">
        <f>Source!I41</f>
        <v>178.55496959999999</v>
      </c>
      <c r="F64" s="23"/>
      <c r="G64" s="22"/>
      <c r="H64" s="20"/>
      <c r="I64" s="24"/>
      <c r="J64" s="20"/>
      <c r="K64" s="24"/>
      <c r="Q64">
        <f>ROUND((Source!DN41/100)*ROUND((ROUND((Source!AF41*Source!AV41*Source!I41),2)),2), 2)</f>
        <v>9578.5400000000009</v>
      </c>
      <c r="R64">
        <f>Source!X41</f>
        <v>166169.44</v>
      </c>
      <c r="S64">
        <f>ROUND((Source!DO41/100)*ROUND((ROUND((Source!AF41*Source!AV41*Source!I41),2)),2), 2)</f>
        <v>7024.26</v>
      </c>
      <c r="T64">
        <f>Source!Y41</f>
        <v>80152.320000000007</v>
      </c>
      <c r="U64">
        <f>ROUND((175/100)*ROUND((ROUND((Source!AE41*Source!AV41*Source!I41),2)),2), 2)</f>
        <v>0</v>
      </c>
      <c r="V64">
        <f>ROUND((157/100)*ROUND(ROUND((ROUND((Source!AE41*Source!AV41*Source!I41),2)*Source!BS41),2), 2), 2)</f>
        <v>0</v>
      </c>
    </row>
    <row r="65" spans="1:27" ht="14.25" x14ac:dyDescent="0.2">
      <c r="A65" s="18"/>
      <c r="B65" s="19"/>
      <c r="C65" s="19" t="s">
        <v>430</v>
      </c>
      <c r="D65" s="21"/>
      <c r="E65" s="20"/>
      <c r="F65" s="23">
        <f>Source!AO41</f>
        <v>35.36</v>
      </c>
      <c r="G65" s="22" t="str">
        <f>Source!DG41</f>
        <v>*1,2*1,15</v>
      </c>
      <c r="H65" s="20">
        <f>Source!AV41</f>
        <v>1.0469999999999999</v>
      </c>
      <c r="I65" s="24">
        <f>ROUND((ROUND((Source!AF41*Source!AV41*Source!I41),2)),2)</f>
        <v>9122.42</v>
      </c>
      <c r="J65" s="20">
        <f>IF(Source!BA41&lt;&gt; 0, Source!BA41, 1)</f>
        <v>21.43</v>
      </c>
      <c r="K65" s="24">
        <f>Source!S41</f>
        <v>195493.46</v>
      </c>
      <c r="W65">
        <f>I65</f>
        <v>9122.42</v>
      </c>
    </row>
    <row r="66" spans="1:27" ht="57" x14ac:dyDescent="0.2">
      <c r="A66" s="18" t="str">
        <f>Source!E42</f>
        <v>14,1</v>
      </c>
      <c r="B66" s="19" t="str">
        <f>Source!F42</f>
        <v>1.1-1-1970</v>
      </c>
      <c r="C66" s="19" t="s">
        <v>92</v>
      </c>
      <c r="D66" s="21" t="str">
        <f>Source!H42</f>
        <v>т</v>
      </c>
      <c r="E66" s="20">
        <f>Source!I42</f>
        <v>0.34943200000000002</v>
      </c>
      <c r="F66" s="23">
        <f>Source!AK42</f>
        <v>201954.73</v>
      </c>
      <c r="G66" s="27" t="s">
        <v>5</v>
      </c>
      <c r="H66" s="20">
        <f>Source!AW42</f>
        <v>1</v>
      </c>
      <c r="I66" s="24">
        <f>ROUND((ROUND((Source!AC42*Source!AW42*Source!I42),2)),2)+(ROUND((ROUND(((Source!ET42)*Source!AV42*Source!I42),2)),2)+ROUND((ROUND(((Source!AE42-(Source!EU42))*Source!AV42*Source!I42),2)),2))+ROUND((ROUND((Source!AF42*Source!AV42*Source!I42),2)),2)</f>
        <v>70569.45</v>
      </c>
      <c r="J66" s="20">
        <f>IF(Source!BC42&lt;&gt; 0, Source!BC42, 1)</f>
        <v>1.27</v>
      </c>
      <c r="K66" s="24">
        <f>Source!O42</f>
        <v>89623.2</v>
      </c>
      <c r="Q66">
        <f>ROUND((Source!DN42/100)*ROUND((ROUND((Source!AF42*Source!AV42*Source!I42),2)),2), 2)</f>
        <v>0</v>
      </c>
      <c r="R66">
        <f>Source!X42</f>
        <v>0</v>
      </c>
      <c r="S66">
        <f>ROUND((Source!DO42/100)*ROUND((ROUND((Source!AF42*Source!AV42*Source!I42),2)),2), 2)</f>
        <v>0</v>
      </c>
      <c r="T66">
        <f>Source!Y42</f>
        <v>0</v>
      </c>
      <c r="U66">
        <f>ROUND((175/100)*ROUND((ROUND((Source!AE42*Source!AV42*Source!I42),2)),2), 2)</f>
        <v>0</v>
      </c>
      <c r="V66">
        <f>ROUND((157/100)*ROUND(ROUND((ROUND((Source!AE42*Source!AV42*Source!I42),2)*Source!BS42),2), 2), 2)</f>
        <v>0</v>
      </c>
      <c r="X66">
        <f>IF(Source!BI42&lt;=1,I66, 0)</f>
        <v>70569.45</v>
      </c>
      <c r="Y66">
        <f>IF(Source!BI42=2,I66, 0)</f>
        <v>0</v>
      </c>
      <c r="Z66">
        <f>IF(Source!BI42=3,I66, 0)</f>
        <v>0</v>
      </c>
      <c r="AA66">
        <f>IF(Source!BI42=4,I66, 0)</f>
        <v>0</v>
      </c>
    </row>
    <row r="67" spans="1:27" ht="14.25" x14ac:dyDescent="0.2">
      <c r="A67" s="18"/>
      <c r="B67" s="19"/>
      <c r="C67" s="19" t="s">
        <v>431</v>
      </c>
      <c r="D67" s="21" t="s">
        <v>432</v>
      </c>
      <c r="E67" s="20">
        <f>Source!DN41</f>
        <v>105</v>
      </c>
      <c r="F67" s="23"/>
      <c r="G67" s="22"/>
      <c r="H67" s="20"/>
      <c r="I67" s="24">
        <f>SUM(Q64:Q66)</f>
        <v>9578.5400000000009</v>
      </c>
      <c r="J67" s="20">
        <f>Source!BZ41</f>
        <v>85</v>
      </c>
      <c r="K67" s="24">
        <f>SUM(R64:R66)</f>
        <v>166169.44</v>
      </c>
    </row>
    <row r="68" spans="1:27" ht="14.25" x14ac:dyDescent="0.2">
      <c r="A68" s="18"/>
      <c r="B68" s="19"/>
      <c r="C68" s="19" t="s">
        <v>433</v>
      </c>
      <c r="D68" s="21" t="s">
        <v>432</v>
      </c>
      <c r="E68" s="20">
        <f>Source!DO41</f>
        <v>77</v>
      </c>
      <c r="F68" s="23"/>
      <c r="G68" s="22"/>
      <c r="H68" s="20"/>
      <c r="I68" s="24">
        <f>SUM(S64:S67)</f>
        <v>7024.26</v>
      </c>
      <c r="J68" s="20">
        <f>Source!CA41</f>
        <v>41</v>
      </c>
      <c r="K68" s="24">
        <f>SUM(T64:T67)</f>
        <v>80152.320000000007</v>
      </c>
    </row>
    <row r="69" spans="1:27" ht="14.25" x14ac:dyDescent="0.2">
      <c r="A69" s="18"/>
      <c r="B69" s="19"/>
      <c r="C69" s="19" t="s">
        <v>434</v>
      </c>
      <c r="D69" s="21" t="s">
        <v>435</v>
      </c>
      <c r="E69" s="20">
        <f>Source!AQ41</f>
        <v>3.04</v>
      </c>
      <c r="F69" s="23"/>
      <c r="G69" s="22" t="str">
        <f>Source!DI41</f>
        <v>*1,2*1,15</v>
      </c>
      <c r="H69" s="20">
        <f>Source!AV41</f>
        <v>1.0469999999999999</v>
      </c>
      <c r="I69" s="24">
        <f>Source!U41</f>
        <v>784.28027746381792</v>
      </c>
      <c r="J69" s="20"/>
      <c r="K69" s="24"/>
    </row>
    <row r="70" spans="1:27" ht="15" x14ac:dyDescent="0.25">
      <c r="A70" s="26"/>
      <c r="B70" s="26"/>
      <c r="C70" s="26"/>
      <c r="D70" s="26"/>
      <c r="E70" s="26"/>
      <c r="F70" s="26"/>
      <c r="G70" s="26"/>
      <c r="H70" s="38">
        <f>I65+I67+I68+SUM(I66:I66)</f>
        <v>96294.67</v>
      </c>
      <c r="I70" s="38"/>
      <c r="J70" s="38">
        <f>K65+K67+K68+SUM(K66:K66)</f>
        <v>531438.42000000004</v>
      </c>
      <c r="K70" s="38"/>
      <c r="O70" s="25">
        <f>I65+I67+I68+SUM(I66:I66)</f>
        <v>96294.67</v>
      </c>
      <c r="P70" s="25">
        <f>K65+K67+K68+SUM(K66:K66)</f>
        <v>531438.42000000004</v>
      </c>
      <c r="X70">
        <f>IF(Source!BI41&lt;=1,I65+I67+I68-0, 0)</f>
        <v>25725.22</v>
      </c>
      <c r="Y70">
        <f>IF(Source!BI41=2,I65+I67+I68-0, 0)</f>
        <v>0</v>
      </c>
      <c r="Z70">
        <f>IF(Source!BI41=3,I65+I67+I68-0, 0)</f>
        <v>0</v>
      </c>
      <c r="AA70">
        <f>IF(Source!BI41=4,I65+I67+I68,0)</f>
        <v>0</v>
      </c>
    </row>
    <row r="72" spans="1:27" ht="15" x14ac:dyDescent="0.25">
      <c r="A72" s="35" t="str">
        <f>CONCATENATE("Итого по разделу: ",IF(Source!G47&lt;&gt;"Новый раздел", Source!G47, ""))</f>
        <v>Итого по разделу: Прокладка кабеля в земле. Строительные работы.</v>
      </c>
      <c r="B72" s="35"/>
      <c r="C72" s="35"/>
      <c r="D72" s="35"/>
      <c r="E72" s="35"/>
      <c r="F72" s="35"/>
      <c r="G72" s="35"/>
      <c r="H72" s="36">
        <f>SUM(O28:O71)</f>
        <v>300591.45</v>
      </c>
      <c r="I72" s="37"/>
      <c r="J72" s="36">
        <f>SUM(P28:P71)</f>
        <v>1508039.9500000002</v>
      </c>
      <c r="K72" s="37"/>
    </row>
    <row r="73" spans="1:27" hidden="1" x14ac:dyDescent="0.2">
      <c r="A73" t="s">
        <v>437</v>
      </c>
      <c r="I73">
        <f>SUM(AC28:AC72)</f>
        <v>0</v>
      </c>
      <c r="J73">
        <f>SUM(AD28:AD72)</f>
        <v>0</v>
      </c>
    </row>
    <row r="74" spans="1:27" hidden="1" x14ac:dyDescent="0.2">
      <c r="A74" t="s">
        <v>438</v>
      </c>
      <c r="I74">
        <f>SUM(AE28:AE73)</f>
        <v>0</v>
      </c>
      <c r="J74">
        <f>SUM(AF28:AF73)</f>
        <v>0</v>
      </c>
    </row>
    <row r="75" spans="1:27" ht="14.25" x14ac:dyDescent="0.2">
      <c r="C75" s="33" t="str">
        <f>Source!H77</f>
        <v>Итого по разделу</v>
      </c>
      <c r="D75" s="33"/>
      <c r="E75" s="33"/>
      <c r="F75" s="33"/>
      <c r="G75" s="33"/>
      <c r="H75" s="33"/>
      <c r="I75" s="33"/>
      <c r="J75" s="34">
        <f>IF(Source!F77=0, "", Source!F77)</f>
        <v>1508039.95</v>
      </c>
      <c r="K75" s="34"/>
    </row>
    <row r="77" spans="1:27" ht="16.5" x14ac:dyDescent="0.25">
      <c r="A77" s="39" t="str">
        <f>CONCATENATE("Раздел: ",IF(Source!G79&lt;&gt;"Новый раздел", Source!G79, ""))</f>
        <v>Раздел: Прокладка кабеля в земле. Монтажные работы.</v>
      </c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27" ht="28.5" x14ac:dyDescent="0.2">
      <c r="A78" s="18" t="str">
        <f>Source!E83</f>
        <v>1</v>
      </c>
      <c r="B78" s="19" t="str">
        <f>Source!F83</f>
        <v>4.8-74-1</v>
      </c>
      <c r="C78" s="19" t="s">
        <v>169</v>
      </c>
      <c r="D78" s="21" t="str">
        <f>Source!H83</f>
        <v>100 М КАБЕЛЯ</v>
      </c>
      <c r="E78" s="20">
        <f>Source!I83</f>
        <v>2.19</v>
      </c>
      <c r="F78" s="23"/>
      <c r="G78" s="22"/>
      <c r="H78" s="20"/>
      <c r="I78" s="24"/>
      <c r="J78" s="20"/>
      <c r="K78" s="24"/>
      <c r="Q78">
        <f>ROUND((Source!DN83/100)*ROUND((ROUND((Source!AF83*Source!AV83*Source!I83),2)),2), 2)</f>
        <v>270.76</v>
      </c>
      <c r="R78">
        <f>Source!X83</f>
        <v>4662.63</v>
      </c>
      <c r="S78">
        <f>ROUND((Source!DO83/100)*ROUND((ROUND((Source!AF83*Source!AV83*Source!I83),2)),2), 2)</f>
        <v>169.23</v>
      </c>
      <c r="T78">
        <f>Source!Y83</f>
        <v>2227.6999999999998</v>
      </c>
      <c r="U78">
        <f>ROUND((175/100)*ROUND((ROUND((Source!AE83*Source!AV83*Source!I83),2)),2), 2)</f>
        <v>507.05</v>
      </c>
      <c r="V78">
        <f>ROUND((157/100)*ROUND(ROUND((ROUND((Source!AE83*Source!AV83*Source!I83),2)*Source!BS83),2), 2), 2)</f>
        <v>9748.33</v>
      </c>
    </row>
    <row r="79" spans="1:27" ht="14.25" x14ac:dyDescent="0.2">
      <c r="A79" s="18"/>
      <c r="B79" s="19"/>
      <c r="C79" s="19" t="s">
        <v>430</v>
      </c>
      <c r="D79" s="21"/>
      <c r="E79" s="20"/>
      <c r="F79" s="23">
        <f>Source!AO83</f>
        <v>74.97</v>
      </c>
      <c r="G79" s="22" t="str">
        <f>Source!DG83</f>
        <v>*1,2*1,15</v>
      </c>
      <c r="H79" s="20">
        <f>Source!AV83</f>
        <v>1.0669999999999999</v>
      </c>
      <c r="I79" s="24">
        <f>ROUND((ROUND((Source!AF83*Source!AV83*Source!I83),2)),2)</f>
        <v>241.75</v>
      </c>
      <c r="J79" s="20">
        <f>IF(Source!BA83&lt;&gt; 0, Source!BA83, 1)</f>
        <v>21.43</v>
      </c>
      <c r="K79" s="24">
        <f>Source!S83</f>
        <v>5180.7</v>
      </c>
      <c r="W79">
        <f>I79</f>
        <v>241.75</v>
      </c>
    </row>
    <row r="80" spans="1:27" ht="14.25" x14ac:dyDescent="0.2">
      <c r="A80" s="18"/>
      <c r="B80" s="19"/>
      <c r="C80" s="19" t="s">
        <v>439</v>
      </c>
      <c r="D80" s="21"/>
      <c r="E80" s="20"/>
      <c r="F80" s="23">
        <f>Source!AM83</f>
        <v>386.9</v>
      </c>
      <c r="G80" s="22" t="str">
        <f>Source!DE83</f>
        <v>*1,2*1,15</v>
      </c>
      <c r="H80" s="20">
        <f>Source!AV83</f>
        <v>1.0669999999999999</v>
      </c>
      <c r="I80" s="24">
        <f>(ROUND((ROUND((((Source!ET83*1.2*1.15))*Source!AV83*Source!I83),2)),2)+ROUND((ROUND(((Source!AE83-((Source!EU83*1.2*1.15)))*Source!AV83*Source!I83),2)),2))</f>
        <v>1247.6300000000001</v>
      </c>
      <c r="J80" s="20">
        <f>IF(Source!BB83&lt;&gt; 0, Source!BB83, 1)</f>
        <v>9.02</v>
      </c>
      <c r="K80" s="24">
        <f>Source!Q83</f>
        <v>11253.62</v>
      </c>
    </row>
    <row r="81" spans="1:27" ht="14.25" x14ac:dyDescent="0.2">
      <c r="A81" s="18"/>
      <c r="B81" s="19"/>
      <c r="C81" s="19" t="s">
        <v>440</v>
      </c>
      <c r="D81" s="21"/>
      <c r="E81" s="20"/>
      <c r="F81" s="23">
        <f>Source!AN83</f>
        <v>89.85</v>
      </c>
      <c r="G81" s="22" t="str">
        <f>Source!DF83</f>
        <v>*1,2*1,15</v>
      </c>
      <c r="H81" s="20">
        <f>Source!AV83</f>
        <v>1.0669999999999999</v>
      </c>
      <c r="I81" s="28">
        <f>ROUND((ROUND((Source!AE83*Source!AV83*Source!I83),2)),2)</f>
        <v>289.74</v>
      </c>
      <c r="J81" s="20">
        <f>IF(Source!BS83&lt;&gt; 0, Source!BS83, 1)</f>
        <v>21.43</v>
      </c>
      <c r="K81" s="28">
        <f>Source!R83</f>
        <v>6209.13</v>
      </c>
      <c r="W81">
        <f>I81</f>
        <v>289.74</v>
      </c>
    </row>
    <row r="82" spans="1:27" ht="14.25" x14ac:dyDescent="0.2">
      <c r="A82" s="18"/>
      <c r="B82" s="19"/>
      <c r="C82" s="19" t="s">
        <v>436</v>
      </c>
      <c r="D82" s="21"/>
      <c r="E82" s="20"/>
      <c r="F82" s="23">
        <f>Source!AL83</f>
        <v>0.56000000000000005</v>
      </c>
      <c r="G82" s="22" t="str">
        <f>Source!DD83</f>
        <v/>
      </c>
      <c r="H82" s="20">
        <f>Source!AW83</f>
        <v>1.081</v>
      </c>
      <c r="I82" s="24">
        <f>ROUND((ROUND((Source!AC83*Source!AW83*Source!I83),2)),2)</f>
        <v>1.33</v>
      </c>
      <c r="J82" s="20">
        <f>IF(Source!BC83&lt;&gt; 0, Source!BC83, 1)</f>
        <v>5.36</v>
      </c>
      <c r="K82" s="24">
        <f>Source!P83</f>
        <v>7.13</v>
      </c>
    </row>
    <row r="83" spans="1:27" ht="14.25" x14ac:dyDescent="0.2">
      <c r="A83" s="18"/>
      <c r="B83" s="19"/>
      <c r="C83" s="19" t="s">
        <v>431</v>
      </c>
      <c r="D83" s="21" t="s">
        <v>432</v>
      </c>
      <c r="E83" s="20">
        <f>Source!DN83</f>
        <v>112</v>
      </c>
      <c r="F83" s="23"/>
      <c r="G83" s="22"/>
      <c r="H83" s="20"/>
      <c r="I83" s="24">
        <f>SUM(Q78:Q82)</f>
        <v>270.76</v>
      </c>
      <c r="J83" s="20">
        <f>Source!BZ83</f>
        <v>90</v>
      </c>
      <c r="K83" s="24">
        <f>SUM(R78:R82)</f>
        <v>4662.63</v>
      </c>
    </row>
    <row r="84" spans="1:27" ht="14.25" x14ac:dyDescent="0.2">
      <c r="A84" s="18"/>
      <c r="B84" s="19"/>
      <c r="C84" s="19" t="s">
        <v>433</v>
      </c>
      <c r="D84" s="21" t="s">
        <v>432</v>
      </c>
      <c r="E84" s="20">
        <f>Source!DO83</f>
        <v>70</v>
      </c>
      <c r="F84" s="23"/>
      <c r="G84" s="22"/>
      <c r="H84" s="20"/>
      <c r="I84" s="24">
        <f>SUM(S78:S83)</f>
        <v>169.23</v>
      </c>
      <c r="J84" s="20">
        <f>Source!CA83</f>
        <v>43</v>
      </c>
      <c r="K84" s="24">
        <f>SUM(T78:T83)</f>
        <v>2227.6999999999998</v>
      </c>
    </row>
    <row r="85" spans="1:27" ht="14.25" x14ac:dyDescent="0.2">
      <c r="A85" s="18"/>
      <c r="B85" s="19"/>
      <c r="C85" s="19" t="s">
        <v>441</v>
      </c>
      <c r="D85" s="21" t="s">
        <v>432</v>
      </c>
      <c r="E85" s="20">
        <f>175</f>
        <v>175</v>
      </c>
      <c r="F85" s="23"/>
      <c r="G85" s="22"/>
      <c r="H85" s="20"/>
      <c r="I85" s="24">
        <f>SUM(U78:U84)</f>
        <v>507.05</v>
      </c>
      <c r="J85" s="20">
        <f>157</f>
        <v>157</v>
      </c>
      <c r="K85" s="24">
        <f>SUM(V78:V84)</f>
        <v>9748.33</v>
      </c>
    </row>
    <row r="86" spans="1:27" ht="14.25" x14ac:dyDescent="0.2">
      <c r="A86" s="18"/>
      <c r="B86" s="19"/>
      <c r="C86" s="19" t="s">
        <v>434</v>
      </c>
      <c r="D86" s="21" t="s">
        <v>435</v>
      </c>
      <c r="E86" s="20">
        <f>Source!AQ83</f>
        <v>6.08</v>
      </c>
      <c r="F86" s="23"/>
      <c r="G86" s="22" t="str">
        <f>Source!DI83</f>
        <v>*1,2*1,15</v>
      </c>
      <c r="H86" s="20">
        <f>Source!AV83</f>
        <v>1.0669999999999999</v>
      </c>
      <c r="I86" s="24">
        <f>Source!U83</f>
        <v>19.60609939199999</v>
      </c>
      <c r="J86" s="20"/>
      <c r="K86" s="24"/>
    </row>
    <row r="87" spans="1:27" ht="15" x14ac:dyDescent="0.25">
      <c r="A87" s="26"/>
      <c r="B87" s="26"/>
      <c r="C87" s="26"/>
      <c r="D87" s="26"/>
      <c r="E87" s="26"/>
      <c r="F87" s="26"/>
      <c r="G87" s="26"/>
      <c r="H87" s="38">
        <f>I79+I80+I82+I83+I84+I85</f>
        <v>2437.75</v>
      </c>
      <c r="I87" s="38"/>
      <c r="J87" s="38">
        <f>K79+K80+K82+K83+K84+K85</f>
        <v>33080.11</v>
      </c>
      <c r="K87" s="38"/>
      <c r="O87" s="25">
        <f>I79+I80+I82+I83+I84+I85</f>
        <v>2437.75</v>
      </c>
      <c r="P87" s="25">
        <f>K79+K80+K82+K83+K84+K85</f>
        <v>33080.11</v>
      </c>
      <c r="X87">
        <f>IF(Source!BI83&lt;=1,I79+I80+I82+I83+I84+I85-0, 0)</f>
        <v>0</v>
      </c>
      <c r="Y87">
        <f>IF(Source!BI83=2,I79+I80+I82+I83+I84+I85-0, 0)</f>
        <v>2437.75</v>
      </c>
      <c r="Z87">
        <f>IF(Source!BI83=3,I79+I80+I82+I83+I84+I85-0, 0)</f>
        <v>0</v>
      </c>
      <c r="AA87">
        <f>IF(Source!BI83=4,I79+I80+I82+I83+I84+I85,0)</f>
        <v>0</v>
      </c>
    </row>
    <row r="88" spans="1:27" ht="42.75" x14ac:dyDescent="0.2">
      <c r="A88" s="18" t="str">
        <f>Source!E85</f>
        <v>3</v>
      </c>
      <c r="B88" s="19" t="str">
        <f>Source!F85</f>
        <v>4.8-74-2</v>
      </c>
      <c r="C88" s="19" t="s">
        <v>177</v>
      </c>
      <c r="D88" s="21" t="str">
        <f>Source!H85</f>
        <v>100 М КАБЕЛЯ</v>
      </c>
      <c r="E88" s="20">
        <f>Source!I85</f>
        <v>2.19</v>
      </c>
      <c r="F88" s="23"/>
      <c r="G88" s="22"/>
      <c r="H88" s="20"/>
      <c r="I88" s="24"/>
      <c r="J88" s="20"/>
      <c r="K88" s="24"/>
      <c r="Q88">
        <f>ROUND((Source!DN85/100)*ROUND((ROUND((Source!AF85*Source!AV85*Source!I85),2)),2), 2)</f>
        <v>101.53</v>
      </c>
      <c r="R88">
        <f>Source!X85</f>
        <v>1748.37</v>
      </c>
      <c r="S88">
        <f>ROUND((Source!DO85/100)*ROUND((ROUND((Source!AF85*Source!AV85*Source!I85),2)),2), 2)</f>
        <v>63.46</v>
      </c>
      <c r="T88">
        <f>Source!Y85</f>
        <v>835.33</v>
      </c>
      <c r="U88">
        <f>ROUND((175/100)*ROUND((ROUND((Source!AE85*Source!AV85*Source!I85),2)),2), 2)</f>
        <v>145.32</v>
      </c>
      <c r="V88">
        <f>ROUND((157/100)*ROUND(ROUND((ROUND((Source!AE85*Source!AV85*Source!I85),2)*Source!BS85),2), 2), 2)</f>
        <v>2793.89</v>
      </c>
    </row>
    <row r="89" spans="1:27" ht="14.25" x14ac:dyDescent="0.2">
      <c r="A89" s="18"/>
      <c r="B89" s="19"/>
      <c r="C89" s="19" t="s">
        <v>430</v>
      </c>
      <c r="D89" s="21"/>
      <c r="E89" s="20"/>
      <c r="F89" s="23">
        <f>Source!AO85</f>
        <v>28.11</v>
      </c>
      <c r="G89" s="22" t="str">
        <f>Source!DG85</f>
        <v>*1,2*1,15</v>
      </c>
      <c r="H89" s="20">
        <f>Source!AV85</f>
        <v>1.0669999999999999</v>
      </c>
      <c r="I89" s="24">
        <f>ROUND((ROUND((Source!AF85*Source!AV85*Source!I85),2)),2)</f>
        <v>90.65</v>
      </c>
      <c r="J89" s="20">
        <f>IF(Source!BA85&lt;&gt; 0, Source!BA85, 1)</f>
        <v>21.43</v>
      </c>
      <c r="K89" s="24">
        <f>Source!S85</f>
        <v>1942.63</v>
      </c>
      <c r="W89">
        <f>I89</f>
        <v>90.65</v>
      </c>
    </row>
    <row r="90" spans="1:27" ht="14.25" x14ac:dyDescent="0.2">
      <c r="A90" s="18"/>
      <c r="B90" s="19"/>
      <c r="C90" s="19" t="s">
        <v>439</v>
      </c>
      <c r="D90" s="21"/>
      <c r="E90" s="20"/>
      <c r="F90" s="23">
        <f>Source!AM85</f>
        <v>110.9</v>
      </c>
      <c r="G90" s="22" t="str">
        <f>Source!DE85</f>
        <v>*1,2*1,15</v>
      </c>
      <c r="H90" s="20">
        <f>Source!AV85</f>
        <v>1.0669999999999999</v>
      </c>
      <c r="I90" s="24">
        <f>(ROUND((ROUND((((Source!ET85*1.2*1.15))*Source!AV85*Source!I85),2)),2)+ROUND((ROUND(((Source!AE85-((Source!EU85*1.2*1.15)))*Source!AV85*Source!I85),2)),2))</f>
        <v>357.62</v>
      </c>
      <c r="J90" s="20">
        <f>IF(Source!BB85&lt;&gt; 0, Source!BB85, 1)</f>
        <v>9.01</v>
      </c>
      <c r="K90" s="24">
        <f>Source!Q85</f>
        <v>3222.16</v>
      </c>
    </row>
    <row r="91" spans="1:27" ht="14.25" x14ac:dyDescent="0.2">
      <c r="A91" s="18"/>
      <c r="B91" s="19"/>
      <c r="C91" s="19" t="s">
        <v>440</v>
      </c>
      <c r="D91" s="21"/>
      <c r="E91" s="20"/>
      <c r="F91" s="23">
        <f>Source!AN85</f>
        <v>25.75</v>
      </c>
      <c r="G91" s="22" t="str">
        <f>Source!DF85</f>
        <v>*1,2*1,15</v>
      </c>
      <c r="H91" s="20">
        <f>Source!AV85</f>
        <v>1.0669999999999999</v>
      </c>
      <c r="I91" s="28">
        <f>ROUND((ROUND((Source!AE85*Source!AV85*Source!I85),2)),2)</f>
        <v>83.04</v>
      </c>
      <c r="J91" s="20">
        <f>IF(Source!BS85&lt;&gt; 0, Source!BS85, 1)</f>
        <v>21.43</v>
      </c>
      <c r="K91" s="28">
        <f>Source!R85</f>
        <v>1779.55</v>
      </c>
      <c r="W91">
        <f>I91</f>
        <v>83.04</v>
      </c>
    </row>
    <row r="92" spans="1:27" ht="14.25" x14ac:dyDescent="0.2">
      <c r="A92" s="18"/>
      <c r="B92" s="19"/>
      <c r="C92" s="19" t="s">
        <v>436</v>
      </c>
      <c r="D92" s="21"/>
      <c r="E92" s="20"/>
      <c r="F92" s="23">
        <f>Source!AL85</f>
        <v>0.21</v>
      </c>
      <c r="G92" s="22" t="str">
        <f>Source!DD85</f>
        <v/>
      </c>
      <c r="H92" s="20">
        <f>Source!AW85</f>
        <v>1.081</v>
      </c>
      <c r="I92" s="24">
        <f>ROUND((ROUND((Source!AC85*Source!AW85*Source!I85),2)),2)</f>
        <v>0.5</v>
      </c>
      <c r="J92" s="20">
        <f>IF(Source!BC85&lt;&gt; 0, Source!BC85, 1)</f>
        <v>5.38</v>
      </c>
      <c r="K92" s="24">
        <f>Source!P85</f>
        <v>2.69</v>
      </c>
    </row>
    <row r="93" spans="1:27" ht="14.25" x14ac:dyDescent="0.2">
      <c r="A93" s="18"/>
      <c r="B93" s="19"/>
      <c r="C93" s="19" t="s">
        <v>431</v>
      </c>
      <c r="D93" s="21" t="s">
        <v>432</v>
      </c>
      <c r="E93" s="20">
        <f>Source!DN85</f>
        <v>112</v>
      </c>
      <c r="F93" s="23"/>
      <c r="G93" s="22"/>
      <c r="H93" s="20"/>
      <c r="I93" s="24">
        <f>SUM(Q88:Q92)</f>
        <v>101.53</v>
      </c>
      <c r="J93" s="20">
        <f>Source!BZ85</f>
        <v>90</v>
      </c>
      <c r="K93" s="24">
        <f>SUM(R88:R92)</f>
        <v>1748.37</v>
      </c>
    </row>
    <row r="94" spans="1:27" ht="14.25" x14ac:dyDescent="0.2">
      <c r="A94" s="18"/>
      <c r="B94" s="19"/>
      <c r="C94" s="19" t="s">
        <v>433</v>
      </c>
      <c r="D94" s="21" t="s">
        <v>432</v>
      </c>
      <c r="E94" s="20">
        <f>Source!DO85</f>
        <v>70</v>
      </c>
      <c r="F94" s="23"/>
      <c r="G94" s="22"/>
      <c r="H94" s="20"/>
      <c r="I94" s="24">
        <f>SUM(S88:S93)</f>
        <v>63.46</v>
      </c>
      <c r="J94" s="20">
        <f>Source!CA85</f>
        <v>43</v>
      </c>
      <c r="K94" s="24">
        <f>SUM(T88:T93)</f>
        <v>835.33</v>
      </c>
    </row>
    <row r="95" spans="1:27" ht="14.25" x14ac:dyDescent="0.2">
      <c r="A95" s="18"/>
      <c r="B95" s="19"/>
      <c r="C95" s="19" t="s">
        <v>441</v>
      </c>
      <c r="D95" s="21" t="s">
        <v>432</v>
      </c>
      <c r="E95" s="20">
        <f>175</f>
        <v>175</v>
      </c>
      <c r="F95" s="23"/>
      <c r="G95" s="22"/>
      <c r="H95" s="20"/>
      <c r="I95" s="24">
        <f>SUM(U88:U94)</f>
        <v>145.32</v>
      </c>
      <c r="J95" s="20">
        <f>157</f>
        <v>157</v>
      </c>
      <c r="K95" s="24">
        <f>SUM(V88:V94)</f>
        <v>2793.89</v>
      </c>
    </row>
    <row r="96" spans="1:27" ht="14.25" x14ac:dyDescent="0.2">
      <c r="A96" s="18"/>
      <c r="B96" s="19"/>
      <c r="C96" s="19" t="s">
        <v>434</v>
      </c>
      <c r="D96" s="21" t="s">
        <v>435</v>
      </c>
      <c r="E96" s="20">
        <f>Source!AQ85</f>
        <v>2.2799999999999998</v>
      </c>
      <c r="F96" s="23"/>
      <c r="G96" s="22" t="str">
        <f>Source!DI85</f>
        <v>*1,2*1,15</v>
      </c>
      <c r="H96" s="20">
        <f>Source!AV85</f>
        <v>1.0669999999999999</v>
      </c>
      <c r="I96" s="24">
        <f>Source!U85</f>
        <v>7.3522872719999981</v>
      </c>
      <c r="J96" s="20"/>
      <c r="K96" s="24"/>
    </row>
    <row r="97" spans="1:27" ht="15" x14ac:dyDescent="0.25">
      <c r="A97" s="26"/>
      <c r="B97" s="26"/>
      <c r="C97" s="26"/>
      <c r="D97" s="26"/>
      <c r="E97" s="26"/>
      <c r="F97" s="26"/>
      <c r="G97" s="26"/>
      <c r="H97" s="38">
        <f>I89+I90+I92+I93+I94+I95</f>
        <v>759.07999999999993</v>
      </c>
      <c r="I97" s="38"/>
      <c r="J97" s="38">
        <f>K89+K90+K92+K93+K94+K95</f>
        <v>10545.07</v>
      </c>
      <c r="K97" s="38"/>
      <c r="O97" s="25">
        <f>I89+I90+I92+I93+I94+I95</f>
        <v>759.07999999999993</v>
      </c>
      <c r="P97" s="25">
        <f>K89+K90+K92+K93+K94+K95</f>
        <v>10545.07</v>
      </c>
      <c r="X97">
        <f>IF(Source!BI85&lt;=1,I89+I90+I92+I93+I94+I95-0, 0)</f>
        <v>0</v>
      </c>
      <c r="Y97">
        <f>IF(Source!BI85=2,I89+I90+I92+I93+I94+I95-0, 0)</f>
        <v>759.07999999999993</v>
      </c>
      <c r="Z97">
        <f>IF(Source!BI85=3,I89+I90+I92+I93+I94+I95-0, 0)</f>
        <v>0</v>
      </c>
      <c r="AA97">
        <f>IF(Source!BI85=4,I89+I90+I92+I93+I94+I95,0)</f>
        <v>0</v>
      </c>
    </row>
    <row r="98" spans="1:27" ht="28.5" x14ac:dyDescent="0.2">
      <c r="A98" s="18" t="str">
        <f>Source!E87</f>
        <v>5</v>
      </c>
      <c r="B98" s="19" t="str">
        <f>Source!F87</f>
        <v>1.1-1-766</v>
      </c>
      <c r="C98" s="19" t="s">
        <v>39</v>
      </c>
      <c r="D98" s="21" t="str">
        <f>Source!H87</f>
        <v>м3</v>
      </c>
      <c r="E98" s="20">
        <f>Source!I87</f>
        <v>12.05</v>
      </c>
      <c r="F98" s="23">
        <f>Source!AL87</f>
        <v>104.99</v>
      </c>
      <c r="G98" s="22" t="str">
        <f>Source!DD87</f>
        <v/>
      </c>
      <c r="H98" s="20">
        <f>Source!AW87</f>
        <v>1</v>
      </c>
      <c r="I98" s="24">
        <f>ROUND((ROUND((Source!AC87*Source!AW87*Source!I87),2)),2)</f>
        <v>1265.1300000000001</v>
      </c>
      <c r="J98" s="20">
        <f>IF(Source!BC87&lt;&gt; 0, Source!BC87, 1)</f>
        <v>5.25</v>
      </c>
      <c r="K98" s="24">
        <f>Source!P87</f>
        <v>6641.93</v>
      </c>
      <c r="Q98">
        <f>ROUND((Source!DN87/100)*ROUND((ROUND((Source!AF87*Source!AV87*Source!I87),2)),2), 2)</f>
        <v>0</v>
      </c>
      <c r="R98">
        <f>Source!X87</f>
        <v>0</v>
      </c>
      <c r="S98">
        <f>ROUND((Source!DO87/100)*ROUND((ROUND((Source!AF87*Source!AV87*Source!I87),2)),2), 2)</f>
        <v>0</v>
      </c>
      <c r="T98">
        <f>Source!Y87</f>
        <v>0</v>
      </c>
      <c r="U98">
        <f>ROUND((175/100)*ROUND((ROUND((Source!AE87*Source!AV87*Source!I87),2)),2), 2)</f>
        <v>0</v>
      </c>
      <c r="V98">
        <f>ROUND((157/100)*ROUND(ROUND((ROUND((Source!AE87*Source!AV87*Source!I87),2)*Source!BS87),2), 2), 2)</f>
        <v>0</v>
      </c>
    </row>
    <row r="99" spans="1:27" ht="15" x14ac:dyDescent="0.25">
      <c r="A99" s="26"/>
      <c r="B99" s="26"/>
      <c r="C99" s="26"/>
      <c r="D99" s="26"/>
      <c r="E99" s="26"/>
      <c r="F99" s="26"/>
      <c r="G99" s="26"/>
      <c r="H99" s="38">
        <f>I98</f>
        <v>1265.1300000000001</v>
      </c>
      <c r="I99" s="38"/>
      <c r="J99" s="38">
        <f>K98</f>
        <v>6641.93</v>
      </c>
      <c r="K99" s="38"/>
      <c r="O99" s="25">
        <f>I98</f>
        <v>1265.1300000000001</v>
      </c>
      <c r="P99" s="25">
        <f>K98</f>
        <v>6641.93</v>
      </c>
      <c r="X99">
        <f>IF(Source!BI87&lt;=1,I98-0, 0)</f>
        <v>1265.1300000000001</v>
      </c>
      <c r="Y99">
        <f>IF(Source!BI87=2,I98-0, 0)</f>
        <v>0</v>
      </c>
      <c r="Z99">
        <f>IF(Source!BI87=3,I98-0, 0)</f>
        <v>0</v>
      </c>
      <c r="AA99">
        <f>IF(Source!BI87=4,I98,0)</f>
        <v>0</v>
      </c>
    </row>
    <row r="100" spans="1:27" ht="57" x14ac:dyDescent="0.2">
      <c r="A100" s="18" t="str">
        <f>Source!E88</f>
        <v>6</v>
      </c>
      <c r="B100" s="19" t="str">
        <f>Source!F88</f>
        <v>4.8-308-1</v>
      </c>
      <c r="C100" s="19" t="s">
        <v>180</v>
      </c>
      <c r="D100" s="21" t="str">
        <f>Source!H88</f>
        <v>100 м</v>
      </c>
      <c r="E100" s="20">
        <f>Source!I88</f>
        <v>4.4676</v>
      </c>
      <c r="F100" s="23"/>
      <c r="G100" s="22"/>
      <c r="H100" s="20"/>
      <c r="I100" s="24"/>
      <c r="J100" s="20"/>
      <c r="K100" s="24"/>
      <c r="Q100">
        <f>ROUND((Source!DN88/100)*ROUND((ROUND((Source!AF88*Source!AV88*Source!I88),2)),2), 2)</f>
        <v>2805.04</v>
      </c>
      <c r="R100">
        <f>Source!X88</f>
        <v>48304.3</v>
      </c>
      <c r="S100">
        <f>ROUND((Source!DO88/100)*ROUND((ROUND((Source!AF88*Source!AV88*Source!I88),2)),2), 2)</f>
        <v>1753.15</v>
      </c>
      <c r="T100">
        <f>Source!Y88</f>
        <v>23078.720000000001</v>
      </c>
      <c r="U100">
        <f>ROUND((175/100)*ROUND((ROUND((Source!AE88*Source!AV88*Source!I88),2)),2), 2)</f>
        <v>599.95000000000005</v>
      </c>
      <c r="V100">
        <f>ROUND((157/100)*ROUND(ROUND((ROUND((Source!AE88*Source!AV88*Source!I88),2)*Source!BS88),2), 2), 2)</f>
        <v>11534.55</v>
      </c>
    </row>
    <row r="101" spans="1:27" ht="14.25" x14ac:dyDescent="0.2">
      <c r="A101" s="18"/>
      <c r="B101" s="19"/>
      <c r="C101" s="19" t="s">
        <v>430</v>
      </c>
      <c r="D101" s="21"/>
      <c r="E101" s="20"/>
      <c r="F101" s="23">
        <f>Source!AO88</f>
        <v>387.99</v>
      </c>
      <c r="G101" s="22" t="str">
        <f>Source!DG88</f>
        <v>*1,2*1,15</v>
      </c>
      <c r="H101" s="20">
        <f>Source!AV88</f>
        <v>1.0469999999999999</v>
      </c>
      <c r="I101" s="24">
        <f>ROUND((ROUND((Source!AF88*Source!AV88*Source!I88),2)),2)</f>
        <v>2504.5</v>
      </c>
      <c r="J101" s="20">
        <f>IF(Source!BA88&lt;&gt; 0, Source!BA88, 1)</f>
        <v>21.43</v>
      </c>
      <c r="K101" s="24">
        <f>Source!S88</f>
        <v>53671.44</v>
      </c>
      <c r="W101">
        <f>I101</f>
        <v>2504.5</v>
      </c>
    </row>
    <row r="102" spans="1:27" ht="14.25" x14ac:dyDescent="0.2">
      <c r="A102" s="18"/>
      <c r="B102" s="19"/>
      <c r="C102" s="19" t="s">
        <v>439</v>
      </c>
      <c r="D102" s="21"/>
      <c r="E102" s="20"/>
      <c r="F102" s="23">
        <f>Source!AM88</f>
        <v>267.52</v>
      </c>
      <c r="G102" s="22" t="str">
        <f>Source!DE88</f>
        <v>*1,2*1,15</v>
      </c>
      <c r="H102" s="20">
        <f>Source!AV88</f>
        <v>1.0469999999999999</v>
      </c>
      <c r="I102" s="24">
        <f>(ROUND((ROUND((((Source!ET88*1.2*1.15))*Source!AV88*Source!I88),2)),2)+ROUND((ROUND(((Source!AE88-((Source!EU88*1.2*1.15)))*Source!AV88*Source!I88),2)),2))</f>
        <v>1726.86</v>
      </c>
      <c r="J102" s="20">
        <f>IF(Source!BB88&lt;&gt; 0, Source!BB88, 1)</f>
        <v>8.4700000000000006</v>
      </c>
      <c r="K102" s="24">
        <f>Source!Q88</f>
        <v>14626.5</v>
      </c>
    </row>
    <row r="103" spans="1:27" ht="14.25" x14ac:dyDescent="0.2">
      <c r="A103" s="18"/>
      <c r="B103" s="19"/>
      <c r="C103" s="19" t="s">
        <v>440</v>
      </c>
      <c r="D103" s="21"/>
      <c r="E103" s="20"/>
      <c r="F103" s="23">
        <f>Source!AN88</f>
        <v>53.11</v>
      </c>
      <c r="G103" s="22" t="str">
        <f>Source!DF88</f>
        <v>*1,2*1,15</v>
      </c>
      <c r="H103" s="20">
        <f>Source!AV88</f>
        <v>1.0469999999999999</v>
      </c>
      <c r="I103" s="28">
        <f>ROUND((ROUND((Source!AE88*Source!AV88*Source!I88),2)),2)</f>
        <v>342.83</v>
      </c>
      <c r="J103" s="20">
        <f>IF(Source!BS88&lt;&gt; 0, Source!BS88, 1)</f>
        <v>21.43</v>
      </c>
      <c r="K103" s="28">
        <f>Source!R88</f>
        <v>7346.85</v>
      </c>
      <c r="W103">
        <f>I103</f>
        <v>342.83</v>
      </c>
    </row>
    <row r="104" spans="1:27" ht="14.25" x14ac:dyDescent="0.2">
      <c r="A104" s="18"/>
      <c r="B104" s="19"/>
      <c r="C104" s="19" t="s">
        <v>436</v>
      </c>
      <c r="D104" s="21"/>
      <c r="E104" s="20"/>
      <c r="F104" s="23">
        <f>Source!AL88</f>
        <v>51.62</v>
      </c>
      <c r="G104" s="22" t="str">
        <f>Source!DD88</f>
        <v/>
      </c>
      <c r="H104" s="20">
        <f>Source!AW88</f>
        <v>1</v>
      </c>
      <c r="I104" s="24">
        <f>ROUND((ROUND((Source!AC88*Source!AW88*Source!I88),2)),2)</f>
        <v>230.62</v>
      </c>
      <c r="J104" s="20">
        <f>IF(Source!BC88&lt;&gt; 0, Source!BC88, 1)</f>
        <v>5.36</v>
      </c>
      <c r="K104" s="24">
        <f>Source!P88</f>
        <v>1236.1199999999999</v>
      </c>
    </row>
    <row r="105" spans="1:27" ht="14.25" x14ac:dyDescent="0.2">
      <c r="A105" s="18"/>
      <c r="B105" s="19"/>
      <c r="C105" s="19" t="s">
        <v>431</v>
      </c>
      <c r="D105" s="21" t="s">
        <v>432</v>
      </c>
      <c r="E105" s="20">
        <f>Source!DN88</f>
        <v>112</v>
      </c>
      <c r="F105" s="23"/>
      <c r="G105" s="22"/>
      <c r="H105" s="20"/>
      <c r="I105" s="24">
        <f>SUM(Q100:Q104)</f>
        <v>2805.04</v>
      </c>
      <c r="J105" s="20">
        <f>Source!BZ88</f>
        <v>90</v>
      </c>
      <c r="K105" s="24">
        <f>SUM(R100:R104)</f>
        <v>48304.3</v>
      </c>
    </row>
    <row r="106" spans="1:27" ht="14.25" x14ac:dyDescent="0.2">
      <c r="A106" s="18"/>
      <c r="B106" s="19"/>
      <c r="C106" s="19" t="s">
        <v>433</v>
      </c>
      <c r="D106" s="21" t="s">
        <v>432</v>
      </c>
      <c r="E106" s="20">
        <f>Source!DO88</f>
        <v>70</v>
      </c>
      <c r="F106" s="23"/>
      <c r="G106" s="22"/>
      <c r="H106" s="20"/>
      <c r="I106" s="24">
        <f>SUM(S100:S105)</f>
        <v>1753.15</v>
      </c>
      <c r="J106" s="20">
        <f>Source!CA88</f>
        <v>43</v>
      </c>
      <c r="K106" s="24">
        <f>SUM(T100:T105)</f>
        <v>23078.720000000001</v>
      </c>
    </row>
    <row r="107" spans="1:27" ht="14.25" x14ac:dyDescent="0.2">
      <c r="A107" s="18"/>
      <c r="B107" s="19"/>
      <c r="C107" s="19" t="s">
        <v>441</v>
      </c>
      <c r="D107" s="21" t="s">
        <v>432</v>
      </c>
      <c r="E107" s="20">
        <f>175</f>
        <v>175</v>
      </c>
      <c r="F107" s="23"/>
      <c r="G107" s="22"/>
      <c r="H107" s="20"/>
      <c r="I107" s="24">
        <f>SUM(U100:U106)</f>
        <v>599.95000000000005</v>
      </c>
      <c r="J107" s="20">
        <f>157</f>
        <v>157</v>
      </c>
      <c r="K107" s="24">
        <f>SUM(V100:V106)</f>
        <v>11534.55</v>
      </c>
    </row>
    <row r="108" spans="1:27" ht="14.25" x14ac:dyDescent="0.2">
      <c r="A108" s="18"/>
      <c r="B108" s="19"/>
      <c r="C108" s="19" t="s">
        <v>434</v>
      </c>
      <c r="D108" s="21" t="s">
        <v>435</v>
      </c>
      <c r="E108" s="20">
        <f>Source!AQ88</f>
        <v>30.93</v>
      </c>
      <c r="F108" s="23"/>
      <c r="G108" s="22" t="str">
        <f>Source!DI88</f>
        <v>*1,2*1,15</v>
      </c>
      <c r="H108" s="20">
        <f>Source!AV88</f>
        <v>1.0469999999999999</v>
      </c>
      <c r="I108" s="24">
        <f>Source!U88</f>
        <v>199.65489865847999</v>
      </c>
      <c r="J108" s="20"/>
      <c r="K108" s="24"/>
    </row>
    <row r="109" spans="1:27" ht="15" x14ac:dyDescent="0.25">
      <c r="A109" s="26"/>
      <c r="B109" s="26"/>
      <c r="C109" s="26"/>
      <c r="D109" s="26"/>
      <c r="E109" s="26"/>
      <c r="F109" s="26"/>
      <c r="G109" s="26"/>
      <c r="H109" s="38">
        <f>I101+I102+I104+I105+I106+I107</f>
        <v>9620.1200000000008</v>
      </c>
      <c r="I109" s="38"/>
      <c r="J109" s="38">
        <f>K101+K102+K104+K105+K106+K107</f>
        <v>152451.63</v>
      </c>
      <c r="K109" s="38"/>
      <c r="O109" s="25">
        <f>I101+I102+I104+I105+I106+I107</f>
        <v>9620.1200000000008</v>
      </c>
      <c r="P109" s="25">
        <f>K101+K102+K104+K105+K106+K107</f>
        <v>152451.63</v>
      </c>
      <c r="X109">
        <f>IF(Source!BI88&lt;=1,I101+I102+I104+I105+I106+I107-0, 0)</f>
        <v>0</v>
      </c>
      <c r="Y109">
        <f>IF(Source!BI88=2,I101+I102+I104+I105+I106+I107-0, 0)</f>
        <v>9620.1200000000008</v>
      </c>
      <c r="Z109">
        <f>IF(Source!BI88=3,I101+I102+I104+I105+I106+I107-0, 0)</f>
        <v>0</v>
      </c>
      <c r="AA109">
        <f>IF(Source!BI88=4,I101+I102+I104+I105+I106+I107,0)</f>
        <v>0</v>
      </c>
    </row>
    <row r="110" spans="1:27" ht="42.75" x14ac:dyDescent="0.2">
      <c r="A110" s="18" t="str">
        <f>Source!E90</f>
        <v>8</v>
      </c>
      <c r="B110" s="19" t="str">
        <f>Source!F90</f>
        <v>4.8-80-4</v>
      </c>
      <c r="C110" s="19" t="s">
        <v>187</v>
      </c>
      <c r="D110" s="21" t="str">
        <f>Source!H90</f>
        <v>100 М КАБЕЛЯ</v>
      </c>
      <c r="E110" s="20">
        <f>Source!I90</f>
        <v>18.2988</v>
      </c>
      <c r="F110" s="23"/>
      <c r="G110" s="22"/>
      <c r="H110" s="20"/>
      <c r="I110" s="24"/>
      <c r="J110" s="20"/>
      <c r="K110" s="24"/>
      <c r="Q110">
        <f>ROUND((Source!DN90/100)*ROUND((ROUND((Source!AF90*Source!AV90*Source!I90),2)),2), 2)</f>
        <v>9227.69</v>
      </c>
      <c r="R110">
        <f>Source!X90</f>
        <v>158905.78</v>
      </c>
      <c r="S110">
        <f>ROUND((Source!DO90/100)*ROUND((ROUND((Source!AF90*Source!AV90*Source!I90),2)),2), 2)</f>
        <v>5767.31</v>
      </c>
      <c r="T110">
        <f>Source!Y90</f>
        <v>75921.649999999994</v>
      </c>
      <c r="U110">
        <f>ROUND((175/100)*ROUND((ROUND((Source!AE90*Source!AV90*Source!I90),2)),2), 2)</f>
        <v>1404.67</v>
      </c>
      <c r="V110">
        <f>ROUND((157/100)*ROUND(ROUND((ROUND((Source!AE90*Source!AV90*Source!I90),2)*Source!BS90),2), 2), 2)</f>
        <v>27005.919999999998</v>
      </c>
    </row>
    <row r="111" spans="1:27" ht="14.25" x14ac:dyDescent="0.2">
      <c r="A111" s="18"/>
      <c r="B111" s="19"/>
      <c r="C111" s="19" t="s">
        <v>430</v>
      </c>
      <c r="D111" s="21"/>
      <c r="E111" s="20"/>
      <c r="F111" s="23">
        <f>Source!AO90</f>
        <v>305.77999999999997</v>
      </c>
      <c r="G111" s="22" t="str">
        <f>Source!DG90</f>
        <v>*1,2*1,15</v>
      </c>
      <c r="H111" s="20">
        <f>Source!AV90</f>
        <v>1.0669999999999999</v>
      </c>
      <c r="I111" s="24">
        <f>ROUND((ROUND((Source!AF90*Source!AV90*Source!I90),2)),2)</f>
        <v>8239.01</v>
      </c>
      <c r="J111" s="20">
        <f>IF(Source!BA90&lt;&gt; 0, Source!BA90, 1)</f>
        <v>21.43</v>
      </c>
      <c r="K111" s="24">
        <f>Source!S90</f>
        <v>176561.98</v>
      </c>
      <c r="W111">
        <f>I111</f>
        <v>8239.01</v>
      </c>
    </row>
    <row r="112" spans="1:27" ht="14.25" x14ac:dyDescent="0.2">
      <c r="A112" s="18"/>
      <c r="B112" s="19"/>
      <c r="C112" s="19" t="s">
        <v>439</v>
      </c>
      <c r="D112" s="21"/>
      <c r="E112" s="20"/>
      <c r="F112" s="23">
        <f>Source!AM90</f>
        <v>130.57</v>
      </c>
      <c r="G112" s="22" t="str">
        <f>Source!DE90</f>
        <v>*1,2*1,15</v>
      </c>
      <c r="H112" s="20">
        <f>Source!AV90</f>
        <v>1.0669999999999999</v>
      </c>
      <c r="I112" s="24">
        <f>(ROUND((ROUND((((Source!ET90*1.2*1.15))*Source!AV90*Source!I90),2)),2)+ROUND((ROUND(((Source!AE90-((Source!EU90*1.2*1.15)))*Source!AV90*Source!I90),2)),2))</f>
        <v>3518.11</v>
      </c>
      <c r="J112" s="20">
        <f>IF(Source!BB90&lt;&gt; 0, Source!BB90, 1)</f>
        <v>8.9499999999999993</v>
      </c>
      <c r="K112" s="24">
        <f>Source!Q90</f>
        <v>31487.08</v>
      </c>
    </row>
    <row r="113" spans="1:27" ht="14.25" x14ac:dyDescent="0.2">
      <c r="A113" s="18"/>
      <c r="B113" s="19"/>
      <c r="C113" s="19" t="s">
        <v>440</v>
      </c>
      <c r="D113" s="21"/>
      <c r="E113" s="20"/>
      <c r="F113" s="23">
        <f>Source!AN90</f>
        <v>29.79</v>
      </c>
      <c r="G113" s="22" t="str">
        <f>Source!DF90</f>
        <v>*1,2*1,15</v>
      </c>
      <c r="H113" s="20">
        <f>Source!AV90</f>
        <v>1.0669999999999999</v>
      </c>
      <c r="I113" s="28">
        <f>ROUND((ROUND((Source!AE90*Source!AV90*Source!I90),2)),2)</f>
        <v>802.67</v>
      </c>
      <c r="J113" s="20">
        <f>IF(Source!BS90&lt;&gt; 0, Source!BS90, 1)</f>
        <v>21.43</v>
      </c>
      <c r="K113" s="28">
        <f>Source!R90</f>
        <v>17201.22</v>
      </c>
      <c r="W113">
        <f>I113</f>
        <v>802.67</v>
      </c>
    </row>
    <row r="114" spans="1:27" ht="14.25" x14ac:dyDescent="0.2">
      <c r="A114" s="18"/>
      <c r="B114" s="19"/>
      <c r="C114" s="19" t="s">
        <v>436</v>
      </c>
      <c r="D114" s="21"/>
      <c r="E114" s="20"/>
      <c r="F114" s="23">
        <f>Source!AL90</f>
        <v>36.19</v>
      </c>
      <c r="G114" s="22" t="str">
        <f>Source!DD90</f>
        <v/>
      </c>
      <c r="H114" s="20">
        <f>Source!AW90</f>
        <v>1.081</v>
      </c>
      <c r="I114" s="24">
        <f>ROUND((ROUND((Source!AC90*Source!AW90*Source!I90),2)),2)</f>
        <v>715.87</v>
      </c>
      <c r="J114" s="20">
        <f>IF(Source!BC90&lt;&gt; 0, Source!BC90, 1)</f>
        <v>5.36</v>
      </c>
      <c r="K114" s="24">
        <f>Source!P90</f>
        <v>3837.06</v>
      </c>
    </row>
    <row r="115" spans="1:27" ht="14.25" x14ac:dyDescent="0.2">
      <c r="A115" s="18"/>
      <c r="B115" s="19"/>
      <c r="C115" s="19" t="s">
        <v>431</v>
      </c>
      <c r="D115" s="21" t="s">
        <v>432</v>
      </c>
      <c r="E115" s="20">
        <f>Source!DN90</f>
        <v>112</v>
      </c>
      <c r="F115" s="23"/>
      <c r="G115" s="22"/>
      <c r="H115" s="20"/>
      <c r="I115" s="24">
        <f>SUM(Q110:Q114)</f>
        <v>9227.69</v>
      </c>
      <c r="J115" s="20">
        <f>Source!BZ90</f>
        <v>90</v>
      </c>
      <c r="K115" s="24">
        <f>SUM(R110:R114)</f>
        <v>158905.78</v>
      </c>
    </row>
    <row r="116" spans="1:27" ht="14.25" x14ac:dyDescent="0.2">
      <c r="A116" s="18"/>
      <c r="B116" s="19"/>
      <c r="C116" s="19" t="s">
        <v>433</v>
      </c>
      <c r="D116" s="21" t="s">
        <v>432</v>
      </c>
      <c r="E116" s="20">
        <f>Source!DO90</f>
        <v>70</v>
      </c>
      <c r="F116" s="23"/>
      <c r="G116" s="22"/>
      <c r="H116" s="20"/>
      <c r="I116" s="24">
        <f>SUM(S110:S115)</f>
        <v>5767.31</v>
      </c>
      <c r="J116" s="20">
        <f>Source!CA90</f>
        <v>43</v>
      </c>
      <c r="K116" s="24">
        <f>SUM(T110:T115)</f>
        <v>75921.649999999994</v>
      </c>
    </row>
    <row r="117" spans="1:27" ht="14.25" x14ac:dyDescent="0.2">
      <c r="A117" s="18"/>
      <c r="B117" s="19"/>
      <c r="C117" s="19" t="s">
        <v>441</v>
      </c>
      <c r="D117" s="21" t="s">
        <v>432</v>
      </c>
      <c r="E117" s="20">
        <f>175</f>
        <v>175</v>
      </c>
      <c r="F117" s="23"/>
      <c r="G117" s="22"/>
      <c r="H117" s="20"/>
      <c r="I117" s="24">
        <f>SUM(U110:U116)</f>
        <v>1404.67</v>
      </c>
      <c r="J117" s="20">
        <f>157</f>
        <v>157</v>
      </c>
      <c r="K117" s="24">
        <f>SUM(V110:V116)</f>
        <v>27005.919999999998</v>
      </c>
    </row>
    <row r="118" spans="1:27" ht="14.25" x14ac:dyDescent="0.2">
      <c r="A118" s="18"/>
      <c r="B118" s="19"/>
      <c r="C118" s="19" t="s">
        <v>434</v>
      </c>
      <c r="D118" s="21" t="s">
        <v>435</v>
      </c>
      <c r="E118" s="20">
        <f>Source!AQ90</f>
        <v>24.8</v>
      </c>
      <c r="F118" s="23"/>
      <c r="G118" s="22" t="str">
        <f>Source!DI90</f>
        <v>*1,2*1,15</v>
      </c>
      <c r="H118" s="20">
        <f>Source!AV90</f>
        <v>1.0669999999999999</v>
      </c>
      <c r="I118" s="24">
        <f>Source!U90</f>
        <v>668.21742599039999</v>
      </c>
      <c r="J118" s="20"/>
      <c r="K118" s="24"/>
    </row>
    <row r="119" spans="1:27" ht="15" x14ac:dyDescent="0.25">
      <c r="A119" s="26"/>
      <c r="B119" s="26"/>
      <c r="C119" s="26"/>
      <c r="D119" s="26"/>
      <c r="E119" s="26"/>
      <c r="F119" s="26"/>
      <c r="G119" s="26"/>
      <c r="H119" s="38">
        <f>I111+I112+I114+I115+I116+I117</f>
        <v>28872.660000000003</v>
      </c>
      <c r="I119" s="38"/>
      <c r="J119" s="38">
        <f>K111+K112+K114+K115+K116+K117</f>
        <v>473719.47000000003</v>
      </c>
      <c r="K119" s="38"/>
      <c r="O119" s="25">
        <f>I111+I112+I114+I115+I116+I117</f>
        <v>28872.660000000003</v>
      </c>
      <c r="P119" s="25">
        <f>K111+K112+K114+K115+K116+K117</f>
        <v>473719.47000000003</v>
      </c>
      <c r="X119">
        <f>IF(Source!BI90&lt;=1,I111+I112+I114+I115+I116+I117-0, 0)</f>
        <v>0</v>
      </c>
      <c r="Y119">
        <f>IF(Source!BI90=2,I111+I112+I114+I115+I116+I117-0, 0)</f>
        <v>28872.660000000003</v>
      </c>
      <c r="Z119">
        <f>IF(Source!BI90=3,I111+I112+I114+I115+I116+I117-0, 0)</f>
        <v>0</v>
      </c>
      <c r="AA119">
        <f>IF(Source!BI90=4,I111+I112+I114+I115+I116+I117,0)</f>
        <v>0</v>
      </c>
    </row>
    <row r="120" spans="1:27" ht="42.75" x14ac:dyDescent="0.2">
      <c r="A120" s="18" t="str">
        <f>Source!E91</f>
        <v>9</v>
      </c>
      <c r="B120" s="19" t="str">
        <f>Source!F91</f>
        <v>4.8-80-4</v>
      </c>
      <c r="C120" s="19" t="s">
        <v>189</v>
      </c>
      <c r="D120" s="21" t="str">
        <f>Source!H91</f>
        <v>100 М КАБЕЛЯ</v>
      </c>
      <c r="E120" s="20">
        <f>Source!I91</f>
        <v>6.2423999999999999</v>
      </c>
      <c r="F120" s="23"/>
      <c r="G120" s="22"/>
      <c r="H120" s="20"/>
      <c r="I120" s="24"/>
      <c r="J120" s="20"/>
      <c r="K120" s="24"/>
      <c r="Q120">
        <f>ROUND((Source!DN91/100)*ROUND((ROUND((Source!AF91*Source!AV91*Source!I91),2)),2), 2)</f>
        <v>3147.91</v>
      </c>
      <c r="R120">
        <f>Source!X91</f>
        <v>54208.62</v>
      </c>
      <c r="S120">
        <f>ROUND((Source!DO91/100)*ROUND((ROUND((Source!AF91*Source!AV91*Source!I91),2)),2), 2)</f>
        <v>1967.44</v>
      </c>
      <c r="T120">
        <f>Source!Y91</f>
        <v>25899.67</v>
      </c>
      <c r="U120">
        <f>ROUND((175/100)*ROUND((ROUND((Source!AE91*Source!AV91*Source!I91),2)),2), 2)</f>
        <v>479.19</v>
      </c>
      <c r="V120">
        <f>ROUND((157/100)*ROUND(ROUND((ROUND((Source!AE91*Source!AV91*Source!I91),2)*Source!BS91),2), 2), 2)</f>
        <v>9212.7000000000007</v>
      </c>
    </row>
    <row r="121" spans="1:27" ht="14.25" x14ac:dyDescent="0.2">
      <c r="A121" s="18"/>
      <c r="B121" s="19"/>
      <c r="C121" s="19" t="s">
        <v>430</v>
      </c>
      <c r="D121" s="21"/>
      <c r="E121" s="20"/>
      <c r="F121" s="23">
        <f>Source!AO91</f>
        <v>305.77999999999997</v>
      </c>
      <c r="G121" s="22" t="str">
        <f>Source!DG91</f>
        <v>*1,2*1,15</v>
      </c>
      <c r="H121" s="20">
        <f>Source!AV91</f>
        <v>1.0669999999999999</v>
      </c>
      <c r="I121" s="24">
        <f>ROUND((ROUND((Source!AF91*Source!AV91*Source!I91),2)),2)</f>
        <v>2810.63</v>
      </c>
      <c r="J121" s="20">
        <f>IF(Source!BA91&lt;&gt; 0, Source!BA91, 1)</f>
        <v>21.43</v>
      </c>
      <c r="K121" s="24">
        <f>Source!S91</f>
        <v>60231.8</v>
      </c>
      <c r="W121">
        <f>I121</f>
        <v>2810.63</v>
      </c>
    </row>
    <row r="122" spans="1:27" ht="14.25" x14ac:dyDescent="0.2">
      <c r="A122" s="18"/>
      <c r="B122" s="19"/>
      <c r="C122" s="19" t="s">
        <v>439</v>
      </c>
      <c r="D122" s="21"/>
      <c r="E122" s="20"/>
      <c r="F122" s="23">
        <f>Source!AM91</f>
        <v>130.57</v>
      </c>
      <c r="G122" s="22" t="str">
        <f>Source!DE91</f>
        <v>*1,2*1,15</v>
      </c>
      <c r="H122" s="20">
        <f>Source!AV91</f>
        <v>1.0669999999999999</v>
      </c>
      <c r="I122" s="24">
        <f>(ROUND((ROUND((((Source!ET91*1.2*1.15))*Source!AV91*Source!I91),2)),2)+ROUND((ROUND(((Source!AE91-((Source!EU91*1.2*1.15)))*Source!AV91*Source!I91),2)),2))</f>
        <v>1200.1600000000001</v>
      </c>
      <c r="J122" s="20">
        <f>IF(Source!BB91&lt;&gt; 0, Source!BB91, 1)</f>
        <v>8.9499999999999993</v>
      </c>
      <c r="K122" s="24">
        <f>Source!Q91</f>
        <v>10741.43</v>
      </c>
    </row>
    <row r="123" spans="1:27" ht="14.25" x14ac:dyDescent="0.2">
      <c r="A123" s="18"/>
      <c r="B123" s="19"/>
      <c r="C123" s="19" t="s">
        <v>440</v>
      </c>
      <c r="D123" s="21"/>
      <c r="E123" s="20"/>
      <c r="F123" s="23">
        <f>Source!AN91</f>
        <v>29.79</v>
      </c>
      <c r="G123" s="22" t="str">
        <f>Source!DF91</f>
        <v>*1,2*1,15</v>
      </c>
      <c r="H123" s="20">
        <f>Source!AV91</f>
        <v>1.0669999999999999</v>
      </c>
      <c r="I123" s="28">
        <f>ROUND((ROUND((Source!AE91*Source!AV91*Source!I91),2)),2)</f>
        <v>273.82</v>
      </c>
      <c r="J123" s="20">
        <f>IF(Source!BS91&lt;&gt; 0, Source!BS91, 1)</f>
        <v>21.43</v>
      </c>
      <c r="K123" s="28">
        <f>Source!R91</f>
        <v>5867.96</v>
      </c>
      <c r="W123">
        <f>I123</f>
        <v>273.82</v>
      </c>
    </row>
    <row r="124" spans="1:27" ht="14.25" x14ac:dyDescent="0.2">
      <c r="A124" s="18"/>
      <c r="B124" s="19"/>
      <c r="C124" s="19" t="s">
        <v>436</v>
      </c>
      <c r="D124" s="21"/>
      <c r="E124" s="20"/>
      <c r="F124" s="23">
        <f>Source!AL91</f>
        <v>36.19</v>
      </c>
      <c r="G124" s="22" t="str">
        <f>Source!DD91</f>
        <v/>
      </c>
      <c r="H124" s="20">
        <f>Source!AW91</f>
        <v>1.081</v>
      </c>
      <c r="I124" s="24">
        <f>ROUND((ROUND((Source!AC91*Source!AW91*Source!I91),2)),2)</f>
        <v>244.21</v>
      </c>
      <c r="J124" s="20">
        <f>IF(Source!BC91&lt;&gt; 0, Source!BC91, 1)</f>
        <v>5.36</v>
      </c>
      <c r="K124" s="24">
        <f>Source!P91</f>
        <v>1308.97</v>
      </c>
    </row>
    <row r="125" spans="1:27" ht="14.25" x14ac:dyDescent="0.2">
      <c r="A125" s="18"/>
      <c r="B125" s="19"/>
      <c r="C125" s="19" t="s">
        <v>431</v>
      </c>
      <c r="D125" s="21" t="s">
        <v>432</v>
      </c>
      <c r="E125" s="20">
        <f>Source!DN91</f>
        <v>112</v>
      </c>
      <c r="F125" s="23"/>
      <c r="G125" s="22"/>
      <c r="H125" s="20"/>
      <c r="I125" s="24">
        <f>SUM(Q120:Q124)</f>
        <v>3147.91</v>
      </c>
      <c r="J125" s="20">
        <f>Source!BZ91</f>
        <v>90</v>
      </c>
      <c r="K125" s="24">
        <f>SUM(R120:R124)</f>
        <v>54208.62</v>
      </c>
    </row>
    <row r="126" spans="1:27" ht="14.25" x14ac:dyDescent="0.2">
      <c r="A126" s="18"/>
      <c r="B126" s="19"/>
      <c r="C126" s="19" t="s">
        <v>433</v>
      </c>
      <c r="D126" s="21" t="s">
        <v>432</v>
      </c>
      <c r="E126" s="20">
        <f>Source!DO91</f>
        <v>70</v>
      </c>
      <c r="F126" s="23"/>
      <c r="G126" s="22"/>
      <c r="H126" s="20"/>
      <c r="I126" s="24">
        <f>SUM(S120:S125)</f>
        <v>1967.44</v>
      </c>
      <c r="J126" s="20">
        <f>Source!CA91</f>
        <v>43</v>
      </c>
      <c r="K126" s="24">
        <f>SUM(T120:T125)</f>
        <v>25899.67</v>
      </c>
    </row>
    <row r="127" spans="1:27" ht="14.25" x14ac:dyDescent="0.2">
      <c r="A127" s="18"/>
      <c r="B127" s="19"/>
      <c r="C127" s="19" t="s">
        <v>441</v>
      </c>
      <c r="D127" s="21" t="s">
        <v>432</v>
      </c>
      <c r="E127" s="20">
        <f>175</f>
        <v>175</v>
      </c>
      <c r="F127" s="23"/>
      <c r="G127" s="22"/>
      <c r="H127" s="20"/>
      <c r="I127" s="24">
        <f>SUM(U120:U126)</f>
        <v>479.19</v>
      </c>
      <c r="J127" s="20">
        <f>157</f>
        <v>157</v>
      </c>
      <c r="K127" s="24">
        <f>SUM(V120:V126)</f>
        <v>9212.7000000000007</v>
      </c>
    </row>
    <row r="128" spans="1:27" ht="14.25" x14ac:dyDescent="0.2">
      <c r="A128" s="18"/>
      <c r="B128" s="19"/>
      <c r="C128" s="19" t="s">
        <v>434</v>
      </c>
      <c r="D128" s="21" t="s">
        <v>435</v>
      </c>
      <c r="E128" s="20">
        <f>Source!AQ91</f>
        <v>24.8</v>
      </c>
      <c r="F128" s="23"/>
      <c r="G128" s="22" t="str">
        <f>Source!DI91</f>
        <v>*1,2*1,15</v>
      </c>
      <c r="H128" s="20">
        <f>Source!AV91</f>
        <v>1.0669999999999999</v>
      </c>
      <c r="I128" s="24">
        <f>Source!U91</f>
        <v>227.95377073919997</v>
      </c>
      <c r="J128" s="20"/>
      <c r="K128" s="24"/>
    </row>
    <row r="129" spans="1:27" ht="15" x14ac:dyDescent="0.25">
      <c r="A129" s="26"/>
      <c r="B129" s="26"/>
      <c r="C129" s="26"/>
      <c r="D129" s="26"/>
      <c r="E129" s="26"/>
      <c r="F129" s="26"/>
      <c r="G129" s="26"/>
      <c r="H129" s="38">
        <f>I121+I122+I124+I125+I126+I127</f>
        <v>9849.5400000000009</v>
      </c>
      <c r="I129" s="38"/>
      <c r="J129" s="38">
        <f>K121+K122+K124+K125+K126+K127</f>
        <v>161603.19</v>
      </c>
      <c r="K129" s="38"/>
      <c r="O129" s="25">
        <f>I121+I122+I124+I125+I126+I127</f>
        <v>9849.5400000000009</v>
      </c>
      <c r="P129" s="25">
        <f>K121+K122+K124+K125+K126+K127</f>
        <v>161603.19</v>
      </c>
      <c r="X129">
        <f>IF(Source!BI91&lt;=1,I121+I122+I124+I125+I126+I127-0, 0)</f>
        <v>0</v>
      </c>
      <c r="Y129">
        <f>IF(Source!BI91=2,I121+I122+I124+I125+I126+I127-0, 0)</f>
        <v>9849.5400000000009</v>
      </c>
      <c r="Z129">
        <f>IF(Source!BI91=3,I121+I122+I124+I125+I126+I127-0, 0)</f>
        <v>0</v>
      </c>
      <c r="AA129">
        <f>IF(Source!BI91=4,I121+I122+I124+I125+I126+I127,0)</f>
        <v>0</v>
      </c>
    </row>
    <row r="130" spans="1:27" ht="85.5" x14ac:dyDescent="0.2">
      <c r="A130" s="18" t="str">
        <f>Source!E93</f>
        <v>11</v>
      </c>
      <c r="B130" s="19" t="str">
        <f>Source!F93</f>
        <v>4.8-309-1</v>
      </c>
      <c r="C130" s="19" t="s">
        <v>192</v>
      </c>
      <c r="D130" s="21" t="str">
        <f>Source!H93</f>
        <v>100 м</v>
      </c>
      <c r="E130" s="20">
        <f>Source!I93</f>
        <v>2.1930000000000001</v>
      </c>
      <c r="F130" s="23"/>
      <c r="G130" s="22"/>
      <c r="H130" s="20"/>
      <c r="I130" s="24"/>
      <c r="J130" s="20"/>
      <c r="K130" s="24"/>
      <c r="Q130">
        <f>ROUND((Source!DN93/100)*ROUND((ROUND((Source!AF93*Source!AV93*Source!I93),2)),2), 2)</f>
        <v>2331.36</v>
      </c>
      <c r="R130">
        <f>Source!X93</f>
        <v>40147.25</v>
      </c>
      <c r="S130">
        <f>ROUND((Source!DO93/100)*ROUND((ROUND((Source!AF93*Source!AV93*Source!I93),2)),2), 2)</f>
        <v>1457.1</v>
      </c>
      <c r="T130">
        <f>Source!Y93</f>
        <v>19181.46</v>
      </c>
      <c r="U130">
        <f>ROUND((175/100)*ROUND((ROUND((Source!AE93*Source!AV93*Source!I93),2)),2), 2)</f>
        <v>322.61</v>
      </c>
      <c r="V130">
        <f>ROUND((157/100)*ROUND(ROUND((ROUND((Source!AE93*Source!AV93*Source!I93),2)*Source!BS93),2), 2), 2)</f>
        <v>6202.47</v>
      </c>
    </row>
    <row r="131" spans="1:27" ht="14.25" x14ac:dyDescent="0.2">
      <c r="A131" s="18"/>
      <c r="B131" s="19"/>
      <c r="C131" s="19" t="s">
        <v>430</v>
      </c>
      <c r="D131" s="21"/>
      <c r="E131" s="20"/>
      <c r="F131" s="23">
        <f>Source!AO93</f>
        <v>656.94</v>
      </c>
      <c r="G131" s="22" t="str">
        <f>Source!DG93</f>
        <v>*1,2*1,15</v>
      </c>
      <c r="H131" s="20">
        <f>Source!AV93</f>
        <v>1.0469999999999999</v>
      </c>
      <c r="I131" s="24">
        <f>ROUND((ROUND((Source!AF93*Source!AV93*Source!I93),2)),2)</f>
        <v>2081.5700000000002</v>
      </c>
      <c r="J131" s="20">
        <f>IF(Source!BA93&lt;&gt; 0, Source!BA93, 1)</f>
        <v>21.43</v>
      </c>
      <c r="K131" s="24">
        <f>Source!S93</f>
        <v>44608.05</v>
      </c>
      <c r="W131">
        <f>I131</f>
        <v>2081.5700000000002</v>
      </c>
    </row>
    <row r="132" spans="1:27" ht="14.25" x14ac:dyDescent="0.2">
      <c r="A132" s="18"/>
      <c r="B132" s="19"/>
      <c r="C132" s="19" t="s">
        <v>439</v>
      </c>
      <c r="D132" s="21"/>
      <c r="E132" s="20"/>
      <c r="F132" s="23">
        <f>Source!AM93</f>
        <v>293.49</v>
      </c>
      <c r="G132" s="22" t="str">
        <f>Source!DE93</f>
        <v>*1,2*1,15</v>
      </c>
      <c r="H132" s="20">
        <f>Source!AV93</f>
        <v>1.0469999999999999</v>
      </c>
      <c r="I132" s="24">
        <f>(ROUND((ROUND((((Source!ET93*1.2*1.15))*Source!AV93*Source!I93),2)),2)+ROUND((ROUND(((Source!AE93-((Source!EU93*1.2*1.15)))*Source!AV93*Source!I93),2)),2))</f>
        <v>929.95</v>
      </c>
      <c r="J132" s="20">
        <f>IF(Source!BB93&lt;&gt; 0, Source!BB93, 1)</f>
        <v>8.4700000000000006</v>
      </c>
      <c r="K132" s="24">
        <f>Source!Q93</f>
        <v>7876.68</v>
      </c>
    </row>
    <row r="133" spans="1:27" ht="14.25" x14ac:dyDescent="0.2">
      <c r="A133" s="18"/>
      <c r="B133" s="19"/>
      <c r="C133" s="19" t="s">
        <v>440</v>
      </c>
      <c r="D133" s="21"/>
      <c r="E133" s="20"/>
      <c r="F133" s="23">
        <f>Source!AN93</f>
        <v>58.18</v>
      </c>
      <c r="G133" s="22" t="str">
        <f>Source!DF93</f>
        <v>*1,2*1,15</v>
      </c>
      <c r="H133" s="20">
        <f>Source!AV93</f>
        <v>1.0469999999999999</v>
      </c>
      <c r="I133" s="28">
        <f>ROUND((ROUND((Source!AE93*Source!AV93*Source!I93),2)),2)</f>
        <v>184.35</v>
      </c>
      <c r="J133" s="20">
        <f>IF(Source!BS93&lt;&gt; 0, Source!BS93, 1)</f>
        <v>21.43</v>
      </c>
      <c r="K133" s="28">
        <f>Source!R93</f>
        <v>3950.62</v>
      </c>
      <c r="W133">
        <f>I133</f>
        <v>184.35</v>
      </c>
    </row>
    <row r="134" spans="1:27" ht="14.25" x14ac:dyDescent="0.2">
      <c r="A134" s="18"/>
      <c r="B134" s="19"/>
      <c r="C134" s="19" t="s">
        <v>436</v>
      </c>
      <c r="D134" s="21"/>
      <c r="E134" s="20"/>
      <c r="F134" s="23">
        <f>Source!AL93</f>
        <v>188.49</v>
      </c>
      <c r="G134" s="22" t="str">
        <f>Source!DD93</f>
        <v/>
      </c>
      <c r="H134" s="20">
        <f>Source!AW93</f>
        <v>1</v>
      </c>
      <c r="I134" s="24">
        <f>ROUND((ROUND((Source!AC93*Source!AW93*Source!I93),2)),2)</f>
        <v>413.36</v>
      </c>
      <c r="J134" s="20">
        <f>IF(Source!BC93&lt;&gt; 0, Source!BC93, 1)</f>
        <v>5.36</v>
      </c>
      <c r="K134" s="24">
        <f>Source!P93</f>
        <v>2215.61</v>
      </c>
    </row>
    <row r="135" spans="1:27" ht="14.25" x14ac:dyDescent="0.2">
      <c r="A135" s="18"/>
      <c r="B135" s="19"/>
      <c r="C135" s="19" t="s">
        <v>431</v>
      </c>
      <c r="D135" s="21" t="s">
        <v>432</v>
      </c>
      <c r="E135" s="20">
        <f>Source!DN93</f>
        <v>112</v>
      </c>
      <c r="F135" s="23"/>
      <c r="G135" s="22"/>
      <c r="H135" s="20"/>
      <c r="I135" s="24">
        <f>SUM(Q130:Q134)</f>
        <v>2331.36</v>
      </c>
      <c r="J135" s="20">
        <f>Source!BZ93</f>
        <v>90</v>
      </c>
      <c r="K135" s="24">
        <f>SUM(R130:R134)</f>
        <v>40147.25</v>
      </c>
    </row>
    <row r="136" spans="1:27" ht="14.25" x14ac:dyDescent="0.2">
      <c r="A136" s="18"/>
      <c r="B136" s="19"/>
      <c r="C136" s="19" t="s">
        <v>433</v>
      </c>
      <c r="D136" s="21" t="s">
        <v>432</v>
      </c>
      <c r="E136" s="20">
        <f>Source!DO93</f>
        <v>70</v>
      </c>
      <c r="F136" s="23"/>
      <c r="G136" s="22"/>
      <c r="H136" s="20"/>
      <c r="I136" s="24">
        <f>SUM(S130:S135)</f>
        <v>1457.1</v>
      </c>
      <c r="J136" s="20">
        <f>Source!CA93</f>
        <v>43</v>
      </c>
      <c r="K136" s="24">
        <f>SUM(T130:T135)</f>
        <v>19181.46</v>
      </c>
    </row>
    <row r="137" spans="1:27" ht="14.25" x14ac:dyDescent="0.2">
      <c r="A137" s="18"/>
      <c r="B137" s="19"/>
      <c r="C137" s="19" t="s">
        <v>441</v>
      </c>
      <c r="D137" s="21" t="s">
        <v>432</v>
      </c>
      <c r="E137" s="20">
        <f>175</f>
        <v>175</v>
      </c>
      <c r="F137" s="23"/>
      <c r="G137" s="22"/>
      <c r="H137" s="20"/>
      <c r="I137" s="24">
        <f>SUM(U130:U136)</f>
        <v>322.61</v>
      </c>
      <c r="J137" s="20">
        <f>157</f>
        <v>157</v>
      </c>
      <c r="K137" s="24">
        <f>SUM(V130:V136)</f>
        <v>6202.47</v>
      </c>
    </row>
    <row r="138" spans="1:27" ht="14.25" x14ac:dyDescent="0.2">
      <c r="A138" s="18"/>
      <c r="B138" s="19"/>
      <c r="C138" s="19" t="s">
        <v>434</v>
      </c>
      <c r="D138" s="21" t="s">
        <v>435</v>
      </c>
      <c r="E138" s="20">
        <f>Source!AQ93</f>
        <v>54.12</v>
      </c>
      <c r="F138" s="23"/>
      <c r="G138" s="22" t="str">
        <f>Source!DI93</f>
        <v>*1,2*1,15</v>
      </c>
      <c r="H138" s="20">
        <f>Source!AV93</f>
        <v>1.0469999999999999</v>
      </c>
      <c r="I138" s="24">
        <f>Source!U93</f>
        <v>171.48344027759995</v>
      </c>
      <c r="J138" s="20"/>
      <c r="K138" s="24"/>
    </row>
    <row r="139" spans="1:27" ht="15" x14ac:dyDescent="0.25">
      <c r="A139" s="26"/>
      <c r="B139" s="26"/>
      <c r="C139" s="26"/>
      <c r="D139" s="26"/>
      <c r="E139" s="26"/>
      <c r="F139" s="26"/>
      <c r="G139" s="26"/>
      <c r="H139" s="38">
        <f>I131+I132+I134+I135+I136+I137</f>
        <v>7535.95</v>
      </c>
      <c r="I139" s="38"/>
      <c r="J139" s="38">
        <f>K131+K132+K134+K135+K136+K137</f>
        <v>120231.51999999999</v>
      </c>
      <c r="K139" s="38"/>
      <c r="O139" s="25">
        <f>I131+I132+I134+I135+I136+I137</f>
        <v>7535.95</v>
      </c>
      <c r="P139" s="25">
        <f>K131+K132+K134+K135+K136+K137</f>
        <v>120231.51999999999</v>
      </c>
      <c r="X139">
        <f>IF(Source!BI93&lt;=1,I131+I132+I134+I135+I136+I137-0, 0)</f>
        <v>0</v>
      </c>
      <c r="Y139">
        <f>IF(Source!BI93=2,I131+I132+I134+I135+I136+I137-0, 0)</f>
        <v>7535.95</v>
      </c>
      <c r="Z139">
        <f>IF(Source!BI93=3,I131+I132+I134+I135+I136+I137-0, 0)</f>
        <v>0</v>
      </c>
      <c r="AA139">
        <f>IF(Source!BI93=4,I131+I132+I134+I135+I136+I137,0)</f>
        <v>0</v>
      </c>
    </row>
    <row r="140" spans="1:27" ht="42.75" x14ac:dyDescent="0.2">
      <c r="A140" s="18" t="str">
        <f>Source!E94</f>
        <v>13</v>
      </c>
      <c r="B140" s="19" t="str">
        <f>Source!F94</f>
        <v>4.8-77-4</v>
      </c>
      <c r="C140" s="19" t="s">
        <v>195</v>
      </c>
      <c r="D140" s="21" t="str">
        <f>Source!H94</f>
        <v>100 М КАБЕЛЯ</v>
      </c>
      <c r="E140" s="20">
        <f>Source!I94</f>
        <v>0.3</v>
      </c>
      <c r="F140" s="23"/>
      <c r="G140" s="22"/>
      <c r="H140" s="20"/>
      <c r="I140" s="24"/>
      <c r="J140" s="20"/>
      <c r="K140" s="24"/>
      <c r="Q140">
        <f>ROUND((Source!DN94/100)*ROUND((ROUND((Source!AF94*Source!AV94*Source!I94),2)),2), 2)</f>
        <v>67.099999999999994</v>
      </c>
      <c r="R140">
        <f>Source!X94</f>
        <v>1155.48</v>
      </c>
      <c r="S140">
        <f>ROUND((Source!DO94/100)*ROUND((ROUND((Source!AF94*Source!AV94*Source!I94),2)),2), 2)</f>
        <v>41.94</v>
      </c>
      <c r="T140">
        <f>Source!Y94</f>
        <v>552.05999999999995</v>
      </c>
      <c r="U140">
        <f>ROUND((175/100)*ROUND((ROUND((Source!AE94*Source!AV94*Source!I94),2)),2), 2)</f>
        <v>54.22</v>
      </c>
      <c r="V140">
        <f>ROUND((157/100)*ROUND(ROUND((ROUND((Source!AE94*Source!AV94*Source!I94),2)*Source!BS94),2), 2), 2)</f>
        <v>1042.32</v>
      </c>
    </row>
    <row r="141" spans="1:27" ht="14.25" x14ac:dyDescent="0.2">
      <c r="A141" s="18"/>
      <c r="B141" s="19"/>
      <c r="C141" s="19" t="s">
        <v>430</v>
      </c>
      <c r="D141" s="21"/>
      <c r="E141" s="20"/>
      <c r="F141" s="23">
        <f>Source!AO94</f>
        <v>135.63</v>
      </c>
      <c r="G141" s="22" t="str">
        <f>Source!DG94</f>
        <v>*1,2*1,15</v>
      </c>
      <c r="H141" s="20">
        <f>Source!AV94</f>
        <v>1.0669999999999999</v>
      </c>
      <c r="I141" s="24">
        <f>ROUND((ROUND((Source!AF94*Source!AV94*Source!I94),2)),2)</f>
        <v>59.91</v>
      </c>
      <c r="J141" s="20">
        <f>IF(Source!BA94&lt;&gt; 0, Source!BA94, 1)</f>
        <v>21.43</v>
      </c>
      <c r="K141" s="24">
        <f>Source!S94</f>
        <v>1283.8699999999999</v>
      </c>
      <c r="W141">
        <f>I141</f>
        <v>59.91</v>
      </c>
    </row>
    <row r="142" spans="1:27" ht="14.25" x14ac:dyDescent="0.2">
      <c r="A142" s="18"/>
      <c r="B142" s="19"/>
      <c r="C142" s="19" t="s">
        <v>439</v>
      </c>
      <c r="D142" s="21"/>
      <c r="E142" s="20"/>
      <c r="F142" s="23">
        <f>Source!AM94</f>
        <v>391.41</v>
      </c>
      <c r="G142" s="22" t="str">
        <f>Source!DE94</f>
        <v>*1,2*1,15</v>
      </c>
      <c r="H142" s="20">
        <f>Source!AV94</f>
        <v>1.0669999999999999</v>
      </c>
      <c r="I142" s="24">
        <f>(ROUND((ROUND((((Source!ET94*1.2*1.15))*Source!AV94*Source!I94),2)),2)+ROUND((ROUND(((Source!AE94-((Source!EU94*1.2*1.15)))*Source!AV94*Source!I94),2)),2))</f>
        <v>172.9</v>
      </c>
      <c r="J142" s="20">
        <f>IF(Source!BB94&lt;&gt; 0, Source!BB94, 1)</f>
        <v>8.16</v>
      </c>
      <c r="K142" s="24">
        <f>Source!Q94</f>
        <v>1410.86</v>
      </c>
    </row>
    <row r="143" spans="1:27" ht="14.25" x14ac:dyDescent="0.2">
      <c r="A143" s="18"/>
      <c r="B143" s="19"/>
      <c r="C143" s="19" t="s">
        <v>440</v>
      </c>
      <c r="D143" s="21"/>
      <c r="E143" s="20"/>
      <c r="F143" s="23">
        <f>Source!AN94</f>
        <v>70.14</v>
      </c>
      <c r="G143" s="22" t="str">
        <f>Source!DF94</f>
        <v>*1,2*1,15</v>
      </c>
      <c r="H143" s="20">
        <f>Source!AV94</f>
        <v>1.0669999999999999</v>
      </c>
      <c r="I143" s="28">
        <f>ROUND((ROUND((Source!AE94*Source!AV94*Source!I94),2)),2)</f>
        <v>30.98</v>
      </c>
      <c r="J143" s="20">
        <f>IF(Source!BS94&lt;&gt; 0, Source!BS94, 1)</f>
        <v>21.43</v>
      </c>
      <c r="K143" s="28">
        <f>Source!R94</f>
        <v>663.9</v>
      </c>
      <c r="W143">
        <f>I143</f>
        <v>30.98</v>
      </c>
    </row>
    <row r="144" spans="1:27" ht="14.25" x14ac:dyDescent="0.2">
      <c r="A144" s="18"/>
      <c r="B144" s="19"/>
      <c r="C144" s="19" t="s">
        <v>436</v>
      </c>
      <c r="D144" s="21"/>
      <c r="E144" s="20"/>
      <c r="F144" s="23">
        <f>Source!AL94</f>
        <v>35.21</v>
      </c>
      <c r="G144" s="22" t="str">
        <f>Source!DD94</f>
        <v/>
      </c>
      <c r="H144" s="20">
        <f>Source!AW94</f>
        <v>1.081</v>
      </c>
      <c r="I144" s="24">
        <f>ROUND((ROUND((Source!AC94*Source!AW94*Source!I94),2)),2)</f>
        <v>11.42</v>
      </c>
      <c r="J144" s="20">
        <f>IF(Source!BC94&lt;&gt; 0, Source!BC94, 1)</f>
        <v>5.36</v>
      </c>
      <c r="K144" s="24">
        <f>Source!P94</f>
        <v>61.21</v>
      </c>
    </row>
    <row r="145" spans="1:27" ht="14.25" x14ac:dyDescent="0.2">
      <c r="A145" s="18"/>
      <c r="B145" s="19"/>
      <c r="C145" s="19" t="s">
        <v>431</v>
      </c>
      <c r="D145" s="21" t="s">
        <v>432</v>
      </c>
      <c r="E145" s="20">
        <f>Source!DN94</f>
        <v>112</v>
      </c>
      <c r="F145" s="23"/>
      <c r="G145" s="22"/>
      <c r="H145" s="20"/>
      <c r="I145" s="24">
        <f>SUM(Q140:Q144)</f>
        <v>67.099999999999994</v>
      </c>
      <c r="J145" s="20">
        <f>Source!BZ94</f>
        <v>90</v>
      </c>
      <c r="K145" s="24">
        <f>SUM(R140:R144)</f>
        <v>1155.48</v>
      </c>
    </row>
    <row r="146" spans="1:27" ht="14.25" x14ac:dyDescent="0.2">
      <c r="A146" s="18"/>
      <c r="B146" s="19"/>
      <c r="C146" s="19" t="s">
        <v>433</v>
      </c>
      <c r="D146" s="21" t="s">
        <v>432</v>
      </c>
      <c r="E146" s="20">
        <f>Source!DO94</f>
        <v>70</v>
      </c>
      <c r="F146" s="23"/>
      <c r="G146" s="22"/>
      <c r="H146" s="20"/>
      <c r="I146" s="24">
        <f>SUM(S140:S145)</f>
        <v>41.94</v>
      </c>
      <c r="J146" s="20">
        <f>Source!CA94</f>
        <v>43</v>
      </c>
      <c r="K146" s="24">
        <f>SUM(T140:T145)</f>
        <v>552.05999999999995</v>
      </c>
    </row>
    <row r="147" spans="1:27" ht="14.25" x14ac:dyDescent="0.2">
      <c r="A147" s="18"/>
      <c r="B147" s="19"/>
      <c r="C147" s="19" t="s">
        <v>441</v>
      </c>
      <c r="D147" s="21" t="s">
        <v>432</v>
      </c>
      <c r="E147" s="20">
        <f>175</f>
        <v>175</v>
      </c>
      <c r="F147" s="23"/>
      <c r="G147" s="22"/>
      <c r="H147" s="20"/>
      <c r="I147" s="24">
        <f>SUM(U140:U146)</f>
        <v>54.22</v>
      </c>
      <c r="J147" s="20">
        <f>157</f>
        <v>157</v>
      </c>
      <c r="K147" s="24">
        <f>SUM(V140:V146)</f>
        <v>1042.32</v>
      </c>
    </row>
    <row r="148" spans="1:27" ht="14.25" x14ac:dyDescent="0.2">
      <c r="A148" s="18"/>
      <c r="B148" s="19"/>
      <c r="C148" s="19" t="s">
        <v>434</v>
      </c>
      <c r="D148" s="21" t="s">
        <v>435</v>
      </c>
      <c r="E148" s="20">
        <f>Source!AQ94</f>
        <v>11</v>
      </c>
      <c r="F148" s="23"/>
      <c r="G148" s="22" t="str">
        <f>Source!DI94</f>
        <v>*1,2*1,15</v>
      </c>
      <c r="H148" s="20">
        <f>Source!AV94</f>
        <v>1.0669999999999999</v>
      </c>
      <c r="I148" s="24">
        <f>Source!U94</f>
        <v>4.8591179999999987</v>
      </c>
      <c r="J148" s="20"/>
      <c r="K148" s="24"/>
    </row>
    <row r="149" spans="1:27" ht="15" x14ac:dyDescent="0.25">
      <c r="A149" s="26"/>
      <c r="B149" s="26"/>
      <c r="C149" s="26"/>
      <c r="D149" s="26"/>
      <c r="E149" s="26"/>
      <c r="F149" s="26"/>
      <c r="G149" s="26"/>
      <c r="H149" s="38">
        <f>I141+I142+I144+I145+I146+I147</f>
        <v>407.49</v>
      </c>
      <c r="I149" s="38"/>
      <c r="J149" s="38">
        <f>K141+K142+K144+K145+K146+K147</f>
        <v>5505.7999999999993</v>
      </c>
      <c r="K149" s="38"/>
      <c r="O149" s="25">
        <f>I141+I142+I144+I145+I146+I147</f>
        <v>407.49</v>
      </c>
      <c r="P149" s="25">
        <f>K141+K142+K144+K145+K146+K147</f>
        <v>5505.7999999999993</v>
      </c>
      <c r="X149">
        <f>IF(Source!BI94&lt;=1,I141+I142+I144+I145+I146+I147-0, 0)</f>
        <v>0</v>
      </c>
      <c r="Y149">
        <f>IF(Source!BI94=2,I141+I142+I144+I145+I146+I147-0, 0)</f>
        <v>407.49</v>
      </c>
      <c r="Z149">
        <f>IF(Source!BI94=3,I141+I142+I144+I145+I146+I147-0, 0)</f>
        <v>0</v>
      </c>
      <c r="AA149">
        <f>IF(Source!BI94=4,I141+I142+I144+I145+I146+I147,0)</f>
        <v>0</v>
      </c>
    </row>
    <row r="150" spans="1:27" ht="99.75" x14ac:dyDescent="0.2">
      <c r="A150" s="18" t="str">
        <f>Source!E96</f>
        <v>16</v>
      </c>
      <c r="B150" s="19" t="str">
        <f>Source!F96</f>
        <v>1.23-7-723</v>
      </c>
      <c r="C150" s="19" t="s">
        <v>198</v>
      </c>
      <c r="D150" s="21" t="str">
        <f>Source!H96</f>
        <v>км</v>
      </c>
      <c r="E150" s="20">
        <f>Source!I96</f>
        <v>4.5719459999999996</v>
      </c>
      <c r="F150" s="23">
        <f>Source!AL96</f>
        <v>157963.69</v>
      </c>
      <c r="G150" s="22" t="str">
        <f>Source!DD96</f>
        <v/>
      </c>
      <c r="H150" s="20">
        <f>Source!AW96</f>
        <v>1</v>
      </c>
      <c r="I150" s="24">
        <f>ROUND((ROUND((Source!AC96*Source!AW96*Source!I96),2)),2)</f>
        <v>722201.46</v>
      </c>
      <c r="J150" s="20">
        <f>IF(Source!BC96&lt;&gt; 0, Source!BC96, 1)</f>
        <v>5.89</v>
      </c>
      <c r="K150" s="24">
        <f>Source!P96</f>
        <v>4253766.5999999996</v>
      </c>
      <c r="Q150">
        <f>ROUND((Source!DN96/100)*ROUND((ROUND((Source!AF96*Source!AV96*Source!I96),2)),2), 2)</f>
        <v>0</v>
      </c>
      <c r="R150">
        <f>Source!X96</f>
        <v>0</v>
      </c>
      <c r="S150">
        <f>ROUND((Source!DO96/100)*ROUND((ROUND((Source!AF96*Source!AV96*Source!I96),2)),2), 2)</f>
        <v>0</v>
      </c>
      <c r="T150">
        <f>Source!Y96</f>
        <v>0</v>
      </c>
      <c r="U150">
        <f>ROUND((175/100)*ROUND((ROUND((Source!AE96*Source!AV96*Source!I96),2)),2), 2)</f>
        <v>0</v>
      </c>
      <c r="V150">
        <f>ROUND((157/100)*ROUND(ROUND((ROUND((Source!AE96*Source!AV96*Source!I96),2)*Source!BS96),2), 2), 2)</f>
        <v>0</v>
      </c>
    </row>
    <row r="151" spans="1:27" ht="15" x14ac:dyDescent="0.25">
      <c r="A151" s="26"/>
      <c r="B151" s="26"/>
      <c r="C151" s="26"/>
      <c r="D151" s="26"/>
      <c r="E151" s="26"/>
      <c r="F151" s="26"/>
      <c r="G151" s="26"/>
      <c r="H151" s="38">
        <f>I150</f>
        <v>722201.46</v>
      </c>
      <c r="I151" s="38"/>
      <c r="J151" s="38">
        <f>K150</f>
        <v>4253766.5999999996</v>
      </c>
      <c r="K151" s="38"/>
      <c r="O151" s="25">
        <f>I150</f>
        <v>722201.46</v>
      </c>
      <c r="P151" s="25">
        <f>K150</f>
        <v>4253766.5999999996</v>
      </c>
      <c r="X151">
        <f>IF(Source!BI96&lt;=1,I150-0, 0)</f>
        <v>0</v>
      </c>
      <c r="Y151">
        <f>IF(Source!BI96=2,I150-0, 0)</f>
        <v>722201.46</v>
      </c>
      <c r="Z151">
        <f>IF(Source!BI96=3,I150-0, 0)</f>
        <v>0</v>
      </c>
      <c r="AA151">
        <f>IF(Source!BI96=4,I150,0)</f>
        <v>0</v>
      </c>
    </row>
    <row r="152" spans="1:27" ht="85.5" x14ac:dyDescent="0.2">
      <c r="A152" s="18" t="str">
        <f>Source!E101</f>
        <v>21</v>
      </c>
      <c r="B152" s="19" t="str">
        <f>Source!F101</f>
        <v>4.8-75-6</v>
      </c>
      <c r="C152" s="19" t="s">
        <v>216</v>
      </c>
      <c r="D152" s="21" t="str">
        <f>Source!H101</f>
        <v>100 М КАБЕЛЯ</v>
      </c>
      <c r="E152" s="20">
        <f>Source!I101</f>
        <v>2.19</v>
      </c>
      <c r="F152" s="23"/>
      <c r="G152" s="22"/>
      <c r="H152" s="20"/>
      <c r="I152" s="24"/>
      <c r="J152" s="20"/>
      <c r="K152" s="24"/>
      <c r="Q152">
        <f>ROUND((Source!DN101/100)*ROUND((ROUND((Source!AF101*Source!AV101*Source!I101),2)),2), 2)</f>
        <v>158.19</v>
      </c>
      <c r="R152">
        <f>Source!X101</f>
        <v>2724.09</v>
      </c>
      <c r="S152">
        <f>ROUND((Source!DO101/100)*ROUND((ROUND((Source!AF101*Source!AV101*Source!I101),2)),2), 2)</f>
        <v>98.87</v>
      </c>
      <c r="T152">
        <f>Source!Y101</f>
        <v>1301.51</v>
      </c>
      <c r="U152">
        <f>ROUND((175/100)*ROUND((ROUND((Source!AE101*Source!AV101*Source!I101),2)),2), 2)</f>
        <v>10.89</v>
      </c>
      <c r="V152">
        <f>ROUND((157/100)*ROUND(ROUND((ROUND((Source!AE101*Source!AV101*Source!I101),2)*Source!BS101),2), 2), 2)</f>
        <v>209.27</v>
      </c>
    </row>
    <row r="153" spans="1:27" ht="14.25" x14ac:dyDescent="0.2">
      <c r="A153" s="18"/>
      <c r="B153" s="19"/>
      <c r="C153" s="19" t="s">
        <v>430</v>
      </c>
      <c r="D153" s="21"/>
      <c r="E153" s="20"/>
      <c r="F153" s="23">
        <f>Source!AO101</f>
        <v>43.8</v>
      </c>
      <c r="G153" s="22" t="str">
        <f>Source!DG101</f>
        <v>*1,2*1,15</v>
      </c>
      <c r="H153" s="20">
        <f>Source!AV101</f>
        <v>1.0669999999999999</v>
      </c>
      <c r="I153" s="24">
        <f>ROUND((ROUND((Source!AF101*Source!AV101*Source!I101),2)),2)</f>
        <v>141.24</v>
      </c>
      <c r="J153" s="20">
        <f>IF(Source!BA101&lt;&gt; 0, Source!BA101, 1)</f>
        <v>21.43</v>
      </c>
      <c r="K153" s="24">
        <f>Source!S101</f>
        <v>3026.77</v>
      </c>
      <c r="W153">
        <f>I153</f>
        <v>141.24</v>
      </c>
    </row>
    <row r="154" spans="1:27" ht="14.25" x14ac:dyDescent="0.2">
      <c r="A154" s="18"/>
      <c r="B154" s="19"/>
      <c r="C154" s="19" t="s">
        <v>439</v>
      </c>
      <c r="D154" s="21"/>
      <c r="E154" s="20"/>
      <c r="F154" s="23">
        <f>Source!AM101</f>
        <v>8.19</v>
      </c>
      <c r="G154" s="22" t="str">
        <f>Source!DE101</f>
        <v>*1,2*1,15</v>
      </c>
      <c r="H154" s="20">
        <f>Source!AV101</f>
        <v>1.0669999999999999</v>
      </c>
      <c r="I154" s="24">
        <f>(ROUND((ROUND((((Source!ET101*1.2*1.15))*Source!AV101*Source!I101),2)),2)+ROUND((ROUND(((Source!AE101-((Source!EU101*1.2*1.15)))*Source!AV101*Source!I101),2)),2))</f>
        <v>26.41</v>
      </c>
      <c r="J154" s="20">
        <f>IF(Source!BB101&lt;&gt; 0, Source!BB101, 1)</f>
        <v>9.07</v>
      </c>
      <c r="K154" s="24">
        <f>Source!Q101</f>
        <v>239.54</v>
      </c>
    </row>
    <row r="155" spans="1:27" ht="14.25" x14ac:dyDescent="0.2">
      <c r="A155" s="18"/>
      <c r="B155" s="19"/>
      <c r="C155" s="19" t="s">
        <v>440</v>
      </c>
      <c r="D155" s="21"/>
      <c r="E155" s="20"/>
      <c r="F155" s="23">
        <f>Source!AN101</f>
        <v>1.93</v>
      </c>
      <c r="G155" s="22" t="str">
        <f>Source!DF101</f>
        <v>*1,2*1,15</v>
      </c>
      <c r="H155" s="20">
        <f>Source!AV101</f>
        <v>1.0669999999999999</v>
      </c>
      <c r="I155" s="28">
        <f>ROUND((ROUND((Source!AE101*Source!AV101*Source!I101),2)),2)</f>
        <v>6.22</v>
      </c>
      <c r="J155" s="20">
        <f>IF(Source!BS101&lt;&gt; 0, Source!BS101, 1)</f>
        <v>21.43</v>
      </c>
      <c r="K155" s="28">
        <f>Source!R101</f>
        <v>133.29</v>
      </c>
      <c r="W155">
        <f>I155</f>
        <v>6.22</v>
      </c>
    </row>
    <row r="156" spans="1:27" ht="42.75" x14ac:dyDescent="0.2">
      <c r="A156" s="18" t="str">
        <f>Source!E102</f>
        <v>21,1</v>
      </c>
      <c r="B156" s="19" t="str">
        <f>Source!F102</f>
        <v>1.1-1-3459</v>
      </c>
      <c r="C156" s="19" t="s">
        <v>220</v>
      </c>
      <c r="D156" s="21" t="str">
        <f>Source!H102</f>
        <v>шт.</v>
      </c>
      <c r="E156" s="20">
        <f>Source!I102</f>
        <v>451.14</v>
      </c>
      <c r="F156" s="23">
        <f>Source!AK102</f>
        <v>8.82</v>
      </c>
      <c r="G156" s="27" t="s">
        <v>5</v>
      </c>
      <c r="H156" s="20">
        <f>Source!AW102</f>
        <v>1.081</v>
      </c>
      <c r="I156" s="24">
        <f>ROUND((ROUND((Source!AC102*Source!AW102*Source!I102),2)),2)+(ROUND((ROUND(((Source!ET102)*Source!AV102*Source!I102),2)),2)+ROUND((ROUND(((Source!AE102-(Source!EU102))*Source!AV102*Source!I102),2)),2))+ROUND((ROUND((Source!AF102*Source!AV102*Source!I102),2)),2)</f>
        <v>4301.3599999999997</v>
      </c>
      <c r="J156" s="20">
        <f>IF(Source!BC102&lt;&gt; 0, Source!BC102, 1)</f>
        <v>5.7</v>
      </c>
      <c r="K156" s="24">
        <f>Source!O102</f>
        <v>24517.75</v>
      </c>
      <c r="Q156">
        <f>ROUND((Source!DN102/100)*ROUND((ROUND((Source!AF102*Source!AV102*Source!I102),2)),2), 2)</f>
        <v>0</v>
      </c>
      <c r="R156">
        <f>Source!X102</f>
        <v>0</v>
      </c>
      <c r="S156">
        <f>ROUND((Source!DO102/100)*ROUND((ROUND((Source!AF102*Source!AV102*Source!I102),2)),2), 2)</f>
        <v>0</v>
      </c>
      <c r="T156">
        <f>Source!Y102</f>
        <v>0</v>
      </c>
      <c r="U156">
        <f>ROUND((175/100)*ROUND((ROUND((Source!AE102*Source!AV102*Source!I102),2)),2), 2)</f>
        <v>0</v>
      </c>
      <c r="V156">
        <f>ROUND((157/100)*ROUND(ROUND((ROUND((Source!AE102*Source!AV102*Source!I102),2)*Source!BS102),2), 2), 2)</f>
        <v>0</v>
      </c>
      <c r="X156">
        <f>IF(Source!BI102&lt;=1,I156, 0)</f>
        <v>0</v>
      </c>
      <c r="Y156">
        <f>IF(Source!BI102=2,I156, 0)</f>
        <v>4301.3599999999997</v>
      </c>
      <c r="Z156">
        <f>IF(Source!BI102=3,I156, 0)</f>
        <v>0</v>
      </c>
      <c r="AA156">
        <f>IF(Source!BI102=4,I156, 0)</f>
        <v>0</v>
      </c>
    </row>
    <row r="157" spans="1:27" ht="14.25" x14ac:dyDescent="0.2">
      <c r="A157" s="18"/>
      <c r="B157" s="19"/>
      <c r="C157" s="19" t="s">
        <v>431</v>
      </c>
      <c r="D157" s="21" t="s">
        <v>432</v>
      </c>
      <c r="E157" s="20">
        <f>Source!DN101</f>
        <v>112</v>
      </c>
      <c r="F157" s="23"/>
      <c r="G157" s="22"/>
      <c r="H157" s="20"/>
      <c r="I157" s="24">
        <f>SUM(Q152:Q156)</f>
        <v>158.19</v>
      </c>
      <c r="J157" s="20">
        <f>Source!BZ101</f>
        <v>90</v>
      </c>
      <c r="K157" s="24">
        <f>SUM(R152:R156)</f>
        <v>2724.09</v>
      </c>
    </row>
    <row r="158" spans="1:27" ht="14.25" x14ac:dyDescent="0.2">
      <c r="A158" s="18"/>
      <c r="B158" s="19"/>
      <c r="C158" s="19" t="s">
        <v>433</v>
      </c>
      <c r="D158" s="21" t="s">
        <v>432</v>
      </c>
      <c r="E158" s="20">
        <f>Source!DO101</f>
        <v>70</v>
      </c>
      <c r="F158" s="23"/>
      <c r="G158" s="22"/>
      <c r="H158" s="20"/>
      <c r="I158" s="24">
        <f>SUM(S152:S157)</f>
        <v>98.87</v>
      </c>
      <c r="J158" s="20">
        <f>Source!CA101</f>
        <v>43</v>
      </c>
      <c r="K158" s="24">
        <f>SUM(T152:T157)</f>
        <v>1301.51</v>
      </c>
    </row>
    <row r="159" spans="1:27" ht="14.25" x14ac:dyDescent="0.2">
      <c r="A159" s="18"/>
      <c r="B159" s="19"/>
      <c r="C159" s="19" t="s">
        <v>441</v>
      </c>
      <c r="D159" s="21" t="s">
        <v>432</v>
      </c>
      <c r="E159" s="20">
        <f>175</f>
        <v>175</v>
      </c>
      <c r="F159" s="23"/>
      <c r="G159" s="22"/>
      <c r="H159" s="20"/>
      <c r="I159" s="24">
        <f>SUM(U152:U158)</f>
        <v>10.89</v>
      </c>
      <c r="J159" s="20">
        <f>157</f>
        <v>157</v>
      </c>
      <c r="K159" s="24">
        <f>SUM(V152:V158)</f>
        <v>209.27</v>
      </c>
    </row>
    <row r="160" spans="1:27" ht="14.25" x14ac:dyDescent="0.2">
      <c r="A160" s="18"/>
      <c r="B160" s="19"/>
      <c r="C160" s="19" t="s">
        <v>434</v>
      </c>
      <c r="D160" s="21" t="s">
        <v>435</v>
      </c>
      <c r="E160" s="20">
        <f>Source!AQ101</f>
        <v>4.16</v>
      </c>
      <c r="F160" s="23"/>
      <c r="G160" s="22" t="str">
        <f>Source!DI101</f>
        <v>*1,2*1,15</v>
      </c>
      <c r="H160" s="20">
        <f>Source!AV101</f>
        <v>1.0669999999999999</v>
      </c>
      <c r="I160" s="24">
        <f>Source!U101</f>
        <v>13.414699583999997</v>
      </c>
      <c r="J160" s="20"/>
      <c r="K160" s="24"/>
    </row>
    <row r="161" spans="1:27" ht="15" x14ac:dyDescent="0.25">
      <c r="A161" s="26"/>
      <c r="B161" s="26"/>
      <c r="C161" s="26"/>
      <c r="D161" s="26"/>
      <c r="E161" s="26"/>
      <c r="F161" s="26"/>
      <c r="G161" s="26"/>
      <c r="H161" s="38">
        <f>I153+I154+I157+I158+I159+SUM(I156:I156)</f>
        <v>4736.96</v>
      </c>
      <c r="I161" s="38"/>
      <c r="J161" s="38">
        <f>K153+K154+K157+K158+K159+SUM(K156:K156)</f>
        <v>32018.93</v>
      </c>
      <c r="K161" s="38"/>
      <c r="O161" s="25">
        <f>I153+I154+I157+I158+I159+SUM(I156:I156)</f>
        <v>4736.96</v>
      </c>
      <c r="P161" s="25">
        <f>K153+K154+K157+K158+K159+SUM(K156:K156)</f>
        <v>32018.93</v>
      </c>
      <c r="X161">
        <f>IF(Source!BI101&lt;=1,I153+I154+I157+I158+I159-0, 0)</f>
        <v>0</v>
      </c>
      <c r="Y161">
        <f>IF(Source!BI101=2,I153+I154+I157+I158+I159-0, 0)</f>
        <v>435.6</v>
      </c>
      <c r="Z161">
        <f>IF(Source!BI101=3,I153+I154+I157+I158+I159-0, 0)</f>
        <v>0</v>
      </c>
      <c r="AA161">
        <f>IF(Source!BI101=4,I153+I154+I157+I158+I159,0)</f>
        <v>0</v>
      </c>
    </row>
    <row r="162" spans="1:27" ht="57" x14ac:dyDescent="0.2">
      <c r="A162" s="18" t="str">
        <f>Source!E110</f>
        <v>26</v>
      </c>
      <c r="B162" s="19" t="str">
        <f>Source!F110</f>
        <v>4.8-304-2</v>
      </c>
      <c r="C162" s="19" t="s">
        <v>233</v>
      </c>
      <c r="D162" s="21" t="str">
        <f>Source!H110</f>
        <v>1 комплект</v>
      </c>
      <c r="E162" s="20">
        <f>Source!I110</f>
        <v>18</v>
      </c>
      <c r="F162" s="23"/>
      <c r="G162" s="22"/>
      <c r="H162" s="20"/>
      <c r="I162" s="24"/>
      <c r="J162" s="20"/>
      <c r="K162" s="24"/>
      <c r="Q162">
        <f>ROUND((Source!DN110/100)*ROUND((ROUND((Source!AF110*Source!AV110*Source!I110),2)),2), 2)</f>
        <v>6182.21</v>
      </c>
      <c r="R162">
        <f>Source!X110</f>
        <v>106460.96</v>
      </c>
      <c r="S162">
        <f>ROUND((Source!DO110/100)*ROUND((ROUND((Source!AF110*Source!AV110*Source!I110),2)),2), 2)</f>
        <v>3863.88</v>
      </c>
      <c r="T162">
        <f>Source!Y110</f>
        <v>50864.68</v>
      </c>
      <c r="U162">
        <f>ROUND((175/100)*ROUND((ROUND((Source!AE110*Source!AV110*Source!I110),2)),2), 2)</f>
        <v>214.38</v>
      </c>
      <c r="V162">
        <f>ROUND((157/100)*ROUND(ROUND((ROUND((Source!AE110*Source!AV110*Source!I110),2)*Source!BS110),2), 2), 2)</f>
        <v>4121.53</v>
      </c>
    </row>
    <row r="163" spans="1:27" ht="14.25" x14ac:dyDescent="0.2">
      <c r="A163" s="18"/>
      <c r="B163" s="19"/>
      <c r="C163" s="19" t="s">
        <v>430</v>
      </c>
      <c r="D163" s="21"/>
      <c r="E163" s="20"/>
      <c r="F163" s="23">
        <f>Source!AO110</f>
        <v>212.24</v>
      </c>
      <c r="G163" s="22" t="str">
        <f>Source!DG110</f>
        <v>*1,2*1,15</v>
      </c>
      <c r="H163" s="20">
        <f>Source!AV110</f>
        <v>1.0469999999999999</v>
      </c>
      <c r="I163" s="24">
        <f>ROUND((ROUND((Source!AF110*Source!AV110*Source!I110),2)),2)</f>
        <v>5519.83</v>
      </c>
      <c r="J163" s="20">
        <f>IF(Source!BA110&lt;&gt; 0, Source!BA110, 1)</f>
        <v>21.43</v>
      </c>
      <c r="K163" s="24">
        <f>Source!S110</f>
        <v>118289.96</v>
      </c>
      <c r="W163">
        <f>I163</f>
        <v>5519.83</v>
      </c>
    </row>
    <row r="164" spans="1:27" ht="14.25" x14ac:dyDescent="0.2">
      <c r="A164" s="18"/>
      <c r="B164" s="19"/>
      <c r="C164" s="19" t="s">
        <v>439</v>
      </c>
      <c r="D164" s="21"/>
      <c r="E164" s="20"/>
      <c r="F164" s="23">
        <f>Source!AM110</f>
        <v>53.54</v>
      </c>
      <c r="G164" s="22" t="str">
        <f>Source!DE110</f>
        <v>*1,2*1,15</v>
      </c>
      <c r="H164" s="20">
        <f>Source!AV110</f>
        <v>1.0469999999999999</v>
      </c>
      <c r="I164" s="24">
        <f>(ROUND((ROUND((((Source!ET110*1.2*1.15))*Source!AV110*Source!I110),2)),2)+ROUND((ROUND(((Source!AE110-((Source!EU110*1.2*1.15)))*Source!AV110*Source!I110),2)),2))</f>
        <v>1392.44</v>
      </c>
      <c r="J164" s="20">
        <f>IF(Source!BB110&lt;&gt; 0, Source!BB110, 1)</f>
        <v>6.68</v>
      </c>
      <c r="K164" s="24">
        <f>Source!Q110</f>
        <v>9301.5</v>
      </c>
    </row>
    <row r="165" spans="1:27" ht="14.25" x14ac:dyDescent="0.2">
      <c r="A165" s="18"/>
      <c r="B165" s="19"/>
      <c r="C165" s="19" t="s">
        <v>440</v>
      </c>
      <c r="D165" s="21"/>
      <c r="E165" s="20"/>
      <c r="F165" s="23">
        <f>Source!AN110</f>
        <v>4.71</v>
      </c>
      <c r="G165" s="22" t="str">
        <f>Source!DF110</f>
        <v>*1,2*1,15</v>
      </c>
      <c r="H165" s="20">
        <f>Source!AV110</f>
        <v>1.0469999999999999</v>
      </c>
      <c r="I165" s="28">
        <f>ROUND((ROUND((Source!AE110*Source!AV110*Source!I110),2)),2)</f>
        <v>122.5</v>
      </c>
      <c r="J165" s="20">
        <f>IF(Source!BS110&lt;&gt; 0, Source!BS110, 1)</f>
        <v>21.43</v>
      </c>
      <c r="K165" s="28">
        <f>Source!R110</f>
        <v>2625.18</v>
      </c>
      <c r="W165">
        <f>I165</f>
        <v>122.5</v>
      </c>
    </row>
    <row r="166" spans="1:27" ht="14.25" x14ac:dyDescent="0.2">
      <c r="A166" s="18"/>
      <c r="B166" s="19"/>
      <c r="C166" s="19" t="s">
        <v>436</v>
      </c>
      <c r="D166" s="21"/>
      <c r="E166" s="20"/>
      <c r="F166" s="23">
        <f>Source!AL110</f>
        <v>61.32</v>
      </c>
      <c r="G166" s="22" t="str">
        <f>Source!DD110</f>
        <v/>
      </c>
      <c r="H166" s="20">
        <f>Source!AW110</f>
        <v>1</v>
      </c>
      <c r="I166" s="24">
        <f>ROUND((ROUND((Source!AC110*Source!AW110*Source!I110),2)),2)</f>
        <v>1103.76</v>
      </c>
      <c r="J166" s="20">
        <f>IF(Source!BC110&lt;&gt; 0, Source!BC110, 1)</f>
        <v>5.36</v>
      </c>
      <c r="K166" s="24">
        <f>Source!P110</f>
        <v>5916.15</v>
      </c>
    </row>
    <row r="167" spans="1:27" ht="14.25" x14ac:dyDescent="0.2">
      <c r="A167" s="18"/>
      <c r="B167" s="19"/>
      <c r="C167" s="19" t="s">
        <v>431</v>
      </c>
      <c r="D167" s="21" t="s">
        <v>432</v>
      </c>
      <c r="E167" s="20">
        <f>Source!DN110</f>
        <v>112</v>
      </c>
      <c r="F167" s="23"/>
      <c r="G167" s="22"/>
      <c r="H167" s="20"/>
      <c r="I167" s="24">
        <f>SUM(Q162:Q166)</f>
        <v>6182.21</v>
      </c>
      <c r="J167" s="20">
        <f>Source!BZ110</f>
        <v>90</v>
      </c>
      <c r="K167" s="24">
        <f>SUM(R162:R166)</f>
        <v>106460.96</v>
      </c>
    </row>
    <row r="168" spans="1:27" ht="14.25" x14ac:dyDescent="0.2">
      <c r="A168" s="18"/>
      <c r="B168" s="19"/>
      <c r="C168" s="19" t="s">
        <v>433</v>
      </c>
      <c r="D168" s="21" t="s">
        <v>432</v>
      </c>
      <c r="E168" s="20">
        <f>Source!DO110</f>
        <v>70</v>
      </c>
      <c r="F168" s="23"/>
      <c r="G168" s="22"/>
      <c r="H168" s="20"/>
      <c r="I168" s="24">
        <f>SUM(S162:S167)</f>
        <v>3863.88</v>
      </c>
      <c r="J168" s="20">
        <f>Source!CA110</f>
        <v>43</v>
      </c>
      <c r="K168" s="24">
        <f>SUM(T162:T167)</f>
        <v>50864.68</v>
      </c>
    </row>
    <row r="169" spans="1:27" ht="14.25" x14ac:dyDescent="0.2">
      <c r="A169" s="18"/>
      <c r="B169" s="19"/>
      <c r="C169" s="19" t="s">
        <v>441</v>
      </c>
      <c r="D169" s="21" t="s">
        <v>432</v>
      </c>
      <c r="E169" s="20">
        <f>175</f>
        <v>175</v>
      </c>
      <c r="F169" s="23"/>
      <c r="G169" s="22"/>
      <c r="H169" s="20"/>
      <c r="I169" s="24">
        <f>SUM(U162:U168)</f>
        <v>214.38</v>
      </c>
      <c r="J169" s="20">
        <f>157</f>
        <v>157</v>
      </c>
      <c r="K169" s="24">
        <f>SUM(V162:V168)</f>
        <v>4121.53</v>
      </c>
    </row>
    <row r="170" spans="1:27" ht="14.25" x14ac:dyDescent="0.2">
      <c r="A170" s="18"/>
      <c r="B170" s="19"/>
      <c r="C170" s="19" t="s">
        <v>434</v>
      </c>
      <c r="D170" s="21" t="s">
        <v>435</v>
      </c>
      <c r="E170" s="20">
        <f>Source!AQ110</f>
        <v>16.14</v>
      </c>
      <c r="F170" s="23"/>
      <c r="G170" s="22" t="str">
        <f>Source!DI110</f>
        <v>*1,2*1,15</v>
      </c>
      <c r="H170" s="20">
        <f>Source!AV110</f>
        <v>1.0469999999999999</v>
      </c>
      <c r="I170" s="24">
        <f>Source!U110</f>
        <v>419.76072719999985</v>
      </c>
      <c r="J170" s="20"/>
      <c r="K170" s="24"/>
    </row>
    <row r="171" spans="1:27" ht="15" x14ac:dyDescent="0.25">
      <c r="A171" s="26"/>
      <c r="B171" s="26"/>
      <c r="C171" s="26"/>
      <c r="D171" s="26"/>
      <c r="E171" s="26"/>
      <c r="F171" s="26"/>
      <c r="G171" s="26"/>
      <c r="H171" s="38">
        <f>I163+I164+I166+I167+I168+I169</f>
        <v>18276.500000000004</v>
      </c>
      <c r="I171" s="38"/>
      <c r="J171" s="38">
        <f>K163+K164+K166+K167+K168+K169</f>
        <v>294954.78000000003</v>
      </c>
      <c r="K171" s="38"/>
      <c r="O171" s="25">
        <f>I163+I164+I166+I167+I168+I169</f>
        <v>18276.500000000004</v>
      </c>
      <c r="P171" s="25">
        <f>K163+K164+K166+K167+K168+K169</f>
        <v>294954.78000000003</v>
      </c>
      <c r="X171">
        <f>IF(Source!BI110&lt;=1,I163+I164+I166+I167+I168+I169-0, 0)</f>
        <v>0</v>
      </c>
      <c r="Y171">
        <f>IF(Source!BI110=2,I163+I164+I166+I167+I168+I169-0, 0)</f>
        <v>18276.500000000004</v>
      </c>
      <c r="Z171">
        <f>IF(Source!BI110=3,I163+I164+I166+I167+I168+I169-0, 0)</f>
        <v>0</v>
      </c>
      <c r="AA171">
        <f>IF(Source!BI110=4,I163+I164+I166+I167+I168+I169,0)</f>
        <v>0</v>
      </c>
    </row>
    <row r="172" spans="1:27" ht="57" x14ac:dyDescent="0.2">
      <c r="A172" s="18" t="str">
        <f>Source!E111</f>
        <v>27</v>
      </c>
      <c r="B172" s="19" t="str">
        <f>Source!F111</f>
        <v>сч. №1129 от 25.06.2019г.</v>
      </c>
      <c r="C172" s="19" t="s">
        <v>442</v>
      </c>
      <c r="D172" s="21" t="str">
        <f>Source!H111</f>
        <v>ШТ</v>
      </c>
      <c r="E172" s="20">
        <f>Source!I111</f>
        <v>18</v>
      </c>
      <c r="F172" s="23">
        <f>Source!AL111</f>
        <v>1451.15</v>
      </c>
      <c r="G172" s="22" t="str">
        <f>Source!DD111</f>
        <v>*1,02</v>
      </c>
      <c r="H172" s="20">
        <f>Source!AW111</f>
        <v>1</v>
      </c>
      <c r="I172" s="24">
        <f>ROUND((ROUND((Source!AC111*Source!AW111*Source!I111),2)),2)</f>
        <v>26643.11</v>
      </c>
      <c r="J172" s="20">
        <f>IF(Source!BC111&lt;&gt; 0, Source!BC111, 1)</f>
        <v>5.36</v>
      </c>
      <c r="K172" s="24">
        <f>Source!P111</f>
        <v>142807.07</v>
      </c>
      <c r="Q172">
        <f>ROUND((Source!DN111/100)*ROUND((ROUND((Source!AF111*Source!AV111*Source!I111),2)),2), 2)</f>
        <v>0</v>
      </c>
      <c r="R172">
        <f>Source!X111</f>
        <v>0</v>
      </c>
      <c r="S172">
        <f>ROUND((Source!DO111/100)*ROUND((ROUND((Source!AF111*Source!AV111*Source!I111),2)),2), 2)</f>
        <v>0</v>
      </c>
      <c r="T172">
        <f>Source!Y111</f>
        <v>0</v>
      </c>
      <c r="U172">
        <f>ROUND((175/100)*ROUND((ROUND((Source!AE111*Source!AV111*Source!I111),2)),2), 2)</f>
        <v>0</v>
      </c>
      <c r="V172">
        <f>ROUND((157/100)*ROUND(ROUND((ROUND((Source!AE111*Source!AV111*Source!I111),2)*Source!BS111),2), 2), 2)</f>
        <v>0</v>
      </c>
    </row>
    <row r="173" spans="1:27" ht="15" x14ac:dyDescent="0.25">
      <c r="A173" s="26"/>
      <c r="B173" s="26"/>
      <c r="C173" s="26"/>
      <c r="D173" s="26"/>
      <c r="E173" s="26"/>
      <c r="F173" s="26"/>
      <c r="G173" s="26"/>
      <c r="H173" s="38">
        <f>I172</f>
        <v>26643.11</v>
      </c>
      <c r="I173" s="38"/>
      <c r="J173" s="38">
        <f>K172</f>
        <v>142807.07</v>
      </c>
      <c r="K173" s="38"/>
      <c r="O173" s="25">
        <f>I172</f>
        <v>26643.11</v>
      </c>
      <c r="P173" s="25">
        <f>K172</f>
        <v>142807.07</v>
      </c>
      <c r="X173">
        <f>IF(Source!BI111&lt;=1,I172-0, 0)</f>
        <v>26643.11</v>
      </c>
      <c r="Y173">
        <f>IF(Source!BI111=2,I172-0, 0)</f>
        <v>0</v>
      </c>
      <c r="Z173">
        <f>IF(Source!BI111=3,I172-0, 0)</f>
        <v>0</v>
      </c>
      <c r="AA173">
        <f>IF(Source!BI111=4,I172,0)</f>
        <v>0</v>
      </c>
    </row>
    <row r="174" spans="1:27" ht="57" x14ac:dyDescent="0.2">
      <c r="A174" s="18" t="str">
        <f>Source!E113</f>
        <v>29</v>
      </c>
      <c r="B174" s="19" t="str">
        <f>Source!F113</f>
        <v>4.8-305-2</v>
      </c>
      <c r="C174" s="19" t="s">
        <v>247</v>
      </c>
      <c r="D174" s="21" t="str">
        <f>Source!H113</f>
        <v>1 комплект</v>
      </c>
      <c r="E174" s="20">
        <f>Source!I113</f>
        <v>12</v>
      </c>
      <c r="F174" s="23"/>
      <c r="G174" s="22"/>
      <c r="H174" s="20"/>
      <c r="I174" s="24"/>
      <c r="J174" s="20"/>
      <c r="K174" s="24"/>
      <c r="Q174">
        <f>ROUND((Source!DN113/100)*ROUND((ROUND((Source!AF113*Source!AV113*Source!I113),2)),2), 2)</f>
        <v>4294.8900000000003</v>
      </c>
      <c r="R174">
        <f>Source!X113</f>
        <v>73960.25</v>
      </c>
      <c r="S174">
        <f>ROUND((Source!DO113/100)*ROUND((ROUND((Source!AF113*Source!AV113*Source!I113),2)),2), 2)</f>
        <v>2684.3</v>
      </c>
      <c r="T174">
        <f>Source!Y113</f>
        <v>35336.559999999998</v>
      </c>
      <c r="U174">
        <f>ROUND((175/100)*ROUND((ROUND((Source!AE113*Source!AV113*Source!I113),2)),2), 2)</f>
        <v>164.45</v>
      </c>
      <c r="V174">
        <f>ROUND((157/100)*ROUND(ROUND((ROUND((Source!AE113*Source!AV113*Source!I113),2)*Source!BS113),2), 2), 2)</f>
        <v>3161.63</v>
      </c>
    </row>
    <row r="175" spans="1:27" ht="14.25" x14ac:dyDescent="0.2">
      <c r="A175" s="18"/>
      <c r="B175" s="19"/>
      <c r="C175" s="19" t="s">
        <v>430</v>
      </c>
      <c r="D175" s="21"/>
      <c r="E175" s="20"/>
      <c r="F175" s="23">
        <f>Source!AO113</f>
        <v>221.17</v>
      </c>
      <c r="G175" s="22" t="str">
        <f>Source!DG113</f>
        <v>*1,2*1,15</v>
      </c>
      <c r="H175" s="20">
        <f>Source!AV113</f>
        <v>1.0469999999999999</v>
      </c>
      <c r="I175" s="24">
        <f>ROUND((ROUND((Source!AF113*Source!AV113*Source!I113),2)),2)</f>
        <v>3834.72</v>
      </c>
      <c r="J175" s="20">
        <f>IF(Source!BA113&lt;&gt; 0, Source!BA113, 1)</f>
        <v>21.43</v>
      </c>
      <c r="K175" s="24">
        <f>Source!S113</f>
        <v>82178.05</v>
      </c>
      <c r="W175">
        <f>I175</f>
        <v>3834.72</v>
      </c>
    </row>
    <row r="176" spans="1:27" ht="14.25" x14ac:dyDescent="0.2">
      <c r="A176" s="18"/>
      <c r="B176" s="19"/>
      <c r="C176" s="19" t="s">
        <v>439</v>
      </c>
      <c r="D176" s="21"/>
      <c r="E176" s="20"/>
      <c r="F176" s="23">
        <f>Source!AM113</f>
        <v>61.84</v>
      </c>
      <c r="G176" s="22" t="str">
        <f>Source!DE113</f>
        <v>*1,2*1,15</v>
      </c>
      <c r="H176" s="20">
        <f>Source!AV113</f>
        <v>1.0469999999999999</v>
      </c>
      <c r="I176" s="24">
        <f>(ROUND((ROUND((((Source!ET113*1.2*1.15))*Source!AV113*Source!I113),2)),2)+ROUND((ROUND(((Source!AE113-((Source!EU113*1.2*1.15)))*Source!AV113*Source!I113),2)),2))</f>
        <v>1072.2</v>
      </c>
      <c r="J176" s="20">
        <f>IF(Source!BB113&lt;&gt; 0, Source!BB113, 1)</f>
        <v>6.68</v>
      </c>
      <c r="K176" s="24">
        <f>Source!Q113</f>
        <v>7162.3</v>
      </c>
    </row>
    <row r="177" spans="1:27" ht="14.25" x14ac:dyDescent="0.2">
      <c r="A177" s="18"/>
      <c r="B177" s="19"/>
      <c r="C177" s="19" t="s">
        <v>440</v>
      </c>
      <c r="D177" s="21"/>
      <c r="E177" s="20"/>
      <c r="F177" s="23">
        <f>Source!AN113</f>
        <v>5.42</v>
      </c>
      <c r="G177" s="22" t="str">
        <f>Source!DF113</f>
        <v>*1,2*1,15</v>
      </c>
      <c r="H177" s="20">
        <f>Source!AV113</f>
        <v>1.0469999999999999</v>
      </c>
      <c r="I177" s="28">
        <f>ROUND((ROUND((Source!AE113*Source!AV113*Source!I113),2)),2)</f>
        <v>93.97</v>
      </c>
      <c r="J177" s="20">
        <f>IF(Source!BS113&lt;&gt; 0, Source!BS113, 1)</f>
        <v>21.43</v>
      </c>
      <c r="K177" s="28">
        <f>Source!R113</f>
        <v>2013.78</v>
      </c>
      <c r="W177">
        <f>I177</f>
        <v>93.97</v>
      </c>
    </row>
    <row r="178" spans="1:27" ht="14.25" x14ac:dyDescent="0.2">
      <c r="A178" s="18"/>
      <c r="B178" s="19"/>
      <c r="C178" s="19" t="s">
        <v>436</v>
      </c>
      <c r="D178" s="21"/>
      <c r="E178" s="20"/>
      <c r="F178" s="23">
        <f>Source!AL113</f>
        <v>55.26</v>
      </c>
      <c r="G178" s="22" t="str">
        <f>Source!DD113</f>
        <v/>
      </c>
      <c r="H178" s="20">
        <f>Source!AW113</f>
        <v>1</v>
      </c>
      <c r="I178" s="24">
        <f>ROUND((ROUND((Source!AC113*Source!AW113*Source!I113),2)),2)</f>
        <v>663.12</v>
      </c>
      <c r="J178" s="20">
        <f>IF(Source!BC113&lt;&gt; 0, Source!BC113, 1)</f>
        <v>5.36</v>
      </c>
      <c r="K178" s="24">
        <f>Source!P113</f>
        <v>3554.32</v>
      </c>
    </row>
    <row r="179" spans="1:27" ht="14.25" x14ac:dyDescent="0.2">
      <c r="A179" s="18"/>
      <c r="B179" s="19"/>
      <c r="C179" s="19" t="s">
        <v>431</v>
      </c>
      <c r="D179" s="21" t="s">
        <v>432</v>
      </c>
      <c r="E179" s="20">
        <f>Source!DN113</f>
        <v>112</v>
      </c>
      <c r="F179" s="23"/>
      <c r="G179" s="22"/>
      <c r="H179" s="20"/>
      <c r="I179" s="24">
        <f>SUM(Q174:Q178)</f>
        <v>4294.8900000000003</v>
      </c>
      <c r="J179" s="20">
        <f>Source!BZ113</f>
        <v>90</v>
      </c>
      <c r="K179" s="24">
        <f>SUM(R174:R178)</f>
        <v>73960.25</v>
      </c>
    </row>
    <row r="180" spans="1:27" ht="14.25" x14ac:dyDescent="0.2">
      <c r="A180" s="18"/>
      <c r="B180" s="19"/>
      <c r="C180" s="19" t="s">
        <v>433</v>
      </c>
      <c r="D180" s="21" t="s">
        <v>432</v>
      </c>
      <c r="E180" s="20">
        <f>Source!DO113</f>
        <v>70</v>
      </c>
      <c r="F180" s="23"/>
      <c r="G180" s="22"/>
      <c r="H180" s="20"/>
      <c r="I180" s="24">
        <f>SUM(S174:S179)</f>
        <v>2684.3</v>
      </c>
      <c r="J180" s="20">
        <f>Source!CA113</f>
        <v>43</v>
      </c>
      <c r="K180" s="24">
        <f>SUM(T174:T179)</f>
        <v>35336.559999999998</v>
      </c>
    </row>
    <row r="181" spans="1:27" ht="14.25" x14ac:dyDescent="0.2">
      <c r="A181" s="18"/>
      <c r="B181" s="19"/>
      <c r="C181" s="19" t="s">
        <v>441</v>
      </c>
      <c r="D181" s="21" t="s">
        <v>432</v>
      </c>
      <c r="E181" s="20">
        <f>175</f>
        <v>175</v>
      </c>
      <c r="F181" s="23"/>
      <c r="G181" s="22"/>
      <c r="H181" s="20"/>
      <c r="I181" s="24">
        <f>SUM(U174:U180)</f>
        <v>164.45</v>
      </c>
      <c r="J181" s="20">
        <f>157</f>
        <v>157</v>
      </c>
      <c r="K181" s="24">
        <f>SUM(V174:V180)</f>
        <v>3161.63</v>
      </c>
    </row>
    <row r="182" spans="1:27" ht="14.25" x14ac:dyDescent="0.2">
      <c r="A182" s="18"/>
      <c r="B182" s="19"/>
      <c r="C182" s="19" t="s">
        <v>434</v>
      </c>
      <c r="D182" s="21" t="s">
        <v>435</v>
      </c>
      <c r="E182" s="20">
        <f>Source!AQ113</f>
        <v>16.739999999999998</v>
      </c>
      <c r="F182" s="23"/>
      <c r="G182" s="22" t="str">
        <f>Source!DI113</f>
        <v>*1,2*1,15</v>
      </c>
      <c r="H182" s="20">
        <f>Source!AV113</f>
        <v>1.0469999999999999</v>
      </c>
      <c r="I182" s="24">
        <f>Source!U113</f>
        <v>290.24347679999994</v>
      </c>
      <c r="J182" s="20"/>
      <c r="K182" s="24"/>
    </row>
    <row r="183" spans="1:27" ht="15" x14ac:dyDescent="0.25">
      <c r="A183" s="26"/>
      <c r="B183" s="26"/>
      <c r="C183" s="26"/>
      <c r="D183" s="26"/>
      <c r="E183" s="26"/>
      <c r="F183" s="26"/>
      <c r="G183" s="26"/>
      <c r="H183" s="38">
        <f>I175+I176+I178+I179+I180+I181</f>
        <v>12713.68</v>
      </c>
      <c r="I183" s="38"/>
      <c r="J183" s="38">
        <f>K175+K176+K178+K179+K180+K181</f>
        <v>205353.11000000002</v>
      </c>
      <c r="K183" s="38"/>
      <c r="O183" s="25">
        <f>I175+I176+I178+I179+I180+I181</f>
        <v>12713.68</v>
      </c>
      <c r="P183" s="25">
        <f>K175+K176+K178+K179+K180+K181</f>
        <v>205353.11000000002</v>
      </c>
      <c r="X183">
        <f>IF(Source!BI113&lt;=1,I175+I176+I178+I179+I180+I181-0, 0)</f>
        <v>0</v>
      </c>
      <c r="Y183">
        <f>IF(Source!BI113=2,I175+I176+I178+I179+I180+I181-0, 0)</f>
        <v>12713.68</v>
      </c>
      <c r="Z183">
        <f>IF(Source!BI113=3,I175+I176+I178+I179+I180+I181-0, 0)</f>
        <v>0</v>
      </c>
      <c r="AA183">
        <f>IF(Source!BI113=4,I175+I176+I178+I179+I180+I181,0)</f>
        <v>0</v>
      </c>
    </row>
    <row r="184" spans="1:27" ht="99.75" x14ac:dyDescent="0.2">
      <c r="A184" s="18" t="str">
        <f>Source!E114</f>
        <v>30</v>
      </c>
      <c r="B184" s="19" t="str">
        <f>Source!F114</f>
        <v>1.21-5-1221</v>
      </c>
      <c r="C184" s="19" t="s">
        <v>252</v>
      </c>
      <c r="D184" s="21" t="str">
        <f>Source!H114</f>
        <v>шт.</v>
      </c>
      <c r="E184" s="20">
        <f>Source!I114</f>
        <v>12</v>
      </c>
      <c r="F184" s="23">
        <f>Source!AL114</f>
        <v>2757.71</v>
      </c>
      <c r="G184" s="22" t="str">
        <f>Source!DD114</f>
        <v/>
      </c>
      <c r="H184" s="20">
        <f>Source!AW114</f>
        <v>1</v>
      </c>
      <c r="I184" s="24">
        <f>ROUND((ROUND((Source!AC114*Source!AW114*Source!I114),2)),2)</f>
        <v>33092.519999999997</v>
      </c>
      <c r="J184" s="20">
        <f>IF(Source!BC114&lt;&gt; 0, Source!BC114, 1)</f>
        <v>2.89</v>
      </c>
      <c r="K184" s="24">
        <f>Source!P114</f>
        <v>95637.38</v>
      </c>
      <c r="Q184">
        <f>ROUND((Source!DN114/100)*ROUND((ROUND((Source!AF114*Source!AV114*Source!I114),2)),2), 2)</f>
        <v>0</v>
      </c>
      <c r="R184">
        <f>Source!X114</f>
        <v>0</v>
      </c>
      <c r="S184">
        <f>ROUND((Source!DO114/100)*ROUND((ROUND((Source!AF114*Source!AV114*Source!I114),2)),2), 2)</f>
        <v>0</v>
      </c>
      <c r="T184">
        <f>Source!Y114</f>
        <v>0</v>
      </c>
      <c r="U184">
        <f>ROUND((175/100)*ROUND((ROUND((Source!AE114*Source!AV114*Source!I114),2)),2), 2)</f>
        <v>0</v>
      </c>
      <c r="V184">
        <f>ROUND((157/100)*ROUND(ROUND((ROUND((Source!AE114*Source!AV114*Source!I114),2)*Source!BS114),2), 2), 2)</f>
        <v>0</v>
      </c>
    </row>
    <row r="185" spans="1:27" ht="15" x14ac:dyDescent="0.25">
      <c r="A185" s="26"/>
      <c r="B185" s="26"/>
      <c r="C185" s="26"/>
      <c r="D185" s="26"/>
      <c r="E185" s="26"/>
      <c r="F185" s="26"/>
      <c r="G185" s="26"/>
      <c r="H185" s="38">
        <f>I184</f>
        <v>33092.519999999997</v>
      </c>
      <c r="I185" s="38"/>
      <c r="J185" s="38">
        <f>K184</f>
        <v>95637.38</v>
      </c>
      <c r="K185" s="38"/>
      <c r="O185" s="25">
        <f>I184</f>
        <v>33092.519999999997</v>
      </c>
      <c r="P185" s="25">
        <f>K184</f>
        <v>95637.38</v>
      </c>
      <c r="X185">
        <f>IF(Source!BI114&lt;=1,I184-0, 0)</f>
        <v>0</v>
      </c>
      <c r="Y185">
        <f>IF(Source!BI114=2,I184-0, 0)</f>
        <v>33092.519999999997</v>
      </c>
      <c r="Z185">
        <f>IF(Source!BI114=3,I184-0, 0)</f>
        <v>0</v>
      </c>
      <c r="AA185">
        <f>IF(Source!BI114=4,I184,0)</f>
        <v>0</v>
      </c>
    </row>
    <row r="186" spans="1:27" ht="42.75" x14ac:dyDescent="0.2">
      <c r="A186" s="18" t="str">
        <f>Source!E115</f>
        <v>31</v>
      </c>
      <c r="B186" s="19" t="str">
        <f>Source!F115</f>
        <v>4.8-76-8</v>
      </c>
      <c r="C186" s="19" t="s">
        <v>256</v>
      </c>
      <c r="D186" s="21" t="str">
        <f>Source!H115</f>
        <v>100 шт.</v>
      </c>
      <c r="E186" s="20">
        <f>Source!I115</f>
        <v>0.12</v>
      </c>
      <c r="F186" s="23"/>
      <c r="G186" s="22"/>
      <c r="H186" s="20"/>
      <c r="I186" s="24"/>
      <c r="J186" s="20"/>
      <c r="K186" s="24"/>
      <c r="Q186">
        <f>ROUND((Source!DN115/100)*ROUND((ROUND((Source!AF115*Source!AV115*Source!I115),2)),2), 2)</f>
        <v>141.04</v>
      </c>
      <c r="R186">
        <f>Source!X115</f>
        <v>2428.81</v>
      </c>
      <c r="S186">
        <f>ROUND((Source!DO115/100)*ROUND((ROUND((Source!AF115*Source!AV115*Source!I115),2)),2), 2)</f>
        <v>88.15</v>
      </c>
      <c r="T186">
        <f>Source!Y115</f>
        <v>1160.43</v>
      </c>
      <c r="U186">
        <f>ROUND((175/100)*ROUND((ROUND((Source!AE115*Source!AV115*Source!I115),2)),2), 2)</f>
        <v>0</v>
      </c>
      <c r="V186">
        <f>ROUND((157/100)*ROUND(ROUND((ROUND((Source!AE115*Source!AV115*Source!I115),2)*Source!BS115),2), 2), 2)</f>
        <v>0</v>
      </c>
    </row>
    <row r="187" spans="1:27" ht="14.25" x14ac:dyDescent="0.2">
      <c r="A187" s="18"/>
      <c r="B187" s="19"/>
      <c r="C187" s="19" t="s">
        <v>430</v>
      </c>
      <c r="D187" s="21"/>
      <c r="E187" s="20"/>
      <c r="F187" s="23">
        <f>Source!AO115</f>
        <v>712.67</v>
      </c>
      <c r="G187" s="22" t="str">
        <f>Source!DG115</f>
        <v>*1,15*1,2</v>
      </c>
      <c r="H187" s="20">
        <f>Source!AV115</f>
        <v>1.0669999999999999</v>
      </c>
      <c r="I187" s="24">
        <f>ROUND((ROUND((Source!AF115*Source!AV115*Source!I115),2)),2)</f>
        <v>125.93</v>
      </c>
      <c r="J187" s="20">
        <f>IF(Source!BA115&lt;&gt; 0, Source!BA115, 1)</f>
        <v>21.43</v>
      </c>
      <c r="K187" s="24">
        <f>Source!S115</f>
        <v>2698.68</v>
      </c>
      <c r="W187">
        <f>I187</f>
        <v>125.93</v>
      </c>
    </row>
    <row r="188" spans="1:27" ht="14.25" x14ac:dyDescent="0.2">
      <c r="A188" s="18"/>
      <c r="B188" s="19"/>
      <c r="C188" s="19" t="s">
        <v>436</v>
      </c>
      <c r="D188" s="21"/>
      <c r="E188" s="20"/>
      <c r="F188" s="23">
        <f>Source!AL115</f>
        <v>7</v>
      </c>
      <c r="G188" s="22" t="str">
        <f>Source!DD115</f>
        <v/>
      </c>
      <c r="H188" s="20">
        <f>Source!AW115</f>
        <v>1.081</v>
      </c>
      <c r="I188" s="24">
        <f>ROUND((ROUND((Source!AC115*Source!AW115*Source!I115),2)),2)</f>
        <v>0.91</v>
      </c>
      <c r="J188" s="20">
        <f>IF(Source!BC115&lt;&gt; 0, Source!BC115, 1)</f>
        <v>5.36</v>
      </c>
      <c r="K188" s="24">
        <f>Source!P115</f>
        <v>4.88</v>
      </c>
    </row>
    <row r="189" spans="1:27" ht="14.25" x14ac:dyDescent="0.2">
      <c r="A189" s="18"/>
      <c r="B189" s="19"/>
      <c r="C189" s="19" t="s">
        <v>431</v>
      </c>
      <c r="D189" s="21" t="s">
        <v>432</v>
      </c>
      <c r="E189" s="20">
        <f>Source!DN115</f>
        <v>112</v>
      </c>
      <c r="F189" s="23"/>
      <c r="G189" s="22"/>
      <c r="H189" s="20"/>
      <c r="I189" s="24">
        <f>SUM(Q186:Q188)</f>
        <v>141.04</v>
      </c>
      <c r="J189" s="20">
        <f>Source!BZ115</f>
        <v>90</v>
      </c>
      <c r="K189" s="24">
        <f>SUM(R186:R188)</f>
        <v>2428.81</v>
      </c>
    </row>
    <row r="190" spans="1:27" ht="14.25" x14ac:dyDescent="0.2">
      <c r="A190" s="18"/>
      <c r="B190" s="19"/>
      <c r="C190" s="19" t="s">
        <v>433</v>
      </c>
      <c r="D190" s="21" t="s">
        <v>432</v>
      </c>
      <c r="E190" s="20">
        <f>Source!DO115</f>
        <v>70</v>
      </c>
      <c r="F190" s="23"/>
      <c r="G190" s="22"/>
      <c r="H190" s="20"/>
      <c r="I190" s="24">
        <f>SUM(S186:S189)</f>
        <v>88.15</v>
      </c>
      <c r="J190" s="20">
        <f>Source!CA115</f>
        <v>43</v>
      </c>
      <c r="K190" s="24">
        <f>SUM(T186:T189)</f>
        <v>1160.43</v>
      </c>
    </row>
    <row r="191" spans="1:27" ht="14.25" x14ac:dyDescent="0.2">
      <c r="A191" s="18"/>
      <c r="B191" s="19"/>
      <c r="C191" s="19" t="s">
        <v>434</v>
      </c>
      <c r="D191" s="21" t="s">
        <v>435</v>
      </c>
      <c r="E191" s="20">
        <f>Source!AQ115</f>
        <v>57.8</v>
      </c>
      <c r="F191" s="23"/>
      <c r="G191" s="22" t="str">
        <f>Source!DI115</f>
        <v>*1,15*1,2</v>
      </c>
      <c r="H191" s="20">
        <f>Source!AV115</f>
        <v>1.0669999999999999</v>
      </c>
      <c r="I191" s="24">
        <f>Source!U115</f>
        <v>10.212982559999997</v>
      </c>
      <c r="J191" s="20"/>
      <c r="K191" s="24"/>
    </row>
    <row r="192" spans="1:27" ht="15" x14ac:dyDescent="0.25">
      <c r="A192" s="26"/>
      <c r="B192" s="26"/>
      <c r="C192" s="26"/>
      <c r="D192" s="26"/>
      <c r="E192" s="26"/>
      <c r="F192" s="26"/>
      <c r="G192" s="26"/>
      <c r="H192" s="38">
        <f>I187+I188+I189+I190</f>
        <v>356.03</v>
      </c>
      <c r="I192" s="38"/>
      <c r="J192" s="38">
        <f>K187+K188+K189+K190</f>
        <v>6292.8</v>
      </c>
      <c r="K192" s="38"/>
      <c r="O192" s="25">
        <f>I187+I188+I189+I190</f>
        <v>356.03</v>
      </c>
      <c r="P192" s="25">
        <f>K187+K188+K189+K190</f>
        <v>6292.8</v>
      </c>
      <c r="X192">
        <f>IF(Source!BI115&lt;=1,I187+I188+I189+I190-0, 0)</f>
        <v>0</v>
      </c>
      <c r="Y192">
        <f>IF(Source!BI115=2,I187+I188+I189+I190-0, 0)</f>
        <v>356.03</v>
      </c>
      <c r="Z192">
        <f>IF(Source!BI115=3,I187+I188+I189+I190-0, 0)</f>
        <v>0</v>
      </c>
      <c r="AA192">
        <f>IF(Source!BI115=4,I187+I188+I189+I190,0)</f>
        <v>0</v>
      </c>
    </row>
    <row r="193" spans="1:27" ht="28.5" x14ac:dyDescent="0.2">
      <c r="A193" s="18" t="str">
        <f>Source!E118</f>
        <v>34</v>
      </c>
      <c r="B193" s="19" t="str">
        <f>Source!F118</f>
        <v>4.8-301-1</v>
      </c>
      <c r="C193" s="19" t="s">
        <v>272</v>
      </c>
      <c r="D193" s="21" t="str">
        <f>Source!H118</f>
        <v>100 компл.</v>
      </c>
      <c r="E193" s="20">
        <f>Source!I118</f>
        <v>0.6</v>
      </c>
      <c r="F193" s="23"/>
      <c r="G193" s="22"/>
      <c r="H193" s="20"/>
      <c r="I193" s="24"/>
      <c r="J193" s="20"/>
      <c r="K193" s="24"/>
      <c r="Q193">
        <f>ROUND((Source!DN118/100)*ROUND((ROUND((Source!AF118*Source!AV118*Source!I118),2)),2), 2)</f>
        <v>2084.1</v>
      </c>
      <c r="R193">
        <f>Source!X118</f>
        <v>35889.25</v>
      </c>
      <c r="S193">
        <f>ROUND((Source!DO118/100)*ROUND((ROUND((Source!AF118*Source!AV118*Source!I118),2)),2), 2)</f>
        <v>1302.56</v>
      </c>
      <c r="T193">
        <f>Source!Y118</f>
        <v>17147.080000000002</v>
      </c>
      <c r="U193">
        <f>ROUND((175/100)*ROUND((ROUND((Source!AE118*Source!AV118*Source!I118),2)),2), 2)</f>
        <v>94.08</v>
      </c>
      <c r="V193">
        <f>ROUND((157/100)*ROUND(ROUND((ROUND((Source!AE118*Source!AV118*Source!I118),2)*Source!BS118),2), 2), 2)</f>
        <v>1808.77</v>
      </c>
    </row>
    <row r="194" spans="1:27" ht="14.25" x14ac:dyDescent="0.2">
      <c r="A194" s="18"/>
      <c r="B194" s="19"/>
      <c r="C194" s="19" t="s">
        <v>430</v>
      </c>
      <c r="D194" s="21"/>
      <c r="E194" s="20"/>
      <c r="F194" s="23">
        <f>Source!AO118</f>
        <v>2146.46</v>
      </c>
      <c r="G194" s="22" t="str">
        <f>Source!DG118</f>
        <v>*1,2*1,15</v>
      </c>
      <c r="H194" s="20">
        <f>Source!AV118</f>
        <v>1.0469999999999999</v>
      </c>
      <c r="I194" s="24">
        <f>ROUND((ROUND((Source!AF118*Source!AV118*Source!I118),2)),2)</f>
        <v>1860.8</v>
      </c>
      <c r="J194" s="20">
        <f>IF(Source!BA118&lt;&gt; 0, Source!BA118, 1)</f>
        <v>21.43</v>
      </c>
      <c r="K194" s="24">
        <f>Source!S118</f>
        <v>39876.94</v>
      </c>
      <c r="W194">
        <f>I194</f>
        <v>1860.8</v>
      </c>
    </row>
    <row r="195" spans="1:27" ht="14.25" x14ac:dyDescent="0.2">
      <c r="A195" s="18"/>
      <c r="B195" s="19"/>
      <c r="C195" s="19" t="s">
        <v>439</v>
      </c>
      <c r="D195" s="21"/>
      <c r="E195" s="20"/>
      <c r="F195" s="23">
        <f>Source!AM118</f>
        <v>715.22</v>
      </c>
      <c r="G195" s="22" t="str">
        <f>Source!DE118</f>
        <v>*1,2*1,15</v>
      </c>
      <c r="H195" s="20">
        <f>Source!AV118</f>
        <v>1.0469999999999999</v>
      </c>
      <c r="I195" s="24">
        <f>(ROUND((ROUND((((Source!ET118*1.2*1.15))*Source!AV118*Source!I118),2)),2)+ROUND((ROUND(((Source!AE118-((Source!EU118*1.2*1.15)))*Source!AV118*Source!I118),2)),2))</f>
        <v>620.04</v>
      </c>
      <c r="J195" s="20">
        <f>IF(Source!BB118&lt;&gt; 0, Source!BB118, 1)</f>
        <v>6.66</v>
      </c>
      <c r="K195" s="24">
        <f>Source!Q118</f>
        <v>4129.47</v>
      </c>
    </row>
    <row r="196" spans="1:27" ht="14.25" x14ac:dyDescent="0.2">
      <c r="A196" s="18"/>
      <c r="B196" s="19"/>
      <c r="C196" s="19" t="s">
        <v>440</v>
      </c>
      <c r="D196" s="21"/>
      <c r="E196" s="20"/>
      <c r="F196" s="23">
        <f>Source!AN118</f>
        <v>62.01</v>
      </c>
      <c r="G196" s="22" t="str">
        <f>Source!DF118</f>
        <v>*1,2*1,15</v>
      </c>
      <c r="H196" s="20">
        <f>Source!AV118</f>
        <v>1.0469999999999999</v>
      </c>
      <c r="I196" s="28">
        <f>ROUND((ROUND((Source!AE118*Source!AV118*Source!I118),2)),2)</f>
        <v>53.76</v>
      </c>
      <c r="J196" s="20">
        <f>IF(Source!BS118&lt;&gt; 0, Source!BS118, 1)</f>
        <v>21.43</v>
      </c>
      <c r="K196" s="28">
        <f>Source!R118</f>
        <v>1152.08</v>
      </c>
      <c r="W196">
        <f>I196</f>
        <v>53.76</v>
      </c>
    </row>
    <row r="197" spans="1:27" ht="14.25" x14ac:dyDescent="0.2">
      <c r="A197" s="18"/>
      <c r="B197" s="19"/>
      <c r="C197" s="19" t="s">
        <v>436</v>
      </c>
      <c r="D197" s="21"/>
      <c r="E197" s="20"/>
      <c r="F197" s="23">
        <f>Source!AL118</f>
        <v>519.45000000000005</v>
      </c>
      <c r="G197" s="22" t="str">
        <f>Source!DD118</f>
        <v/>
      </c>
      <c r="H197" s="20">
        <f>Source!AW118</f>
        <v>1</v>
      </c>
      <c r="I197" s="24">
        <f>ROUND((ROUND((Source!AC118*Source!AW118*Source!I118),2)),2)</f>
        <v>311.67</v>
      </c>
      <c r="J197" s="20">
        <f>IF(Source!BC118&lt;&gt; 0, Source!BC118, 1)</f>
        <v>5.36</v>
      </c>
      <c r="K197" s="24">
        <f>Source!P118</f>
        <v>1670.55</v>
      </c>
    </row>
    <row r="198" spans="1:27" ht="28.5" x14ac:dyDescent="0.2">
      <c r="A198" s="18" t="str">
        <f>Source!E119</f>
        <v>34,1</v>
      </c>
      <c r="B198" s="19" t="str">
        <f>Source!F119</f>
        <v>1.21-5-1069</v>
      </c>
      <c r="C198" s="19" t="s">
        <v>277</v>
      </c>
      <c r="D198" s="21" t="str">
        <f>Source!H119</f>
        <v>КОМПЛЕКТ</v>
      </c>
      <c r="E198" s="20">
        <f>Source!I119</f>
        <v>60</v>
      </c>
      <c r="F198" s="23">
        <f>Source!AK119</f>
        <v>153.63</v>
      </c>
      <c r="G198" s="27" t="s">
        <v>5</v>
      </c>
      <c r="H198" s="20">
        <f>Source!AW119</f>
        <v>1</v>
      </c>
      <c r="I198" s="24">
        <f>ROUND((ROUND((Source!AC119*Source!AW119*Source!I119),2)),2)+(ROUND((ROUND(((Source!ET119)*Source!AV119*Source!I119),2)),2)+ROUND((ROUND(((Source!AE119-(Source!EU119))*Source!AV119*Source!I119),2)),2))+ROUND((ROUND((Source!AF119*Source!AV119*Source!I119),2)),2)</f>
        <v>9217.7999999999993</v>
      </c>
      <c r="J198" s="20">
        <f>IF(Source!BC119&lt;&gt; 0, Source!BC119, 1)</f>
        <v>2.0699999999999998</v>
      </c>
      <c r="K198" s="24">
        <f>Source!O119</f>
        <v>19080.849999999999</v>
      </c>
      <c r="Q198">
        <f>ROUND((Source!DN119/100)*ROUND((ROUND((Source!AF119*Source!AV119*Source!I119),2)),2), 2)</f>
        <v>0</v>
      </c>
      <c r="R198">
        <f>Source!X119</f>
        <v>0</v>
      </c>
      <c r="S198">
        <f>ROUND((Source!DO119/100)*ROUND((ROUND((Source!AF119*Source!AV119*Source!I119),2)),2), 2)</f>
        <v>0</v>
      </c>
      <c r="T198">
        <f>Source!Y119</f>
        <v>0</v>
      </c>
      <c r="U198">
        <f>ROUND((175/100)*ROUND((ROUND((Source!AE119*Source!AV119*Source!I119),2)),2), 2)</f>
        <v>0</v>
      </c>
      <c r="V198">
        <f>ROUND((157/100)*ROUND(ROUND((ROUND((Source!AE119*Source!AV119*Source!I119),2)*Source!BS119),2), 2), 2)</f>
        <v>0</v>
      </c>
      <c r="X198">
        <f>IF(Source!BI119&lt;=1,I198, 0)</f>
        <v>0</v>
      </c>
      <c r="Y198">
        <f>IF(Source!BI119=2,I198, 0)</f>
        <v>9217.7999999999993</v>
      </c>
      <c r="Z198">
        <f>IF(Source!BI119=3,I198, 0)</f>
        <v>0</v>
      </c>
      <c r="AA198">
        <f>IF(Source!BI119=4,I198, 0)</f>
        <v>0</v>
      </c>
    </row>
    <row r="199" spans="1:27" ht="14.25" x14ac:dyDescent="0.2">
      <c r="A199" s="18"/>
      <c r="B199" s="19"/>
      <c r="C199" s="19" t="s">
        <v>431</v>
      </c>
      <c r="D199" s="21" t="s">
        <v>432</v>
      </c>
      <c r="E199" s="20">
        <f>Source!DN118</f>
        <v>112</v>
      </c>
      <c r="F199" s="23"/>
      <c r="G199" s="22"/>
      <c r="H199" s="20"/>
      <c r="I199" s="24">
        <f>SUM(Q193:Q198)</f>
        <v>2084.1</v>
      </c>
      <c r="J199" s="20">
        <f>Source!BZ118</f>
        <v>90</v>
      </c>
      <c r="K199" s="24">
        <f>SUM(R193:R198)</f>
        <v>35889.25</v>
      </c>
    </row>
    <row r="200" spans="1:27" ht="14.25" x14ac:dyDescent="0.2">
      <c r="A200" s="18"/>
      <c r="B200" s="19"/>
      <c r="C200" s="19" t="s">
        <v>433</v>
      </c>
      <c r="D200" s="21" t="s">
        <v>432</v>
      </c>
      <c r="E200" s="20">
        <f>Source!DO118</f>
        <v>70</v>
      </c>
      <c r="F200" s="23"/>
      <c r="G200" s="22"/>
      <c r="H200" s="20"/>
      <c r="I200" s="24">
        <f>SUM(S193:S199)</f>
        <v>1302.56</v>
      </c>
      <c r="J200" s="20">
        <f>Source!CA118</f>
        <v>43</v>
      </c>
      <c r="K200" s="24">
        <f>SUM(T193:T199)</f>
        <v>17147.080000000002</v>
      </c>
    </row>
    <row r="201" spans="1:27" ht="14.25" x14ac:dyDescent="0.2">
      <c r="A201" s="18"/>
      <c r="B201" s="19"/>
      <c r="C201" s="19" t="s">
        <v>441</v>
      </c>
      <c r="D201" s="21" t="s">
        <v>432</v>
      </c>
      <c r="E201" s="20">
        <f>175</f>
        <v>175</v>
      </c>
      <c r="F201" s="23"/>
      <c r="G201" s="22"/>
      <c r="H201" s="20"/>
      <c r="I201" s="24">
        <f>SUM(U193:U200)</f>
        <v>94.08</v>
      </c>
      <c r="J201" s="20">
        <f>157</f>
        <v>157</v>
      </c>
      <c r="K201" s="24">
        <f>SUM(V193:V200)</f>
        <v>1808.77</v>
      </c>
    </row>
    <row r="202" spans="1:27" ht="14.25" x14ac:dyDescent="0.2">
      <c r="A202" s="18"/>
      <c r="B202" s="19"/>
      <c r="C202" s="19" t="s">
        <v>434</v>
      </c>
      <c r="D202" s="21" t="s">
        <v>435</v>
      </c>
      <c r="E202" s="20">
        <f>Source!AQ118</f>
        <v>155.88999999999999</v>
      </c>
      <c r="F202" s="23"/>
      <c r="G202" s="22" t="str">
        <f>Source!DI118</f>
        <v>*1,2*1,15</v>
      </c>
      <c r="H202" s="20">
        <f>Source!AV118</f>
        <v>1.0469999999999999</v>
      </c>
      <c r="I202" s="24">
        <f>Source!U118</f>
        <v>135.14353523999998</v>
      </c>
      <c r="J202" s="20"/>
      <c r="K202" s="24"/>
    </row>
    <row r="203" spans="1:27" ht="15" x14ac:dyDescent="0.25">
      <c r="A203" s="26"/>
      <c r="B203" s="26"/>
      <c r="C203" s="26"/>
      <c r="D203" s="26"/>
      <c r="E203" s="26"/>
      <c r="F203" s="26"/>
      <c r="G203" s="26"/>
      <c r="H203" s="38">
        <f>I194+I195+I197+I199+I200+I201+SUM(I198:I198)</f>
        <v>15491.05</v>
      </c>
      <c r="I203" s="38"/>
      <c r="J203" s="38">
        <f>K194+K195+K197+K199+K200+K201+SUM(K198:K198)</f>
        <v>119602.91</v>
      </c>
      <c r="K203" s="38"/>
      <c r="O203" s="25">
        <f>I194+I195+I197+I199+I200+I201+SUM(I198:I198)</f>
        <v>15491.05</v>
      </c>
      <c r="P203" s="25">
        <f>K194+K195+K197+K199+K200+K201+SUM(K198:K198)</f>
        <v>119602.91</v>
      </c>
      <c r="X203">
        <f>IF(Source!BI118&lt;=1,I194+I195+I197+I199+I200+I201-0, 0)</f>
        <v>0</v>
      </c>
      <c r="Y203">
        <f>IF(Source!BI118=2,I194+I195+I197+I199+I200+I201-0, 0)</f>
        <v>6273.25</v>
      </c>
      <c r="Z203">
        <f>IF(Source!BI118=3,I194+I195+I197+I199+I200+I201-0, 0)</f>
        <v>0</v>
      </c>
      <c r="AA203">
        <f>IF(Source!BI118=4,I194+I195+I197+I199+I200+I201,0)</f>
        <v>0</v>
      </c>
    </row>
    <row r="205" spans="1:27" ht="15" x14ac:dyDescent="0.25">
      <c r="A205" s="35" t="str">
        <f>CONCATENATE("Итого по разделу: ",IF(Source!G121&lt;&gt;"Новый раздел", Source!G121, ""))</f>
        <v>Итого по разделу: Прокладка кабеля в земле. Монтажные работы.</v>
      </c>
      <c r="B205" s="35"/>
      <c r="C205" s="35"/>
      <c r="D205" s="35"/>
      <c r="E205" s="35"/>
      <c r="F205" s="35"/>
      <c r="G205" s="35"/>
      <c r="H205" s="36">
        <f>SUM(O77:O204)</f>
        <v>894259.03</v>
      </c>
      <c r="I205" s="37"/>
      <c r="J205" s="36">
        <f>SUM(P77:P204)</f>
        <v>6114212.2999999998</v>
      </c>
      <c r="K205" s="37"/>
    </row>
    <row r="206" spans="1:27" hidden="1" x14ac:dyDescent="0.2">
      <c r="A206" t="s">
        <v>437</v>
      </c>
      <c r="I206">
        <f>SUM(AC77:AC205)</f>
        <v>0</v>
      </c>
      <c r="J206">
        <f>SUM(AD77:AD205)</f>
        <v>0</v>
      </c>
    </row>
    <row r="207" spans="1:27" hidden="1" x14ac:dyDescent="0.2">
      <c r="A207" t="s">
        <v>438</v>
      </c>
      <c r="I207">
        <f>SUM(AE77:AE206)</f>
        <v>0</v>
      </c>
      <c r="J207">
        <f>SUM(AF77:AF206)</f>
        <v>0</v>
      </c>
    </row>
    <row r="208" spans="1:27" ht="14.25" x14ac:dyDescent="0.2">
      <c r="C208" s="33" t="str">
        <f>Source!H150</f>
        <v>Итого по разделу</v>
      </c>
      <c r="D208" s="33"/>
      <c r="E208" s="33"/>
      <c r="F208" s="33"/>
      <c r="G208" s="33"/>
      <c r="H208" s="33"/>
      <c r="I208" s="33"/>
      <c r="J208" s="34">
        <f>IF(Source!F150=0, "", Source!F150)</f>
        <v>6114212.2999999998</v>
      </c>
      <c r="K208" s="34"/>
    </row>
    <row r="210" spans="1:27" ht="16.5" x14ac:dyDescent="0.25">
      <c r="A210" s="39" t="str">
        <f>CONCATENATE("Раздел: ",IF(Source!G152&lt;&gt;"Новый раздел", Source!G152, ""))</f>
        <v>Раздел: Прочие работы</v>
      </c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27" ht="42.75" x14ac:dyDescent="0.2">
      <c r="A211" s="18" t="str">
        <f>Source!E158</f>
        <v>3</v>
      </c>
      <c r="B211" s="19" t="str">
        <f>Source!F158</f>
        <v>15.1-30-1</v>
      </c>
      <c r="C211" s="19" t="s">
        <v>292</v>
      </c>
      <c r="D211" s="21" t="str">
        <f>Source!H158</f>
        <v>1 м3</v>
      </c>
      <c r="E211" s="20">
        <f>Source!I158</f>
        <v>62.57</v>
      </c>
      <c r="F211" s="23"/>
      <c r="G211" s="22"/>
      <c r="H211" s="20"/>
      <c r="I211" s="24"/>
      <c r="J211" s="20"/>
      <c r="K211" s="24"/>
      <c r="Q211">
        <f>ROUND((Source!DN158/100)*ROUND((ROUND((Source!AF158*Source!AV158*Source!I158),2)),2), 2)</f>
        <v>0</v>
      </c>
      <c r="R211">
        <f>Source!X158</f>
        <v>0</v>
      </c>
      <c r="S211">
        <f>ROUND((Source!DO158/100)*ROUND((ROUND((Source!AF158*Source!AV158*Source!I158),2)),2), 2)</f>
        <v>0</v>
      </c>
      <c r="T211">
        <f>Source!Y158</f>
        <v>0</v>
      </c>
      <c r="U211">
        <f>ROUND((175/100)*ROUND((ROUND((Source!AE158*Source!AV158*Source!I158),2)),2), 2)</f>
        <v>0</v>
      </c>
      <c r="V211">
        <f>ROUND((157/100)*ROUND(ROUND((ROUND((Source!AE158*Source!AV158*Source!I158),2)*Source!BS158),2), 2), 2)</f>
        <v>0</v>
      </c>
    </row>
    <row r="212" spans="1:27" ht="14.25" x14ac:dyDescent="0.2">
      <c r="A212" s="18"/>
      <c r="B212" s="19"/>
      <c r="C212" s="19" t="s">
        <v>439</v>
      </c>
      <c r="D212" s="21"/>
      <c r="E212" s="20"/>
      <c r="F212" s="23">
        <f>Source!AM158</f>
        <v>55.05</v>
      </c>
      <c r="G212" s="22" t="str">
        <f>Source!DE158</f>
        <v/>
      </c>
      <c r="H212" s="20">
        <f>Source!AV158</f>
        <v>1</v>
      </c>
      <c r="I212" s="24">
        <f>(ROUND((ROUND(((Source!ET158)*Source!AV158*Source!I158),2)),2)+ROUND((ROUND(((Source!AE158-(Source!EU158))*Source!AV158*Source!I158),2)),2))</f>
        <v>3444.48</v>
      </c>
      <c r="J212" s="20">
        <f>IF(Source!BB158&lt;&gt; 0, Source!BB158, 1)</f>
        <v>8.81</v>
      </c>
      <c r="K212" s="24">
        <f>Source!Q158</f>
        <v>30345.87</v>
      </c>
    </row>
    <row r="213" spans="1:27" ht="15" x14ac:dyDescent="0.25">
      <c r="A213" s="26"/>
      <c r="B213" s="26"/>
      <c r="C213" s="26"/>
      <c r="D213" s="26"/>
      <c r="E213" s="26"/>
      <c r="F213" s="26"/>
      <c r="G213" s="26"/>
      <c r="H213" s="38">
        <f>I212</f>
        <v>3444.48</v>
      </c>
      <c r="I213" s="38"/>
      <c r="J213" s="38">
        <f>K212</f>
        <v>30345.87</v>
      </c>
      <c r="K213" s="38"/>
      <c r="O213" s="25">
        <f>I212</f>
        <v>3444.48</v>
      </c>
      <c r="P213" s="25">
        <f>K212</f>
        <v>30345.87</v>
      </c>
      <c r="X213">
        <f>IF(Source!BI158&lt;=1,I212-0, 0)</f>
        <v>0</v>
      </c>
      <c r="Y213">
        <f>IF(Source!BI158=2,I212-0, 0)</f>
        <v>0</v>
      </c>
      <c r="Z213">
        <f>IF(Source!BI158=3,I212-0, 0)</f>
        <v>0</v>
      </c>
      <c r="AA213">
        <f>IF(Source!BI158=4,I212,0)</f>
        <v>3444.48</v>
      </c>
    </row>
    <row r="214" spans="1:27" ht="71.25" x14ac:dyDescent="0.2">
      <c r="A214" s="18" t="str">
        <f>Source!E159</f>
        <v>4</v>
      </c>
      <c r="B214" s="19" t="str">
        <f>Source!F159</f>
        <v>15.1-0-9</v>
      </c>
      <c r="C214" s="19" t="s">
        <v>296</v>
      </c>
      <c r="D214" s="21" t="str">
        <f>Source!H159</f>
        <v>1 Т</v>
      </c>
      <c r="E214" s="20">
        <f>Source!I159</f>
        <v>112.626</v>
      </c>
      <c r="F214" s="23"/>
      <c r="G214" s="22"/>
      <c r="H214" s="20"/>
      <c r="I214" s="24"/>
      <c r="J214" s="20"/>
      <c r="K214" s="24"/>
      <c r="Q214">
        <f>ROUND((Source!DN159/100)*ROUND((ROUND((Source!AF159*Source!AV159*Source!I159),2)),2), 2)</f>
        <v>0</v>
      </c>
      <c r="R214">
        <f>Source!X159</f>
        <v>0</v>
      </c>
      <c r="S214">
        <f>ROUND((Source!DO159/100)*ROUND((ROUND((Source!AF159*Source!AV159*Source!I159),2)),2), 2)</f>
        <v>0</v>
      </c>
      <c r="T214">
        <f>Source!Y159</f>
        <v>0</v>
      </c>
      <c r="U214">
        <f>ROUND((175/100)*ROUND((ROUND((Source!AE159*Source!AV159*Source!I159),2)),2), 2)</f>
        <v>0</v>
      </c>
      <c r="V214">
        <f>ROUND((157/100)*ROUND(ROUND((ROUND((Source!AE159*Source!AV159*Source!I159),2)*Source!BS159),2), 2), 2)</f>
        <v>0</v>
      </c>
    </row>
    <row r="215" spans="1:27" ht="14.25" x14ac:dyDescent="0.2">
      <c r="A215" s="18"/>
      <c r="B215" s="19"/>
      <c r="C215" s="19" t="s">
        <v>439</v>
      </c>
      <c r="D215" s="21"/>
      <c r="E215" s="20"/>
      <c r="F215" s="23">
        <f>Source!AM159</f>
        <v>43.28</v>
      </c>
      <c r="G215" s="22" t="str">
        <f>Source!DE159</f>
        <v/>
      </c>
      <c r="H215" s="20">
        <f>Source!AV159</f>
        <v>1</v>
      </c>
      <c r="I215" s="24">
        <f>(ROUND((ROUND(((Source!ET159)*Source!AV159*Source!I159),2)),2)+ROUND((ROUND(((Source!AE159-(Source!EU159))*Source!AV159*Source!I159),2)),2))</f>
        <v>4874.45</v>
      </c>
      <c r="J215" s="20">
        <f>IF(Source!BB159&lt;&gt; 0, Source!BB159, 1)</f>
        <v>2.87</v>
      </c>
      <c r="K215" s="24">
        <f>Source!Q159</f>
        <v>13989.67</v>
      </c>
    </row>
    <row r="216" spans="1:27" ht="15" x14ac:dyDescent="0.25">
      <c r="A216" s="26"/>
      <c r="B216" s="26"/>
      <c r="C216" s="26"/>
      <c r="D216" s="26"/>
      <c r="E216" s="26"/>
      <c r="F216" s="26"/>
      <c r="G216" s="26"/>
      <c r="H216" s="38">
        <f>I215</f>
        <v>4874.45</v>
      </c>
      <c r="I216" s="38"/>
      <c r="J216" s="38">
        <f>K215</f>
        <v>13989.67</v>
      </c>
      <c r="K216" s="38"/>
      <c r="O216" s="25">
        <f>I215</f>
        <v>4874.45</v>
      </c>
      <c r="P216" s="25">
        <f>K215</f>
        <v>13989.67</v>
      </c>
      <c r="X216">
        <f>IF(Source!BI159&lt;=1,I215-0, 0)</f>
        <v>0</v>
      </c>
      <c r="Y216">
        <f>IF(Source!BI159=2,I215-0, 0)</f>
        <v>0</v>
      </c>
      <c r="Z216">
        <f>IF(Source!BI159=3,I215-0, 0)</f>
        <v>0</v>
      </c>
      <c r="AA216">
        <f>IF(Source!BI159=4,I215,0)</f>
        <v>4874.45</v>
      </c>
    </row>
    <row r="218" spans="1:27" ht="15" x14ac:dyDescent="0.25">
      <c r="A218" s="35" t="str">
        <f>CONCATENATE("Итого по разделу: ",IF(Source!G161&lt;&gt;"Новый раздел", Source!G161, ""))</f>
        <v>Итого по разделу: Прочие работы</v>
      </c>
      <c r="B218" s="35"/>
      <c r="C218" s="35"/>
      <c r="D218" s="35"/>
      <c r="E218" s="35"/>
      <c r="F218" s="35"/>
      <c r="G218" s="35"/>
      <c r="H218" s="36">
        <f>SUM(O210:O217)</f>
        <v>8318.93</v>
      </c>
      <c r="I218" s="37"/>
      <c r="J218" s="36">
        <f>SUM(P210:P217)</f>
        <v>44335.54</v>
      </c>
      <c r="K218" s="37"/>
    </row>
    <row r="219" spans="1:27" hidden="1" x14ac:dyDescent="0.2">
      <c r="A219" t="s">
        <v>437</v>
      </c>
      <c r="I219">
        <f>SUM(AC210:AC218)</f>
        <v>0</v>
      </c>
      <c r="J219">
        <f>SUM(AD210:AD218)</f>
        <v>0</v>
      </c>
    </row>
    <row r="220" spans="1:27" hidden="1" x14ac:dyDescent="0.2">
      <c r="A220" t="s">
        <v>438</v>
      </c>
      <c r="I220">
        <f>SUM(AE210:AE219)</f>
        <v>0</v>
      </c>
      <c r="J220">
        <f>SUM(AF210:AF219)</f>
        <v>0</v>
      </c>
    </row>
    <row r="221" spans="1:27" ht="14.25" x14ac:dyDescent="0.2">
      <c r="C221" s="33" t="str">
        <f>Source!H190</f>
        <v>Итого по разделу</v>
      </c>
      <c r="D221" s="33"/>
      <c r="E221" s="33"/>
      <c r="F221" s="33"/>
      <c r="G221" s="33"/>
      <c r="H221" s="33"/>
      <c r="I221" s="33"/>
      <c r="J221" s="34">
        <f>IF(Source!F190=0, "", Source!F190)</f>
        <v>44335.54</v>
      </c>
      <c r="K221" s="34"/>
    </row>
    <row r="223" spans="1:27" ht="16.5" x14ac:dyDescent="0.25">
      <c r="A223" s="39" t="str">
        <f>CONCATENATE("Раздел: ",IF(Source!G192&lt;&gt;"Новый раздел", Source!G192, ""))</f>
        <v>Раздел: Пусконаладочные работы</v>
      </c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27" ht="71.25" x14ac:dyDescent="0.2">
      <c r="A224" s="18" t="str">
        <f>Source!E196</f>
        <v>1</v>
      </c>
      <c r="B224" s="19" t="str">
        <f>Source!F196</f>
        <v>5.10-35-2</v>
      </c>
      <c r="C224" s="19" t="s">
        <v>300</v>
      </c>
      <c r="D224" s="21" t="str">
        <f>Source!H196</f>
        <v>1 линия кабеля (3 испытания 1-го образца)</v>
      </c>
      <c r="E224" s="20">
        <f>Source!I196</f>
        <v>2</v>
      </c>
      <c r="F224" s="23"/>
      <c r="G224" s="22"/>
      <c r="H224" s="20"/>
      <c r="I224" s="24"/>
      <c r="J224" s="20"/>
      <c r="K224" s="24"/>
      <c r="Q224">
        <f>ROUND((Source!DN196/100)*ROUND((ROUND((Source!AF196*Source!AV196*Source!I196),2)),2), 2)</f>
        <v>2236.91</v>
      </c>
      <c r="R224">
        <f>Source!X196</f>
        <v>43462.76</v>
      </c>
      <c r="S224">
        <f>ROUND((Source!DO196/100)*ROUND((ROUND((Source!AF196*Source!AV196*Source!I196),2)),2), 2)</f>
        <v>2087.7800000000002</v>
      </c>
      <c r="T224">
        <f>Source!Y196</f>
        <v>26205.49</v>
      </c>
      <c r="U224">
        <f>ROUND((175/100)*ROUND((ROUND((Source!AE196*Source!AV196*Source!I196),2)),2), 2)</f>
        <v>0</v>
      </c>
      <c r="V224">
        <f>ROUND((157/100)*ROUND(ROUND((ROUND((Source!AE196*Source!AV196*Source!I196),2)*Source!BS196),2), 2), 2)</f>
        <v>0</v>
      </c>
    </row>
    <row r="225" spans="1:27" ht="14.25" x14ac:dyDescent="0.2">
      <c r="A225" s="18"/>
      <c r="B225" s="19"/>
      <c r="C225" s="19" t="s">
        <v>430</v>
      </c>
      <c r="D225" s="21"/>
      <c r="E225" s="20"/>
      <c r="F225" s="23">
        <f>Source!AO196</f>
        <v>1147.1300000000001</v>
      </c>
      <c r="G225" s="22" t="str">
        <f>Source!DG196</f>
        <v>)*1,3</v>
      </c>
      <c r="H225" s="20">
        <f>Source!AV196</f>
        <v>1</v>
      </c>
      <c r="I225" s="24">
        <f>ROUND((ROUND((Source!AF196*Source!AV196*Source!I196),2)),2)</f>
        <v>2982.54</v>
      </c>
      <c r="J225" s="20">
        <f>IF(Source!BA196&lt;&gt; 0, Source!BA196, 1)</f>
        <v>21.43</v>
      </c>
      <c r="K225" s="24">
        <f>Source!S196</f>
        <v>63915.83</v>
      </c>
      <c r="W225">
        <f>I225</f>
        <v>2982.54</v>
      </c>
    </row>
    <row r="226" spans="1:27" ht="14.25" x14ac:dyDescent="0.2">
      <c r="A226" s="18"/>
      <c r="B226" s="19"/>
      <c r="C226" s="19" t="s">
        <v>431</v>
      </c>
      <c r="D226" s="21" t="s">
        <v>432</v>
      </c>
      <c r="E226" s="20">
        <f>Source!DN196</f>
        <v>75</v>
      </c>
      <c r="F226" s="23"/>
      <c r="G226" s="22"/>
      <c r="H226" s="20"/>
      <c r="I226" s="24">
        <f>SUM(Q224:Q225)</f>
        <v>2236.91</v>
      </c>
      <c r="J226" s="20">
        <f>Source!BZ196</f>
        <v>68</v>
      </c>
      <c r="K226" s="24">
        <f>SUM(R224:R225)</f>
        <v>43462.76</v>
      </c>
    </row>
    <row r="227" spans="1:27" ht="14.25" x14ac:dyDescent="0.2">
      <c r="A227" s="18"/>
      <c r="B227" s="19"/>
      <c r="C227" s="19" t="s">
        <v>433</v>
      </c>
      <c r="D227" s="21" t="s">
        <v>432</v>
      </c>
      <c r="E227" s="20">
        <f>Source!DO196</f>
        <v>70</v>
      </c>
      <c r="F227" s="23"/>
      <c r="G227" s="22"/>
      <c r="H227" s="20"/>
      <c r="I227" s="24">
        <f>SUM(S224:S226)</f>
        <v>2087.7800000000002</v>
      </c>
      <c r="J227" s="20">
        <f>Source!CA196</f>
        <v>41</v>
      </c>
      <c r="K227" s="24">
        <f>SUM(T224:T226)</f>
        <v>26205.49</v>
      </c>
    </row>
    <row r="228" spans="1:27" ht="14.25" x14ac:dyDescent="0.2">
      <c r="A228" s="18"/>
      <c r="B228" s="19"/>
      <c r="C228" s="19" t="s">
        <v>434</v>
      </c>
      <c r="D228" s="21" t="s">
        <v>435</v>
      </c>
      <c r="E228" s="20">
        <f>Source!AQ196</f>
        <v>72</v>
      </c>
      <c r="F228" s="23"/>
      <c r="G228" s="22" t="str">
        <f>Source!DI196</f>
        <v>)*1,3</v>
      </c>
      <c r="H228" s="20">
        <f>Source!AV196</f>
        <v>1</v>
      </c>
      <c r="I228" s="24">
        <f>Source!U196</f>
        <v>187.20000000000002</v>
      </c>
      <c r="J228" s="20"/>
      <c r="K228" s="24"/>
    </row>
    <row r="229" spans="1:27" ht="15" x14ac:dyDescent="0.25">
      <c r="A229" s="26"/>
      <c r="B229" s="26"/>
      <c r="C229" s="26"/>
      <c r="D229" s="26"/>
      <c r="E229" s="26"/>
      <c r="F229" s="26"/>
      <c r="G229" s="26"/>
      <c r="H229" s="38">
        <f>I225+I226+I227</f>
        <v>7307.23</v>
      </c>
      <c r="I229" s="38"/>
      <c r="J229" s="38">
        <f>K225+K226+K227</f>
        <v>133584.07999999999</v>
      </c>
      <c r="K229" s="38"/>
      <c r="O229" s="25">
        <f>I225+I226+I227</f>
        <v>7307.23</v>
      </c>
      <c r="P229" s="25">
        <f>K225+K226+K227</f>
        <v>133584.07999999999</v>
      </c>
      <c r="X229">
        <f>IF(Source!BI196&lt;=1,I225+I226+I227-0, 0)</f>
        <v>0</v>
      </c>
      <c r="Y229">
        <f>IF(Source!BI196=2,I225+I226+I227-0, 0)</f>
        <v>0</v>
      </c>
      <c r="Z229">
        <f>IF(Source!BI196=3,I225+I226+I227-0, 0)</f>
        <v>0</v>
      </c>
      <c r="AA229">
        <f>IF(Source!BI196=4,I225+I226+I227,0)</f>
        <v>7307.23</v>
      </c>
    </row>
    <row r="230" spans="1:27" ht="57" x14ac:dyDescent="0.2">
      <c r="A230" s="18" t="str">
        <f>Source!E197</f>
        <v>2</v>
      </c>
      <c r="B230" s="19" t="str">
        <f>Source!F197</f>
        <v>5.10-44-1</v>
      </c>
      <c r="C230" s="19" t="s">
        <v>309</v>
      </c>
      <c r="D230" s="21" t="str">
        <f>Source!H197</f>
        <v>1 испытание</v>
      </c>
      <c r="E230" s="20">
        <f>Source!I197</f>
        <v>2</v>
      </c>
      <c r="F230" s="23"/>
      <c r="G230" s="22"/>
      <c r="H230" s="20"/>
      <c r="I230" s="24"/>
      <c r="J230" s="20"/>
      <c r="K230" s="24"/>
      <c r="Q230">
        <f>ROUND((Source!DN197/100)*ROUND((ROUND((Source!AF197*Source!AV197*Source!I197),2)),2), 2)</f>
        <v>253.04</v>
      </c>
      <c r="R230">
        <f>Source!X197</f>
        <v>4916.43</v>
      </c>
      <c r="S230">
        <f>ROUND((Source!DO197/100)*ROUND((ROUND((Source!AF197*Source!AV197*Source!I197),2)),2), 2)</f>
        <v>236.17</v>
      </c>
      <c r="T230">
        <f>Source!Y197</f>
        <v>2964.32</v>
      </c>
      <c r="U230">
        <f>ROUND((175/100)*ROUND((ROUND((Source!AE197*Source!AV197*Source!I197),2)),2), 2)</f>
        <v>0</v>
      </c>
      <c r="V230">
        <f>ROUND((157/100)*ROUND(ROUND((ROUND((Source!AE197*Source!AV197*Source!I197),2)*Source!BS197),2), 2), 2)</f>
        <v>0</v>
      </c>
    </row>
    <row r="231" spans="1:27" ht="14.25" x14ac:dyDescent="0.2">
      <c r="A231" s="18"/>
      <c r="B231" s="19"/>
      <c r="C231" s="19" t="s">
        <v>430</v>
      </c>
      <c r="D231" s="21"/>
      <c r="E231" s="20"/>
      <c r="F231" s="23">
        <f>Source!AO197</f>
        <v>129.76</v>
      </c>
      <c r="G231" s="22" t="str">
        <f>Source!DG197</f>
        <v>)*1,3</v>
      </c>
      <c r="H231" s="20">
        <f>Source!AV197</f>
        <v>1</v>
      </c>
      <c r="I231" s="24">
        <f>ROUND((ROUND((Source!AF197*Source!AV197*Source!I197),2)),2)</f>
        <v>337.38</v>
      </c>
      <c r="J231" s="20">
        <f>IF(Source!BA197&lt;&gt; 0, Source!BA197, 1)</f>
        <v>21.43</v>
      </c>
      <c r="K231" s="24">
        <f>Source!S197</f>
        <v>7230.05</v>
      </c>
      <c r="W231">
        <f>I231</f>
        <v>337.38</v>
      </c>
    </row>
    <row r="232" spans="1:27" ht="14.25" x14ac:dyDescent="0.2">
      <c r="A232" s="18"/>
      <c r="B232" s="19"/>
      <c r="C232" s="19" t="s">
        <v>431</v>
      </c>
      <c r="D232" s="21" t="s">
        <v>432</v>
      </c>
      <c r="E232" s="20">
        <f>Source!DN197</f>
        <v>75</v>
      </c>
      <c r="F232" s="23"/>
      <c r="G232" s="22"/>
      <c r="H232" s="20"/>
      <c r="I232" s="24">
        <f>SUM(Q230:Q231)</f>
        <v>253.04</v>
      </c>
      <c r="J232" s="20">
        <f>Source!BZ197</f>
        <v>68</v>
      </c>
      <c r="K232" s="24">
        <f>SUM(R230:R231)</f>
        <v>4916.43</v>
      </c>
    </row>
    <row r="233" spans="1:27" ht="14.25" x14ac:dyDescent="0.2">
      <c r="A233" s="18"/>
      <c r="B233" s="19"/>
      <c r="C233" s="19" t="s">
        <v>433</v>
      </c>
      <c r="D233" s="21" t="s">
        <v>432</v>
      </c>
      <c r="E233" s="20">
        <f>Source!DO197</f>
        <v>70</v>
      </c>
      <c r="F233" s="23"/>
      <c r="G233" s="22"/>
      <c r="H233" s="20"/>
      <c r="I233" s="24">
        <f>SUM(S230:S232)</f>
        <v>236.17</v>
      </c>
      <c r="J233" s="20">
        <f>Source!CA197</f>
        <v>41</v>
      </c>
      <c r="K233" s="24">
        <f>SUM(T230:T232)</f>
        <v>2964.32</v>
      </c>
    </row>
    <row r="234" spans="1:27" ht="14.25" x14ac:dyDescent="0.2">
      <c r="A234" s="18"/>
      <c r="B234" s="19"/>
      <c r="C234" s="19" t="s">
        <v>434</v>
      </c>
      <c r="D234" s="21" t="s">
        <v>435</v>
      </c>
      <c r="E234" s="20">
        <f>Source!AQ197</f>
        <v>9.2100000000000009</v>
      </c>
      <c r="F234" s="23"/>
      <c r="G234" s="22" t="str">
        <f>Source!DI197</f>
        <v>)*1,3</v>
      </c>
      <c r="H234" s="20">
        <f>Source!AV197</f>
        <v>1</v>
      </c>
      <c r="I234" s="24">
        <f>Source!U197</f>
        <v>23.946000000000002</v>
      </c>
      <c r="J234" s="20"/>
      <c r="K234" s="24"/>
    </row>
    <row r="235" spans="1:27" ht="15" x14ac:dyDescent="0.25">
      <c r="A235" s="26"/>
      <c r="B235" s="26"/>
      <c r="C235" s="26"/>
      <c r="D235" s="26"/>
      <c r="E235" s="26"/>
      <c r="F235" s="26"/>
      <c r="G235" s="26"/>
      <c r="H235" s="38">
        <f>I231+I232+I233</f>
        <v>826.58999999999992</v>
      </c>
      <c r="I235" s="38"/>
      <c r="J235" s="38">
        <f>K231+K232+K233</f>
        <v>15110.8</v>
      </c>
      <c r="K235" s="38"/>
      <c r="O235" s="25">
        <f>I231+I232+I233</f>
        <v>826.58999999999992</v>
      </c>
      <c r="P235" s="25">
        <f>K231+K232+K233</f>
        <v>15110.8</v>
      </c>
      <c r="X235">
        <f>IF(Source!BI197&lt;=1,I231+I232+I233-0, 0)</f>
        <v>0</v>
      </c>
      <c r="Y235">
        <f>IF(Source!BI197=2,I231+I232+I233-0, 0)</f>
        <v>0</v>
      </c>
      <c r="Z235">
        <f>IF(Source!BI197=3,I231+I232+I233-0, 0)</f>
        <v>0</v>
      </c>
      <c r="AA235">
        <f>IF(Source!BI197=4,I231+I232+I233,0)</f>
        <v>826.58999999999992</v>
      </c>
    </row>
    <row r="236" spans="1:27" ht="71.25" x14ac:dyDescent="0.2">
      <c r="A236" s="18" t="str">
        <f>Source!E198</f>
        <v>3</v>
      </c>
      <c r="B236" s="19" t="str">
        <f>Source!F198</f>
        <v>5.10-35-3</v>
      </c>
      <c r="C236" s="19" t="s">
        <v>313</v>
      </c>
      <c r="D236" s="21" t="str">
        <f>Source!H198</f>
        <v>1 линия кабеля (3 испытания 1-го образца)</v>
      </c>
      <c r="E236" s="20">
        <f>Source!I198</f>
        <v>39</v>
      </c>
      <c r="F236" s="23"/>
      <c r="G236" s="22"/>
      <c r="H236" s="20"/>
      <c r="I236" s="24"/>
      <c r="J236" s="20"/>
      <c r="K236" s="24"/>
      <c r="Q236">
        <f>ROUND((Source!DN198/100)*ROUND((ROUND((Source!AF198*Source!AV198*Source!I198),2)),2), 2)</f>
        <v>20038.88</v>
      </c>
      <c r="R236">
        <f>Source!X198</f>
        <v>389352.82</v>
      </c>
      <c r="S236">
        <f>ROUND((Source!DO198/100)*ROUND((ROUND((Source!AF198*Source!AV198*Source!I198),2)),2), 2)</f>
        <v>18702.96</v>
      </c>
      <c r="T236">
        <f>Source!Y198</f>
        <v>234756.84</v>
      </c>
      <c r="U236">
        <f>ROUND((175/100)*ROUND((ROUND((Source!AE198*Source!AV198*Source!I198),2)),2), 2)</f>
        <v>0</v>
      </c>
      <c r="V236">
        <f>ROUND((157/100)*ROUND(ROUND((ROUND((Source!AE198*Source!AV198*Source!I198),2)*Source!BS198),2), 2), 2)</f>
        <v>0</v>
      </c>
    </row>
    <row r="237" spans="1:27" ht="14.25" x14ac:dyDescent="0.2">
      <c r="A237" s="18"/>
      <c r="B237" s="19"/>
      <c r="C237" s="19" t="s">
        <v>430</v>
      </c>
      <c r="D237" s="21"/>
      <c r="E237" s="20"/>
      <c r="F237" s="23">
        <f>Source!AO198</f>
        <v>685.09</v>
      </c>
      <c r="G237" s="22" t="str">
        <f>Source!DG198</f>
        <v/>
      </c>
      <c r="H237" s="20">
        <f>Source!AV198</f>
        <v>1</v>
      </c>
      <c r="I237" s="24">
        <f>ROUND((ROUND((Source!AF198*Source!AV198*Source!I198),2)),2)</f>
        <v>26718.51</v>
      </c>
      <c r="J237" s="20">
        <f>IF(Source!BA198&lt;&gt; 0, Source!BA198, 1)</f>
        <v>21.43</v>
      </c>
      <c r="K237" s="24">
        <f>Source!S198</f>
        <v>572577.67000000004</v>
      </c>
      <c r="W237">
        <f>I237</f>
        <v>26718.51</v>
      </c>
    </row>
    <row r="238" spans="1:27" ht="14.25" x14ac:dyDescent="0.2">
      <c r="A238" s="18"/>
      <c r="B238" s="19"/>
      <c r="C238" s="19" t="s">
        <v>431</v>
      </c>
      <c r="D238" s="21" t="s">
        <v>432</v>
      </c>
      <c r="E238" s="20">
        <f>Source!DN198</f>
        <v>75</v>
      </c>
      <c r="F238" s="23"/>
      <c r="G238" s="22"/>
      <c r="H238" s="20"/>
      <c r="I238" s="24">
        <f>SUM(Q236:Q237)</f>
        <v>20038.88</v>
      </c>
      <c r="J238" s="20">
        <f>Source!BZ198</f>
        <v>68</v>
      </c>
      <c r="K238" s="24">
        <f>SUM(R236:R237)</f>
        <v>389352.82</v>
      </c>
    </row>
    <row r="239" spans="1:27" ht="14.25" x14ac:dyDescent="0.2">
      <c r="A239" s="18"/>
      <c r="B239" s="19"/>
      <c r="C239" s="19" t="s">
        <v>433</v>
      </c>
      <c r="D239" s="21" t="s">
        <v>432</v>
      </c>
      <c r="E239" s="20">
        <f>Source!DO198</f>
        <v>70</v>
      </c>
      <c r="F239" s="23"/>
      <c r="G239" s="22"/>
      <c r="H239" s="20"/>
      <c r="I239" s="24">
        <f>SUM(S236:S238)</f>
        <v>18702.96</v>
      </c>
      <c r="J239" s="20">
        <f>Source!CA198</f>
        <v>41</v>
      </c>
      <c r="K239" s="24">
        <f>SUM(T236:T238)</f>
        <v>234756.84</v>
      </c>
    </row>
    <row r="240" spans="1:27" ht="14.25" x14ac:dyDescent="0.2">
      <c r="A240" s="18"/>
      <c r="B240" s="19"/>
      <c r="C240" s="19" t="s">
        <v>434</v>
      </c>
      <c r="D240" s="21" t="s">
        <v>435</v>
      </c>
      <c r="E240" s="20">
        <f>Source!AQ198</f>
        <v>43</v>
      </c>
      <c r="F240" s="23"/>
      <c r="G240" s="22" t="str">
        <f>Source!DI198</f>
        <v/>
      </c>
      <c r="H240" s="20">
        <f>Source!AV198</f>
        <v>1</v>
      </c>
      <c r="I240" s="24">
        <f>Source!U198</f>
        <v>1677</v>
      </c>
      <c r="J240" s="20"/>
      <c r="K240" s="24"/>
    </row>
    <row r="241" spans="1:27" ht="15" x14ac:dyDescent="0.25">
      <c r="A241" s="26"/>
      <c r="B241" s="26"/>
      <c r="C241" s="26"/>
      <c r="D241" s="26"/>
      <c r="E241" s="26"/>
      <c r="F241" s="26"/>
      <c r="G241" s="26"/>
      <c r="H241" s="38">
        <f>I237+I238+I239</f>
        <v>65460.35</v>
      </c>
      <c r="I241" s="38"/>
      <c r="J241" s="38">
        <f>K237+K238+K239</f>
        <v>1196687.33</v>
      </c>
      <c r="K241" s="38"/>
      <c r="O241" s="25">
        <f>I237+I238+I239</f>
        <v>65460.35</v>
      </c>
      <c r="P241" s="25">
        <f>K237+K238+K239</f>
        <v>1196687.33</v>
      </c>
      <c r="X241">
        <f>IF(Source!BI198&lt;=1,I237+I238+I239-0, 0)</f>
        <v>0</v>
      </c>
      <c r="Y241">
        <f>IF(Source!BI198=2,I237+I238+I239-0, 0)</f>
        <v>0</v>
      </c>
      <c r="Z241">
        <f>IF(Source!BI198=3,I237+I238+I239-0, 0)</f>
        <v>0</v>
      </c>
      <c r="AA241">
        <f>IF(Source!BI198=4,I237+I238+I239,0)</f>
        <v>65460.35</v>
      </c>
    </row>
    <row r="242" spans="1:27" ht="14.25" x14ac:dyDescent="0.2">
      <c r="A242" s="18" t="str">
        <f>Source!E199</f>
        <v>4</v>
      </c>
      <c r="B242" s="19" t="str">
        <f>Source!F199</f>
        <v>2.1-8-3</v>
      </c>
      <c r="C242" s="19" t="s">
        <v>316</v>
      </c>
      <c r="D242" s="21" t="str">
        <f>Source!H199</f>
        <v>маш.-ч.</v>
      </c>
      <c r="E242" s="20">
        <f>Source!I199</f>
        <v>32.735999999999997</v>
      </c>
      <c r="F242" s="23"/>
      <c r="G242" s="22"/>
      <c r="H242" s="20"/>
      <c r="I242" s="24"/>
      <c r="J242" s="20"/>
      <c r="K242" s="24"/>
      <c r="Q242">
        <f>ROUND((Source!DN199/100)*ROUND((ROUND((Source!AF199*Source!AV199*Source!I199),2)),2), 2)</f>
        <v>0</v>
      </c>
      <c r="R242">
        <f>Source!X199</f>
        <v>0</v>
      </c>
      <c r="S242">
        <f>ROUND((Source!DO199/100)*ROUND((ROUND((Source!AF199*Source!AV199*Source!I199),2)),2), 2)</f>
        <v>0</v>
      </c>
      <c r="T242">
        <f>Source!Y199</f>
        <v>0</v>
      </c>
      <c r="U242">
        <f>ROUND((175/100)*ROUND((ROUND((Source!AE199*Source!AV199*Source!I199),2)),2), 2)</f>
        <v>1329.65</v>
      </c>
      <c r="V242">
        <f>ROUND((157/100)*ROUND(ROUND((ROUND((Source!AE199*Source!AV199*Source!I199),2)*Source!BS199),2), 2), 2)</f>
        <v>25563.54</v>
      </c>
    </row>
    <row r="243" spans="1:27" ht="14.25" x14ac:dyDescent="0.2">
      <c r="A243" s="18"/>
      <c r="B243" s="19"/>
      <c r="C243" s="19" t="s">
        <v>439</v>
      </c>
      <c r="D243" s="21"/>
      <c r="E243" s="20"/>
      <c r="F243" s="23">
        <f>Source!AM199</f>
        <v>128.38</v>
      </c>
      <c r="G243" s="22" t="str">
        <f>Source!DE199</f>
        <v/>
      </c>
      <c r="H243" s="20">
        <f>Source!AV199</f>
        <v>1</v>
      </c>
      <c r="I243" s="24">
        <f>(ROUND((ROUND(((Source!ET199)*Source!AV199*Source!I199),2)),2)+ROUND((ROUND(((Source!AE199-(Source!EU199))*Source!AV199*Source!I199),2)),2))</f>
        <v>4202.6499999999996</v>
      </c>
      <c r="J243" s="20">
        <f>IF(Source!BB199&lt;&gt; 0, Source!BB199, 1)</f>
        <v>9.7899999999999991</v>
      </c>
      <c r="K243" s="24">
        <f>Source!Q199</f>
        <v>41143.94</v>
      </c>
    </row>
    <row r="244" spans="1:27" ht="14.25" x14ac:dyDescent="0.2">
      <c r="A244" s="18"/>
      <c r="B244" s="19"/>
      <c r="C244" s="19" t="s">
        <v>440</v>
      </c>
      <c r="D244" s="21"/>
      <c r="E244" s="20"/>
      <c r="F244" s="23">
        <f>Source!AN199</f>
        <v>23.21</v>
      </c>
      <c r="G244" s="22" t="str">
        <f>Source!DF199</f>
        <v/>
      </c>
      <c r="H244" s="20">
        <f>Source!AV199</f>
        <v>1</v>
      </c>
      <c r="I244" s="28">
        <f>ROUND((ROUND((Source!AE199*Source!AV199*Source!I199),2)),2)</f>
        <v>759.8</v>
      </c>
      <c r="J244" s="20">
        <f>IF(Source!BS199&lt;&gt; 0, Source!BS199, 1)</f>
        <v>21.43</v>
      </c>
      <c r="K244" s="28">
        <f>Source!R199</f>
        <v>16282.51</v>
      </c>
      <c r="W244">
        <f>I244</f>
        <v>759.8</v>
      </c>
    </row>
    <row r="245" spans="1:27" ht="14.25" x14ac:dyDescent="0.2">
      <c r="A245" s="18"/>
      <c r="B245" s="19"/>
      <c r="C245" s="19" t="s">
        <v>441</v>
      </c>
      <c r="D245" s="21" t="s">
        <v>432</v>
      </c>
      <c r="E245" s="20">
        <f>175</f>
        <v>175</v>
      </c>
      <c r="F245" s="23"/>
      <c r="G245" s="22"/>
      <c r="H245" s="20"/>
      <c r="I245" s="24">
        <f>SUM(U242:U244)</f>
        <v>1329.65</v>
      </c>
      <c r="J245" s="20">
        <f>157</f>
        <v>157</v>
      </c>
      <c r="K245" s="24">
        <f>SUM(V242:V244)</f>
        <v>25563.54</v>
      </c>
    </row>
    <row r="246" spans="1:27" ht="15" x14ac:dyDescent="0.25">
      <c r="A246" s="26"/>
      <c r="B246" s="26"/>
      <c r="C246" s="26"/>
      <c r="D246" s="26"/>
      <c r="E246" s="26"/>
      <c r="F246" s="26"/>
      <c r="G246" s="26"/>
      <c r="H246" s="38">
        <f>I243+I245</f>
        <v>5532.2999999999993</v>
      </c>
      <c r="I246" s="38"/>
      <c r="J246" s="38">
        <f>K243+K245</f>
        <v>66707.48000000001</v>
      </c>
      <c r="K246" s="38"/>
      <c r="O246" s="25">
        <f>I243+I245</f>
        <v>5532.2999999999993</v>
      </c>
      <c r="P246" s="25">
        <f>K243+K245</f>
        <v>66707.48000000001</v>
      </c>
      <c r="X246">
        <f>IF(Source!BI199&lt;=1,I243+I245-0, 0)</f>
        <v>5532.2999999999993</v>
      </c>
      <c r="Y246">
        <f>IF(Source!BI199=2,I243+I245-0, 0)</f>
        <v>0</v>
      </c>
      <c r="Z246">
        <f>IF(Source!BI199=3,I243+I245-0, 0)</f>
        <v>0</v>
      </c>
      <c r="AA246">
        <f>IF(Source!BI199=4,I243+I245,0)</f>
        <v>0</v>
      </c>
    </row>
    <row r="248" spans="1:27" ht="15" x14ac:dyDescent="0.25">
      <c r="A248" s="35" t="str">
        <f>CONCATENATE("Итого по разделу: ",IF(Source!G201&lt;&gt;"Новый раздел", Source!G201, ""))</f>
        <v>Итого по разделу: Пусконаладочные работы</v>
      </c>
      <c r="B248" s="35"/>
      <c r="C248" s="35"/>
      <c r="D248" s="35"/>
      <c r="E248" s="35"/>
      <c r="F248" s="35"/>
      <c r="G248" s="35"/>
      <c r="H248" s="36">
        <f>SUM(O223:O247)</f>
        <v>79126.47</v>
      </c>
      <c r="I248" s="37"/>
      <c r="J248" s="36">
        <f>SUM(P223:P247)</f>
        <v>1412089.69</v>
      </c>
      <c r="K248" s="37"/>
    </row>
    <row r="249" spans="1:27" hidden="1" x14ac:dyDescent="0.2">
      <c r="A249" t="s">
        <v>437</v>
      </c>
      <c r="I249">
        <f>SUM(AC223:AC248)</f>
        <v>0</v>
      </c>
      <c r="J249">
        <f>SUM(AD223:AD248)</f>
        <v>0</v>
      </c>
    </row>
    <row r="250" spans="1:27" hidden="1" x14ac:dyDescent="0.2">
      <c r="A250" t="s">
        <v>438</v>
      </c>
      <c r="I250">
        <f>SUM(AE223:AE249)</f>
        <v>0</v>
      </c>
      <c r="J250">
        <f>SUM(AF223:AF249)</f>
        <v>0</v>
      </c>
    </row>
    <row r="252" spans="1:27" ht="15" x14ac:dyDescent="0.25">
      <c r="A252" s="35" t="str">
        <f>CONCATENATE("Итого по локальной смете: ",IF(Source!G231&lt;&gt;"Новая локальная смета", Source!G231, ""))</f>
        <v>Итого по локальной смете: Прокладка КЛ-20кВ в земле</v>
      </c>
      <c r="B252" s="35"/>
      <c r="C252" s="35"/>
      <c r="D252" s="35"/>
      <c r="E252" s="35"/>
      <c r="F252" s="35"/>
      <c r="G252" s="35"/>
      <c r="H252" s="36">
        <f>SUM(O27:O251)</f>
        <v>1282295.8800000001</v>
      </c>
      <c r="I252" s="37"/>
      <c r="J252" s="36">
        <f>SUM(P27:P251)</f>
        <v>9078677.4800000004</v>
      </c>
      <c r="K252" s="37"/>
    </row>
    <row r="253" spans="1:27" hidden="1" x14ac:dyDescent="0.2">
      <c r="A253" t="s">
        <v>437</v>
      </c>
      <c r="I253">
        <f>SUM(AC27:AC252)</f>
        <v>0</v>
      </c>
      <c r="J253">
        <f>SUM(AD27:AD252)</f>
        <v>0</v>
      </c>
    </row>
    <row r="254" spans="1:27" hidden="1" x14ac:dyDescent="0.2">
      <c r="A254" t="s">
        <v>438</v>
      </c>
      <c r="I254">
        <f>SUM(AE27:AE253)</f>
        <v>0</v>
      </c>
      <c r="J254">
        <f>SUM(AF27:AF253)</f>
        <v>0</v>
      </c>
    </row>
    <row r="255" spans="1:27" ht="14.25" x14ac:dyDescent="0.2">
      <c r="C255" s="33" t="str">
        <f>Source!H260</f>
        <v>Строительные работы</v>
      </c>
      <c r="D255" s="33"/>
      <c r="E255" s="33"/>
      <c r="F255" s="33"/>
      <c r="G255" s="33"/>
      <c r="H255" s="33"/>
      <c r="I255" s="33"/>
      <c r="J255" s="34">
        <f>IF(Source!F260=0, "", Source!F260)</f>
        <v>1508039.95</v>
      </c>
      <c r="K255" s="34"/>
    </row>
    <row r="256" spans="1:27" ht="14.25" x14ac:dyDescent="0.2">
      <c r="C256" s="33" t="str">
        <f>Source!H261</f>
        <v>Монтажные работы</v>
      </c>
      <c r="D256" s="33"/>
      <c r="E256" s="33"/>
      <c r="F256" s="33"/>
      <c r="G256" s="33"/>
      <c r="H256" s="33"/>
      <c r="I256" s="33"/>
      <c r="J256" s="34">
        <f>IF(Source!F261=0, "", Source!F261)</f>
        <v>6114212.2999999998</v>
      </c>
      <c r="K256" s="34"/>
    </row>
    <row r="257" spans="1:11" ht="14.25" x14ac:dyDescent="0.2">
      <c r="C257" s="33" t="str">
        <f>Source!H262</f>
        <v>Временные здания и сооружения 1,5%</v>
      </c>
      <c r="D257" s="33"/>
      <c r="E257" s="33"/>
      <c r="F257" s="33"/>
      <c r="G257" s="33"/>
      <c r="H257" s="33"/>
      <c r="I257" s="33"/>
      <c r="J257" s="34">
        <f>IF(Source!F262=0, "", Source!F262)</f>
        <v>114333.78</v>
      </c>
      <c r="K257" s="34"/>
    </row>
    <row r="258" spans="1:11" ht="14.25" x14ac:dyDescent="0.2">
      <c r="C258" s="33" t="str">
        <f>Source!H263</f>
        <v>Прочие</v>
      </c>
      <c r="D258" s="33"/>
      <c r="E258" s="33"/>
      <c r="F258" s="33"/>
      <c r="G258" s="33"/>
      <c r="H258" s="33"/>
      <c r="I258" s="33"/>
      <c r="J258" s="34">
        <f>IF(Source!F263=0, "", Source!F263)</f>
        <v>44335.54</v>
      </c>
      <c r="K258" s="34"/>
    </row>
    <row r="259" spans="1:11" ht="14.25" x14ac:dyDescent="0.2">
      <c r="C259" s="33" t="str">
        <f>Source!H264</f>
        <v>Пусконаладочные работы</v>
      </c>
      <c r="D259" s="33"/>
      <c r="E259" s="33"/>
      <c r="F259" s="33"/>
      <c r="G259" s="33"/>
      <c r="H259" s="33"/>
      <c r="I259" s="33"/>
      <c r="J259" s="34">
        <f>IF(Source!F264=0, "", Source!F264)</f>
        <v>1412089.69</v>
      </c>
      <c r="K259" s="34"/>
    </row>
    <row r="260" spans="1:11" ht="14.25" x14ac:dyDescent="0.2">
      <c r="C260" s="33" t="str">
        <f>Source!H265</f>
        <v>Итого</v>
      </c>
      <c r="D260" s="33"/>
      <c r="E260" s="33"/>
      <c r="F260" s="33"/>
      <c r="G260" s="33"/>
      <c r="H260" s="33"/>
      <c r="I260" s="33"/>
      <c r="J260" s="34">
        <f>IF(Source!F265=0, "", Source!F265)</f>
        <v>9193011.2599999998</v>
      </c>
      <c r="K260" s="34"/>
    </row>
    <row r="261" spans="1:11" ht="14.25" x14ac:dyDescent="0.2">
      <c r="C261" s="33" t="str">
        <f>Source!H266</f>
        <v>НДС-20%</v>
      </c>
      <c r="D261" s="33"/>
      <c r="E261" s="33"/>
      <c r="F261" s="33"/>
      <c r="G261" s="33"/>
      <c r="H261" s="33"/>
      <c r="I261" s="33"/>
      <c r="J261" s="34">
        <f>IF(Source!F266=0, "", Source!F266)</f>
        <v>1838602.25</v>
      </c>
      <c r="K261" s="34"/>
    </row>
    <row r="262" spans="1:11" s="30" customFormat="1" ht="15" x14ac:dyDescent="0.25">
      <c r="C262" s="35" t="str">
        <f>Source!H267</f>
        <v>Всего по акту с НДС</v>
      </c>
      <c r="D262" s="35"/>
      <c r="E262" s="35"/>
      <c r="F262" s="35"/>
      <c r="G262" s="35"/>
      <c r="H262" s="35"/>
      <c r="I262" s="35"/>
      <c r="J262" s="36">
        <f>IF(Source!F267=0, "", Source!F267)</f>
        <v>11031613.51</v>
      </c>
      <c r="K262" s="36"/>
    </row>
    <row r="265" spans="1:11" ht="14.25" x14ac:dyDescent="0.2">
      <c r="A265" s="31" t="s">
        <v>444</v>
      </c>
      <c r="B265" s="31"/>
      <c r="C265" s="29" t="str">
        <f>IF(Source!AC12&lt;&gt;"", Source!AC12," ")</f>
        <v>Инженер-сметчик I категории</v>
      </c>
      <c r="D265" s="29"/>
      <c r="E265" s="29"/>
      <c r="F265" s="29"/>
      <c r="G265" s="29"/>
      <c r="H265" s="10" t="str">
        <f>IF(Source!AB12&lt;&gt;"", Source!AB12," ")</f>
        <v>Калинкина А.А.</v>
      </c>
      <c r="I265" s="10"/>
      <c r="J265" s="10"/>
      <c r="K265" s="10"/>
    </row>
    <row r="266" spans="1:11" ht="14.25" x14ac:dyDescent="0.2">
      <c r="A266" s="10"/>
      <c r="B266" s="10"/>
      <c r="C266" s="32" t="s">
        <v>445</v>
      </c>
      <c r="D266" s="32"/>
      <c r="E266" s="32"/>
      <c r="F266" s="32"/>
      <c r="G266" s="32"/>
      <c r="H266" s="10"/>
      <c r="I266" s="10"/>
      <c r="J266" s="10"/>
      <c r="K266" s="10"/>
    </row>
    <row r="267" spans="1:11" ht="14.25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</row>
    <row r="268" spans="1:11" ht="14.25" x14ac:dyDescent="0.2">
      <c r="A268" s="31" t="s">
        <v>446</v>
      </c>
      <c r="B268" s="31"/>
      <c r="C268" s="29" t="str">
        <f>IF(Source!AE12&lt;&gt;"", Source!AE12," ")</f>
        <v xml:space="preserve"> </v>
      </c>
      <c r="D268" s="29"/>
      <c r="E268" s="29"/>
      <c r="F268" s="29"/>
      <c r="G268" s="29"/>
      <c r="H268" s="10" t="str">
        <f>IF(Source!AD12&lt;&gt;"", Source!AD12," ")</f>
        <v xml:space="preserve"> </v>
      </c>
      <c r="I268" s="10"/>
      <c r="J268" s="10"/>
      <c r="K268" s="10"/>
    </row>
    <row r="269" spans="1:11" ht="14.25" x14ac:dyDescent="0.2">
      <c r="A269" s="10"/>
      <c r="B269" s="10"/>
      <c r="C269" s="32" t="s">
        <v>445</v>
      </c>
      <c r="D269" s="32"/>
      <c r="E269" s="32"/>
      <c r="F269" s="32"/>
      <c r="G269" s="32"/>
      <c r="H269" s="10"/>
      <c r="I269" s="10"/>
      <c r="J269" s="10"/>
      <c r="K269" s="10"/>
    </row>
  </sheetData>
  <mergeCells count="123">
    <mergeCell ref="A12:K12"/>
    <mergeCell ref="A14:K14"/>
    <mergeCell ref="F16:H16"/>
    <mergeCell ref="F17:H17"/>
    <mergeCell ref="F18:H18"/>
    <mergeCell ref="F19:H19"/>
    <mergeCell ref="A3:K3"/>
    <mergeCell ref="A4:K4"/>
    <mergeCell ref="A6:K6"/>
    <mergeCell ref="A7:K7"/>
    <mergeCell ref="A9:K9"/>
    <mergeCell ref="A11:K11"/>
    <mergeCell ref="J41:K41"/>
    <mergeCell ref="H41:I41"/>
    <mergeCell ref="J43:K43"/>
    <mergeCell ref="H43:I43"/>
    <mergeCell ref="J49:K49"/>
    <mergeCell ref="H49:I49"/>
    <mergeCell ref="F20:H20"/>
    <mergeCell ref="F21:H21"/>
    <mergeCell ref="F23:H23"/>
    <mergeCell ref="A24:K24"/>
    <mergeCell ref="A28:K28"/>
    <mergeCell ref="J35:K35"/>
    <mergeCell ref="H35:I35"/>
    <mergeCell ref="J63:K63"/>
    <mergeCell ref="H63:I63"/>
    <mergeCell ref="J70:K70"/>
    <mergeCell ref="H70:I70"/>
    <mergeCell ref="J72:K72"/>
    <mergeCell ref="H72:I72"/>
    <mergeCell ref="J57:K57"/>
    <mergeCell ref="H57:I57"/>
    <mergeCell ref="J59:K59"/>
    <mergeCell ref="H59:I59"/>
    <mergeCell ref="J61:K61"/>
    <mergeCell ref="H61:I61"/>
    <mergeCell ref="J97:K97"/>
    <mergeCell ref="H97:I97"/>
    <mergeCell ref="J99:K99"/>
    <mergeCell ref="H99:I99"/>
    <mergeCell ref="J109:K109"/>
    <mergeCell ref="H109:I109"/>
    <mergeCell ref="A72:G72"/>
    <mergeCell ref="C75:I75"/>
    <mergeCell ref="J75:K75"/>
    <mergeCell ref="A77:K77"/>
    <mergeCell ref="J87:K87"/>
    <mergeCell ref="H87:I87"/>
    <mergeCell ref="J149:K149"/>
    <mergeCell ref="H149:I149"/>
    <mergeCell ref="J151:K151"/>
    <mergeCell ref="H151:I151"/>
    <mergeCell ref="J161:K161"/>
    <mergeCell ref="H161:I161"/>
    <mergeCell ref="J119:K119"/>
    <mergeCell ref="H119:I119"/>
    <mergeCell ref="J129:K129"/>
    <mergeCell ref="H129:I129"/>
    <mergeCell ref="J139:K139"/>
    <mergeCell ref="H139:I139"/>
    <mergeCell ref="J185:K185"/>
    <mergeCell ref="H185:I185"/>
    <mergeCell ref="J192:K192"/>
    <mergeCell ref="H192:I192"/>
    <mergeCell ref="J203:K203"/>
    <mergeCell ref="H203:I203"/>
    <mergeCell ref="J171:K171"/>
    <mergeCell ref="H171:I171"/>
    <mergeCell ref="J173:K173"/>
    <mergeCell ref="H173:I173"/>
    <mergeCell ref="J183:K183"/>
    <mergeCell ref="H183:I183"/>
    <mergeCell ref="J213:K213"/>
    <mergeCell ref="H213:I213"/>
    <mergeCell ref="J216:K216"/>
    <mergeCell ref="H216:I216"/>
    <mergeCell ref="J218:K218"/>
    <mergeCell ref="H218:I218"/>
    <mergeCell ref="J205:K205"/>
    <mergeCell ref="H205:I205"/>
    <mergeCell ref="A205:G205"/>
    <mergeCell ref="C208:I208"/>
    <mergeCell ref="J208:K208"/>
    <mergeCell ref="A210:K210"/>
    <mergeCell ref="J235:K235"/>
    <mergeCell ref="H235:I235"/>
    <mergeCell ref="J241:K241"/>
    <mergeCell ref="H241:I241"/>
    <mergeCell ref="J246:K246"/>
    <mergeCell ref="H246:I246"/>
    <mergeCell ref="A218:G218"/>
    <mergeCell ref="C221:I221"/>
    <mergeCell ref="J221:K221"/>
    <mergeCell ref="A223:K223"/>
    <mergeCell ref="J229:K229"/>
    <mergeCell ref="H229:I229"/>
    <mergeCell ref="C255:I255"/>
    <mergeCell ref="J255:K255"/>
    <mergeCell ref="C256:I256"/>
    <mergeCell ref="J256:K256"/>
    <mergeCell ref="C257:I257"/>
    <mergeCell ref="J257:K257"/>
    <mergeCell ref="J248:K248"/>
    <mergeCell ref="H248:I248"/>
    <mergeCell ref="A248:G248"/>
    <mergeCell ref="J252:K252"/>
    <mergeCell ref="H252:I252"/>
    <mergeCell ref="A252:G252"/>
    <mergeCell ref="A265:B265"/>
    <mergeCell ref="C266:G266"/>
    <mergeCell ref="A268:B268"/>
    <mergeCell ref="C269:G269"/>
    <mergeCell ref="C261:I261"/>
    <mergeCell ref="J261:K261"/>
    <mergeCell ref="C262:I262"/>
    <mergeCell ref="J262:K262"/>
    <mergeCell ref="C258:I258"/>
    <mergeCell ref="J258:K258"/>
    <mergeCell ref="C259:I259"/>
    <mergeCell ref="J259:K259"/>
    <mergeCell ref="C260:I260"/>
    <mergeCell ref="J260:K260"/>
  </mergeCells>
  <pageMargins left="0.4" right="0.2" top="0.4" bottom="0.4" header="0.2" footer="0.2"/>
  <pageSetup paperSize="9" scale="64" fitToHeight="0" orientation="portrait" r:id="rId1"/>
  <headerFooter>
    <oddHeader>&amp;L&amp;8ООО "Инженерные коммуникации СТОУН"  Доп. раб. место  MCCS-0028578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10"/>
  <sheetViews>
    <sheetView workbookViewId="0">
      <selection activeCell="F21" sqref="F2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305</v>
      </c>
      <c r="C12" s="1">
        <v>0</v>
      </c>
      <c r="D12" s="1">
        <f>ROW(A269)</f>
        <v>269</v>
      </c>
      <c r="E12" s="1">
        <v>0</v>
      </c>
      <c r="F12" s="1" t="s">
        <v>4</v>
      </c>
      <c r="G12" s="1" t="s">
        <v>447</v>
      </c>
      <c r="H12" s="1" t="s">
        <v>5</v>
      </c>
      <c r="I12" s="1">
        <v>0</v>
      </c>
      <c r="J12" s="1" t="s">
        <v>5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6</v>
      </c>
      <c r="AC12" s="1" t="s">
        <v>7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8</v>
      </c>
      <c r="AI12" s="1" t="s">
        <v>9</v>
      </c>
      <c r="AJ12" s="1" t="s">
        <v>10</v>
      </c>
      <c r="AK12" s="1"/>
      <c r="AL12" s="1" t="s">
        <v>11</v>
      </c>
      <c r="AM12" s="1" t="s">
        <v>9</v>
      </c>
      <c r="AN12" s="1" t="s">
        <v>12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10</v>
      </c>
      <c r="AY12" s="1" t="s">
        <v>12</v>
      </c>
      <c r="AZ12" s="1" t="s">
        <v>5</v>
      </c>
      <c r="BA12" s="1"/>
      <c r="BB12" s="1"/>
      <c r="BC12" s="1"/>
      <c r="BD12" s="1"/>
      <c r="BE12" s="1"/>
      <c r="BF12" s="1"/>
      <c r="BG12" s="1"/>
      <c r="BH12" s="1" t="s">
        <v>13</v>
      </c>
      <c r="BI12" s="1" t="s">
        <v>14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15</v>
      </c>
      <c r="BZ12" s="1" t="s">
        <v>16</v>
      </c>
      <c r="CA12" s="1" t="s">
        <v>17</v>
      </c>
      <c r="CB12" s="1" t="s">
        <v>17</v>
      </c>
      <c r="CC12" s="1" t="s">
        <v>17</v>
      </c>
      <c r="CD12" s="1" t="s">
        <v>17</v>
      </c>
      <c r="CE12" s="1" t="s">
        <v>18</v>
      </c>
      <c r="CF12" s="1">
        <v>0</v>
      </c>
      <c r="CG12" s="1">
        <v>0</v>
      </c>
      <c r="CH12" s="1">
        <v>8</v>
      </c>
      <c r="CI12" s="1" t="s">
        <v>5</v>
      </c>
      <c r="CJ12" s="1" t="s">
        <v>5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B269</f>
        <v>305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4 КЛ "Строительство РП-1, 2КЛ-10кВ от ПС "Павелецкая" до РП-_(Копия)</v>
      </c>
      <c r="G18" s="2" t="str">
        <f t="shared" si="0"/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18" s="2"/>
      <c r="I18" s="2"/>
      <c r="J18" s="2"/>
      <c r="K18" s="2"/>
      <c r="L18" s="2"/>
      <c r="M18" s="2"/>
      <c r="N18" s="2"/>
      <c r="O18" s="2">
        <f t="shared" ref="O18:AT18" si="1">O269</f>
        <v>7005681.0199999996</v>
      </c>
      <c r="P18" s="2">
        <f t="shared" si="1"/>
        <v>5199399.3099999996</v>
      </c>
      <c r="Q18" s="2">
        <f t="shared" si="1"/>
        <v>186930.62</v>
      </c>
      <c r="R18" s="2">
        <f t="shared" si="1"/>
        <v>65226.07</v>
      </c>
      <c r="S18" s="2">
        <f t="shared" si="1"/>
        <v>1619351.09</v>
      </c>
      <c r="T18" s="2">
        <f t="shared" si="1"/>
        <v>0</v>
      </c>
      <c r="U18" s="2">
        <f t="shared" si="1"/>
        <v>5701.7784195656577</v>
      </c>
      <c r="V18" s="2">
        <f t="shared" si="1"/>
        <v>0</v>
      </c>
      <c r="W18" s="2">
        <f t="shared" si="1"/>
        <v>0</v>
      </c>
      <c r="X18" s="2">
        <f t="shared" si="1"/>
        <v>1294866.6100000001</v>
      </c>
      <c r="Y18" s="2">
        <f t="shared" si="1"/>
        <v>675724.93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9078677.4800000004</v>
      </c>
      <c r="AS18" s="2">
        <f t="shared" si="1"/>
        <v>1724196.43</v>
      </c>
      <c r="AT18" s="2">
        <f t="shared" si="1"/>
        <v>5964763.2999999998</v>
      </c>
      <c r="AU18" s="2">
        <f t="shared" ref="AU18:BZ18" si="2">AU269</f>
        <v>1389717.75</v>
      </c>
      <c r="AV18" s="2">
        <f t="shared" si="2"/>
        <v>5199399.3099999996</v>
      </c>
      <c r="AW18" s="2">
        <f t="shared" si="2"/>
        <v>5199399.3099999996</v>
      </c>
      <c r="AX18" s="2">
        <f t="shared" si="2"/>
        <v>0</v>
      </c>
      <c r="AY18" s="2">
        <f t="shared" si="2"/>
        <v>5199399.3099999996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CA269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DG269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EM269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FS269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ROW(A231)</f>
        <v>231</v>
      </c>
      <c r="E20" s="1"/>
      <c r="F20" s="1">
        <v>2</v>
      </c>
      <c r="G20" s="1" t="s">
        <v>20</v>
      </c>
      <c r="H20" s="1" t="s">
        <v>5</v>
      </c>
      <c r="I20" s="1">
        <v>0</v>
      </c>
      <c r="J20" s="1" t="s">
        <v>21</v>
      </c>
      <c r="K20" s="1">
        <v>-1</v>
      </c>
      <c r="L20" s="1" t="s">
        <v>5</v>
      </c>
      <c r="M20" s="1"/>
      <c r="N20" s="1"/>
      <c r="O20" s="1"/>
      <c r="P20" s="1"/>
      <c r="Q20" s="1"/>
      <c r="R20" s="1"/>
      <c r="S20" s="1"/>
      <c r="T20" s="1"/>
      <c r="U20" s="1" t="s">
        <v>5</v>
      </c>
      <c r="V20" s="1">
        <v>0</v>
      </c>
      <c r="W20" s="1"/>
      <c r="X20" s="1"/>
      <c r="Y20" s="1"/>
      <c r="Z20" s="1"/>
      <c r="AA20" s="1"/>
      <c r="AB20" s="1" t="s">
        <v>5</v>
      </c>
      <c r="AC20" s="1" t="s">
        <v>5</v>
      </c>
      <c r="AD20" s="1" t="s">
        <v>5</v>
      </c>
      <c r="AE20" s="1" t="s">
        <v>5</v>
      </c>
      <c r="AF20" s="1" t="s">
        <v>5</v>
      </c>
      <c r="AG20" s="1" t="s">
        <v>5</v>
      </c>
      <c r="AH20" s="1"/>
      <c r="AI20" s="1"/>
      <c r="AJ20" s="1"/>
      <c r="AK20" s="1"/>
      <c r="AL20" s="1"/>
      <c r="AM20" s="1"/>
      <c r="AN20" s="1"/>
      <c r="AO20" s="1"/>
      <c r="AP20" s="1" t="s">
        <v>5</v>
      </c>
      <c r="AQ20" s="1" t="s">
        <v>5</v>
      </c>
      <c r="AR20" s="1" t="s">
        <v>5</v>
      </c>
      <c r="AS20" s="1"/>
      <c r="AT20" s="1"/>
      <c r="AU20" s="1"/>
      <c r="AV20" s="1"/>
      <c r="AW20" s="1"/>
      <c r="AX20" s="1"/>
      <c r="AY20" s="1"/>
      <c r="AZ20" s="1" t="s">
        <v>5</v>
      </c>
      <c r="BA20" s="1"/>
      <c r="BB20" s="1" t="s">
        <v>5</v>
      </c>
      <c r="BC20" s="1" t="s">
        <v>5</v>
      </c>
      <c r="BD20" s="1" t="s">
        <v>5</v>
      </c>
      <c r="BE20" s="1" t="s">
        <v>5</v>
      </c>
      <c r="BF20" s="1" t="s">
        <v>5</v>
      </c>
      <c r="BG20" s="1" t="s">
        <v>5</v>
      </c>
      <c r="BH20" s="1" t="s">
        <v>5</v>
      </c>
      <c r="BI20" s="1" t="s">
        <v>5</v>
      </c>
      <c r="BJ20" s="1" t="s">
        <v>5</v>
      </c>
      <c r="BK20" s="1" t="s">
        <v>5</v>
      </c>
      <c r="BL20" s="1" t="s">
        <v>5</v>
      </c>
      <c r="BM20" s="1" t="s">
        <v>5</v>
      </c>
      <c r="BN20" s="1" t="s">
        <v>5</v>
      </c>
      <c r="BO20" s="1" t="s">
        <v>5</v>
      </c>
      <c r="BP20" s="1" t="s">
        <v>5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5</v>
      </c>
      <c r="CJ20" s="1" t="s">
        <v>5</v>
      </c>
      <c r="CK20" t="s">
        <v>5</v>
      </c>
      <c r="CL20" t="s">
        <v>5</v>
      </c>
      <c r="CM20" t="s">
        <v>5</v>
      </c>
      <c r="CN20" t="s">
        <v>5</v>
      </c>
      <c r="CO20" t="s">
        <v>5</v>
      </c>
      <c r="CP20" t="s">
        <v>5</v>
      </c>
    </row>
    <row r="22" spans="1:245" x14ac:dyDescent="0.2">
      <c r="A22" s="2">
        <v>52</v>
      </c>
      <c r="B22" s="2">
        <f t="shared" ref="B22:G22" si="7">B231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>
        <f t="shared" si="7"/>
        <v>2</v>
      </c>
      <c r="G22" s="2" t="str">
        <f t="shared" si="7"/>
        <v>Прокладка КЛ-20кВ в земле</v>
      </c>
      <c r="H22" s="2"/>
      <c r="I22" s="2"/>
      <c r="J22" s="2"/>
      <c r="K22" s="2"/>
      <c r="L22" s="2"/>
      <c r="M22" s="2"/>
      <c r="N22" s="2"/>
      <c r="O22" s="2">
        <f t="shared" ref="O22:AT22" si="8">O231</f>
        <v>7005681.0199999996</v>
      </c>
      <c r="P22" s="2">
        <f t="shared" si="8"/>
        <v>5199399.3099999996</v>
      </c>
      <c r="Q22" s="2">
        <f t="shared" si="8"/>
        <v>186930.62</v>
      </c>
      <c r="R22" s="2">
        <f t="shared" si="8"/>
        <v>65226.07</v>
      </c>
      <c r="S22" s="2">
        <f t="shared" si="8"/>
        <v>1619351.09</v>
      </c>
      <c r="T22" s="2">
        <f t="shared" si="8"/>
        <v>0</v>
      </c>
      <c r="U22" s="2">
        <f t="shared" si="8"/>
        <v>5701.7784195656577</v>
      </c>
      <c r="V22" s="2">
        <f t="shared" si="8"/>
        <v>0</v>
      </c>
      <c r="W22" s="2">
        <f t="shared" si="8"/>
        <v>0</v>
      </c>
      <c r="X22" s="2">
        <f t="shared" si="8"/>
        <v>1294866.6100000001</v>
      </c>
      <c r="Y22" s="2">
        <f t="shared" si="8"/>
        <v>675724.93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9078677.4800000004</v>
      </c>
      <c r="AS22" s="2">
        <f t="shared" si="8"/>
        <v>1724196.43</v>
      </c>
      <c r="AT22" s="2">
        <f t="shared" si="8"/>
        <v>5964763.2999999998</v>
      </c>
      <c r="AU22" s="2">
        <f t="shared" ref="AU22:BZ22" si="9">AU231</f>
        <v>1389717.75</v>
      </c>
      <c r="AV22" s="2">
        <f t="shared" si="9"/>
        <v>5199399.3099999996</v>
      </c>
      <c r="AW22" s="2">
        <f t="shared" si="9"/>
        <v>5199399.3099999996</v>
      </c>
      <c r="AX22" s="2">
        <f t="shared" si="9"/>
        <v>0</v>
      </c>
      <c r="AY22" s="2">
        <f t="shared" si="9"/>
        <v>5199399.3099999996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CA231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DG231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EM231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FS231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ROW(A47)</f>
        <v>47</v>
      </c>
      <c r="E24" s="1"/>
      <c r="F24" s="1" t="s">
        <v>22</v>
      </c>
      <c r="G24" s="1" t="s">
        <v>23</v>
      </c>
      <c r="H24" s="1" t="s">
        <v>5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5</v>
      </c>
      <c r="V24" s="1">
        <v>0</v>
      </c>
      <c r="W24" s="1"/>
      <c r="X24" s="1"/>
      <c r="Y24" s="1"/>
      <c r="Z24" s="1"/>
      <c r="AA24" s="1"/>
      <c r="AB24" s="1" t="s">
        <v>5</v>
      </c>
      <c r="AC24" s="1" t="s">
        <v>5</v>
      </c>
      <c r="AD24" s="1" t="s">
        <v>5</v>
      </c>
      <c r="AE24" s="1" t="s">
        <v>5</v>
      </c>
      <c r="AF24" s="1" t="s">
        <v>5</v>
      </c>
      <c r="AG24" s="1" t="s">
        <v>5</v>
      </c>
      <c r="AH24" s="1"/>
      <c r="AI24" s="1"/>
      <c r="AJ24" s="1"/>
      <c r="AK24" s="1"/>
      <c r="AL24" s="1"/>
      <c r="AM24" s="1"/>
      <c r="AN24" s="1"/>
      <c r="AO24" s="1"/>
      <c r="AP24" s="1" t="s">
        <v>5</v>
      </c>
      <c r="AQ24" s="1" t="s">
        <v>5</v>
      </c>
      <c r="AR24" s="1" t="s">
        <v>5</v>
      </c>
      <c r="AS24" s="1"/>
      <c r="AT24" s="1"/>
      <c r="AU24" s="1"/>
      <c r="AV24" s="1"/>
      <c r="AW24" s="1"/>
      <c r="AX24" s="1"/>
      <c r="AY24" s="1"/>
      <c r="AZ24" s="1" t="s">
        <v>5</v>
      </c>
      <c r="BA24" s="1"/>
      <c r="BB24" s="1" t="s">
        <v>5</v>
      </c>
      <c r="BC24" s="1" t="s">
        <v>5</v>
      </c>
      <c r="BD24" s="1" t="s">
        <v>5</v>
      </c>
      <c r="BE24" s="1" t="s">
        <v>5</v>
      </c>
      <c r="BF24" s="1" t="s">
        <v>5</v>
      </c>
      <c r="BG24" s="1" t="s">
        <v>5</v>
      </c>
      <c r="BH24" s="1" t="s">
        <v>5</v>
      </c>
      <c r="BI24" s="1" t="s">
        <v>5</v>
      </c>
      <c r="BJ24" s="1" t="s">
        <v>5</v>
      </c>
      <c r="BK24" s="1" t="s">
        <v>5</v>
      </c>
      <c r="BL24" s="1" t="s">
        <v>5</v>
      </c>
      <c r="BM24" s="1" t="s">
        <v>5</v>
      </c>
      <c r="BN24" s="1" t="s">
        <v>5</v>
      </c>
      <c r="BO24" s="1" t="s">
        <v>5</v>
      </c>
      <c r="BP24" s="1" t="s">
        <v>5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B47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Прокладка кабеля в земле. Строительные работы.</v>
      </c>
      <c r="H26" s="2"/>
      <c r="I26" s="2"/>
      <c r="J26" s="2"/>
      <c r="K26" s="2"/>
      <c r="L26" s="2"/>
      <c r="M26" s="2"/>
      <c r="N26" s="2"/>
      <c r="O26" s="2">
        <f t="shared" ref="O26:AT26" si="15">O47</f>
        <v>1023209.71</v>
      </c>
      <c r="P26" s="2">
        <f t="shared" si="15"/>
        <v>637133.04</v>
      </c>
      <c r="Q26" s="2">
        <f t="shared" si="15"/>
        <v>0</v>
      </c>
      <c r="R26" s="2">
        <f t="shared" si="15"/>
        <v>0</v>
      </c>
      <c r="S26" s="2">
        <f t="shared" si="15"/>
        <v>386076.67</v>
      </c>
      <c r="T26" s="2">
        <f t="shared" si="15"/>
        <v>0</v>
      </c>
      <c r="U26" s="2">
        <f t="shared" si="15"/>
        <v>1645.7299578519778</v>
      </c>
      <c r="V26" s="2">
        <f t="shared" si="15"/>
        <v>0</v>
      </c>
      <c r="W26" s="2">
        <f t="shared" si="15"/>
        <v>0</v>
      </c>
      <c r="X26" s="2">
        <f t="shared" si="15"/>
        <v>326538.81</v>
      </c>
      <c r="Y26" s="2">
        <f t="shared" si="15"/>
        <v>158291.43</v>
      </c>
      <c r="Z26" s="2">
        <f t="shared" si="15"/>
        <v>0</v>
      </c>
      <c r="AA26" s="2">
        <f t="shared" si="15"/>
        <v>0</v>
      </c>
      <c r="AB26" s="2">
        <f t="shared" si="15"/>
        <v>1023209.71</v>
      </c>
      <c r="AC26" s="2">
        <f t="shared" si="15"/>
        <v>637133.04</v>
      </c>
      <c r="AD26" s="2">
        <f t="shared" si="15"/>
        <v>0</v>
      </c>
      <c r="AE26" s="2">
        <f t="shared" si="15"/>
        <v>0</v>
      </c>
      <c r="AF26" s="2">
        <f t="shared" si="15"/>
        <v>386076.67</v>
      </c>
      <c r="AG26" s="2">
        <f t="shared" si="15"/>
        <v>0</v>
      </c>
      <c r="AH26" s="2">
        <f t="shared" si="15"/>
        <v>1645.7299578519778</v>
      </c>
      <c r="AI26" s="2">
        <f t="shared" si="15"/>
        <v>0</v>
      </c>
      <c r="AJ26" s="2">
        <f t="shared" si="15"/>
        <v>0</v>
      </c>
      <c r="AK26" s="2">
        <f t="shared" si="15"/>
        <v>326538.81</v>
      </c>
      <c r="AL26" s="2">
        <f t="shared" si="15"/>
        <v>158291.43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1508039.95</v>
      </c>
      <c r="AS26" s="2">
        <f t="shared" si="15"/>
        <v>1508039.95</v>
      </c>
      <c r="AT26" s="2">
        <f t="shared" si="15"/>
        <v>0</v>
      </c>
      <c r="AU26" s="2">
        <f t="shared" ref="AU26:BZ26" si="16">AU47</f>
        <v>0</v>
      </c>
      <c r="AV26" s="2">
        <f t="shared" si="16"/>
        <v>637133.04</v>
      </c>
      <c r="AW26" s="2">
        <f t="shared" si="16"/>
        <v>637133.04</v>
      </c>
      <c r="AX26" s="2">
        <f t="shared" si="16"/>
        <v>0</v>
      </c>
      <c r="AY26" s="2">
        <f t="shared" si="16"/>
        <v>637133.04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CA47</f>
        <v>1508039.95</v>
      </c>
      <c r="CB26" s="2">
        <f t="shared" si="17"/>
        <v>1508039.95</v>
      </c>
      <c r="CC26" s="2">
        <f t="shared" si="17"/>
        <v>0</v>
      </c>
      <c r="CD26" s="2">
        <f t="shared" si="17"/>
        <v>0</v>
      </c>
      <c r="CE26" s="2">
        <f t="shared" si="17"/>
        <v>637133.04</v>
      </c>
      <c r="CF26" s="2">
        <f t="shared" si="17"/>
        <v>637133.04</v>
      </c>
      <c r="CG26" s="2">
        <f t="shared" si="17"/>
        <v>0</v>
      </c>
      <c r="CH26" s="2">
        <f t="shared" si="17"/>
        <v>637133.04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DG47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EM47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FS47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19</v>
      </c>
      <c r="B28">
        <v>1</v>
      </c>
      <c r="F28" t="s">
        <v>5</v>
      </c>
      <c r="G28" t="s">
        <v>24</v>
      </c>
      <c r="H28" t="s">
        <v>5</v>
      </c>
      <c r="AA28">
        <v>1</v>
      </c>
      <c r="IK28">
        <v>0</v>
      </c>
    </row>
    <row r="29" spans="1:245" x14ac:dyDescent="0.2">
      <c r="A29">
        <v>17</v>
      </c>
      <c r="B29">
        <v>1</v>
      </c>
      <c r="C29">
        <f>ROW(SmtRes!A1)</f>
        <v>1</v>
      </c>
      <c r="D29">
        <f>ROW(EtalonRes!A1)</f>
        <v>1</v>
      </c>
      <c r="E29" t="s">
        <v>25</v>
      </c>
      <c r="F29" t="s">
        <v>26</v>
      </c>
      <c r="G29" t="s">
        <v>27</v>
      </c>
      <c r="H29" t="s">
        <v>28</v>
      </c>
      <c r="I29">
        <f>ROUND(150.58/100,9)</f>
        <v>1.5058</v>
      </c>
      <c r="J29">
        <v>0</v>
      </c>
      <c r="O29">
        <f>ROUND(CP29,2)</f>
        <v>113519.64</v>
      </c>
      <c r="P29">
        <f>ROUND((ROUND((AC29*AW29*I29),2)*BC29),2)</f>
        <v>0</v>
      </c>
      <c r="Q29">
        <f>(ROUND((ROUND((((ET29*1.2*1.15))*AV29*I29),2)*BB29),2)+ROUND((ROUND(((AE29-((EU29*1.2*1.15)))*AV29*I29),2)*BS29),2))</f>
        <v>0</v>
      </c>
      <c r="R29">
        <f>ROUND((ROUND((AE29*AV29*I29),2)*BS29),2)</f>
        <v>0</v>
      </c>
      <c r="S29">
        <f>ROUND((ROUND((AF29*AV29*I29),2)*BA29),2)</f>
        <v>113519.64</v>
      </c>
      <c r="T29">
        <f>ROUND(CU29*I29,2)</f>
        <v>0</v>
      </c>
      <c r="U29">
        <f>CV29*I29</f>
        <v>499.73835075839986</v>
      </c>
      <c r="V29">
        <f>CW29*I29</f>
        <v>0</v>
      </c>
      <c r="W29">
        <f>ROUND(CX29*I29,2)</f>
        <v>0</v>
      </c>
      <c r="X29">
        <f t="shared" ref="X29:Y32" si="21">ROUND(CY29,2)</f>
        <v>96491.69</v>
      </c>
      <c r="Y29">
        <f t="shared" si="21"/>
        <v>46543.05</v>
      </c>
      <c r="AA29">
        <v>44175501</v>
      </c>
      <c r="AB29">
        <f>ROUND((AC29+AD29+AF29),6)</f>
        <v>2818.8155999999999</v>
      </c>
      <c r="AC29">
        <f>ROUND((ES29),6)</f>
        <v>0</v>
      </c>
      <c r="AD29">
        <f>ROUND(((((ET29*1.2*1.15))-((EU29*1.2*1.15)))+AE29),6)</f>
        <v>0</v>
      </c>
      <c r="AE29">
        <f t="shared" ref="AE29:AF32" si="22">ROUND(((EU29*1.2*1.15)),6)</f>
        <v>0</v>
      </c>
      <c r="AF29">
        <f t="shared" si="22"/>
        <v>2818.8155999999999</v>
      </c>
      <c r="AG29">
        <f>ROUND((AP29),6)</f>
        <v>0</v>
      </c>
      <c r="AH29">
        <f t="shared" ref="AH29:AI32" si="23">((EW29*1.2*1.15))</f>
        <v>265.92599999999993</v>
      </c>
      <c r="AI29">
        <f t="shared" si="23"/>
        <v>0</v>
      </c>
      <c r="AJ29">
        <f>(AS29)</f>
        <v>0</v>
      </c>
      <c r="AK29">
        <v>2042.62</v>
      </c>
      <c r="AL29">
        <v>0</v>
      </c>
      <c r="AM29">
        <v>0</v>
      </c>
      <c r="AN29">
        <v>0</v>
      </c>
      <c r="AO29">
        <v>2042.62</v>
      </c>
      <c r="AP29">
        <v>0</v>
      </c>
      <c r="AQ29">
        <v>192.7</v>
      </c>
      <c r="AR29">
        <v>0</v>
      </c>
      <c r="AS29">
        <v>0</v>
      </c>
      <c r="AT29">
        <v>85</v>
      </c>
      <c r="AU29">
        <v>41</v>
      </c>
      <c r="AV29">
        <v>1.248</v>
      </c>
      <c r="AW29">
        <v>1</v>
      </c>
      <c r="AZ29">
        <v>1</v>
      </c>
      <c r="BA29">
        <v>21.43</v>
      </c>
      <c r="BB29">
        <v>1</v>
      </c>
      <c r="BC29">
        <v>1</v>
      </c>
      <c r="BD29" t="s">
        <v>5</v>
      </c>
      <c r="BE29" t="s">
        <v>5</v>
      </c>
      <c r="BF29" t="s">
        <v>5</v>
      </c>
      <c r="BG29" t="s">
        <v>5</v>
      </c>
      <c r="BH29">
        <v>0</v>
      </c>
      <c r="BI29">
        <v>1</v>
      </c>
      <c r="BJ29" t="s">
        <v>29</v>
      </c>
      <c r="BM29">
        <v>16</v>
      </c>
      <c r="BN29">
        <v>0</v>
      </c>
      <c r="BO29" t="s">
        <v>26</v>
      </c>
      <c r="BP29">
        <v>1</v>
      </c>
      <c r="BQ29">
        <v>30</v>
      </c>
      <c r="BR29">
        <v>0</v>
      </c>
      <c r="BS29">
        <v>21.43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5</v>
      </c>
      <c r="BZ29">
        <v>85</v>
      </c>
      <c r="CA29">
        <v>41</v>
      </c>
      <c r="CE29">
        <v>30</v>
      </c>
      <c r="CF29">
        <v>0</v>
      </c>
      <c r="CG29">
        <v>0</v>
      </c>
      <c r="CM29">
        <v>0</v>
      </c>
      <c r="CN29" t="s">
        <v>5</v>
      </c>
      <c r="CO29">
        <v>0</v>
      </c>
      <c r="CP29">
        <f>(P29+Q29+S29)</f>
        <v>113519.64</v>
      </c>
      <c r="CQ29">
        <f>ROUND((ROUND((AC29*AW29*1),2)*BC29),2)</f>
        <v>0</v>
      </c>
      <c r="CR29">
        <f>(ROUND((ROUND((((ET29*1.2*1.15))*AV29*1),2)*BB29),2)+ROUND((ROUND(((AE29-((EU29*1.2*1.15)))*AV29*1),2)*BS29),2))</f>
        <v>0</v>
      </c>
      <c r="CS29">
        <f>ROUND((ROUND((AE29*AV29*1),2)*BS29),2)</f>
        <v>0</v>
      </c>
      <c r="CT29">
        <f>ROUND((ROUND((AF29*AV29*1),2)*BA29),2)</f>
        <v>75388.17</v>
      </c>
      <c r="CU29">
        <f>AG29</f>
        <v>0</v>
      </c>
      <c r="CV29">
        <f>(AH29*AV29)</f>
        <v>331.8756479999999</v>
      </c>
      <c r="CW29">
        <f t="shared" ref="CW29:CX32" si="24">AI29</f>
        <v>0</v>
      </c>
      <c r="CX29">
        <f t="shared" si="24"/>
        <v>0</v>
      </c>
      <c r="CY29">
        <f>S29*(BZ29/100)</f>
        <v>96491.694000000003</v>
      </c>
      <c r="CZ29">
        <f>S29*(CA29/100)</f>
        <v>46543.0524</v>
      </c>
      <c r="DC29" t="s">
        <v>5</v>
      </c>
      <c r="DD29" t="s">
        <v>5</v>
      </c>
      <c r="DE29" t="s">
        <v>30</v>
      </c>
      <c r="DF29" t="s">
        <v>30</v>
      </c>
      <c r="DG29" t="s">
        <v>30</v>
      </c>
      <c r="DH29" t="s">
        <v>5</v>
      </c>
      <c r="DI29" t="s">
        <v>30</v>
      </c>
      <c r="DJ29" t="s">
        <v>30</v>
      </c>
      <c r="DK29" t="s">
        <v>5</v>
      </c>
      <c r="DL29" t="s">
        <v>5</v>
      </c>
      <c r="DM29" t="s">
        <v>5</v>
      </c>
      <c r="DN29">
        <v>105</v>
      </c>
      <c r="DO29">
        <v>77</v>
      </c>
      <c r="DP29">
        <v>1.248</v>
      </c>
      <c r="DQ29">
        <v>1</v>
      </c>
      <c r="DU29">
        <v>1013</v>
      </c>
      <c r="DV29" t="s">
        <v>28</v>
      </c>
      <c r="DW29" t="s">
        <v>28</v>
      </c>
      <c r="DX29">
        <v>1</v>
      </c>
      <c r="EE29">
        <v>44063879</v>
      </c>
      <c r="EF29">
        <v>30</v>
      </c>
      <c r="EG29" t="s">
        <v>31</v>
      </c>
      <c r="EH29">
        <v>0</v>
      </c>
      <c r="EI29" t="s">
        <v>5</v>
      </c>
      <c r="EJ29">
        <v>1</v>
      </c>
      <c r="EK29">
        <v>16</v>
      </c>
      <c r="EL29" t="s">
        <v>32</v>
      </c>
      <c r="EM29" t="s">
        <v>33</v>
      </c>
      <c r="EO29" t="s">
        <v>5</v>
      </c>
      <c r="EQ29">
        <v>131072</v>
      </c>
      <c r="ER29">
        <v>2042.62</v>
      </c>
      <c r="ES29">
        <v>0</v>
      </c>
      <c r="ET29">
        <v>0</v>
      </c>
      <c r="EU29">
        <v>0</v>
      </c>
      <c r="EV29">
        <v>2042.62</v>
      </c>
      <c r="EW29">
        <v>192.7</v>
      </c>
      <c r="EX29">
        <v>0</v>
      </c>
      <c r="EY29">
        <v>0</v>
      </c>
      <c r="FQ29">
        <v>0</v>
      </c>
      <c r="FR29">
        <f>ROUND(IF(AND(BH29=3,BI29=3),P29,0),2)</f>
        <v>0</v>
      </c>
      <c r="FS29">
        <v>0</v>
      </c>
      <c r="FX29">
        <v>105</v>
      </c>
      <c r="FY29">
        <v>77</v>
      </c>
      <c r="GA29" t="s">
        <v>5</v>
      </c>
      <c r="GD29">
        <v>0</v>
      </c>
      <c r="GF29">
        <v>-1632341149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>ROUND(IF(AND(BH29=3,BI29=3,FS29&lt;&gt;0),P29,0),2)</f>
        <v>0</v>
      </c>
      <c r="GM29">
        <f>ROUND(O29+X29+Y29+GK29,2)+GX29</f>
        <v>256554.38</v>
      </c>
      <c r="GN29">
        <f>IF(OR(BI29=0,BI29=1),ROUND(O29+X29+Y29+GK29,2),0)</f>
        <v>256554.38</v>
      </c>
      <c r="GO29">
        <f>IF(BI29=2,ROUND(O29+X29+Y29+GK29,2),0)</f>
        <v>0</v>
      </c>
      <c r="GP29">
        <f>IF(BI29=4,ROUND(O29+X29+Y29+GK29,2)+GX29,0)</f>
        <v>0</v>
      </c>
      <c r="GR29">
        <v>0</v>
      </c>
      <c r="GS29">
        <v>0</v>
      </c>
      <c r="GT29">
        <v>0</v>
      </c>
      <c r="GU29" t="s">
        <v>5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IK29">
        <v>0</v>
      </c>
    </row>
    <row r="30" spans="1:245" x14ac:dyDescent="0.2">
      <c r="A30">
        <v>17</v>
      </c>
      <c r="B30">
        <v>1</v>
      </c>
      <c r="C30">
        <f>ROW(SmtRes!A5)</f>
        <v>5</v>
      </c>
      <c r="D30">
        <f>ROW(EtalonRes!A2)</f>
        <v>2</v>
      </c>
      <c r="E30" t="s">
        <v>19</v>
      </c>
      <c r="F30" t="s">
        <v>34</v>
      </c>
      <c r="G30" t="s">
        <v>35</v>
      </c>
      <c r="H30" t="s">
        <v>28</v>
      </c>
      <c r="I30">
        <f>ROUND(0.3356+0.88,9)</f>
        <v>1.2156</v>
      </c>
      <c r="J30">
        <v>0</v>
      </c>
      <c r="O30">
        <f>ROUND(CP30,2)</f>
        <v>47158.86</v>
      </c>
      <c r="P30">
        <f>ROUND((ROUND((AC30*AW30*I30),2)*BC30),2)</f>
        <v>0</v>
      </c>
      <c r="Q30">
        <f>(ROUND((ROUND((((ET30*1.2*1.15))*AV30*I30),2)*BB30),2)+ROUND((ROUND(((AE30-((EU30*1.2*1.15)))*AV30*I30),2)*BS30),2))</f>
        <v>0</v>
      </c>
      <c r="R30">
        <f>ROUND((ROUND((AE30*AV30*I30),2)*BS30),2)</f>
        <v>0</v>
      </c>
      <c r="S30">
        <f>ROUND((ROUND((AF30*AV30*I30),2)*BA30),2)</f>
        <v>47158.86</v>
      </c>
      <c r="T30">
        <f>ROUND(CU30*I30,2)</f>
        <v>0</v>
      </c>
      <c r="U30">
        <f>CV30*I30</f>
        <v>224.09412120576002</v>
      </c>
      <c r="V30">
        <f>CW30*I30</f>
        <v>0</v>
      </c>
      <c r="W30">
        <f>ROUND(CX30*I30,2)</f>
        <v>0</v>
      </c>
      <c r="X30">
        <f t="shared" si="21"/>
        <v>40085.03</v>
      </c>
      <c r="Y30">
        <f t="shared" si="21"/>
        <v>19335.13</v>
      </c>
      <c r="AA30">
        <v>44175501</v>
      </c>
      <c r="AB30">
        <f>ROUND((AC30+AD30+AF30),6)</f>
        <v>1450.5594000000001</v>
      </c>
      <c r="AC30">
        <f>ROUND((ES30),6)</f>
        <v>0</v>
      </c>
      <c r="AD30">
        <f>ROUND(((((ET30*1.2*1.15))-((EU30*1.2*1.15)))+AE30),6)</f>
        <v>0</v>
      </c>
      <c r="AE30">
        <f t="shared" si="22"/>
        <v>0</v>
      </c>
      <c r="AF30">
        <f t="shared" si="22"/>
        <v>1450.5594000000001</v>
      </c>
      <c r="AG30">
        <f>ROUND((AP30),6)</f>
        <v>0</v>
      </c>
      <c r="AH30">
        <f t="shared" si="23"/>
        <v>147.71520000000001</v>
      </c>
      <c r="AI30">
        <f t="shared" si="23"/>
        <v>0</v>
      </c>
      <c r="AJ30">
        <f>(AS30)</f>
        <v>0</v>
      </c>
      <c r="AK30">
        <v>1051.1300000000001</v>
      </c>
      <c r="AL30">
        <v>0</v>
      </c>
      <c r="AM30">
        <v>0</v>
      </c>
      <c r="AN30">
        <v>0</v>
      </c>
      <c r="AO30">
        <v>1051.1300000000001</v>
      </c>
      <c r="AP30">
        <v>0</v>
      </c>
      <c r="AQ30">
        <v>107.04</v>
      </c>
      <c r="AR30">
        <v>0</v>
      </c>
      <c r="AS30">
        <v>0</v>
      </c>
      <c r="AT30">
        <v>85</v>
      </c>
      <c r="AU30">
        <v>41</v>
      </c>
      <c r="AV30">
        <v>1.248</v>
      </c>
      <c r="AW30">
        <v>1</v>
      </c>
      <c r="AZ30">
        <v>1</v>
      </c>
      <c r="BA30">
        <v>21.43</v>
      </c>
      <c r="BB30">
        <v>1</v>
      </c>
      <c r="BC30">
        <v>1</v>
      </c>
      <c r="BD30" t="s">
        <v>5</v>
      </c>
      <c r="BE30" t="s">
        <v>5</v>
      </c>
      <c r="BF30" t="s">
        <v>5</v>
      </c>
      <c r="BG30" t="s">
        <v>5</v>
      </c>
      <c r="BH30">
        <v>0</v>
      </c>
      <c r="BI30">
        <v>1</v>
      </c>
      <c r="BJ30" t="s">
        <v>36</v>
      </c>
      <c r="BM30">
        <v>16</v>
      </c>
      <c r="BN30">
        <v>0</v>
      </c>
      <c r="BO30" t="s">
        <v>34</v>
      </c>
      <c r="BP30">
        <v>1</v>
      </c>
      <c r="BQ30">
        <v>30</v>
      </c>
      <c r="BR30">
        <v>0</v>
      </c>
      <c r="BS30">
        <v>21.43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5</v>
      </c>
      <c r="BZ30">
        <v>85</v>
      </c>
      <c r="CA30">
        <v>41</v>
      </c>
      <c r="CE30">
        <v>30</v>
      </c>
      <c r="CF30">
        <v>0</v>
      </c>
      <c r="CG30">
        <v>0</v>
      </c>
      <c r="CM30">
        <v>0</v>
      </c>
      <c r="CN30" t="s">
        <v>5</v>
      </c>
      <c r="CO30">
        <v>0</v>
      </c>
      <c r="CP30">
        <f>(P30+Q30+S30)</f>
        <v>47158.86</v>
      </c>
      <c r="CQ30">
        <f>ROUND((ROUND((AC30*AW30*1),2)*BC30),2)</f>
        <v>0</v>
      </c>
      <c r="CR30">
        <f>(ROUND((ROUND((((ET30*1.2*1.15))*AV30*1),2)*BB30),2)+ROUND((ROUND(((AE30-((EU30*1.2*1.15)))*AV30*1),2)*BS30),2))</f>
        <v>0</v>
      </c>
      <c r="CS30">
        <f>ROUND((ROUND((AE30*AV30*1),2)*BS30),2)</f>
        <v>0</v>
      </c>
      <c r="CT30">
        <f>ROUND((ROUND((AF30*AV30*1),2)*BA30),2)</f>
        <v>38794.730000000003</v>
      </c>
      <c r="CU30">
        <f>AG30</f>
        <v>0</v>
      </c>
      <c r="CV30">
        <f>(AH30*AV30)</f>
        <v>184.34856960000002</v>
      </c>
      <c r="CW30">
        <f t="shared" si="24"/>
        <v>0</v>
      </c>
      <c r="CX30">
        <f t="shared" si="24"/>
        <v>0</v>
      </c>
      <c r="CY30">
        <f>S30*(BZ30/100)</f>
        <v>40085.031000000003</v>
      </c>
      <c r="CZ30">
        <f>S30*(CA30/100)</f>
        <v>19335.132600000001</v>
      </c>
      <c r="DC30" t="s">
        <v>5</v>
      </c>
      <c r="DD30" t="s">
        <v>5</v>
      </c>
      <c r="DE30" t="s">
        <v>30</v>
      </c>
      <c r="DF30" t="s">
        <v>30</v>
      </c>
      <c r="DG30" t="s">
        <v>30</v>
      </c>
      <c r="DH30" t="s">
        <v>5</v>
      </c>
      <c r="DI30" t="s">
        <v>30</v>
      </c>
      <c r="DJ30" t="s">
        <v>30</v>
      </c>
      <c r="DK30" t="s">
        <v>5</v>
      </c>
      <c r="DL30" t="s">
        <v>5</v>
      </c>
      <c r="DM30" t="s">
        <v>5</v>
      </c>
      <c r="DN30">
        <v>105</v>
      </c>
      <c r="DO30">
        <v>77</v>
      </c>
      <c r="DP30">
        <v>1.248</v>
      </c>
      <c r="DQ30">
        <v>1</v>
      </c>
      <c r="DU30">
        <v>1013</v>
      </c>
      <c r="DV30" t="s">
        <v>28</v>
      </c>
      <c r="DW30" t="s">
        <v>28</v>
      </c>
      <c r="DX30">
        <v>1</v>
      </c>
      <c r="EE30">
        <v>44063879</v>
      </c>
      <c r="EF30">
        <v>30</v>
      </c>
      <c r="EG30" t="s">
        <v>31</v>
      </c>
      <c r="EH30">
        <v>0</v>
      </c>
      <c r="EI30" t="s">
        <v>5</v>
      </c>
      <c r="EJ30">
        <v>1</v>
      </c>
      <c r="EK30">
        <v>16</v>
      </c>
      <c r="EL30" t="s">
        <v>32</v>
      </c>
      <c r="EM30" t="s">
        <v>33</v>
      </c>
      <c r="EO30" t="s">
        <v>5</v>
      </c>
      <c r="EQ30">
        <v>131072</v>
      </c>
      <c r="ER30">
        <v>1051.1300000000001</v>
      </c>
      <c r="ES30">
        <v>0</v>
      </c>
      <c r="ET30">
        <v>0</v>
      </c>
      <c r="EU30">
        <v>0</v>
      </c>
      <c r="EV30">
        <v>1051.1300000000001</v>
      </c>
      <c r="EW30">
        <v>107.04</v>
      </c>
      <c r="EX30">
        <v>0</v>
      </c>
      <c r="EY30">
        <v>0</v>
      </c>
      <c r="FQ30">
        <v>0</v>
      </c>
      <c r="FR30">
        <f>ROUND(IF(AND(BH30=3,BI30=3),P30,0),2)</f>
        <v>0</v>
      </c>
      <c r="FS30">
        <v>0</v>
      </c>
      <c r="FX30">
        <v>105</v>
      </c>
      <c r="FY30">
        <v>77</v>
      </c>
      <c r="GA30" t="s">
        <v>5</v>
      </c>
      <c r="GD30">
        <v>0</v>
      </c>
      <c r="GF30">
        <v>-367495180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>ROUND(IF(AND(BH30=3,BI30=3,FS30&lt;&gt;0),P30,0),2)</f>
        <v>0</v>
      </c>
      <c r="GM30">
        <f>ROUND(O30+X30+Y30+GK30,2)+GX30</f>
        <v>106579.02</v>
      </c>
      <c r="GN30">
        <f>IF(OR(BI30=0,BI30=1),ROUND(O30+X30+Y30+GK30,2),0)</f>
        <v>106579.02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0</v>
      </c>
      <c r="GT30">
        <v>0</v>
      </c>
      <c r="GU30" t="s">
        <v>5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IK30">
        <v>0</v>
      </c>
    </row>
    <row r="31" spans="1:245" x14ac:dyDescent="0.2">
      <c r="A31">
        <v>17</v>
      </c>
      <c r="B31">
        <v>1</v>
      </c>
      <c r="E31" t="s">
        <v>37</v>
      </c>
      <c r="F31" t="s">
        <v>38</v>
      </c>
      <c r="G31" t="s">
        <v>39</v>
      </c>
      <c r="H31" t="s">
        <v>40</v>
      </c>
      <c r="I31">
        <f>ROUND(33.56*1.1,9)</f>
        <v>36.915999999999997</v>
      </c>
      <c r="J31">
        <v>0</v>
      </c>
      <c r="O31">
        <f>ROUND(CP31,2)</f>
        <v>20348</v>
      </c>
      <c r="P31">
        <f>ROUND((ROUND((AC31*AW31*I31),2)*BC31),2)</f>
        <v>20348</v>
      </c>
      <c r="Q31">
        <f>(ROUND((ROUND((((ET31*1.2*1.15))*AV31*I31),2)*BB31),2)+ROUND((ROUND(((AE31-((EU31*1.2*1.15)))*AV31*I31),2)*BS31),2))</f>
        <v>0</v>
      </c>
      <c r="R31">
        <f>ROUND((ROUND((AE31*AV31*I31),2)*BS31),2)</f>
        <v>0</v>
      </c>
      <c r="S31">
        <f>ROUND((ROUND((AF31*AV31*I31),2)*BA31),2)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1"/>
        <v>0</v>
      </c>
      <c r="Y31">
        <f t="shared" si="21"/>
        <v>0</v>
      </c>
      <c r="AA31">
        <v>44175501</v>
      </c>
      <c r="AB31">
        <f>ROUND((AC31+AD31+AF31),6)</f>
        <v>104.99</v>
      </c>
      <c r="AC31">
        <f>ROUND((ES31),6)</f>
        <v>104.99</v>
      </c>
      <c r="AD31">
        <f>ROUND(((((ET31*1.2*1.15))-((EU31*1.2*1.15)))+AE31),6)</f>
        <v>0</v>
      </c>
      <c r="AE31">
        <f t="shared" si="22"/>
        <v>0</v>
      </c>
      <c r="AF31">
        <f t="shared" si="22"/>
        <v>0</v>
      </c>
      <c r="AG31">
        <f>ROUND((AP31),6)</f>
        <v>0</v>
      </c>
      <c r="AH31">
        <f t="shared" si="23"/>
        <v>0</v>
      </c>
      <c r="AI31">
        <f t="shared" si="23"/>
        <v>0</v>
      </c>
      <c r="AJ31">
        <f>(AS31)</f>
        <v>0</v>
      </c>
      <c r="AK31">
        <v>104.99</v>
      </c>
      <c r="AL31">
        <v>104.99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5.25</v>
      </c>
      <c r="BD31" t="s">
        <v>5</v>
      </c>
      <c r="BE31" t="s">
        <v>5</v>
      </c>
      <c r="BF31" t="s">
        <v>5</v>
      </c>
      <c r="BG31" t="s">
        <v>5</v>
      </c>
      <c r="BH31">
        <v>3</v>
      </c>
      <c r="BI31">
        <v>1</v>
      </c>
      <c r="BJ31" t="s">
        <v>41</v>
      </c>
      <c r="BM31">
        <v>1617</v>
      </c>
      <c r="BN31">
        <v>0</v>
      </c>
      <c r="BO31" t="s">
        <v>38</v>
      </c>
      <c r="BP31">
        <v>1</v>
      </c>
      <c r="BQ31">
        <v>200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5</v>
      </c>
      <c r="BZ31">
        <v>0</v>
      </c>
      <c r="CA31">
        <v>0</v>
      </c>
      <c r="CE31">
        <v>30</v>
      </c>
      <c r="CF31">
        <v>0</v>
      </c>
      <c r="CG31">
        <v>0</v>
      </c>
      <c r="CM31">
        <v>0</v>
      </c>
      <c r="CN31" t="s">
        <v>5</v>
      </c>
      <c r="CO31">
        <v>0</v>
      </c>
      <c r="CP31">
        <f>(P31+Q31+S31)</f>
        <v>20348</v>
      </c>
      <c r="CQ31">
        <f>ROUND((ROUND((AC31*AW31*1),2)*BC31),2)</f>
        <v>551.20000000000005</v>
      </c>
      <c r="CR31">
        <f>(ROUND((ROUND((((ET31*1.2*1.15))*AV31*1),2)*BB31),2)+ROUND((ROUND(((AE31-((EU31*1.2*1.15)))*AV31*1),2)*BS31),2))</f>
        <v>0</v>
      </c>
      <c r="CS31">
        <f>ROUND((ROUND((AE31*AV31*1),2)*BS31),2)</f>
        <v>0</v>
      </c>
      <c r="CT31">
        <f>ROUND((ROUND((AF31*AV31*1),2)*BA31),2)</f>
        <v>0</v>
      </c>
      <c r="CU31">
        <f>AG31</f>
        <v>0</v>
      </c>
      <c r="CV31">
        <f>(AH31*AV31)</f>
        <v>0</v>
      </c>
      <c r="CW31">
        <f t="shared" si="24"/>
        <v>0</v>
      </c>
      <c r="CX31">
        <f t="shared" si="24"/>
        <v>0</v>
      </c>
      <c r="CY31">
        <f>S31*(BZ31/100)</f>
        <v>0</v>
      </c>
      <c r="CZ31">
        <f>S31*(CA31/100)</f>
        <v>0</v>
      </c>
      <c r="DC31" t="s">
        <v>5</v>
      </c>
      <c r="DD31" t="s">
        <v>5</v>
      </c>
      <c r="DE31" t="s">
        <v>30</v>
      </c>
      <c r="DF31" t="s">
        <v>30</v>
      </c>
      <c r="DG31" t="s">
        <v>30</v>
      </c>
      <c r="DH31" t="s">
        <v>5</v>
      </c>
      <c r="DI31" t="s">
        <v>30</v>
      </c>
      <c r="DJ31" t="s">
        <v>30</v>
      </c>
      <c r="DK31" t="s">
        <v>5</v>
      </c>
      <c r="DL31" t="s">
        <v>5</v>
      </c>
      <c r="DM31" t="s">
        <v>5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40</v>
      </c>
      <c r="DW31" t="s">
        <v>40</v>
      </c>
      <c r="DX31">
        <v>1</v>
      </c>
      <c r="EE31">
        <v>44065436</v>
      </c>
      <c r="EF31">
        <v>200</v>
      </c>
      <c r="EG31" t="s">
        <v>42</v>
      </c>
      <c r="EH31">
        <v>0</v>
      </c>
      <c r="EI31" t="s">
        <v>5</v>
      </c>
      <c r="EJ31">
        <v>1</v>
      </c>
      <c r="EK31">
        <v>1617</v>
      </c>
      <c r="EL31" t="s">
        <v>43</v>
      </c>
      <c r="EM31" t="s">
        <v>44</v>
      </c>
      <c r="EO31" t="s">
        <v>5</v>
      </c>
      <c r="EQ31">
        <v>131072</v>
      </c>
      <c r="ER31">
        <v>104.99</v>
      </c>
      <c r="ES31">
        <v>104.99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>ROUND(IF(AND(BH31=3,BI31=3),P31,0),2)</f>
        <v>0</v>
      </c>
      <c r="FS31">
        <v>0</v>
      </c>
      <c r="FX31">
        <v>0</v>
      </c>
      <c r="FY31">
        <v>0</v>
      </c>
      <c r="GA31" t="s">
        <v>5</v>
      </c>
      <c r="GD31">
        <v>0</v>
      </c>
      <c r="GF31">
        <v>2069056849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>ROUND(IF(AND(BH31=3,BI31=3,FS31&lt;&gt;0),P31,0),2)</f>
        <v>0</v>
      </c>
      <c r="GM31">
        <f>ROUND(O31+X31+Y31+GK31,2)+GX31</f>
        <v>20348</v>
      </c>
      <c r="GN31">
        <f>IF(OR(BI31=0,BI31=1),ROUND(O31+X31+Y31+GK31,2),0)</f>
        <v>20348</v>
      </c>
      <c r="GO31">
        <f>IF(BI31=2,ROUND(O31+X31+Y31+GK31,2),0)</f>
        <v>0</v>
      </c>
      <c r="GP31">
        <f>IF(BI31=4,ROUND(O31+X31+Y31+GK31,2)+GX31,0)</f>
        <v>0</v>
      </c>
      <c r="GR31">
        <v>0</v>
      </c>
      <c r="GS31">
        <v>0</v>
      </c>
      <c r="GT31">
        <v>0</v>
      </c>
      <c r="GU31" t="s">
        <v>5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IK31">
        <v>0</v>
      </c>
    </row>
    <row r="32" spans="1:245" x14ac:dyDescent="0.2">
      <c r="A32">
        <v>17</v>
      </c>
      <c r="B32">
        <v>1</v>
      </c>
      <c r="C32">
        <f>ROW(SmtRes!A6)</f>
        <v>6</v>
      </c>
      <c r="D32">
        <f>ROW(EtalonRes!A3)</f>
        <v>3</v>
      </c>
      <c r="E32" t="s">
        <v>45</v>
      </c>
      <c r="F32" t="s">
        <v>46</v>
      </c>
      <c r="G32" t="s">
        <v>47</v>
      </c>
      <c r="H32" t="s">
        <v>28</v>
      </c>
      <c r="I32">
        <f>ROUND(62.57/100,9)</f>
        <v>0.62570000000000003</v>
      </c>
      <c r="J32">
        <v>0</v>
      </c>
      <c r="O32">
        <f>ROUND(CP32,2)</f>
        <v>18362.3</v>
      </c>
      <c r="P32">
        <f>ROUND((ROUND((AC32*AW32*I32),2)*BC32),2)</f>
        <v>0</v>
      </c>
      <c r="Q32">
        <f>(ROUND((ROUND((((ET32*1.2*1.15))*AV32*I32),2)*BB32),2)+ROUND((ROUND(((AE32-((EU32*1.2*1.15)))*AV32*I32),2)*BS32),2))</f>
        <v>0</v>
      </c>
      <c r="R32">
        <f>ROUND((ROUND((AE32*AV32*I32),2)*BS32),2)</f>
        <v>0</v>
      </c>
      <c r="S32">
        <f>ROUND((ROUND((AF32*AV32*I32),2)*BA32),2)</f>
        <v>18362.3</v>
      </c>
      <c r="T32">
        <f>ROUND(CU32*I32,2)</f>
        <v>0</v>
      </c>
      <c r="U32">
        <f>CV32*I32</f>
        <v>89.441262143999992</v>
      </c>
      <c r="V32">
        <f>CW32*I32</f>
        <v>0</v>
      </c>
      <c r="W32">
        <f>ROUND(CX32*I32,2)</f>
        <v>0</v>
      </c>
      <c r="X32">
        <f t="shared" si="21"/>
        <v>13404.48</v>
      </c>
      <c r="Y32">
        <f t="shared" si="21"/>
        <v>7528.54</v>
      </c>
      <c r="AA32">
        <v>44175501</v>
      </c>
      <c r="AB32">
        <f>ROUND((AC32+AD32+AF32),6)</f>
        <v>1097.2932000000001</v>
      </c>
      <c r="AC32">
        <f>ROUND((ES32),6)</f>
        <v>0</v>
      </c>
      <c r="AD32">
        <f>ROUND(((((ET32*1.2*1.15))-((EU32*1.2*1.15)))+AE32),6)</f>
        <v>0</v>
      </c>
      <c r="AE32">
        <f t="shared" si="22"/>
        <v>0</v>
      </c>
      <c r="AF32">
        <f t="shared" si="22"/>
        <v>1097.2932000000001</v>
      </c>
      <c r="AG32">
        <f>ROUND((AP32),6)</f>
        <v>0</v>
      </c>
      <c r="AH32">
        <f t="shared" si="23"/>
        <v>114.53999999999998</v>
      </c>
      <c r="AI32">
        <f t="shared" si="23"/>
        <v>0</v>
      </c>
      <c r="AJ32">
        <f>(AS32)</f>
        <v>0</v>
      </c>
      <c r="AK32">
        <v>795.14</v>
      </c>
      <c r="AL32">
        <v>0</v>
      </c>
      <c r="AM32">
        <v>0</v>
      </c>
      <c r="AN32">
        <v>0</v>
      </c>
      <c r="AO32">
        <v>795.14</v>
      </c>
      <c r="AP32">
        <v>0</v>
      </c>
      <c r="AQ32">
        <v>83</v>
      </c>
      <c r="AR32">
        <v>0</v>
      </c>
      <c r="AS32">
        <v>0</v>
      </c>
      <c r="AT32">
        <v>73</v>
      </c>
      <c r="AU32">
        <v>41</v>
      </c>
      <c r="AV32">
        <v>1.248</v>
      </c>
      <c r="AW32">
        <v>1</v>
      </c>
      <c r="AZ32">
        <v>1</v>
      </c>
      <c r="BA32">
        <v>21.43</v>
      </c>
      <c r="BB32">
        <v>1</v>
      </c>
      <c r="BC32">
        <v>1</v>
      </c>
      <c r="BD32" t="s">
        <v>5</v>
      </c>
      <c r="BE32" t="s">
        <v>5</v>
      </c>
      <c r="BF32" t="s">
        <v>5</v>
      </c>
      <c r="BG32" t="s">
        <v>5</v>
      </c>
      <c r="BH32">
        <v>0</v>
      </c>
      <c r="BI32">
        <v>1</v>
      </c>
      <c r="BJ32" t="s">
        <v>48</v>
      </c>
      <c r="BM32">
        <v>393</v>
      </c>
      <c r="BN32">
        <v>0</v>
      </c>
      <c r="BO32" t="s">
        <v>46</v>
      </c>
      <c r="BP32">
        <v>1</v>
      </c>
      <c r="BQ32">
        <v>60</v>
      </c>
      <c r="BR32">
        <v>0</v>
      </c>
      <c r="BS32">
        <v>21.43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5</v>
      </c>
      <c r="BZ32">
        <v>73</v>
      </c>
      <c r="CA32">
        <v>41</v>
      </c>
      <c r="CE32">
        <v>30</v>
      </c>
      <c r="CF32">
        <v>0</v>
      </c>
      <c r="CG32">
        <v>0</v>
      </c>
      <c r="CM32">
        <v>0</v>
      </c>
      <c r="CN32" t="s">
        <v>5</v>
      </c>
      <c r="CO32">
        <v>0</v>
      </c>
      <c r="CP32">
        <f>(P32+Q32+S32)</f>
        <v>18362.3</v>
      </c>
      <c r="CQ32">
        <f>ROUND((ROUND((AC32*AW32*1),2)*BC32),2)</f>
        <v>0</v>
      </c>
      <c r="CR32">
        <f>(ROUND((ROUND((((ET32*1.2*1.15))*AV32*1),2)*BB32),2)+ROUND((ROUND(((AE32-((EU32*1.2*1.15)))*AV32*1),2)*BS32),2))</f>
        <v>0</v>
      </c>
      <c r="CS32">
        <f>ROUND((ROUND((AE32*AV32*1),2)*BS32),2)</f>
        <v>0</v>
      </c>
      <c r="CT32">
        <f>ROUND((ROUND((AF32*AV32*1),2)*BA32),2)</f>
        <v>29346.67</v>
      </c>
      <c r="CU32">
        <f>AG32</f>
        <v>0</v>
      </c>
      <c r="CV32">
        <f>(AH32*AV32)</f>
        <v>142.94591999999997</v>
      </c>
      <c r="CW32">
        <f t="shared" si="24"/>
        <v>0</v>
      </c>
      <c r="CX32">
        <f t="shared" si="24"/>
        <v>0</v>
      </c>
      <c r="CY32">
        <f>S32*(BZ32/100)</f>
        <v>13404.478999999999</v>
      </c>
      <c r="CZ32">
        <f>S32*(CA32/100)</f>
        <v>7528.5429999999997</v>
      </c>
      <c r="DC32" t="s">
        <v>5</v>
      </c>
      <c r="DD32" t="s">
        <v>5</v>
      </c>
      <c r="DE32" t="s">
        <v>30</v>
      </c>
      <c r="DF32" t="s">
        <v>30</v>
      </c>
      <c r="DG32" t="s">
        <v>30</v>
      </c>
      <c r="DH32" t="s">
        <v>5</v>
      </c>
      <c r="DI32" t="s">
        <v>30</v>
      </c>
      <c r="DJ32" t="s">
        <v>30</v>
      </c>
      <c r="DK32" t="s">
        <v>5</v>
      </c>
      <c r="DL32" t="s">
        <v>5</v>
      </c>
      <c r="DM32" t="s">
        <v>5</v>
      </c>
      <c r="DN32">
        <v>91</v>
      </c>
      <c r="DO32">
        <v>67</v>
      </c>
      <c r="DP32">
        <v>1.248</v>
      </c>
      <c r="DQ32">
        <v>1</v>
      </c>
      <c r="DU32">
        <v>1013</v>
      </c>
      <c r="DV32" t="s">
        <v>28</v>
      </c>
      <c r="DW32" t="s">
        <v>28</v>
      </c>
      <c r="DX32">
        <v>1</v>
      </c>
      <c r="EE32">
        <v>44064212</v>
      </c>
      <c r="EF32">
        <v>60</v>
      </c>
      <c r="EG32" t="s">
        <v>49</v>
      </c>
      <c r="EH32">
        <v>0</v>
      </c>
      <c r="EI32" t="s">
        <v>5</v>
      </c>
      <c r="EJ32">
        <v>1</v>
      </c>
      <c r="EK32">
        <v>393</v>
      </c>
      <c r="EL32" t="s">
        <v>50</v>
      </c>
      <c r="EM32" t="s">
        <v>51</v>
      </c>
      <c r="EO32" t="s">
        <v>5</v>
      </c>
      <c r="EQ32">
        <v>131072</v>
      </c>
      <c r="ER32">
        <v>795.14</v>
      </c>
      <c r="ES32">
        <v>0</v>
      </c>
      <c r="ET32">
        <v>0</v>
      </c>
      <c r="EU32">
        <v>0</v>
      </c>
      <c r="EV32">
        <v>795.14</v>
      </c>
      <c r="EW32">
        <v>83</v>
      </c>
      <c r="EX32">
        <v>0</v>
      </c>
      <c r="EY32">
        <v>0</v>
      </c>
      <c r="FQ32">
        <v>0</v>
      </c>
      <c r="FR32">
        <f>ROUND(IF(AND(BH32=3,BI32=3),P32,0),2)</f>
        <v>0</v>
      </c>
      <c r="FS32">
        <v>0</v>
      </c>
      <c r="FX32">
        <v>91</v>
      </c>
      <c r="FY32">
        <v>67</v>
      </c>
      <c r="GA32" t="s">
        <v>5</v>
      </c>
      <c r="GD32">
        <v>0</v>
      </c>
      <c r="GF32">
        <v>2144161260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>ROUND(IF(AND(BH32=3,BI32=3,FS32&lt;&gt;0),P32,0),2)</f>
        <v>0</v>
      </c>
      <c r="GM32">
        <f>ROUND(O32+X32+Y32+GK32,2)+GX32</f>
        <v>39295.32</v>
      </c>
      <c r="GN32">
        <f>IF(OR(BI32=0,BI32=1),ROUND(O32+X32+Y32+GK32,2),0)</f>
        <v>39295.32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0</v>
      </c>
      <c r="GT32">
        <v>0</v>
      </c>
      <c r="GU32" t="s">
        <v>5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IK32">
        <v>0</v>
      </c>
    </row>
    <row r="33" spans="1:245" x14ac:dyDescent="0.2">
      <c r="A33">
        <v>19</v>
      </c>
      <c r="B33">
        <v>1</v>
      </c>
      <c r="F33" t="s">
        <v>5</v>
      </c>
      <c r="G33" t="s">
        <v>52</v>
      </c>
      <c r="H33" t="s">
        <v>5</v>
      </c>
      <c r="AA33">
        <v>1</v>
      </c>
      <c r="IK33">
        <v>0</v>
      </c>
    </row>
    <row r="34" spans="1:245" x14ac:dyDescent="0.2">
      <c r="A34">
        <v>17</v>
      </c>
      <c r="B34">
        <v>1</v>
      </c>
      <c r="C34">
        <f>ROW(SmtRes!A9)</f>
        <v>9</v>
      </c>
      <c r="D34">
        <f>ROW(EtalonRes!A6)</f>
        <v>6</v>
      </c>
      <c r="E34" t="s">
        <v>53</v>
      </c>
      <c r="F34" t="s">
        <v>54</v>
      </c>
      <c r="G34" t="s">
        <v>55</v>
      </c>
      <c r="H34" t="s">
        <v>56</v>
      </c>
      <c r="I34">
        <v>0.246</v>
      </c>
      <c r="J34">
        <v>0</v>
      </c>
      <c r="O34">
        <f t="shared" ref="O34:O45" si="25">ROUND(CP34,2)</f>
        <v>11605.66</v>
      </c>
      <c r="P34">
        <f t="shared" ref="P34:P45" si="26">ROUND((ROUND((AC34*AW34*I34),2)*BC34),2)</f>
        <v>63.25</v>
      </c>
      <c r="Q34">
        <f>(ROUND((ROUND((((ET34*1.2*1.15))*AV34*I34),2)*BB34),2)+ROUND((ROUND(((AE34-((EU34*1.2*1.15)))*AV34*I34),2)*BS34),2))</f>
        <v>0</v>
      </c>
      <c r="R34">
        <f t="shared" ref="R34:R45" si="27">ROUND((ROUND((AE34*AV34*I34),2)*BS34),2)</f>
        <v>0</v>
      </c>
      <c r="S34">
        <f t="shared" ref="S34:S45" si="28">ROUND((ROUND((AF34*AV34*I34),2)*BA34),2)</f>
        <v>11542.41</v>
      </c>
      <c r="T34">
        <f t="shared" ref="T34:T45" si="29">ROUND(CU34*I34,2)</f>
        <v>0</v>
      </c>
      <c r="U34">
        <f t="shared" ref="U34:U45" si="30">CV34*I34</f>
        <v>48.175946279999998</v>
      </c>
      <c r="V34">
        <f t="shared" ref="V34:V45" si="31">CW34*I34</f>
        <v>0</v>
      </c>
      <c r="W34">
        <f t="shared" ref="W34:W45" si="32">ROUND(CX34*I34,2)</f>
        <v>0</v>
      </c>
      <c r="X34">
        <f t="shared" ref="X34:X45" si="33">ROUND(CY34,2)</f>
        <v>10388.17</v>
      </c>
      <c r="Y34">
        <f t="shared" ref="Y34:Y45" si="34">ROUND(CZ34,2)</f>
        <v>4732.3900000000003</v>
      </c>
      <c r="AA34">
        <v>44175501</v>
      </c>
      <c r="AB34">
        <f t="shared" ref="AB34:AB45" si="35">ROUND((AC34+AD34+AF34),6)</f>
        <v>2096.3571999999999</v>
      </c>
      <c r="AC34">
        <f t="shared" ref="AC34:AC45" si="36">ROUND((ES34),6)</f>
        <v>44.38</v>
      </c>
      <c r="AD34">
        <f>ROUND(((((ET34*1.2*1.15))-((EU34*1.2*1.15)))+AE34),6)</f>
        <v>0</v>
      </c>
      <c r="AE34">
        <f t="shared" ref="AE34:AF36" si="37">ROUND(((EU34*1.2*1.15)),6)</f>
        <v>0</v>
      </c>
      <c r="AF34">
        <f t="shared" si="37"/>
        <v>2051.9771999999998</v>
      </c>
      <c r="AG34">
        <f t="shared" ref="AG34:AG45" si="38">ROUND((AP34),6)</f>
        <v>0</v>
      </c>
      <c r="AH34">
        <f t="shared" ref="AH34:AI36" si="39">((EW34*1.2*1.15))</f>
        <v>183.54</v>
      </c>
      <c r="AI34">
        <f t="shared" si="39"/>
        <v>0</v>
      </c>
      <c r="AJ34">
        <f t="shared" ref="AJ34:AJ45" si="40">(AS34)</f>
        <v>0</v>
      </c>
      <c r="AK34">
        <v>1531.32</v>
      </c>
      <c r="AL34">
        <v>44.38</v>
      </c>
      <c r="AM34">
        <v>0</v>
      </c>
      <c r="AN34">
        <v>0</v>
      </c>
      <c r="AO34">
        <v>1486.94</v>
      </c>
      <c r="AP34">
        <v>0</v>
      </c>
      <c r="AQ34">
        <v>133</v>
      </c>
      <c r="AR34">
        <v>0</v>
      </c>
      <c r="AS34">
        <v>0</v>
      </c>
      <c r="AT34">
        <v>90</v>
      </c>
      <c r="AU34">
        <v>41</v>
      </c>
      <c r="AV34">
        <v>1.0669999999999999</v>
      </c>
      <c r="AW34">
        <v>1.081</v>
      </c>
      <c r="AZ34">
        <v>1</v>
      </c>
      <c r="BA34">
        <v>21.43</v>
      </c>
      <c r="BB34">
        <v>1</v>
      </c>
      <c r="BC34">
        <v>5.36</v>
      </c>
      <c r="BD34" t="s">
        <v>5</v>
      </c>
      <c r="BE34" t="s">
        <v>5</v>
      </c>
      <c r="BF34" t="s">
        <v>5</v>
      </c>
      <c r="BG34" t="s">
        <v>5</v>
      </c>
      <c r="BH34">
        <v>0</v>
      </c>
      <c r="BI34">
        <v>1</v>
      </c>
      <c r="BJ34" t="s">
        <v>57</v>
      </c>
      <c r="BM34">
        <v>242</v>
      </c>
      <c r="BN34">
        <v>0</v>
      </c>
      <c r="BO34" t="s">
        <v>54</v>
      </c>
      <c r="BP34">
        <v>1</v>
      </c>
      <c r="BQ34">
        <v>30</v>
      </c>
      <c r="BR34">
        <v>0</v>
      </c>
      <c r="BS34">
        <v>21.43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5</v>
      </c>
      <c r="BZ34">
        <v>90</v>
      </c>
      <c r="CA34">
        <v>41</v>
      </c>
      <c r="CE34">
        <v>30</v>
      </c>
      <c r="CF34">
        <v>0</v>
      </c>
      <c r="CG34">
        <v>0</v>
      </c>
      <c r="CM34">
        <v>0</v>
      </c>
      <c r="CN34" t="s">
        <v>5</v>
      </c>
      <c r="CO34">
        <v>0</v>
      </c>
      <c r="CP34">
        <f t="shared" ref="CP34:CP45" si="41">(P34+Q34+S34)</f>
        <v>11605.66</v>
      </c>
      <c r="CQ34">
        <f t="shared" ref="CQ34:CQ45" si="42">ROUND((ROUND((AC34*AW34*1),2)*BC34),2)</f>
        <v>257.12</v>
      </c>
      <c r="CR34">
        <f>(ROUND((ROUND((((ET34*1.2*1.15))*AV34*1),2)*BB34),2)+ROUND((ROUND(((AE34-((EU34*1.2*1.15)))*AV34*1),2)*BS34),2))</f>
        <v>0</v>
      </c>
      <c r="CS34">
        <f t="shared" ref="CS34:CS45" si="43">ROUND((ROUND((AE34*AV34*1),2)*BS34),2)</f>
        <v>0</v>
      </c>
      <c r="CT34">
        <f t="shared" ref="CT34:CT45" si="44">ROUND((ROUND((AF34*AV34*1),2)*BA34),2)</f>
        <v>46920.13</v>
      </c>
      <c r="CU34">
        <f t="shared" ref="CU34:CU45" si="45">AG34</f>
        <v>0</v>
      </c>
      <c r="CV34">
        <f t="shared" ref="CV34:CV45" si="46">(AH34*AV34)</f>
        <v>195.83717999999999</v>
      </c>
      <c r="CW34">
        <f t="shared" ref="CW34:CW45" si="47">AI34</f>
        <v>0</v>
      </c>
      <c r="CX34">
        <f t="shared" ref="CX34:CX45" si="48">AJ34</f>
        <v>0</v>
      </c>
      <c r="CY34">
        <f t="shared" ref="CY34:CY45" si="49">S34*(BZ34/100)</f>
        <v>10388.169</v>
      </c>
      <c r="CZ34">
        <f t="shared" ref="CZ34:CZ45" si="50">S34*(CA34/100)</f>
        <v>4732.3880999999992</v>
      </c>
      <c r="DC34" t="s">
        <v>5</v>
      </c>
      <c r="DD34" t="s">
        <v>5</v>
      </c>
      <c r="DE34" t="s">
        <v>30</v>
      </c>
      <c r="DF34" t="s">
        <v>30</v>
      </c>
      <c r="DG34" t="s">
        <v>30</v>
      </c>
      <c r="DH34" t="s">
        <v>5</v>
      </c>
      <c r="DI34" t="s">
        <v>30</v>
      </c>
      <c r="DJ34" t="s">
        <v>30</v>
      </c>
      <c r="DK34" t="s">
        <v>5</v>
      </c>
      <c r="DL34" t="s">
        <v>5</v>
      </c>
      <c r="DM34" t="s">
        <v>5</v>
      </c>
      <c r="DN34">
        <v>112</v>
      </c>
      <c r="DO34">
        <v>70</v>
      </c>
      <c r="DP34">
        <v>1.0669999999999999</v>
      </c>
      <c r="DQ34">
        <v>1.081</v>
      </c>
      <c r="DU34">
        <v>1013</v>
      </c>
      <c r="DV34" t="s">
        <v>56</v>
      </c>
      <c r="DW34" t="s">
        <v>56</v>
      </c>
      <c r="DX34">
        <v>1</v>
      </c>
      <c r="EE34">
        <v>44064061</v>
      </c>
      <c r="EF34">
        <v>30</v>
      </c>
      <c r="EG34" t="s">
        <v>31</v>
      </c>
      <c r="EH34">
        <v>0</v>
      </c>
      <c r="EI34" t="s">
        <v>5</v>
      </c>
      <c r="EJ34">
        <v>1</v>
      </c>
      <c r="EK34">
        <v>242</v>
      </c>
      <c r="EL34" t="s">
        <v>58</v>
      </c>
      <c r="EM34" t="s">
        <v>59</v>
      </c>
      <c r="EO34" t="s">
        <v>5</v>
      </c>
      <c r="EQ34">
        <v>131072</v>
      </c>
      <c r="ER34">
        <v>1531.32</v>
      </c>
      <c r="ES34">
        <v>44.38</v>
      </c>
      <c r="ET34">
        <v>0</v>
      </c>
      <c r="EU34">
        <v>0</v>
      </c>
      <c r="EV34">
        <v>1486.94</v>
      </c>
      <c r="EW34">
        <v>133</v>
      </c>
      <c r="EX34">
        <v>0</v>
      </c>
      <c r="EY34">
        <v>0</v>
      </c>
      <c r="FQ34">
        <v>0</v>
      </c>
      <c r="FR34">
        <f t="shared" ref="FR34:FR45" si="51">ROUND(IF(AND(BH34=3,BI34=3),P34,0),2)</f>
        <v>0</v>
      </c>
      <c r="FS34">
        <v>0</v>
      </c>
      <c r="FX34">
        <v>112</v>
      </c>
      <c r="FY34">
        <v>70</v>
      </c>
      <c r="GA34" t="s">
        <v>5</v>
      </c>
      <c r="GD34">
        <v>0</v>
      </c>
      <c r="GF34">
        <v>-1576545789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ref="GL34:GL45" si="52">ROUND(IF(AND(BH34=3,BI34=3,FS34&lt;&gt;0),P34,0),2)</f>
        <v>0</v>
      </c>
      <c r="GM34">
        <f t="shared" ref="GM34:GM45" si="53">ROUND(O34+X34+Y34+GK34,2)+GX34</f>
        <v>26726.22</v>
      </c>
      <c r="GN34">
        <f t="shared" ref="GN34:GN45" si="54">IF(OR(BI34=0,BI34=1),ROUND(O34+X34+Y34+GK34,2),0)</f>
        <v>26726.22</v>
      </c>
      <c r="GO34">
        <f t="shared" ref="GO34:GO45" si="55">IF(BI34=2,ROUND(O34+X34+Y34+GK34,2),0)</f>
        <v>0</v>
      </c>
      <c r="GP34">
        <f t="shared" ref="GP34:GP45" si="56">IF(BI34=4,ROUND(O34+X34+Y34+GK34,2)+GX34,0)</f>
        <v>0</v>
      </c>
      <c r="GR34">
        <v>0</v>
      </c>
      <c r="GS34">
        <v>0</v>
      </c>
      <c r="GT34">
        <v>0</v>
      </c>
      <c r="GU34" t="s">
        <v>5</v>
      </c>
      <c r="GV34">
        <f t="shared" ref="GV34:GV45" si="57">ROUND((GT34),6)</f>
        <v>0</v>
      </c>
      <c r="GW34">
        <v>1</v>
      </c>
      <c r="GX34">
        <f t="shared" ref="GX34:GX45" si="58">ROUND(HC34*I34,2)</f>
        <v>0</v>
      </c>
      <c r="HA34">
        <v>0</v>
      </c>
      <c r="HB34">
        <v>0</v>
      </c>
      <c r="HC34">
        <f t="shared" ref="HC34:HC45" si="59">GV34*GW34</f>
        <v>0</v>
      </c>
      <c r="IK34">
        <v>0</v>
      </c>
    </row>
    <row r="35" spans="1:245" x14ac:dyDescent="0.2">
      <c r="A35">
        <v>17</v>
      </c>
      <c r="B35">
        <v>1</v>
      </c>
      <c r="E35" t="s">
        <v>60</v>
      </c>
      <c r="F35" t="s">
        <v>61</v>
      </c>
      <c r="G35" t="s">
        <v>62</v>
      </c>
      <c r="H35" t="s">
        <v>63</v>
      </c>
      <c r="I35">
        <v>246</v>
      </c>
      <c r="J35">
        <v>0</v>
      </c>
      <c r="O35">
        <f t="shared" si="25"/>
        <v>518302.22</v>
      </c>
      <c r="P35">
        <f t="shared" si="26"/>
        <v>518302.22</v>
      </c>
      <c r="Q35">
        <f>(ROUND((ROUND((((ET35*1.2*1.15))*AV35*I35),2)*BB35),2)+ROUND((ROUND(((AE35-((EU35*1.2*1.15)))*AV35*I35),2)*BS35),2))</f>
        <v>0</v>
      </c>
      <c r="R35">
        <f t="shared" si="27"/>
        <v>0</v>
      </c>
      <c r="S35">
        <f t="shared" si="28"/>
        <v>0</v>
      </c>
      <c r="T35">
        <f t="shared" si="29"/>
        <v>0</v>
      </c>
      <c r="U35">
        <f t="shared" si="30"/>
        <v>0</v>
      </c>
      <c r="V35">
        <f t="shared" si="31"/>
        <v>0</v>
      </c>
      <c r="W35">
        <f t="shared" si="32"/>
        <v>0</v>
      </c>
      <c r="X35">
        <f t="shared" si="33"/>
        <v>0</v>
      </c>
      <c r="Y35">
        <f t="shared" si="34"/>
        <v>0</v>
      </c>
      <c r="AA35">
        <v>44175501</v>
      </c>
      <c r="AB35">
        <f t="shared" si="35"/>
        <v>707.02</v>
      </c>
      <c r="AC35">
        <f t="shared" si="36"/>
        <v>707.02</v>
      </c>
      <c r="AD35">
        <f>ROUND(((((ET35*1.2*1.15))-((EU35*1.2*1.15)))+AE35),6)</f>
        <v>0</v>
      </c>
      <c r="AE35">
        <f t="shared" si="37"/>
        <v>0</v>
      </c>
      <c r="AF35">
        <f t="shared" si="37"/>
        <v>0</v>
      </c>
      <c r="AG35">
        <f t="shared" si="38"/>
        <v>0</v>
      </c>
      <c r="AH35">
        <f t="shared" si="39"/>
        <v>0</v>
      </c>
      <c r="AI35">
        <f t="shared" si="39"/>
        <v>0</v>
      </c>
      <c r="AJ35">
        <f t="shared" si="40"/>
        <v>0</v>
      </c>
      <c r="AK35">
        <v>707.02</v>
      </c>
      <c r="AL35">
        <v>707.02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2.98</v>
      </c>
      <c r="BD35" t="s">
        <v>5</v>
      </c>
      <c r="BE35" t="s">
        <v>5</v>
      </c>
      <c r="BF35" t="s">
        <v>5</v>
      </c>
      <c r="BG35" t="s">
        <v>5</v>
      </c>
      <c r="BH35">
        <v>3</v>
      </c>
      <c r="BI35">
        <v>1</v>
      </c>
      <c r="BJ35" t="s">
        <v>64</v>
      </c>
      <c r="BM35">
        <v>1617</v>
      </c>
      <c r="BN35">
        <v>0</v>
      </c>
      <c r="BO35" t="s">
        <v>61</v>
      </c>
      <c r="BP35">
        <v>1</v>
      </c>
      <c r="BQ35">
        <v>200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5</v>
      </c>
      <c r="BZ35">
        <v>0</v>
      </c>
      <c r="CA35">
        <v>0</v>
      </c>
      <c r="CE35">
        <v>30</v>
      </c>
      <c r="CF35">
        <v>0</v>
      </c>
      <c r="CG35">
        <v>0</v>
      </c>
      <c r="CM35">
        <v>0</v>
      </c>
      <c r="CN35" t="s">
        <v>5</v>
      </c>
      <c r="CO35">
        <v>0</v>
      </c>
      <c r="CP35">
        <f t="shared" si="41"/>
        <v>518302.22</v>
      </c>
      <c r="CQ35">
        <f t="shared" si="42"/>
        <v>2106.92</v>
      </c>
      <c r="CR35">
        <f>(ROUND((ROUND((((ET35*1.2*1.15))*AV35*1),2)*BB35),2)+ROUND((ROUND(((AE35-((EU35*1.2*1.15)))*AV35*1),2)*BS35),2))</f>
        <v>0</v>
      </c>
      <c r="CS35">
        <f t="shared" si="43"/>
        <v>0</v>
      </c>
      <c r="CT35">
        <f t="shared" si="44"/>
        <v>0</v>
      </c>
      <c r="CU35">
        <f t="shared" si="45"/>
        <v>0</v>
      </c>
      <c r="CV35">
        <f t="shared" si="46"/>
        <v>0</v>
      </c>
      <c r="CW35">
        <f t="shared" si="47"/>
        <v>0</v>
      </c>
      <c r="CX35">
        <f t="shared" si="48"/>
        <v>0</v>
      </c>
      <c r="CY35">
        <f t="shared" si="49"/>
        <v>0</v>
      </c>
      <c r="CZ35">
        <f t="shared" si="50"/>
        <v>0</v>
      </c>
      <c r="DC35" t="s">
        <v>5</v>
      </c>
      <c r="DD35" t="s">
        <v>5</v>
      </c>
      <c r="DE35" t="s">
        <v>30</v>
      </c>
      <c r="DF35" t="s">
        <v>30</v>
      </c>
      <c r="DG35" t="s">
        <v>30</v>
      </c>
      <c r="DH35" t="s">
        <v>5</v>
      </c>
      <c r="DI35" t="s">
        <v>30</v>
      </c>
      <c r="DJ35" t="s">
        <v>30</v>
      </c>
      <c r="DK35" t="s">
        <v>5</v>
      </c>
      <c r="DL35" t="s">
        <v>5</v>
      </c>
      <c r="DM35" t="s">
        <v>5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63</v>
      </c>
      <c r="DW35" t="s">
        <v>63</v>
      </c>
      <c r="DX35">
        <v>1</v>
      </c>
      <c r="EE35">
        <v>44065436</v>
      </c>
      <c r="EF35">
        <v>200</v>
      </c>
      <c r="EG35" t="s">
        <v>42</v>
      </c>
      <c r="EH35">
        <v>0</v>
      </c>
      <c r="EI35" t="s">
        <v>5</v>
      </c>
      <c r="EJ35">
        <v>1</v>
      </c>
      <c r="EK35">
        <v>1617</v>
      </c>
      <c r="EL35" t="s">
        <v>43</v>
      </c>
      <c r="EM35" t="s">
        <v>44</v>
      </c>
      <c r="EO35" t="s">
        <v>5</v>
      </c>
      <c r="EQ35">
        <v>131072</v>
      </c>
      <c r="ER35">
        <v>707.02</v>
      </c>
      <c r="ES35">
        <v>707.02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51"/>
        <v>0</v>
      </c>
      <c r="FS35">
        <v>0</v>
      </c>
      <c r="FX35">
        <v>0</v>
      </c>
      <c r="FY35">
        <v>0</v>
      </c>
      <c r="GA35" t="s">
        <v>5</v>
      </c>
      <c r="GD35">
        <v>0</v>
      </c>
      <c r="GF35">
        <v>-203233444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52"/>
        <v>0</v>
      </c>
      <c r="GM35">
        <f t="shared" si="53"/>
        <v>518302.22</v>
      </c>
      <c r="GN35">
        <f t="shared" si="54"/>
        <v>518302.22</v>
      </c>
      <c r="GO35">
        <f t="shared" si="55"/>
        <v>0</v>
      </c>
      <c r="GP35">
        <f t="shared" si="56"/>
        <v>0</v>
      </c>
      <c r="GR35">
        <v>0</v>
      </c>
      <c r="GS35">
        <v>0</v>
      </c>
      <c r="GT35">
        <v>0</v>
      </c>
      <c r="GU35" t="s">
        <v>5</v>
      </c>
      <c r="GV35">
        <f t="shared" si="57"/>
        <v>0</v>
      </c>
      <c r="GW35">
        <v>1</v>
      </c>
      <c r="GX35">
        <f t="shared" si="58"/>
        <v>0</v>
      </c>
      <c r="HA35">
        <v>0</v>
      </c>
      <c r="HB35">
        <v>0</v>
      </c>
      <c r="HC35">
        <f t="shared" si="59"/>
        <v>0</v>
      </c>
      <c r="IK35">
        <v>0</v>
      </c>
    </row>
    <row r="36" spans="1:245" x14ac:dyDescent="0.2">
      <c r="A36">
        <v>17</v>
      </c>
      <c r="B36">
        <v>1</v>
      </c>
      <c r="C36">
        <f>ROW(SmtRes!A14)</f>
        <v>14</v>
      </c>
      <c r="D36">
        <f>ROW(EtalonRes!A10)</f>
        <v>10</v>
      </c>
      <c r="E36" t="s">
        <v>65</v>
      </c>
      <c r="F36" t="s">
        <v>66</v>
      </c>
      <c r="G36" t="s">
        <v>67</v>
      </c>
      <c r="H36" t="s">
        <v>56</v>
      </c>
      <c r="I36">
        <v>0</v>
      </c>
      <c r="J36">
        <v>0</v>
      </c>
      <c r="O36">
        <f t="shared" si="25"/>
        <v>0</v>
      </c>
      <c r="P36">
        <f t="shared" si="26"/>
        <v>0</v>
      </c>
      <c r="Q36">
        <f>(ROUND((ROUND((((ET36*1.2*1.15))*AV36*I36),2)*BB36),2)+ROUND((ROUND(((AE36-((EU36*1.2*1.15)))*AV36*I36),2)*BS36),2))</f>
        <v>0</v>
      </c>
      <c r="R36">
        <f t="shared" si="27"/>
        <v>0</v>
      </c>
      <c r="S36">
        <f t="shared" si="28"/>
        <v>0</v>
      </c>
      <c r="T36">
        <f t="shared" si="29"/>
        <v>0</v>
      </c>
      <c r="U36">
        <f t="shared" si="30"/>
        <v>0</v>
      </c>
      <c r="V36">
        <f t="shared" si="31"/>
        <v>0</v>
      </c>
      <c r="W36">
        <f t="shared" si="32"/>
        <v>0</v>
      </c>
      <c r="X36">
        <f t="shared" si="33"/>
        <v>0</v>
      </c>
      <c r="Y36">
        <f t="shared" si="34"/>
        <v>0</v>
      </c>
      <c r="AA36">
        <v>44175501</v>
      </c>
      <c r="AB36">
        <f t="shared" si="35"/>
        <v>21775.829600000001</v>
      </c>
      <c r="AC36">
        <f t="shared" si="36"/>
        <v>19554.14</v>
      </c>
      <c r="AD36">
        <f>ROUND(((((ET36*1.2*1.15))-((EU36*1.2*1.15)))+AE36),6)</f>
        <v>0</v>
      </c>
      <c r="AE36">
        <f t="shared" si="37"/>
        <v>0</v>
      </c>
      <c r="AF36">
        <f t="shared" si="37"/>
        <v>2221.6896000000002</v>
      </c>
      <c r="AG36">
        <f t="shared" si="38"/>
        <v>0</v>
      </c>
      <c r="AH36">
        <f t="shared" si="39"/>
        <v>198.71999999999997</v>
      </c>
      <c r="AI36">
        <f t="shared" si="39"/>
        <v>0</v>
      </c>
      <c r="AJ36">
        <f t="shared" si="40"/>
        <v>0</v>
      </c>
      <c r="AK36">
        <v>21164.06</v>
      </c>
      <c r="AL36">
        <v>19554.14</v>
      </c>
      <c r="AM36">
        <v>0</v>
      </c>
      <c r="AN36">
        <v>0</v>
      </c>
      <c r="AO36">
        <v>1609.92</v>
      </c>
      <c r="AP36">
        <v>0</v>
      </c>
      <c r="AQ36">
        <v>144</v>
      </c>
      <c r="AR36">
        <v>0</v>
      </c>
      <c r="AS36">
        <v>0</v>
      </c>
      <c r="AT36">
        <v>90</v>
      </c>
      <c r="AU36">
        <v>41</v>
      </c>
      <c r="AV36">
        <v>1.0669999999999999</v>
      </c>
      <c r="AW36">
        <v>1.081</v>
      </c>
      <c r="AZ36">
        <v>1</v>
      </c>
      <c r="BA36">
        <v>21.43</v>
      </c>
      <c r="BB36">
        <v>1</v>
      </c>
      <c r="BC36">
        <v>4.3</v>
      </c>
      <c r="BD36" t="s">
        <v>5</v>
      </c>
      <c r="BE36" t="s">
        <v>5</v>
      </c>
      <c r="BF36" t="s">
        <v>5</v>
      </c>
      <c r="BG36" t="s">
        <v>5</v>
      </c>
      <c r="BH36">
        <v>0</v>
      </c>
      <c r="BI36">
        <v>1</v>
      </c>
      <c r="BJ36" t="s">
        <v>68</v>
      </c>
      <c r="BM36">
        <v>242</v>
      </c>
      <c r="BN36">
        <v>0</v>
      </c>
      <c r="BO36" t="s">
        <v>66</v>
      </c>
      <c r="BP36">
        <v>1</v>
      </c>
      <c r="BQ36">
        <v>30</v>
      </c>
      <c r="BR36">
        <v>0</v>
      </c>
      <c r="BS36">
        <v>21.43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5</v>
      </c>
      <c r="BZ36">
        <v>90</v>
      </c>
      <c r="CA36">
        <v>41</v>
      </c>
      <c r="CE36">
        <v>30</v>
      </c>
      <c r="CF36">
        <v>0</v>
      </c>
      <c r="CG36">
        <v>0</v>
      </c>
      <c r="CM36">
        <v>0</v>
      </c>
      <c r="CN36" t="s">
        <v>5</v>
      </c>
      <c r="CO36">
        <v>0</v>
      </c>
      <c r="CP36">
        <f t="shared" si="41"/>
        <v>0</v>
      </c>
      <c r="CQ36">
        <f t="shared" si="42"/>
        <v>90893.53</v>
      </c>
      <c r="CR36">
        <f>(ROUND((ROUND((((ET36*1.2*1.15))*AV36*1),2)*BB36),2)+ROUND((ROUND(((AE36-((EU36*1.2*1.15)))*AV36*1),2)*BS36),2))</f>
        <v>0</v>
      </c>
      <c r="CS36">
        <f t="shared" si="43"/>
        <v>0</v>
      </c>
      <c r="CT36">
        <f t="shared" si="44"/>
        <v>50800.67</v>
      </c>
      <c r="CU36">
        <f t="shared" si="45"/>
        <v>0</v>
      </c>
      <c r="CV36">
        <f t="shared" si="46"/>
        <v>212.03423999999995</v>
      </c>
      <c r="CW36">
        <f t="shared" si="47"/>
        <v>0</v>
      </c>
      <c r="CX36">
        <f t="shared" si="48"/>
        <v>0</v>
      </c>
      <c r="CY36">
        <f t="shared" si="49"/>
        <v>0</v>
      </c>
      <c r="CZ36">
        <f t="shared" si="50"/>
        <v>0</v>
      </c>
      <c r="DC36" t="s">
        <v>5</v>
      </c>
      <c r="DD36" t="s">
        <v>5</v>
      </c>
      <c r="DE36" t="s">
        <v>30</v>
      </c>
      <c r="DF36" t="s">
        <v>30</v>
      </c>
      <c r="DG36" t="s">
        <v>30</v>
      </c>
      <c r="DH36" t="s">
        <v>5</v>
      </c>
      <c r="DI36" t="s">
        <v>30</v>
      </c>
      <c r="DJ36" t="s">
        <v>30</v>
      </c>
      <c r="DK36" t="s">
        <v>5</v>
      </c>
      <c r="DL36" t="s">
        <v>5</v>
      </c>
      <c r="DM36" t="s">
        <v>5</v>
      </c>
      <c r="DN36">
        <v>112</v>
      </c>
      <c r="DO36">
        <v>70</v>
      </c>
      <c r="DP36">
        <v>1.0669999999999999</v>
      </c>
      <c r="DQ36">
        <v>1.081</v>
      </c>
      <c r="DU36">
        <v>1013</v>
      </c>
      <c r="DV36" t="s">
        <v>56</v>
      </c>
      <c r="DW36" t="s">
        <v>56</v>
      </c>
      <c r="DX36">
        <v>1</v>
      </c>
      <c r="EE36">
        <v>44064061</v>
      </c>
      <c r="EF36">
        <v>30</v>
      </c>
      <c r="EG36" t="s">
        <v>31</v>
      </c>
      <c r="EH36">
        <v>0</v>
      </c>
      <c r="EI36" t="s">
        <v>5</v>
      </c>
      <c r="EJ36">
        <v>1</v>
      </c>
      <c r="EK36">
        <v>242</v>
      </c>
      <c r="EL36" t="s">
        <v>58</v>
      </c>
      <c r="EM36" t="s">
        <v>59</v>
      </c>
      <c r="EO36" t="s">
        <v>5</v>
      </c>
      <c r="EQ36">
        <v>131072</v>
      </c>
      <c r="ER36">
        <v>21164.06</v>
      </c>
      <c r="ES36">
        <v>19554.14</v>
      </c>
      <c r="ET36">
        <v>0</v>
      </c>
      <c r="EU36">
        <v>0</v>
      </c>
      <c r="EV36">
        <v>1609.92</v>
      </c>
      <c r="EW36">
        <v>144</v>
      </c>
      <c r="EX36">
        <v>0</v>
      </c>
      <c r="EY36">
        <v>0</v>
      </c>
      <c r="FQ36">
        <v>0</v>
      </c>
      <c r="FR36">
        <f t="shared" si="51"/>
        <v>0</v>
      </c>
      <c r="FS36">
        <v>0</v>
      </c>
      <c r="FX36">
        <v>112</v>
      </c>
      <c r="FY36">
        <v>70</v>
      </c>
      <c r="GA36" t="s">
        <v>5</v>
      </c>
      <c r="GD36">
        <v>0</v>
      </c>
      <c r="GF36">
        <v>-611948549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52"/>
        <v>0</v>
      </c>
      <c r="GM36">
        <f t="shared" si="53"/>
        <v>0</v>
      </c>
      <c r="GN36">
        <f t="shared" si="54"/>
        <v>0</v>
      </c>
      <c r="GO36">
        <f t="shared" si="55"/>
        <v>0</v>
      </c>
      <c r="GP36">
        <f t="shared" si="56"/>
        <v>0</v>
      </c>
      <c r="GR36">
        <v>0</v>
      </c>
      <c r="GS36">
        <v>0</v>
      </c>
      <c r="GT36">
        <v>0</v>
      </c>
      <c r="GU36" t="s">
        <v>5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IK36">
        <v>0</v>
      </c>
    </row>
    <row r="37" spans="1:245" x14ac:dyDescent="0.2">
      <c r="A37">
        <v>18</v>
      </c>
      <c r="B37">
        <v>1</v>
      </c>
      <c r="C37">
        <v>11</v>
      </c>
      <c r="E37" t="s">
        <v>69</v>
      </c>
      <c r="F37" t="s">
        <v>70</v>
      </c>
      <c r="G37" t="s">
        <v>71</v>
      </c>
      <c r="H37" t="s">
        <v>63</v>
      </c>
      <c r="I37">
        <f>I36*J37</f>
        <v>0</v>
      </c>
      <c r="J37">
        <v>-990</v>
      </c>
      <c r="O37">
        <f t="shared" si="25"/>
        <v>0</v>
      </c>
      <c r="P37">
        <f t="shared" si="26"/>
        <v>0</v>
      </c>
      <c r="Q37">
        <f>(ROUND((ROUND(((ET37)*AV37*I37),2)*BB37),2)+ROUND((ROUND(((AE37-(EU37))*AV37*I37),2)*BS37),2))</f>
        <v>0</v>
      </c>
      <c r="R37">
        <f t="shared" si="27"/>
        <v>0</v>
      </c>
      <c r="S37">
        <f t="shared" si="28"/>
        <v>0</v>
      </c>
      <c r="T37">
        <f t="shared" si="29"/>
        <v>0</v>
      </c>
      <c r="U37">
        <f t="shared" si="30"/>
        <v>0</v>
      </c>
      <c r="V37">
        <f t="shared" si="31"/>
        <v>0</v>
      </c>
      <c r="W37">
        <f t="shared" si="32"/>
        <v>0</v>
      </c>
      <c r="X37">
        <f t="shared" si="33"/>
        <v>0</v>
      </c>
      <c r="Y37">
        <f t="shared" si="34"/>
        <v>0</v>
      </c>
      <c r="AA37">
        <v>44175501</v>
      </c>
      <c r="AB37">
        <f t="shared" si="35"/>
        <v>15.01</v>
      </c>
      <c r="AC37">
        <f t="shared" si="36"/>
        <v>15.01</v>
      </c>
      <c r="AD37">
        <f>ROUND((((ET37)-(EU37))+AE37),6)</f>
        <v>0</v>
      </c>
      <c r="AE37">
        <f>ROUND((EU37),6)</f>
        <v>0</v>
      </c>
      <c r="AF37">
        <f>ROUND((EV37),6)</f>
        <v>0</v>
      </c>
      <c r="AG37">
        <f t="shared" si="38"/>
        <v>0</v>
      </c>
      <c r="AH37">
        <f>(EW37)</f>
        <v>0</v>
      </c>
      <c r="AI37">
        <f>(EX37)</f>
        <v>0</v>
      </c>
      <c r="AJ37">
        <f t="shared" si="40"/>
        <v>0</v>
      </c>
      <c r="AK37">
        <v>15.01</v>
      </c>
      <c r="AL37">
        <v>15.01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1.081</v>
      </c>
      <c r="AZ37">
        <v>1</v>
      </c>
      <c r="BA37">
        <v>1</v>
      </c>
      <c r="BB37">
        <v>1</v>
      </c>
      <c r="BC37">
        <v>5.26</v>
      </c>
      <c r="BD37" t="s">
        <v>5</v>
      </c>
      <c r="BE37" t="s">
        <v>5</v>
      </c>
      <c r="BF37" t="s">
        <v>5</v>
      </c>
      <c r="BG37" t="s">
        <v>5</v>
      </c>
      <c r="BH37">
        <v>3</v>
      </c>
      <c r="BI37">
        <v>1</v>
      </c>
      <c r="BJ37" t="s">
        <v>72</v>
      </c>
      <c r="BM37">
        <v>242</v>
      </c>
      <c r="BN37">
        <v>0</v>
      </c>
      <c r="BO37" t="s">
        <v>70</v>
      </c>
      <c r="BP37">
        <v>1</v>
      </c>
      <c r="BQ37">
        <v>30</v>
      </c>
      <c r="BR37">
        <v>1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5</v>
      </c>
      <c r="BZ37">
        <v>0</v>
      </c>
      <c r="CA37">
        <v>0</v>
      </c>
      <c r="CE37">
        <v>30</v>
      </c>
      <c r="CF37">
        <v>0</v>
      </c>
      <c r="CG37">
        <v>0</v>
      </c>
      <c r="CM37">
        <v>0</v>
      </c>
      <c r="CN37" t="s">
        <v>5</v>
      </c>
      <c r="CO37">
        <v>0</v>
      </c>
      <c r="CP37">
        <f t="shared" si="41"/>
        <v>0</v>
      </c>
      <c r="CQ37">
        <f t="shared" si="42"/>
        <v>85.37</v>
      </c>
      <c r="CR37">
        <f>(ROUND((ROUND(((ET37)*AV37*1),2)*BB37),2)+ROUND((ROUND(((AE37-(EU37))*AV37*1),2)*BS37),2))</f>
        <v>0</v>
      </c>
      <c r="CS37">
        <f t="shared" si="43"/>
        <v>0</v>
      </c>
      <c r="CT37">
        <f t="shared" si="44"/>
        <v>0</v>
      </c>
      <c r="CU37">
        <f t="shared" si="45"/>
        <v>0</v>
      </c>
      <c r="CV37">
        <f t="shared" si="46"/>
        <v>0</v>
      </c>
      <c r="CW37">
        <f t="shared" si="47"/>
        <v>0</v>
      </c>
      <c r="CX37">
        <f t="shared" si="48"/>
        <v>0</v>
      </c>
      <c r="CY37">
        <f t="shared" si="49"/>
        <v>0</v>
      </c>
      <c r="CZ37">
        <f t="shared" si="50"/>
        <v>0</v>
      </c>
      <c r="DC37" t="s">
        <v>5</v>
      </c>
      <c r="DD37" t="s">
        <v>5</v>
      </c>
      <c r="DE37" t="s">
        <v>5</v>
      </c>
      <c r="DF37" t="s">
        <v>5</v>
      </c>
      <c r="DG37" t="s">
        <v>5</v>
      </c>
      <c r="DH37" t="s">
        <v>5</v>
      </c>
      <c r="DI37" t="s">
        <v>5</v>
      </c>
      <c r="DJ37" t="s">
        <v>5</v>
      </c>
      <c r="DK37" t="s">
        <v>5</v>
      </c>
      <c r="DL37" t="s">
        <v>5</v>
      </c>
      <c r="DM37" t="s">
        <v>5</v>
      </c>
      <c r="DN37">
        <v>112</v>
      </c>
      <c r="DO37">
        <v>70</v>
      </c>
      <c r="DP37">
        <v>1.0669999999999999</v>
      </c>
      <c r="DQ37">
        <v>1.081</v>
      </c>
      <c r="DU37">
        <v>1003</v>
      </c>
      <c r="DV37" t="s">
        <v>63</v>
      </c>
      <c r="DW37" t="s">
        <v>63</v>
      </c>
      <c r="DX37">
        <v>1</v>
      </c>
      <c r="EE37">
        <v>44064061</v>
      </c>
      <c r="EF37">
        <v>30</v>
      </c>
      <c r="EG37" t="s">
        <v>31</v>
      </c>
      <c r="EH37">
        <v>0</v>
      </c>
      <c r="EI37" t="s">
        <v>5</v>
      </c>
      <c r="EJ37">
        <v>1</v>
      </c>
      <c r="EK37">
        <v>242</v>
      </c>
      <c r="EL37" t="s">
        <v>58</v>
      </c>
      <c r="EM37" t="s">
        <v>59</v>
      </c>
      <c r="EO37" t="s">
        <v>5</v>
      </c>
      <c r="EQ37">
        <v>0</v>
      </c>
      <c r="ER37">
        <v>15.01</v>
      </c>
      <c r="ES37">
        <v>15.01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51"/>
        <v>0</v>
      </c>
      <c r="FS37">
        <v>0</v>
      </c>
      <c r="FX37">
        <v>112</v>
      </c>
      <c r="FY37">
        <v>70</v>
      </c>
      <c r="GA37" t="s">
        <v>5</v>
      </c>
      <c r="GD37">
        <v>0</v>
      </c>
      <c r="GF37">
        <v>-828904142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52"/>
        <v>0</v>
      </c>
      <c r="GM37">
        <f t="shared" si="53"/>
        <v>0</v>
      </c>
      <c r="GN37">
        <f t="shared" si="54"/>
        <v>0</v>
      </c>
      <c r="GO37">
        <f t="shared" si="55"/>
        <v>0</v>
      </c>
      <c r="GP37">
        <f t="shared" si="56"/>
        <v>0</v>
      </c>
      <c r="GR37">
        <v>0</v>
      </c>
      <c r="GS37">
        <v>0</v>
      </c>
      <c r="GT37">
        <v>0</v>
      </c>
      <c r="GU37" t="s">
        <v>5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IK37">
        <v>0</v>
      </c>
    </row>
    <row r="38" spans="1:245" x14ac:dyDescent="0.2">
      <c r="A38">
        <v>18</v>
      </c>
      <c r="B38">
        <v>1</v>
      </c>
      <c r="C38">
        <v>12</v>
      </c>
      <c r="E38" t="s">
        <v>73</v>
      </c>
      <c r="F38" t="s">
        <v>74</v>
      </c>
      <c r="G38" t="s">
        <v>75</v>
      </c>
      <c r="H38" t="s">
        <v>63</v>
      </c>
      <c r="I38">
        <f>I36*J38</f>
        <v>0</v>
      </c>
      <c r="J38">
        <v>990</v>
      </c>
      <c r="O38">
        <f t="shared" si="25"/>
        <v>0</v>
      </c>
      <c r="P38">
        <f t="shared" si="26"/>
        <v>0</v>
      </c>
      <c r="Q38">
        <f>(ROUND((ROUND(((ET38)*AV38*I38),2)*BB38),2)+ROUND((ROUND(((AE38-(EU38))*AV38*I38),2)*BS38),2))</f>
        <v>0</v>
      </c>
      <c r="R38">
        <f t="shared" si="27"/>
        <v>0</v>
      </c>
      <c r="S38">
        <f t="shared" si="28"/>
        <v>0</v>
      </c>
      <c r="T38">
        <f t="shared" si="29"/>
        <v>0</v>
      </c>
      <c r="U38">
        <f t="shared" si="30"/>
        <v>0</v>
      </c>
      <c r="V38">
        <f t="shared" si="31"/>
        <v>0</v>
      </c>
      <c r="W38">
        <f t="shared" si="32"/>
        <v>0</v>
      </c>
      <c r="X38">
        <f t="shared" si="33"/>
        <v>0</v>
      </c>
      <c r="Y38">
        <f t="shared" si="34"/>
        <v>0</v>
      </c>
      <c r="AA38">
        <v>44175501</v>
      </c>
      <c r="AB38">
        <f t="shared" si="35"/>
        <v>24.4</v>
      </c>
      <c r="AC38">
        <f t="shared" si="36"/>
        <v>24.4</v>
      </c>
      <c r="AD38">
        <f>ROUND((((ET38)-(EU38))+AE38),6)</f>
        <v>0</v>
      </c>
      <c r="AE38">
        <f>ROUND((EU38),6)</f>
        <v>0</v>
      </c>
      <c r="AF38">
        <f>ROUND((EV38),6)</f>
        <v>0</v>
      </c>
      <c r="AG38">
        <f t="shared" si="38"/>
        <v>0</v>
      </c>
      <c r="AH38">
        <f>(EW38)</f>
        <v>0</v>
      </c>
      <c r="AI38">
        <f>(EX38)</f>
        <v>0</v>
      </c>
      <c r="AJ38">
        <f t="shared" si="40"/>
        <v>0</v>
      </c>
      <c r="AK38">
        <v>24.4</v>
      </c>
      <c r="AL38">
        <v>24.4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1.081</v>
      </c>
      <c r="AZ38">
        <v>1</v>
      </c>
      <c r="BA38">
        <v>1</v>
      </c>
      <c r="BB38">
        <v>1</v>
      </c>
      <c r="BC38">
        <v>5.19</v>
      </c>
      <c r="BD38" t="s">
        <v>5</v>
      </c>
      <c r="BE38" t="s">
        <v>5</v>
      </c>
      <c r="BF38" t="s">
        <v>5</v>
      </c>
      <c r="BG38" t="s">
        <v>5</v>
      </c>
      <c r="BH38">
        <v>3</v>
      </c>
      <c r="BI38">
        <v>1</v>
      </c>
      <c r="BJ38" t="s">
        <v>76</v>
      </c>
      <c r="BM38">
        <v>242</v>
      </c>
      <c r="BN38">
        <v>0</v>
      </c>
      <c r="BO38" t="s">
        <v>74</v>
      </c>
      <c r="BP38">
        <v>1</v>
      </c>
      <c r="BQ38">
        <v>30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5</v>
      </c>
      <c r="BZ38">
        <v>0</v>
      </c>
      <c r="CA38">
        <v>0</v>
      </c>
      <c r="CE38">
        <v>30</v>
      </c>
      <c r="CF38">
        <v>0</v>
      </c>
      <c r="CG38">
        <v>0</v>
      </c>
      <c r="CM38">
        <v>0</v>
      </c>
      <c r="CN38" t="s">
        <v>5</v>
      </c>
      <c r="CO38">
        <v>0</v>
      </c>
      <c r="CP38">
        <f t="shared" si="41"/>
        <v>0</v>
      </c>
      <c r="CQ38">
        <f t="shared" si="42"/>
        <v>136.91</v>
      </c>
      <c r="CR38">
        <f>(ROUND((ROUND(((ET38)*AV38*1),2)*BB38),2)+ROUND((ROUND(((AE38-(EU38))*AV38*1),2)*BS38),2))</f>
        <v>0</v>
      </c>
      <c r="CS38">
        <f t="shared" si="43"/>
        <v>0</v>
      </c>
      <c r="CT38">
        <f t="shared" si="44"/>
        <v>0</v>
      </c>
      <c r="CU38">
        <f t="shared" si="45"/>
        <v>0</v>
      </c>
      <c r="CV38">
        <f t="shared" si="46"/>
        <v>0</v>
      </c>
      <c r="CW38">
        <f t="shared" si="47"/>
        <v>0</v>
      </c>
      <c r="CX38">
        <f t="shared" si="48"/>
        <v>0</v>
      </c>
      <c r="CY38">
        <f t="shared" si="49"/>
        <v>0</v>
      </c>
      <c r="CZ38">
        <f t="shared" si="50"/>
        <v>0</v>
      </c>
      <c r="DC38" t="s">
        <v>5</v>
      </c>
      <c r="DD38" t="s">
        <v>5</v>
      </c>
      <c r="DE38" t="s">
        <v>5</v>
      </c>
      <c r="DF38" t="s">
        <v>5</v>
      </c>
      <c r="DG38" t="s">
        <v>5</v>
      </c>
      <c r="DH38" t="s">
        <v>5</v>
      </c>
      <c r="DI38" t="s">
        <v>5</v>
      </c>
      <c r="DJ38" t="s">
        <v>5</v>
      </c>
      <c r="DK38" t="s">
        <v>5</v>
      </c>
      <c r="DL38" t="s">
        <v>5</v>
      </c>
      <c r="DM38" t="s">
        <v>5</v>
      </c>
      <c r="DN38">
        <v>112</v>
      </c>
      <c r="DO38">
        <v>70</v>
      </c>
      <c r="DP38">
        <v>1.0669999999999999</v>
      </c>
      <c r="DQ38">
        <v>1.081</v>
      </c>
      <c r="DU38">
        <v>1003</v>
      </c>
      <c r="DV38" t="s">
        <v>63</v>
      </c>
      <c r="DW38" t="s">
        <v>63</v>
      </c>
      <c r="DX38">
        <v>1</v>
      </c>
      <c r="EE38">
        <v>44064061</v>
      </c>
      <c r="EF38">
        <v>30</v>
      </c>
      <c r="EG38" t="s">
        <v>31</v>
      </c>
      <c r="EH38">
        <v>0</v>
      </c>
      <c r="EI38" t="s">
        <v>5</v>
      </c>
      <c r="EJ38">
        <v>1</v>
      </c>
      <c r="EK38">
        <v>242</v>
      </c>
      <c r="EL38" t="s">
        <v>58</v>
      </c>
      <c r="EM38" t="s">
        <v>59</v>
      </c>
      <c r="EO38" t="s">
        <v>5</v>
      </c>
      <c r="EQ38">
        <v>0</v>
      </c>
      <c r="ER38">
        <v>24.4</v>
      </c>
      <c r="ES38">
        <v>24.4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51"/>
        <v>0</v>
      </c>
      <c r="FS38">
        <v>0</v>
      </c>
      <c r="FX38">
        <v>112</v>
      </c>
      <c r="FY38">
        <v>70</v>
      </c>
      <c r="GA38" t="s">
        <v>5</v>
      </c>
      <c r="GD38">
        <v>0</v>
      </c>
      <c r="GF38">
        <v>-1397492615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52"/>
        <v>0</v>
      </c>
      <c r="GM38">
        <f t="shared" si="53"/>
        <v>0</v>
      </c>
      <c r="GN38">
        <f t="shared" si="54"/>
        <v>0</v>
      </c>
      <c r="GO38">
        <f t="shared" si="55"/>
        <v>0</v>
      </c>
      <c r="GP38">
        <f t="shared" si="56"/>
        <v>0</v>
      </c>
      <c r="GR38">
        <v>0</v>
      </c>
      <c r="GS38">
        <v>0</v>
      </c>
      <c r="GT38">
        <v>0</v>
      </c>
      <c r="GU38" t="s">
        <v>5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IK38">
        <v>0</v>
      </c>
    </row>
    <row r="39" spans="1:245" x14ac:dyDescent="0.2">
      <c r="A39">
        <v>17</v>
      </c>
      <c r="B39">
        <v>1</v>
      </c>
      <c r="E39" t="s">
        <v>77</v>
      </c>
      <c r="F39" t="s">
        <v>78</v>
      </c>
      <c r="G39" t="s">
        <v>79</v>
      </c>
      <c r="H39" t="s">
        <v>80</v>
      </c>
      <c r="I39">
        <v>24</v>
      </c>
      <c r="J39">
        <v>0</v>
      </c>
      <c r="O39">
        <f t="shared" si="25"/>
        <v>841.46</v>
      </c>
      <c r="P39">
        <f t="shared" si="26"/>
        <v>841.46</v>
      </c>
      <c r="Q39">
        <f>(ROUND((ROUND((((ET39*1.2*1.15))*AV39*I39),2)*BB39),2)+ROUND((ROUND(((AE39-((EU39*1.2*1.15)))*AV39*I39),2)*BS39),2))</f>
        <v>0</v>
      </c>
      <c r="R39">
        <f t="shared" si="27"/>
        <v>0</v>
      </c>
      <c r="S39">
        <f t="shared" si="28"/>
        <v>0</v>
      </c>
      <c r="T39">
        <f t="shared" si="29"/>
        <v>0</v>
      </c>
      <c r="U39">
        <f t="shared" si="30"/>
        <v>0</v>
      </c>
      <c r="V39">
        <f t="shared" si="31"/>
        <v>0</v>
      </c>
      <c r="W39">
        <f t="shared" si="32"/>
        <v>0</v>
      </c>
      <c r="X39">
        <f t="shared" si="33"/>
        <v>0</v>
      </c>
      <c r="Y39">
        <f t="shared" si="34"/>
        <v>0</v>
      </c>
      <c r="AA39">
        <v>44175501</v>
      </c>
      <c r="AB39">
        <f t="shared" si="35"/>
        <v>3.9</v>
      </c>
      <c r="AC39">
        <f t="shared" si="36"/>
        <v>3.9</v>
      </c>
      <c r="AD39">
        <f>ROUND(((((ET39*1.2*1.15))-((EU39*1.2*1.15)))+AE39),6)</f>
        <v>0</v>
      </c>
      <c r="AE39">
        <f t="shared" ref="AE39:AF41" si="60">ROUND(((EU39*1.2*1.15)),6)</f>
        <v>0</v>
      </c>
      <c r="AF39">
        <f t="shared" si="60"/>
        <v>0</v>
      </c>
      <c r="AG39">
        <f t="shared" si="38"/>
        <v>0</v>
      </c>
      <c r="AH39">
        <f t="shared" ref="AH39:AI41" si="61">((EW39*1.2*1.15))</f>
        <v>0</v>
      </c>
      <c r="AI39">
        <f t="shared" si="61"/>
        <v>0</v>
      </c>
      <c r="AJ39">
        <f t="shared" si="40"/>
        <v>0</v>
      </c>
      <c r="AK39">
        <v>3.9</v>
      </c>
      <c r="AL39">
        <v>3.9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8.99</v>
      </c>
      <c r="BD39" t="s">
        <v>5</v>
      </c>
      <c r="BE39" t="s">
        <v>5</v>
      </c>
      <c r="BF39" t="s">
        <v>5</v>
      </c>
      <c r="BG39" t="s">
        <v>5</v>
      </c>
      <c r="BH39">
        <v>3</v>
      </c>
      <c r="BI39">
        <v>1</v>
      </c>
      <c r="BJ39" t="s">
        <v>81</v>
      </c>
      <c r="BM39">
        <v>1617</v>
      </c>
      <c r="BN39">
        <v>0</v>
      </c>
      <c r="BO39" t="s">
        <v>78</v>
      </c>
      <c r="BP39">
        <v>1</v>
      </c>
      <c r="BQ39">
        <v>200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5</v>
      </c>
      <c r="BZ39">
        <v>0</v>
      </c>
      <c r="CA39">
        <v>0</v>
      </c>
      <c r="CE39">
        <v>30</v>
      </c>
      <c r="CF39">
        <v>0</v>
      </c>
      <c r="CG39">
        <v>0</v>
      </c>
      <c r="CM39">
        <v>0</v>
      </c>
      <c r="CN39" t="s">
        <v>5</v>
      </c>
      <c r="CO39">
        <v>0</v>
      </c>
      <c r="CP39">
        <f t="shared" si="41"/>
        <v>841.46</v>
      </c>
      <c r="CQ39">
        <f t="shared" si="42"/>
        <v>35.06</v>
      </c>
      <c r="CR39">
        <f>(ROUND((ROUND((((ET39*1.2*1.15))*AV39*1),2)*BB39),2)+ROUND((ROUND(((AE39-((EU39*1.2*1.15)))*AV39*1),2)*BS39),2))</f>
        <v>0</v>
      </c>
      <c r="CS39">
        <f t="shared" si="43"/>
        <v>0</v>
      </c>
      <c r="CT39">
        <f t="shared" si="44"/>
        <v>0</v>
      </c>
      <c r="CU39">
        <f t="shared" si="45"/>
        <v>0</v>
      </c>
      <c r="CV39">
        <f t="shared" si="46"/>
        <v>0</v>
      </c>
      <c r="CW39">
        <f t="shared" si="47"/>
        <v>0</v>
      </c>
      <c r="CX39">
        <f t="shared" si="48"/>
        <v>0</v>
      </c>
      <c r="CY39">
        <f t="shared" si="49"/>
        <v>0</v>
      </c>
      <c r="CZ39">
        <f t="shared" si="50"/>
        <v>0</v>
      </c>
      <c r="DC39" t="s">
        <v>5</v>
      </c>
      <c r="DD39" t="s">
        <v>5</v>
      </c>
      <c r="DE39" t="s">
        <v>30</v>
      </c>
      <c r="DF39" t="s">
        <v>30</v>
      </c>
      <c r="DG39" t="s">
        <v>30</v>
      </c>
      <c r="DH39" t="s">
        <v>5</v>
      </c>
      <c r="DI39" t="s">
        <v>30</v>
      </c>
      <c r="DJ39" t="s">
        <v>30</v>
      </c>
      <c r="DK39" t="s">
        <v>5</v>
      </c>
      <c r="DL39" t="s">
        <v>5</v>
      </c>
      <c r="DM39" t="s">
        <v>5</v>
      </c>
      <c r="DN39">
        <v>0</v>
      </c>
      <c r="DO39">
        <v>0</v>
      </c>
      <c r="DP39">
        <v>1</v>
      </c>
      <c r="DQ39">
        <v>1</v>
      </c>
      <c r="DU39">
        <v>1010</v>
      </c>
      <c r="DV39" t="s">
        <v>80</v>
      </c>
      <c r="DW39" t="s">
        <v>80</v>
      </c>
      <c r="DX39">
        <v>1</v>
      </c>
      <c r="EE39">
        <v>44065436</v>
      </c>
      <c r="EF39">
        <v>200</v>
      </c>
      <c r="EG39" t="s">
        <v>42</v>
      </c>
      <c r="EH39">
        <v>0</v>
      </c>
      <c r="EI39" t="s">
        <v>5</v>
      </c>
      <c r="EJ39">
        <v>1</v>
      </c>
      <c r="EK39">
        <v>1617</v>
      </c>
      <c r="EL39" t="s">
        <v>43</v>
      </c>
      <c r="EM39" t="s">
        <v>44</v>
      </c>
      <c r="EO39" t="s">
        <v>5</v>
      </c>
      <c r="EQ39">
        <v>131072</v>
      </c>
      <c r="ER39">
        <v>3.9</v>
      </c>
      <c r="ES39">
        <v>3.9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51"/>
        <v>0</v>
      </c>
      <c r="FS39">
        <v>0</v>
      </c>
      <c r="FX39">
        <v>0</v>
      </c>
      <c r="FY39">
        <v>0</v>
      </c>
      <c r="GA39" t="s">
        <v>5</v>
      </c>
      <c r="GD39">
        <v>0</v>
      </c>
      <c r="GF39">
        <v>-814796435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52"/>
        <v>0</v>
      </c>
      <c r="GM39">
        <f t="shared" si="53"/>
        <v>841.46</v>
      </c>
      <c r="GN39">
        <f t="shared" si="54"/>
        <v>841.46</v>
      </c>
      <c r="GO39">
        <f t="shared" si="55"/>
        <v>0</v>
      </c>
      <c r="GP39">
        <f t="shared" si="56"/>
        <v>0</v>
      </c>
      <c r="GR39">
        <v>0</v>
      </c>
      <c r="GS39">
        <v>0</v>
      </c>
      <c r="GT39">
        <v>0</v>
      </c>
      <c r="GU39" t="s">
        <v>5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IK39">
        <v>0</v>
      </c>
    </row>
    <row r="40" spans="1:245" x14ac:dyDescent="0.2">
      <c r="A40">
        <v>17</v>
      </c>
      <c r="B40">
        <v>1</v>
      </c>
      <c r="E40" t="s">
        <v>82</v>
      </c>
      <c r="F40" t="s">
        <v>38</v>
      </c>
      <c r="G40" t="s">
        <v>39</v>
      </c>
      <c r="H40" t="s">
        <v>40</v>
      </c>
      <c r="I40">
        <f>ROUND(13.12*1.1,9)</f>
        <v>14.432</v>
      </c>
      <c r="J40">
        <v>0</v>
      </c>
      <c r="O40">
        <f t="shared" si="25"/>
        <v>7954.91</v>
      </c>
      <c r="P40">
        <f t="shared" si="26"/>
        <v>7954.91</v>
      </c>
      <c r="Q40">
        <f>(ROUND((ROUND((((ET40*1.2*1.15))*AV40*I40),2)*BB40),2)+ROUND((ROUND(((AE40-((EU40*1.2*1.15)))*AV40*I40),2)*BS40),2))</f>
        <v>0</v>
      </c>
      <c r="R40">
        <f t="shared" si="27"/>
        <v>0</v>
      </c>
      <c r="S40">
        <f t="shared" si="28"/>
        <v>0</v>
      </c>
      <c r="T40">
        <f t="shared" si="29"/>
        <v>0</v>
      </c>
      <c r="U40">
        <f t="shared" si="30"/>
        <v>0</v>
      </c>
      <c r="V40">
        <f t="shared" si="31"/>
        <v>0</v>
      </c>
      <c r="W40">
        <f t="shared" si="32"/>
        <v>0</v>
      </c>
      <c r="X40">
        <f t="shared" si="33"/>
        <v>0</v>
      </c>
      <c r="Y40">
        <f t="shared" si="34"/>
        <v>0</v>
      </c>
      <c r="AA40">
        <v>44175501</v>
      </c>
      <c r="AB40">
        <f t="shared" si="35"/>
        <v>104.99</v>
      </c>
      <c r="AC40">
        <f t="shared" si="36"/>
        <v>104.99</v>
      </c>
      <c r="AD40">
        <f>ROUND(((((ET40*1.2*1.15))-((EU40*1.2*1.15)))+AE40),6)</f>
        <v>0</v>
      </c>
      <c r="AE40">
        <f t="shared" si="60"/>
        <v>0</v>
      </c>
      <c r="AF40">
        <f t="shared" si="60"/>
        <v>0</v>
      </c>
      <c r="AG40">
        <f t="shared" si="38"/>
        <v>0</v>
      </c>
      <c r="AH40">
        <f t="shared" si="61"/>
        <v>0</v>
      </c>
      <c r="AI40">
        <f t="shared" si="61"/>
        <v>0</v>
      </c>
      <c r="AJ40">
        <f t="shared" si="40"/>
        <v>0</v>
      </c>
      <c r="AK40">
        <v>104.99</v>
      </c>
      <c r="AL40">
        <v>104.99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5.25</v>
      </c>
      <c r="BD40" t="s">
        <v>5</v>
      </c>
      <c r="BE40" t="s">
        <v>5</v>
      </c>
      <c r="BF40" t="s">
        <v>5</v>
      </c>
      <c r="BG40" t="s">
        <v>5</v>
      </c>
      <c r="BH40">
        <v>3</v>
      </c>
      <c r="BI40">
        <v>1</v>
      </c>
      <c r="BJ40" t="s">
        <v>41</v>
      </c>
      <c r="BM40">
        <v>1617</v>
      </c>
      <c r="BN40">
        <v>0</v>
      </c>
      <c r="BO40" t="s">
        <v>38</v>
      </c>
      <c r="BP40">
        <v>1</v>
      </c>
      <c r="BQ40">
        <v>200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5</v>
      </c>
      <c r="BZ40">
        <v>0</v>
      </c>
      <c r="CA40">
        <v>0</v>
      </c>
      <c r="CE40">
        <v>30</v>
      </c>
      <c r="CF40">
        <v>0</v>
      </c>
      <c r="CG40">
        <v>0</v>
      </c>
      <c r="CM40">
        <v>0</v>
      </c>
      <c r="CN40" t="s">
        <v>5</v>
      </c>
      <c r="CO40">
        <v>0</v>
      </c>
      <c r="CP40">
        <f t="shared" si="41"/>
        <v>7954.91</v>
      </c>
      <c r="CQ40">
        <f t="shared" si="42"/>
        <v>551.20000000000005</v>
      </c>
      <c r="CR40">
        <f>(ROUND((ROUND((((ET40*1.2*1.15))*AV40*1),2)*BB40),2)+ROUND((ROUND(((AE40-((EU40*1.2*1.15)))*AV40*1),2)*BS40),2))</f>
        <v>0</v>
      </c>
      <c r="CS40">
        <f t="shared" si="43"/>
        <v>0</v>
      </c>
      <c r="CT40">
        <f t="shared" si="44"/>
        <v>0</v>
      </c>
      <c r="CU40">
        <f t="shared" si="45"/>
        <v>0</v>
      </c>
      <c r="CV40">
        <f t="shared" si="46"/>
        <v>0</v>
      </c>
      <c r="CW40">
        <f t="shared" si="47"/>
        <v>0</v>
      </c>
      <c r="CX40">
        <f t="shared" si="48"/>
        <v>0</v>
      </c>
      <c r="CY40">
        <f t="shared" si="49"/>
        <v>0</v>
      </c>
      <c r="CZ40">
        <f t="shared" si="50"/>
        <v>0</v>
      </c>
      <c r="DC40" t="s">
        <v>5</v>
      </c>
      <c r="DD40" t="s">
        <v>5</v>
      </c>
      <c r="DE40" t="s">
        <v>30</v>
      </c>
      <c r="DF40" t="s">
        <v>30</v>
      </c>
      <c r="DG40" t="s">
        <v>30</v>
      </c>
      <c r="DH40" t="s">
        <v>5</v>
      </c>
      <c r="DI40" t="s">
        <v>30</v>
      </c>
      <c r="DJ40" t="s">
        <v>30</v>
      </c>
      <c r="DK40" t="s">
        <v>5</v>
      </c>
      <c r="DL40" t="s">
        <v>5</v>
      </c>
      <c r="DM40" t="s">
        <v>5</v>
      </c>
      <c r="DN40">
        <v>0</v>
      </c>
      <c r="DO40">
        <v>0</v>
      </c>
      <c r="DP40">
        <v>1</v>
      </c>
      <c r="DQ40">
        <v>1</v>
      </c>
      <c r="DU40">
        <v>1007</v>
      </c>
      <c r="DV40" t="s">
        <v>40</v>
      </c>
      <c r="DW40" t="s">
        <v>40</v>
      </c>
      <c r="DX40">
        <v>1</v>
      </c>
      <c r="EE40">
        <v>44065436</v>
      </c>
      <c r="EF40">
        <v>200</v>
      </c>
      <c r="EG40" t="s">
        <v>42</v>
      </c>
      <c r="EH40">
        <v>0</v>
      </c>
      <c r="EI40" t="s">
        <v>5</v>
      </c>
      <c r="EJ40">
        <v>1</v>
      </c>
      <c r="EK40">
        <v>1617</v>
      </c>
      <c r="EL40" t="s">
        <v>43</v>
      </c>
      <c r="EM40" t="s">
        <v>44</v>
      </c>
      <c r="EO40" t="s">
        <v>5</v>
      </c>
      <c r="EQ40">
        <v>131072</v>
      </c>
      <c r="ER40">
        <v>104.99</v>
      </c>
      <c r="ES40">
        <v>104.99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51"/>
        <v>0</v>
      </c>
      <c r="FS40">
        <v>0</v>
      </c>
      <c r="FX40">
        <v>0</v>
      </c>
      <c r="FY40">
        <v>0</v>
      </c>
      <c r="GA40" t="s">
        <v>5</v>
      </c>
      <c r="GD40">
        <v>0</v>
      </c>
      <c r="GF40">
        <v>2069056849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52"/>
        <v>0</v>
      </c>
      <c r="GM40">
        <f t="shared" si="53"/>
        <v>7954.91</v>
      </c>
      <c r="GN40">
        <f t="shared" si="54"/>
        <v>7954.91</v>
      </c>
      <c r="GO40">
        <f t="shared" si="55"/>
        <v>0</v>
      </c>
      <c r="GP40">
        <f t="shared" si="56"/>
        <v>0</v>
      </c>
      <c r="GR40">
        <v>0</v>
      </c>
      <c r="GS40">
        <v>0</v>
      </c>
      <c r="GT40">
        <v>0</v>
      </c>
      <c r="GU40" t="s">
        <v>5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IK40">
        <v>0</v>
      </c>
    </row>
    <row r="41" spans="1:245" x14ac:dyDescent="0.2">
      <c r="A41">
        <v>17</v>
      </c>
      <c r="B41">
        <v>1</v>
      </c>
      <c r="C41">
        <f>ROW(SmtRes!A16)</f>
        <v>16</v>
      </c>
      <c r="D41">
        <f>ROW(EtalonRes!A12)</f>
        <v>12</v>
      </c>
      <c r="E41" t="s">
        <v>83</v>
      </c>
      <c r="F41" t="s">
        <v>84</v>
      </c>
      <c r="G41" t="s">
        <v>85</v>
      </c>
      <c r="H41" t="s">
        <v>86</v>
      </c>
      <c r="I41">
        <f>ROUND((826.2+30+413.1)*3.14*0.056*0.8,9)</f>
        <v>178.55496959999999</v>
      </c>
      <c r="J41">
        <v>0</v>
      </c>
      <c r="O41">
        <f t="shared" si="25"/>
        <v>195493.46</v>
      </c>
      <c r="P41">
        <f t="shared" si="26"/>
        <v>0</v>
      </c>
      <c r="Q41">
        <f>(ROUND((ROUND((((ET41*1.2*1.15))*AV41*I41),2)*BB41),2)+ROUND((ROUND(((AE41-((EU41*1.2*1.15)))*AV41*I41),2)*BS41),2))</f>
        <v>0</v>
      </c>
      <c r="R41">
        <f t="shared" si="27"/>
        <v>0</v>
      </c>
      <c r="S41">
        <f t="shared" si="28"/>
        <v>195493.46</v>
      </c>
      <c r="T41">
        <f t="shared" si="29"/>
        <v>0</v>
      </c>
      <c r="U41">
        <f t="shared" si="30"/>
        <v>784.28027746381792</v>
      </c>
      <c r="V41">
        <f t="shared" si="31"/>
        <v>0</v>
      </c>
      <c r="W41">
        <f t="shared" si="32"/>
        <v>0</v>
      </c>
      <c r="X41">
        <f t="shared" si="33"/>
        <v>166169.44</v>
      </c>
      <c r="Y41">
        <f t="shared" si="34"/>
        <v>80152.320000000007</v>
      </c>
      <c r="AA41">
        <v>44175501</v>
      </c>
      <c r="AB41">
        <f t="shared" si="35"/>
        <v>48.796799999999998</v>
      </c>
      <c r="AC41">
        <f t="shared" si="36"/>
        <v>0</v>
      </c>
      <c r="AD41">
        <f>ROUND(((((ET41*1.2*1.15))-((EU41*1.2*1.15)))+AE41),6)</f>
        <v>0</v>
      </c>
      <c r="AE41">
        <f t="shared" si="60"/>
        <v>0</v>
      </c>
      <c r="AF41">
        <f t="shared" si="60"/>
        <v>48.796799999999998</v>
      </c>
      <c r="AG41">
        <f t="shared" si="38"/>
        <v>0</v>
      </c>
      <c r="AH41">
        <f t="shared" si="61"/>
        <v>4.1951999999999989</v>
      </c>
      <c r="AI41">
        <f t="shared" si="61"/>
        <v>0</v>
      </c>
      <c r="AJ41">
        <f t="shared" si="40"/>
        <v>0</v>
      </c>
      <c r="AK41">
        <v>35.36</v>
      </c>
      <c r="AL41">
        <v>0</v>
      </c>
      <c r="AM41">
        <v>0</v>
      </c>
      <c r="AN41">
        <v>0</v>
      </c>
      <c r="AO41">
        <v>35.36</v>
      </c>
      <c r="AP41">
        <v>0</v>
      </c>
      <c r="AQ41">
        <v>3.04</v>
      </c>
      <c r="AR41">
        <v>0</v>
      </c>
      <c r="AS41">
        <v>0</v>
      </c>
      <c r="AT41">
        <v>85</v>
      </c>
      <c r="AU41">
        <v>41</v>
      </c>
      <c r="AV41">
        <v>1.0469999999999999</v>
      </c>
      <c r="AW41">
        <v>1</v>
      </c>
      <c r="AZ41">
        <v>1</v>
      </c>
      <c r="BA41">
        <v>21.43</v>
      </c>
      <c r="BB41">
        <v>1</v>
      </c>
      <c r="BC41">
        <v>1</v>
      </c>
      <c r="BD41" t="s">
        <v>5</v>
      </c>
      <c r="BE41" t="s">
        <v>5</v>
      </c>
      <c r="BF41" t="s">
        <v>5</v>
      </c>
      <c r="BG41" t="s">
        <v>5</v>
      </c>
      <c r="BH41">
        <v>0</v>
      </c>
      <c r="BI41">
        <v>1</v>
      </c>
      <c r="BJ41" t="s">
        <v>87</v>
      </c>
      <c r="BM41">
        <v>99</v>
      </c>
      <c r="BN41">
        <v>0</v>
      </c>
      <c r="BO41" t="s">
        <v>84</v>
      </c>
      <c r="BP41">
        <v>1</v>
      </c>
      <c r="BQ41">
        <v>30</v>
      </c>
      <c r="BR41">
        <v>0</v>
      </c>
      <c r="BS41">
        <v>21.43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5</v>
      </c>
      <c r="BZ41">
        <v>85</v>
      </c>
      <c r="CA41">
        <v>41</v>
      </c>
      <c r="CE41">
        <v>30</v>
      </c>
      <c r="CF41">
        <v>0</v>
      </c>
      <c r="CG41">
        <v>0</v>
      </c>
      <c r="CM41">
        <v>0</v>
      </c>
      <c r="CN41" t="s">
        <v>5</v>
      </c>
      <c r="CO41">
        <v>0</v>
      </c>
      <c r="CP41">
        <f t="shared" si="41"/>
        <v>195493.46</v>
      </c>
      <c r="CQ41">
        <f t="shared" si="42"/>
        <v>0</v>
      </c>
      <c r="CR41">
        <f>(ROUND((ROUND((((ET41*1.2*1.15))*AV41*1),2)*BB41),2)+ROUND((ROUND(((AE41-((EU41*1.2*1.15)))*AV41*1),2)*BS41),2))</f>
        <v>0</v>
      </c>
      <c r="CS41">
        <f t="shared" si="43"/>
        <v>0</v>
      </c>
      <c r="CT41">
        <f t="shared" si="44"/>
        <v>1094.8599999999999</v>
      </c>
      <c r="CU41">
        <f t="shared" si="45"/>
        <v>0</v>
      </c>
      <c r="CV41">
        <f t="shared" si="46"/>
        <v>4.3923743999999987</v>
      </c>
      <c r="CW41">
        <f t="shared" si="47"/>
        <v>0</v>
      </c>
      <c r="CX41">
        <f t="shared" si="48"/>
        <v>0</v>
      </c>
      <c r="CY41">
        <f t="shared" si="49"/>
        <v>166169.44099999999</v>
      </c>
      <c r="CZ41">
        <f t="shared" si="50"/>
        <v>80152.318599999999</v>
      </c>
      <c r="DC41" t="s">
        <v>5</v>
      </c>
      <c r="DD41" t="s">
        <v>5</v>
      </c>
      <c r="DE41" t="s">
        <v>30</v>
      </c>
      <c r="DF41" t="s">
        <v>30</v>
      </c>
      <c r="DG41" t="s">
        <v>30</v>
      </c>
      <c r="DH41" t="s">
        <v>5</v>
      </c>
      <c r="DI41" t="s">
        <v>30</v>
      </c>
      <c r="DJ41" t="s">
        <v>30</v>
      </c>
      <c r="DK41" t="s">
        <v>5</v>
      </c>
      <c r="DL41" t="s">
        <v>5</v>
      </c>
      <c r="DM41" t="s">
        <v>5</v>
      </c>
      <c r="DN41">
        <v>105</v>
      </c>
      <c r="DO41">
        <v>77</v>
      </c>
      <c r="DP41">
        <v>1.0469999999999999</v>
      </c>
      <c r="DQ41">
        <v>1</v>
      </c>
      <c r="DU41">
        <v>1013</v>
      </c>
      <c r="DV41" t="s">
        <v>86</v>
      </c>
      <c r="DW41" t="s">
        <v>86</v>
      </c>
      <c r="DX41">
        <v>1</v>
      </c>
      <c r="EE41">
        <v>44063918</v>
      </c>
      <c r="EF41">
        <v>30</v>
      </c>
      <c r="EG41" t="s">
        <v>31</v>
      </c>
      <c r="EH41">
        <v>0</v>
      </c>
      <c r="EI41" t="s">
        <v>5</v>
      </c>
      <c r="EJ41">
        <v>1</v>
      </c>
      <c r="EK41">
        <v>99</v>
      </c>
      <c r="EL41" t="s">
        <v>88</v>
      </c>
      <c r="EM41" t="s">
        <v>89</v>
      </c>
      <c r="EO41" t="s">
        <v>5</v>
      </c>
      <c r="EQ41">
        <v>131072</v>
      </c>
      <c r="ER41">
        <v>35.36</v>
      </c>
      <c r="ES41">
        <v>0</v>
      </c>
      <c r="ET41">
        <v>0</v>
      </c>
      <c r="EU41">
        <v>0</v>
      </c>
      <c r="EV41">
        <v>35.36</v>
      </c>
      <c r="EW41">
        <v>3.04</v>
      </c>
      <c r="EX41">
        <v>0</v>
      </c>
      <c r="EY41">
        <v>0</v>
      </c>
      <c r="FQ41">
        <v>0</v>
      </c>
      <c r="FR41">
        <f t="shared" si="51"/>
        <v>0</v>
      </c>
      <c r="FS41">
        <v>0</v>
      </c>
      <c r="FX41">
        <v>105</v>
      </c>
      <c r="FY41">
        <v>77</v>
      </c>
      <c r="GA41" t="s">
        <v>5</v>
      </c>
      <c r="GD41">
        <v>0</v>
      </c>
      <c r="GF41">
        <v>-1331629090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52"/>
        <v>0</v>
      </c>
      <c r="GM41">
        <f t="shared" si="53"/>
        <v>441815.22</v>
      </c>
      <c r="GN41">
        <f t="shared" si="54"/>
        <v>441815.22</v>
      </c>
      <c r="GO41">
        <f t="shared" si="55"/>
        <v>0</v>
      </c>
      <c r="GP41">
        <f t="shared" si="56"/>
        <v>0</v>
      </c>
      <c r="GR41">
        <v>0</v>
      </c>
      <c r="GS41">
        <v>0</v>
      </c>
      <c r="GT41">
        <v>0</v>
      </c>
      <c r="GU41" t="s">
        <v>5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IK41">
        <v>0</v>
      </c>
    </row>
    <row r="42" spans="1:245" x14ac:dyDescent="0.2">
      <c r="A42">
        <v>18</v>
      </c>
      <c r="B42">
        <v>1</v>
      </c>
      <c r="C42">
        <v>16</v>
      </c>
      <c r="E42" t="s">
        <v>90</v>
      </c>
      <c r="F42" t="s">
        <v>91</v>
      </c>
      <c r="G42" t="s">
        <v>92</v>
      </c>
      <c r="H42" t="s">
        <v>93</v>
      </c>
      <c r="I42">
        <f>I41*J42</f>
        <v>0.34943200000000002</v>
      </c>
      <c r="J42">
        <v>1.9569995771207033E-3</v>
      </c>
      <c r="O42">
        <f t="shared" si="25"/>
        <v>89623.2</v>
      </c>
      <c r="P42">
        <f t="shared" si="26"/>
        <v>89623.2</v>
      </c>
      <c r="Q42">
        <f>(ROUND((ROUND(((ET42)*AV42*I42),2)*BB42),2)+ROUND((ROUND(((AE42-(EU42))*AV42*I42),2)*BS42),2))</f>
        <v>0</v>
      </c>
      <c r="R42">
        <f t="shared" si="27"/>
        <v>0</v>
      </c>
      <c r="S42">
        <f t="shared" si="28"/>
        <v>0</v>
      </c>
      <c r="T42">
        <f t="shared" si="29"/>
        <v>0</v>
      </c>
      <c r="U42">
        <f t="shared" si="30"/>
        <v>0</v>
      </c>
      <c r="V42">
        <f t="shared" si="31"/>
        <v>0</v>
      </c>
      <c r="W42">
        <f t="shared" si="32"/>
        <v>0</v>
      </c>
      <c r="X42">
        <f t="shared" si="33"/>
        <v>0</v>
      </c>
      <c r="Y42">
        <f t="shared" si="34"/>
        <v>0</v>
      </c>
      <c r="AA42">
        <v>44175501</v>
      </c>
      <c r="AB42">
        <f t="shared" si="35"/>
        <v>201954.73</v>
      </c>
      <c r="AC42">
        <f t="shared" si="36"/>
        <v>201954.73</v>
      </c>
      <c r="AD42">
        <f>ROUND((((ET42)-(EU42))+AE42),6)</f>
        <v>0</v>
      </c>
      <c r="AE42">
        <f>ROUND((EU42),6)</f>
        <v>0</v>
      </c>
      <c r="AF42">
        <f>ROUND((EV42),6)</f>
        <v>0</v>
      </c>
      <c r="AG42">
        <f t="shared" si="38"/>
        <v>0</v>
      </c>
      <c r="AH42">
        <f>(EW42)</f>
        <v>0</v>
      </c>
      <c r="AI42">
        <f>(EX42)</f>
        <v>0</v>
      </c>
      <c r="AJ42">
        <f t="shared" si="40"/>
        <v>0</v>
      </c>
      <c r="AK42">
        <v>201954.73</v>
      </c>
      <c r="AL42">
        <v>201954.73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1.27</v>
      </c>
      <c r="BD42" t="s">
        <v>5</v>
      </c>
      <c r="BE42" t="s">
        <v>5</v>
      </c>
      <c r="BF42" t="s">
        <v>5</v>
      </c>
      <c r="BG42" t="s">
        <v>5</v>
      </c>
      <c r="BH42">
        <v>3</v>
      </c>
      <c r="BI42">
        <v>1</v>
      </c>
      <c r="BJ42" t="s">
        <v>94</v>
      </c>
      <c r="BM42">
        <v>99</v>
      </c>
      <c r="BN42">
        <v>0</v>
      </c>
      <c r="BO42" t="s">
        <v>91</v>
      </c>
      <c r="BP42">
        <v>1</v>
      </c>
      <c r="BQ42">
        <v>30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5</v>
      </c>
      <c r="BZ42">
        <v>0</v>
      </c>
      <c r="CA42">
        <v>0</v>
      </c>
      <c r="CE42">
        <v>30</v>
      </c>
      <c r="CF42">
        <v>0</v>
      </c>
      <c r="CG42">
        <v>0</v>
      </c>
      <c r="CM42">
        <v>0</v>
      </c>
      <c r="CN42" t="s">
        <v>5</v>
      </c>
      <c r="CO42">
        <v>0</v>
      </c>
      <c r="CP42">
        <f t="shared" si="41"/>
        <v>89623.2</v>
      </c>
      <c r="CQ42">
        <f t="shared" si="42"/>
        <v>256482.51</v>
      </c>
      <c r="CR42">
        <f>(ROUND((ROUND(((ET42)*AV42*1),2)*BB42),2)+ROUND((ROUND(((AE42-(EU42))*AV42*1),2)*BS42),2))</f>
        <v>0</v>
      </c>
      <c r="CS42">
        <f t="shared" si="43"/>
        <v>0</v>
      </c>
      <c r="CT42">
        <f t="shared" si="44"/>
        <v>0</v>
      </c>
      <c r="CU42">
        <f t="shared" si="45"/>
        <v>0</v>
      </c>
      <c r="CV42">
        <f t="shared" si="46"/>
        <v>0</v>
      </c>
      <c r="CW42">
        <f t="shared" si="47"/>
        <v>0</v>
      </c>
      <c r="CX42">
        <f t="shared" si="48"/>
        <v>0</v>
      </c>
      <c r="CY42">
        <f t="shared" si="49"/>
        <v>0</v>
      </c>
      <c r="CZ42">
        <f t="shared" si="50"/>
        <v>0</v>
      </c>
      <c r="DC42" t="s">
        <v>5</v>
      </c>
      <c r="DD42" t="s">
        <v>5</v>
      </c>
      <c r="DE42" t="s">
        <v>5</v>
      </c>
      <c r="DF42" t="s">
        <v>5</v>
      </c>
      <c r="DG42" t="s">
        <v>5</v>
      </c>
      <c r="DH42" t="s">
        <v>5</v>
      </c>
      <c r="DI42" t="s">
        <v>5</v>
      </c>
      <c r="DJ42" t="s">
        <v>5</v>
      </c>
      <c r="DK42" t="s">
        <v>5</v>
      </c>
      <c r="DL42" t="s">
        <v>5</v>
      </c>
      <c r="DM42" t="s">
        <v>5</v>
      </c>
      <c r="DN42">
        <v>105</v>
      </c>
      <c r="DO42">
        <v>77</v>
      </c>
      <c r="DP42">
        <v>1.0469999999999999</v>
      </c>
      <c r="DQ42">
        <v>1</v>
      </c>
      <c r="DU42">
        <v>1009</v>
      </c>
      <c r="DV42" t="s">
        <v>93</v>
      </c>
      <c r="DW42" t="s">
        <v>93</v>
      </c>
      <c r="DX42">
        <v>1000</v>
      </c>
      <c r="EE42">
        <v>44063918</v>
      </c>
      <c r="EF42">
        <v>30</v>
      </c>
      <c r="EG42" t="s">
        <v>31</v>
      </c>
      <c r="EH42">
        <v>0</v>
      </c>
      <c r="EI42" t="s">
        <v>5</v>
      </c>
      <c r="EJ42">
        <v>1</v>
      </c>
      <c r="EK42">
        <v>99</v>
      </c>
      <c r="EL42" t="s">
        <v>88</v>
      </c>
      <c r="EM42" t="s">
        <v>89</v>
      </c>
      <c r="EO42" t="s">
        <v>5</v>
      </c>
      <c r="EQ42">
        <v>0</v>
      </c>
      <c r="ER42">
        <v>201954.73</v>
      </c>
      <c r="ES42">
        <v>201954.73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51"/>
        <v>0</v>
      </c>
      <c r="FS42">
        <v>0</v>
      </c>
      <c r="FX42">
        <v>105</v>
      </c>
      <c r="FY42">
        <v>77</v>
      </c>
      <c r="GA42" t="s">
        <v>5</v>
      </c>
      <c r="GD42">
        <v>0</v>
      </c>
      <c r="GF42">
        <v>1462922659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52"/>
        <v>0</v>
      </c>
      <c r="GM42">
        <f t="shared" si="53"/>
        <v>89623.2</v>
      </c>
      <c r="GN42">
        <f t="shared" si="54"/>
        <v>89623.2</v>
      </c>
      <c r="GO42">
        <f t="shared" si="55"/>
        <v>0</v>
      </c>
      <c r="GP42">
        <f t="shared" si="56"/>
        <v>0</v>
      </c>
      <c r="GR42">
        <v>0</v>
      </c>
      <c r="GS42">
        <v>0</v>
      </c>
      <c r="GT42">
        <v>0</v>
      </c>
      <c r="GU42" t="s">
        <v>5</v>
      </c>
      <c r="GV42">
        <f t="shared" si="57"/>
        <v>0</v>
      </c>
      <c r="GW42">
        <v>1</v>
      </c>
      <c r="GX42">
        <f t="shared" si="58"/>
        <v>0</v>
      </c>
      <c r="HA42">
        <v>0</v>
      </c>
      <c r="HB42">
        <v>0</v>
      </c>
      <c r="HC42">
        <f t="shared" si="59"/>
        <v>0</v>
      </c>
      <c r="IK42">
        <v>0</v>
      </c>
    </row>
    <row r="43" spans="1:245" x14ac:dyDescent="0.2">
      <c r="A43">
        <v>17</v>
      </c>
      <c r="B43">
        <v>1</v>
      </c>
      <c r="C43">
        <f>ROW(SmtRes!A19)</f>
        <v>19</v>
      </c>
      <c r="D43">
        <f>ROW(EtalonRes!A15)</f>
        <v>15</v>
      </c>
      <c r="E43" t="s">
        <v>95</v>
      </c>
      <c r="F43" t="s">
        <v>96</v>
      </c>
      <c r="G43" t="s">
        <v>97</v>
      </c>
      <c r="H43" t="s">
        <v>98</v>
      </c>
      <c r="I43">
        <v>0</v>
      </c>
      <c r="J43">
        <v>0</v>
      </c>
      <c r="O43">
        <f t="shared" si="25"/>
        <v>0</v>
      </c>
      <c r="P43">
        <f t="shared" si="26"/>
        <v>0</v>
      </c>
      <c r="Q43">
        <f>(ROUND((ROUND((((ET43*1.2*1.15))*AV43*I43),2)*BB43),2)+ROUND((ROUND(((AE43-((EU43*1.2*1.15)))*AV43*I43),2)*BS43),2))</f>
        <v>0</v>
      </c>
      <c r="R43">
        <f t="shared" si="27"/>
        <v>0</v>
      </c>
      <c r="S43">
        <f t="shared" si="28"/>
        <v>0</v>
      </c>
      <c r="T43">
        <f t="shared" si="29"/>
        <v>0</v>
      </c>
      <c r="U43">
        <f t="shared" si="30"/>
        <v>0</v>
      </c>
      <c r="V43">
        <f t="shared" si="31"/>
        <v>0</v>
      </c>
      <c r="W43">
        <f t="shared" si="32"/>
        <v>0</v>
      </c>
      <c r="X43">
        <f t="shared" si="33"/>
        <v>0</v>
      </c>
      <c r="Y43">
        <f t="shared" si="34"/>
        <v>0</v>
      </c>
      <c r="AA43">
        <v>44175501</v>
      </c>
      <c r="AB43">
        <f t="shared" si="35"/>
        <v>10081.093199999999</v>
      </c>
      <c r="AC43">
        <f t="shared" si="36"/>
        <v>0</v>
      </c>
      <c r="AD43">
        <f>ROUND(((((ET43*1.2*1.15))-((EU43*1.2*1.15)))+AE43),6)</f>
        <v>6615.72</v>
      </c>
      <c r="AE43">
        <f>ROUND(((EU43*1.2*1.15)),6)</f>
        <v>1850.58</v>
      </c>
      <c r="AF43">
        <f>ROUND(((EV43*1.2*1.15)),6)</f>
        <v>3465.3732</v>
      </c>
      <c r="AG43">
        <f t="shared" si="38"/>
        <v>0</v>
      </c>
      <c r="AH43">
        <f>((EW43*1.2*1.15))</f>
        <v>284.27999999999997</v>
      </c>
      <c r="AI43">
        <f>((EX43*1.2*1.15))</f>
        <v>0</v>
      </c>
      <c r="AJ43">
        <f t="shared" si="40"/>
        <v>0</v>
      </c>
      <c r="AK43">
        <v>7305.14</v>
      </c>
      <c r="AL43">
        <v>0</v>
      </c>
      <c r="AM43">
        <v>4794</v>
      </c>
      <c r="AN43">
        <v>1341</v>
      </c>
      <c r="AO43">
        <v>2511.14</v>
      </c>
      <c r="AP43">
        <v>0</v>
      </c>
      <c r="AQ43">
        <v>206</v>
      </c>
      <c r="AR43">
        <v>0</v>
      </c>
      <c r="AS43">
        <v>0</v>
      </c>
      <c r="AT43">
        <v>73</v>
      </c>
      <c r="AU43">
        <v>41</v>
      </c>
      <c r="AV43">
        <v>1.0469999999999999</v>
      </c>
      <c r="AW43">
        <v>1.002</v>
      </c>
      <c r="AZ43">
        <v>1</v>
      </c>
      <c r="BA43">
        <v>21.43</v>
      </c>
      <c r="BB43">
        <v>9.08</v>
      </c>
      <c r="BC43">
        <v>1</v>
      </c>
      <c r="BD43" t="s">
        <v>5</v>
      </c>
      <c r="BE43" t="s">
        <v>5</v>
      </c>
      <c r="BF43" t="s">
        <v>5</v>
      </c>
      <c r="BG43" t="s">
        <v>5</v>
      </c>
      <c r="BH43">
        <v>0</v>
      </c>
      <c r="BI43">
        <v>1</v>
      </c>
      <c r="BJ43" t="s">
        <v>99</v>
      </c>
      <c r="BM43">
        <v>682</v>
      </c>
      <c r="BN43">
        <v>0</v>
      </c>
      <c r="BO43" t="s">
        <v>96</v>
      </c>
      <c r="BP43">
        <v>1</v>
      </c>
      <c r="BQ43">
        <v>60</v>
      </c>
      <c r="BR43">
        <v>0</v>
      </c>
      <c r="BS43">
        <v>21.43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5</v>
      </c>
      <c r="BZ43">
        <v>73</v>
      </c>
      <c r="CA43">
        <v>41</v>
      </c>
      <c r="CE43">
        <v>30</v>
      </c>
      <c r="CF43">
        <v>0</v>
      </c>
      <c r="CG43">
        <v>0</v>
      </c>
      <c r="CM43">
        <v>0</v>
      </c>
      <c r="CN43" t="s">
        <v>5</v>
      </c>
      <c r="CO43">
        <v>0</v>
      </c>
      <c r="CP43">
        <f t="shared" si="41"/>
        <v>0</v>
      </c>
      <c r="CQ43">
        <f t="shared" si="42"/>
        <v>0</v>
      </c>
      <c r="CR43">
        <f>(ROUND((ROUND((((ET43*1.2*1.15))*AV43*1),2)*BB43),2)+ROUND((ROUND(((AE43-((EU43*1.2*1.15)))*AV43*1),2)*BS43),2))</f>
        <v>62894.07</v>
      </c>
      <c r="CS43">
        <f t="shared" si="43"/>
        <v>41521.910000000003</v>
      </c>
      <c r="CT43">
        <f t="shared" si="44"/>
        <v>77753.399999999994</v>
      </c>
      <c r="CU43">
        <f t="shared" si="45"/>
        <v>0</v>
      </c>
      <c r="CV43">
        <f t="shared" si="46"/>
        <v>297.64115999999996</v>
      </c>
      <c r="CW43">
        <f t="shared" si="47"/>
        <v>0</v>
      </c>
      <c r="CX43">
        <f t="shared" si="48"/>
        <v>0</v>
      </c>
      <c r="CY43">
        <f t="shared" si="49"/>
        <v>0</v>
      </c>
      <c r="CZ43">
        <f t="shared" si="50"/>
        <v>0</v>
      </c>
      <c r="DC43" t="s">
        <v>5</v>
      </c>
      <c r="DD43" t="s">
        <v>5</v>
      </c>
      <c r="DE43" t="s">
        <v>30</v>
      </c>
      <c r="DF43" t="s">
        <v>30</v>
      </c>
      <c r="DG43" t="s">
        <v>30</v>
      </c>
      <c r="DH43" t="s">
        <v>5</v>
      </c>
      <c r="DI43" t="s">
        <v>30</v>
      </c>
      <c r="DJ43" t="s">
        <v>30</v>
      </c>
      <c r="DK43" t="s">
        <v>5</v>
      </c>
      <c r="DL43" t="s">
        <v>5</v>
      </c>
      <c r="DM43" t="s">
        <v>5</v>
      </c>
      <c r="DN43">
        <v>91</v>
      </c>
      <c r="DO43">
        <v>70</v>
      </c>
      <c r="DP43">
        <v>1.0469999999999999</v>
      </c>
      <c r="DQ43">
        <v>1.002</v>
      </c>
      <c r="DU43">
        <v>1013</v>
      </c>
      <c r="DV43" t="s">
        <v>98</v>
      </c>
      <c r="DW43" t="s">
        <v>98</v>
      </c>
      <c r="DX43">
        <v>1</v>
      </c>
      <c r="EE43">
        <v>44064501</v>
      </c>
      <c r="EF43">
        <v>60</v>
      </c>
      <c r="EG43" t="s">
        <v>49</v>
      </c>
      <c r="EH43">
        <v>0</v>
      </c>
      <c r="EI43" t="s">
        <v>5</v>
      </c>
      <c r="EJ43">
        <v>1</v>
      </c>
      <c r="EK43">
        <v>682</v>
      </c>
      <c r="EL43" t="s">
        <v>100</v>
      </c>
      <c r="EM43" t="s">
        <v>101</v>
      </c>
      <c r="EO43" t="s">
        <v>5</v>
      </c>
      <c r="EQ43">
        <v>131072</v>
      </c>
      <c r="ER43">
        <v>7305.14</v>
      </c>
      <c r="ES43">
        <v>0</v>
      </c>
      <c r="ET43">
        <v>4794</v>
      </c>
      <c r="EU43">
        <v>1341</v>
      </c>
      <c r="EV43">
        <v>2511.14</v>
      </c>
      <c r="EW43">
        <v>206</v>
      </c>
      <c r="EX43">
        <v>0</v>
      </c>
      <c r="EY43">
        <v>0</v>
      </c>
      <c r="FQ43">
        <v>0</v>
      </c>
      <c r="FR43">
        <f t="shared" si="51"/>
        <v>0</v>
      </c>
      <c r="FS43">
        <v>0</v>
      </c>
      <c r="FX43">
        <v>91</v>
      </c>
      <c r="FY43">
        <v>70</v>
      </c>
      <c r="GA43" t="s">
        <v>5</v>
      </c>
      <c r="GD43">
        <v>0</v>
      </c>
      <c r="GF43">
        <v>878765690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52"/>
        <v>0</v>
      </c>
      <c r="GM43">
        <f t="shared" si="53"/>
        <v>0</v>
      </c>
      <c r="GN43">
        <f t="shared" si="54"/>
        <v>0</v>
      </c>
      <c r="GO43">
        <f t="shared" si="55"/>
        <v>0</v>
      </c>
      <c r="GP43">
        <f t="shared" si="56"/>
        <v>0</v>
      </c>
      <c r="GR43">
        <v>0</v>
      </c>
      <c r="GS43">
        <v>0</v>
      </c>
      <c r="GT43">
        <v>0</v>
      </c>
      <c r="GU43" t="s">
        <v>5</v>
      </c>
      <c r="GV43">
        <f t="shared" si="57"/>
        <v>0</v>
      </c>
      <c r="GW43">
        <v>1</v>
      </c>
      <c r="GX43">
        <f t="shared" si="58"/>
        <v>0</v>
      </c>
      <c r="HA43">
        <v>0</v>
      </c>
      <c r="HB43">
        <v>0</v>
      </c>
      <c r="HC43">
        <f t="shared" si="59"/>
        <v>0</v>
      </c>
      <c r="IK43">
        <v>0</v>
      </c>
    </row>
    <row r="44" spans="1:245" x14ac:dyDescent="0.2">
      <c r="A44">
        <v>17</v>
      </c>
      <c r="B44">
        <v>1</v>
      </c>
      <c r="C44">
        <f>ROW(SmtRes!A25)</f>
        <v>25</v>
      </c>
      <c r="D44">
        <f>ROW(EtalonRes!A21)</f>
        <v>21</v>
      </c>
      <c r="E44" t="s">
        <v>102</v>
      </c>
      <c r="F44" t="s">
        <v>103</v>
      </c>
      <c r="G44" t="s">
        <v>104</v>
      </c>
      <c r="H44" t="s">
        <v>98</v>
      </c>
      <c r="I44">
        <v>0</v>
      </c>
      <c r="J44">
        <v>0</v>
      </c>
      <c r="O44">
        <f t="shared" si="25"/>
        <v>0</v>
      </c>
      <c r="P44">
        <f t="shared" si="26"/>
        <v>0</v>
      </c>
      <c r="Q44">
        <f>(ROUND((ROUND((((ET44*1.2*1.15))*AV44*I44),2)*BB44),2)+ROUND((ROUND(((AE44-((EU44*1.2*1.15)))*AV44*I44),2)*BS44),2))</f>
        <v>0</v>
      </c>
      <c r="R44">
        <f t="shared" si="27"/>
        <v>0</v>
      </c>
      <c r="S44">
        <f t="shared" si="28"/>
        <v>0</v>
      </c>
      <c r="T44">
        <f t="shared" si="29"/>
        <v>0</v>
      </c>
      <c r="U44">
        <f t="shared" si="30"/>
        <v>0</v>
      </c>
      <c r="V44">
        <f t="shared" si="31"/>
        <v>0</v>
      </c>
      <c r="W44">
        <f t="shared" si="32"/>
        <v>0</v>
      </c>
      <c r="X44">
        <f t="shared" si="33"/>
        <v>0</v>
      </c>
      <c r="Y44">
        <f t="shared" si="34"/>
        <v>0</v>
      </c>
      <c r="AA44">
        <v>44175501</v>
      </c>
      <c r="AB44">
        <f t="shared" si="35"/>
        <v>2924.8611999999998</v>
      </c>
      <c r="AC44">
        <f t="shared" si="36"/>
        <v>862.81</v>
      </c>
      <c r="AD44">
        <f>ROUND(((((ET44*1.2*1.15))-((EU44*1.2*1.15)))+AE44),6)</f>
        <v>0</v>
      </c>
      <c r="AE44">
        <f>ROUND(((EU44*1.2*1.15)),6)</f>
        <v>0</v>
      </c>
      <c r="AF44">
        <f>ROUND(((EV44*1.2*1.15)),6)</f>
        <v>2062.0511999999999</v>
      </c>
      <c r="AG44">
        <f t="shared" si="38"/>
        <v>0</v>
      </c>
      <c r="AH44">
        <f>((EW44*1.2*1.15))</f>
        <v>182.16</v>
      </c>
      <c r="AI44">
        <f>((EX44*1.2*1.15))</f>
        <v>0</v>
      </c>
      <c r="AJ44">
        <f t="shared" si="40"/>
        <v>0</v>
      </c>
      <c r="AK44">
        <v>2357.0500000000002</v>
      </c>
      <c r="AL44">
        <v>862.81</v>
      </c>
      <c r="AM44">
        <v>0</v>
      </c>
      <c r="AN44">
        <v>0</v>
      </c>
      <c r="AO44">
        <v>1494.24</v>
      </c>
      <c r="AP44">
        <v>0</v>
      </c>
      <c r="AQ44">
        <v>132</v>
      </c>
      <c r="AR44">
        <v>0</v>
      </c>
      <c r="AS44">
        <v>0</v>
      </c>
      <c r="AT44">
        <v>73</v>
      </c>
      <c r="AU44">
        <v>41</v>
      </c>
      <c r="AV44">
        <v>1.0469999999999999</v>
      </c>
      <c r="AW44">
        <v>1.002</v>
      </c>
      <c r="AZ44">
        <v>1</v>
      </c>
      <c r="BA44">
        <v>21.43</v>
      </c>
      <c r="BB44">
        <v>1</v>
      </c>
      <c r="BC44">
        <v>3.07</v>
      </c>
      <c r="BD44" t="s">
        <v>5</v>
      </c>
      <c r="BE44" t="s">
        <v>5</v>
      </c>
      <c r="BF44" t="s">
        <v>5</v>
      </c>
      <c r="BG44" t="s">
        <v>5</v>
      </c>
      <c r="BH44">
        <v>0</v>
      </c>
      <c r="BI44">
        <v>1</v>
      </c>
      <c r="BJ44" t="s">
        <v>105</v>
      </c>
      <c r="BM44">
        <v>682</v>
      </c>
      <c r="BN44">
        <v>0</v>
      </c>
      <c r="BO44" t="s">
        <v>103</v>
      </c>
      <c r="BP44">
        <v>1</v>
      </c>
      <c r="BQ44">
        <v>60</v>
      </c>
      <c r="BR44">
        <v>0</v>
      </c>
      <c r="BS44">
        <v>21.43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5</v>
      </c>
      <c r="BZ44">
        <v>73</v>
      </c>
      <c r="CA44">
        <v>41</v>
      </c>
      <c r="CE44">
        <v>30</v>
      </c>
      <c r="CF44">
        <v>0</v>
      </c>
      <c r="CG44">
        <v>0</v>
      </c>
      <c r="CM44">
        <v>0</v>
      </c>
      <c r="CN44" t="s">
        <v>5</v>
      </c>
      <c r="CO44">
        <v>0</v>
      </c>
      <c r="CP44">
        <f t="shared" si="41"/>
        <v>0</v>
      </c>
      <c r="CQ44">
        <f t="shared" si="42"/>
        <v>2654.14</v>
      </c>
      <c r="CR44">
        <f>(ROUND((ROUND((((ET44*1.2*1.15))*AV44*1),2)*BB44),2)+ROUND((ROUND(((AE44-((EU44*1.2*1.15)))*AV44*1),2)*BS44),2))</f>
        <v>0</v>
      </c>
      <c r="CS44">
        <f t="shared" si="43"/>
        <v>0</v>
      </c>
      <c r="CT44">
        <f t="shared" si="44"/>
        <v>46266.73</v>
      </c>
      <c r="CU44">
        <f t="shared" si="45"/>
        <v>0</v>
      </c>
      <c r="CV44">
        <f t="shared" si="46"/>
        <v>190.72151999999997</v>
      </c>
      <c r="CW44">
        <f t="shared" si="47"/>
        <v>0</v>
      </c>
      <c r="CX44">
        <f t="shared" si="48"/>
        <v>0</v>
      </c>
      <c r="CY44">
        <f t="shared" si="49"/>
        <v>0</v>
      </c>
      <c r="CZ44">
        <f t="shared" si="50"/>
        <v>0</v>
      </c>
      <c r="DC44" t="s">
        <v>5</v>
      </c>
      <c r="DD44" t="s">
        <v>5</v>
      </c>
      <c r="DE44" t="s">
        <v>30</v>
      </c>
      <c r="DF44" t="s">
        <v>30</v>
      </c>
      <c r="DG44" t="s">
        <v>30</v>
      </c>
      <c r="DH44" t="s">
        <v>5</v>
      </c>
      <c r="DI44" t="s">
        <v>30</v>
      </c>
      <c r="DJ44" t="s">
        <v>30</v>
      </c>
      <c r="DK44" t="s">
        <v>5</v>
      </c>
      <c r="DL44" t="s">
        <v>5</v>
      </c>
      <c r="DM44" t="s">
        <v>5</v>
      </c>
      <c r="DN44">
        <v>91</v>
      </c>
      <c r="DO44">
        <v>70</v>
      </c>
      <c r="DP44">
        <v>1.0469999999999999</v>
      </c>
      <c r="DQ44">
        <v>1.002</v>
      </c>
      <c r="DU44">
        <v>1013</v>
      </c>
      <c r="DV44" t="s">
        <v>98</v>
      </c>
      <c r="DW44" t="s">
        <v>98</v>
      </c>
      <c r="DX44">
        <v>1</v>
      </c>
      <c r="EE44">
        <v>44064501</v>
      </c>
      <c r="EF44">
        <v>60</v>
      </c>
      <c r="EG44" t="s">
        <v>49</v>
      </c>
      <c r="EH44">
        <v>0</v>
      </c>
      <c r="EI44" t="s">
        <v>5</v>
      </c>
      <c r="EJ44">
        <v>1</v>
      </c>
      <c r="EK44">
        <v>682</v>
      </c>
      <c r="EL44" t="s">
        <v>100</v>
      </c>
      <c r="EM44" t="s">
        <v>101</v>
      </c>
      <c r="EO44" t="s">
        <v>5</v>
      </c>
      <c r="EQ44">
        <v>131072</v>
      </c>
      <c r="ER44">
        <v>2357.0500000000002</v>
      </c>
      <c r="ES44">
        <v>862.81</v>
      </c>
      <c r="ET44">
        <v>0</v>
      </c>
      <c r="EU44">
        <v>0</v>
      </c>
      <c r="EV44">
        <v>1494.24</v>
      </c>
      <c r="EW44">
        <v>132</v>
      </c>
      <c r="EX44">
        <v>0</v>
      </c>
      <c r="EY44">
        <v>0</v>
      </c>
      <c r="FQ44">
        <v>0</v>
      </c>
      <c r="FR44">
        <f t="shared" si="51"/>
        <v>0</v>
      </c>
      <c r="FS44">
        <v>0</v>
      </c>
      <c r="FX44">
        <v>91</v>
      </c>
      <c r="FY44">
        <v>70</v>
      </c>
      <c r="GA44" t="s">
        <v>5</v>
      </c>
      <c r="GD44">
        <v>0</v>
      </c>
      <c r="GF44">
        <v>1570428321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52"/>
        <v>0</v>
      </c>
      <c r="GM44">
        <f t="shared" si="53"/>
        <v>0</v>
      </c>
      <c r="GN44">
        <f t="shared" si="54"/>
        <v>0</v>
      </c>
      <c r="GO44">
        <f t="shared" si="55"/>
        <v>0</v>
      </c>
      <c r="GP44">
        <f t="shared" si="56"/>
        <v>0</v>
      </c>
      <c r="GR44">
        <v>0</v>
      </c>
      <c r="GS44">
        <v>0</v>
      </c>
      <c r="GT44">
        <v>0</v>
      </c>
      <c r="GU44" t="s">
        <v>5</v>
      </c>
      <c r="GV44">
        <f t="shared" si="57"/>
        <v>0</v>
      </c>
      <c r="GW44">
        <v>1</v>
      </c>
      <c r="GX44">
        <f t="shared" si="58"/>
        <v>0</v>
      </c>
      <c r="HA44">
        <v>0</v>
      </c>
      <c r="HB44">
        <v>0</v>
      </c>
      <c r="HC44">
        <f t="shared" si="59"/>
        <v>0</v>
      </c>
      <c r="IK44">
        <v>0</v>
      </c>
    </row>
    <row r="45" spans="1:245" x14ac:dyDescent="0.2">
      <c r="A45">
        <v>18</v>
      </c>
      <c r="B45">
        <v>1</v>
      </c>
      <c r="C45">
        <v>25</v>
      </c>
      <c r="E45" t="s">
        <v>106</v>
      </c>
      <c r="F45" t="s">
        <v>107</v>
      </c>
      <c r="G45" t="s">
        <v>108</v>
      </c>
      <c r="H45" t="s">
        <v>40</v>
      </c>
      <c r="I45">
        <f>I44*J45</f>
        <v>0</v>
      </c>
      <c r="J45">
        <v>0.41599999999999998</v>
      </c>
      <c r="O45">
        <f t="shared" si="25"/>
        <v>0</v>
      </c>
      <c r="P45">
        <f t="shared" si="26"/>
        <v>0</v>
      </c>
      <c r="Q45">
        <f>(ROUND((ROUND(((ET45)*AV45*I45),2)*BB45),2)+ROUND((ROUND(((AE45-(EU45))*AV45*I45),2)*BS45),2))</f>
        <v>0</v>
      </c>
      <c r="R45">
        <f t="shared" si="27"/>
        <v>0</v>
      </c>
      <c r="S45">
        <f t="shared" si="28"/>
        <v>0</v>
      </c>
      <c r="T45">
        <f t="shared" si="29"/>
        <v>0</v>
      </c>
      <c r="U45">
        <f t="shared" si="30"/>
        <v>0</v>
      </c>
      <c r="V45">
        <f t="shared" si="31"/>
        <v>0</v>
      </c>
      <c r="W45">
        <f t="shared" si="32"/>
        <v>0</v>
      </c>
      <c r="X45">
        <f t="shared" si="33"/>
        <v>0</v>
      </c>
      <c r="Y45">
        <f t="shared" si="34"/>
        <v>0</v>
      </c>
      <c r="AA45">
        <v>44175501</v>
      </c>
      <c r="AB45">
        <f t="shared" si="35"/>
        <v>517.14</v>
      </c>
      <c r="AC45">
        <f t="shared" si="36"/>
        <v>517.14</v>
      </c>
      <c r="AD45">
        <f>ROUND((((ET45)-(EU45))+AE45),6)</f>
        <v>0</v>
      </c>
      <c r="AE45">
        <f>ROUND((EU45),6)</f>
        <v>0</v>
      </c>
      <c r="AF45">
        <f>ROUND((EV45),6)</f>
        <v>0</v>
      </c>
      <c r="AG45">
        <f t="shared" si="38"/>
        <v>0</v>
      </c>
      <c r="AH45">
        <f>(EW45)</f>
        <v>0</v>
      </c>
      <c r="AI45">
        <f>(EX45)</f>
        <v>0</v>
      </c>
      <c r="AJ45">
        <f t="shared" si="40"/>
        <v>0</v>
      </c>
      <c r="AK45">
        <v>517.14</v>
      </c>
      <c r="AL45">
        <v>517.14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1.002</v>
      </c>
      <c r="AZ45">
        <v>1</v>
      </c>
      <c r="BA45">
        <v>1</v>
      </c>
      <c r="BB45">
        <v>1</v>
      </c>
      <c r="BC45">
        <v>7.45</v>
      </c>
      <c r="BD45" t="s">
        <v>5</v>
      </c>
      <c r="BE45" t="s">
        <v>5</v>
      </c>
      <c r="BF45" t="s">
        <v>5</v>
      </c>
      <c r="BG45" t="s">
        <v>5</v>
      </c>
      <c r="BH45">
        <v>3</v>
      </c>
      <c r="BI45">
        <v>1</v>
      </c>
      <c r="BJ45" t="s">
        <v>109</v>
      </c>
      <c r="BM45">
        <v>682</v>
      </c>
      <c r="BN45">
        <v>0</v>
      </c>
      <c r="BO45" t="s">
        <v>107</v>
      </c>
      <c r="BP45">
        <v>1</v>
      </c>
      <c r="BQ45">
        <v>60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5</v>
      </c>
      <c r="BZ45">
        <v>0</v>
      </c>
      <c r="CA45">
        <v>0</v>
      </c>
      <c r="CE45">
        <v>30</v>
      </c>
      <c r="CF45">
        <v>0</v>
      </c>
      <c r="CG45">
        <v>0</v>
      </c>
      <c r="CM45">
        <v>0</v>
      </c>
      <c r="CN45" t="s">
        <v>5</v>
      </c>
      <c r="CO45">
        <v>0</v>
      </c>
      <c r="CP45">
        <f t="shared" si="41"/>
        <v>0</v>
      </c>
      <c r="CQ45">
        <f t="shared" si="42"/>
        <v>3860.37</v>
      </c>
      <c r="CR45">
        <f>(ROUND((ROUND(((ET45)*AV45*1),2)*BB45),2)+ROUND((ROUND(((AE45-(EU45))*AV45*1),2)*BS45),2))</f>
        <v>0</v>
      </c>
      <c r="CS45">
        <f t="shared" si="43"/>
        <v>0</v>
      </c>
      <c r="CT45">
        <f t="shared" si="44"/>
        <v>0</v>
      </c>
      <c r="CU45">
        <f t="shared" si="45"/>
        <v>0</v>
      </c>
      <c r="CV45">
        <f t="shared" si="46"/>
        <v>0</v>
      </c>
      <c r="CW45">
        <f t="shared" si="47"/>
        <v>0</v>
      </c>
      <c r="CX45">
        <f t="shared" si="48"/>
        <v>0</v>
      </c>
      <c r="CY45">
        <f t="shared" si="49"/>
        <v>0</v>
      </c>
      <c r="CZ45">
        <f t="shared" si="50"/>
        <v>0</v>
      </c>
      <c r="DC45" t="s">
        <v>5</v>
      </c>
      <c r="DD45" t="s">
        <v>5</v>
      </c>
      <c r="DE45" t="s">
        <v>5</v>
      </c>
      <c r="DF45" t="s">
        <v>5</v>
      </c>
      <c r="DG45" t="s">
        <v>5</v>
      </c>
      <c r="DH45" t="s">
        <v>5</v>
      </c>
      <c r="DI45" t="s">
        <v>5</v>
      </c>
      <c r="DJ45" t="s">
        <v>5</v>
      </c>
      <c r="DK45" t="s">
        <v>5</v>
      </c>
      <c r="DL45" t="s">
        <v>5</v>
      </c>
      <c r="DM45" t="s">
        <v>5</v>
      </c>
      <c r="DN45">
        <v>91</v>
      </c>
      <c r="DO45">
        <v>70</v>
      </c>
      <c r="DP45">
        <v>1.0469999999999999</v>
      </c>
      <c r="DQ45">
        <v>1.002</v>
      </c>
      <c r="DU45">
        <v>1007</v>
      </c>
      <c r="DV45" t="s">
        <v>40</v>
      </c>
      <c r="DW45" t="s">
        <v>40</v>
      </c>
      <c r="DX45">
        <v>1</v>
      </c>
      <c r="EE45">
        <v>44064501</v>
      </c>
      <c r="EF45">
        <v>60</v>
      </c>
      <c r="EG45" t="s">
        <v>49</v>
      </c>
      <c r="EH45">
        <v>0</v>
      </c>
      <c r="EI45" t="s">
        <v>5</v>
      </c>
      <c r="EJ45">
        <v>1</v>
      </c>
      <c r="EK45">
        <v>682</v>
      </c>
      <c r="EL45" t="s">
        <v>100</v>
      </c>
      <c r="EM45" t="s">
        <v>101</v>
      </c>
      <c r="EO45" t="s">
        <v>5</v>
      </c>
      <c r="EQ45">
        <v>0</v>
      </c>
      <c r="ER45">
        <v>517.14</v>
      </c>
      <c r="ES45">
        <v>517.14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1"/>
        <v>0</v>
      </c>
      <c r="FS45">
        <v>0</v>
      </c>
      <c r="FX45">
        <v>91</v>
      </c>
      <c r="FY45">
        <v>70</v>
      </c>
      <c r="GA45" t="s">
        <v>5</v>
      </c>
      <c r="GD45">
        <v>0</v>
      </c>
      <c r="GF45">
        <v>412444006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52"/>
        <v>0</v>
      </c>
      <c r="GM45">
        <f t="shared" si="53"/>
        <v>0</v>
      </c>
      <c r="GN45">
        <f t="shared" si="54"/>
        <v>0</v>
      </c>
      <c r="GO45">
        <f t="shared" si="55"/>
        <v>0</v>
      </c>
      <c r="GP45">
        <f t="shared" si="56"/>
        <v>0</v>
      </c>
      <c r="GR45">
        <v>0</v>
      </c>
      <c r="GS45">
        <v>0</v>
      </c>
      <c r="GT45">
        <v>0</v>
      </c>
      <c r="GU45" t="s">
        <v>5</v>
      </c>
      <c r="GV45">
        <f t="shared" si="57"/>
        <v>0</v>
      </c>
      <c r="GW45">
        <v>1</v>
      </c>
      <c r="GX45">
        <f t="shared" si="58"/>
        <v>0</v>
      </c>
      <c r="HA45">
        <v>0</v>
      </c>
      <c r="HB45">
        <v>0</v>
      </c>
      <c r="HC45">
        <f t="shared" si="59"/>
        <v>0</v>
      </c>
      <c r="IK45">
        <v>0</v>
      </c>
    </row>
    <row r="47" spans="1:245" x14ac:dyDescent="0.2">
      <c r="A47" s="2">
        <v>51</v>
      </c>
      <c r="B47" s="2">
        <f>B24</f>
        <v>1</v>
      </c>
      <c r="C47" s="2">
        <f>A24</f>
        <v>4</v>
      </c>
      <c r="D47" s="2">
        <f>ROW(A24)</f>
        <v>24</v>
      </c>
      <c r="E47" s="2"/>
      <c r="F47" s="2" t="str">
        <f>IF(F24&lt;&gt;"",F24,"")</f>
        <v>Новый раздел</v>
      </c>
      <c r="G47" s="2" t="str">
        <f>IF(G24&lt;&gt;"",G24,"")</f>
        <v>Прокладка кабеля в земле. Строительные работы.</v>
      </c>
      <c r="H47" s="2">
        <v>0</v>
      </c>
      <c r="I47" s="2"/>
      <c r="J47" s="2"/>
      <c r="K47" s="2"/>
      <c r="L47" s="2"/>
      <c r="M47" s="2"/>
      <c r="N47" s="2"/>
      <c r="O47" s="2">
        <f t="shared" ref="O47:T47" si="62">ROUND(AB47,2)</f>
        <v>1023209.71</v>
      </c>
      <c r="P47" s="2">
        <f t="shared" si="62"/>
        <v>637133.04</v>
      </c>
      <c r="Q47" s="2">
        <f t="shared" si="62"/>
        <v>0</v>
      </c>
      <c r="R47" s="2">
        <f t="shared" si="62"/>
        <v>0</v>
      </c>
      <c r="S47" s="2">
        <f t="shared" si="62"/>
        <v>386076.67</v>
      </c>
      <c r="T47" s="2">
        <f t="shared" si="62"/>
        <v>0</v>
      </c>
      <c r="U47" s="2">
        <f>AH47</f>
        <v>1645.7299578519778</v>
      </c>
      <c r="V47" s="2">
        <f>AI47</f>
        <v>0</v>
      </c>
      <c r="W47" s="2">
        <f>ROUND(AJ47,2)</f>
        <v>0</v>
      </c>
      <c r="X47" s="2">
        <f>ROUND(AK47,2)</f>
        <v>326538.81</v>
      </c>
      <c r="Y47" s="2">
        <f>ROUND(AL47,2)</f>
        <v>158291.43</v>
      </c>
      <c r="Z47" s="2"/>
      <c r="AA47" s="2"/>
      <c r="AB47" s="2">
        <f>ROUND(SUMIF(AA28:AA45,"=44175501",O28:O45),2)</f>
        <v>1023209.71</v>
      </c>
      <c r="AC47" s="2">
        <f>ROUND(SUMIF(AA28:AA45,"=44175501",P28:P45),2)</f>
        <v>637133.04</v>
      </c>
      <c r="AD47" s="2">
        <f>ROUND(SUMIF(AA28:AA45,"=44175501",Q28:Q45),2)</f>
        <v>0</v>
      </c>
      <c r="AE47" s="2">
        <f>ROUND(SUMIF(AA28:AA45,"=44175501",R28:R45),2)</f>
        <v>0</v>
      </c>
      <c r="AF47" s="2">
        <f>ROUND(SUMIF(AA28:AA45,"=44175501",S28:S45),2)</f>
        <v>386076.67</v>
      </c>
      <c r="AG47" s="2">
        <f>ROUND(SUMIF(AA28:AA45,"=44175501",T28:T45),2)</f>
        <v>0</v>
      </c>
      <c r="AH47" s="2">
        <f>SUMIF(AA28:AA45,"=44175501",U28:U45)</f>
        <v>1645.7299578519778</v>
      </c>
      <c r="AI47" s="2">
        <f>SUMIF(AA28:AA45,"=44175501",V28:V45)</f>
        <v>0</v>
      </c>
      <c r="AJ47" s="2">
        <f>ROUND(SUMIF(AA28:AA45,"=44175501",W28:W45),2)</f>
        <v>0</v>
      </c>
      <c r="AK47" s="2">
        <f>ROUND(SUMIF(AA28:AA45,"=44175501",X28:X45),2)</f>
        <v>326538.81</v>
      </c>
      <c r="AL47" s="2">
        <f>ROUND(SUMIF(AA28:AA45,"=44175501",Y28:Y45),2)</f>
        <v>158291.43</v>
      </c>
      <c r="AM47" s="2"/>
      <c r="AN47" s="2"/>
      <c r="AO47" s="2">
        <f t="shared" ref="AO47:BD47" si="63">ROUND(BX47,2)</f>
        <v>0</v>
      </c>
      <c r="AP47" s="2">
        <f t="shared" si="63"/>
        <v>0</v>
      </c>
      <c r="AQ47" s="2">
        <f t="shared" si="63"/>
        <v>0</v>
      </c>
      <c r="AR47" s="2">
        <f t="shared" si="63"/>
        <v>1508039.95</v>
      </c>
      <c r="AS47" s="2">
        <f t="shared" si="63"/>
        <v>1508039.95</v>
      </c>
      <c r="AT47" s="2">
        <f t="shared" si="63"/>
        <v>0</v>
      </c>
      <c r="AU47" s="2">
        <f t="shared" si="63"/>
        <v>0</v>
      </c>
      <c r="AV47" s="2">
        <f t="shared" si="63"/>
        <v>637133.04</v>
      </c>
      <c r="AW47" s="2">
        <f t="shared" si="63"/>
        <v>637133.04</v>
      </c>
      <c r="AX47" s="2">
        <f t="shared" si="63"/>
        <v>0</v>
      </c>
      <c r="AY47" s="2">
        <f t="shared" si="63"/>
        <v>637133.04</v>
      </c>
      <c r="AZ47" s="2">
        <f t="shared" si="63"/>
        <v>0</v>
      </c>
      <c r="BA47" s="2">
        <f t="shared" si="63"/>
        <v>0</v>
      </c>
      <c r="BB47" s="2">
        <f t="shared" si="63"/>
        <v>0</v>
      </c>
      <c r="BC47" s="2">
        <f t="shared" si="63"/>
        <v>0</v>
      </c>
      <c r="BD47" s="2">
        <f t="shared" si="63"/>
        <v>0</v>
      </c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>
        <f>ROUND(SUMIF(AA28:AA45,"=44175501",FQ28:FQ45),2)</f>
        <v>0</v>
      </c>
      <c r="BY47" s="2">
        <f>ROUND(SUMIF(AA28:AA45,"=44175501",FR28:FR45),2)</f>
        <v>0</v>
      </c>
      <c r="BZ47" s="2">
        <f>ROUND(SUMIF(AA28:AA45,"=44175501",GL28:GL45),2)</f>
        <v>0</v>
      </c>
      <c r="CA47" s="2">
        <f>ROUND(SUMIF(AA28:AA45,"=44175501",GM28:GM45),2)</f>
        <v>1508039.95</v>
      </c>
      <c r="CB47" s="2">
        <f>ROUND(SUMIF(AA28:AA45,"=44175501",GN28:GN45),2)</f>
        <v>1508039.95</v>
      </c>
      <c r="CC47" s="2">
        <f>ROUND(SUMIF(AA28:AA45,"=44175501",GO28:GO45),2)</f>
        <v>0</v>
      </c>
      <c r="CD47" s="2">
        <f>ROUND(SUMIF(AA28:AA45,"=44175501",GP28:GP45),2)</f>
        <v>0</v>
      </c>
      <c r="CE47" s="2">
        <f>AC47-BX47</f>
        <v>637133.04</v>
      </c>
      <c r="CF47" s="2">
        <f>AC47-BY47</f>
        <v>637133.04</v>
      </c>
      <c r="CG47" s="2">
        <f>BX47-BZ47</f>
        <v>0</v>
      </c>
      <c r="CH47" s="2">
        <f>AC47-BX47-BY47+BZ47</f>
        <v>637133.04</v>
      </c>
      <c r="CI47" s="2">
        <f>BY47-BZ47</f>
        <v>0</v>
      </c>
      <c r="CJ47" s="2">
        <f>ROUND(SUMIF(AA28:AA45,"=44175501",GX28:GX45),2)</f>
        <v>0</v>
      </c>
      <c r="CK47" s="2">
        <f>ROUND(SUMIF(AA28:AA45,"=44175501",GY28:GY45),2)</f>
        <v>0</v>
      </c>
      <c r="CL47" s="2">
        <f>ROUND(SUMIF(AA28:AA45,"=44175501",GZ28:GZ45),2)</f>
        <v>0</v>
      </c>
      <c r="CM47" s="2">
        <f>ROUND(SUMIF(AA28:AA45,"=44175501",HD28:HD45),2)</f>
        <v>0</v>
      </c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>
        <v>0</v>
      </c>
    </row>
    <row r="49" spans="1:23" x14ac:dyDescent="0.2">
      <c r="A49" s="4">
        <v>50</v>
      </c>
      <c r="B49" s="4">
        <v>0</v>
      </c>
      <c r="C49" s="4">
        <v>0</v>
      </c>
      <c r="D49" s="4">
        <v>2</v>
      </c>
      <c r="E49" s="4">
        <v>0</v>
      </c>
      <c r="F49" s="4">
        <f>ROUND(F265,O49)</f>
        <v>9193011.2599999998</v>
      </c>
      <c r="G49" s="4" t="s">
        <v>5</v>
      </c>
      <c r="H49" s="4" t="s">
        <v>5</v>
      </c>
      <c r="I49" s="4"/>
      <c r="J49" s="4"/>
      <c r="K49" s="4">
        <v>212</v>
      </c>
      <c r="L49" s="4">
        <v>1</v>
      </c>
      <c r="M49" s="4">
        <v>3</v>
      </c>
      <c r="N49" s="4" t="s">
        <v>5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201</v>
      </c>
      <c r="F50" s="4">
        <f>ROUND(Source!O47,O50)</f>
        <v>1023209.71</v>
      </c>
      <c r="G50" s="4" t="s">
        <v>110</v>
      </c>
      <c r="H50" s="4" t="s">
        <v>111</v>
      </c>
      <c r="I50" s="4"/>
      <c r="J50" s="4"/>
      <c r="K50" s="4">
        <v>201</v>
      </c>
      <c r="L50" s="4">
        <v>2</v>
      </c>
      <c r="M50" s="4">
        <v>3</v>
      </c>
      <c r="N50" s="4" t="s">
        <v>5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202</v>
      </c>
      <c r="F51" s="4">
        <f>ROUND(Source!P47,O51)</f>
        <v>637133.04</v>
      </c>
      <c r="G51" s="4" t="s">
        <v>112</v>
      </c>
      <c r="H51" s="4" t="s">
        <v>113</v>
      </c>
      <c r="I51" s="4"/>
      <c r="J51" s="4"/>
      <c r="K51" s="4">
        <v>202</v>
      </c>
      <c r="L51" s="4">
        <v>3</v>
      </c>
      <c r="M51" s="4">
        <v>3</v>
      </c>
      <c r="N51" s="4" t="s">
        <v>5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222</v>
      </c>
      <c r="F52" s="4">
        <f>ROUND(Source!AO47,O52)</f>
        <v>0</v>
      </c>
      <c r="G52" s="4" t="s">
        <v>114</v>
      </c>
      <c r="H52" s="4" t="s">
        <v>115</v>
      </c>
      <c r="I52" s="4"/>
      <c r="J52" s="4"/>
      <c r="K52" s="4">
        <v>222</v>
      </c>
      <c r="L52" s="4">
        <v>4</v>
      </c>
      <c r="M52" s="4">
        <v>3</v>
      </c>
      <c r="N52" s="4" t="s">
        <v>5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225</v>
      </c>
      <c r="F53" s="4">
        <f>ROUND(Source!AV47,O53)</f>
        <v>637133.04</v>
      </c>
      <c r="G53" s="4" t="s">
        <v>116</v>
      </c>
      <c r="H53" s="4" t="s">
        <v>117</v>
      </c>
      <c r="I53" s="4"/>
      <c r="J53" s="4"/>
      <c r="K53" s="4">
        <v>225</v>
      </c>
      <c r="L53" s="4">
        <v>5</v>
      </c>
      <c r="M53" s="4">
        <v>3</v>
      </c>
      <c r="N53" s="4" t="s">
        <v>5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226</v>
      </c>
      <c r="F54" s="4">
        <f>ROUND(Source!AW47,O54)</f>
        <v>637133.04</v>
      </c>
      <c r="G54" s="4" t="s">
        <v>118</v>
      </c>
      <c r="H54" s="4" t="s">
        <v>119</v>
      </c>
      <c r="I54" s="4"/>
      <c r="J54" s="4"/>
      <c r="K54" s="4">
        <v>226</v>
      </c>
      <c r="L54" s="4">
        <v>6</v>
      </c>
      <c r="M54" s="4">
        <v>3</v>
      </c>
      <c r="N54" s="4" t="s">
        <v>5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227</v>
      </c>
      <c r="F55" s="4">
        <f>ROUND(Source!AX47,O55)</f>
        <v>0</v>
      </c>
      <c r="G55" s="4" t="s">
        <v>120</v>
      </c>
      <c r="H55" s="4" t="s">
        <v>121</v>
      </c>
      <c r="I55" s="4"/>
      <c r="J55" s="4"/>
      <c r="K55" s="4">
        <v>227</v>
      </c>
      <c r="L55" s="4">
        <v>7</v>
      </c>
      <c r="M55" s="4">
        <v>3</v>
      </c>
      <c r="N55" s="4" t="s">
        <v>5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228</v>
      </c>
      <c r="F56" s="4">
        <f>ROUND(Source!AY47,O56)</f>
        <v>637133.04</v>
      </c>
      <c r="G56" s="4" t="s">
        <v>122</v>
      </c>
      <c r="H56" s="4" t="s">
        <v>123</v>
      </c>
      <c r="I56" s="4"/>
      <c r="J56" s="4"/>
      <c r="K56" s="4">
        <v>228</v>
      </c>
      <c r="L56" s="4">
        <v>8</v>
      </c>
      <c r="M56" s="4">
        <v>3</v>
      </c>
      <c r="N56" s="4" t="s">
        <v>5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216</v>
      </c>
      <c r="F57" s="4">
        <f>ROUND(Source!AP47,O57)</f>
        <v>0</v>
      </c>
      <c r="G57" s="4" t="s">
        <v>124</v>
      </c>
      <c r="H57" s="4" t="s">
        <v>125</v>
      </c>
      <c r="I57" s="4"/>
      <c r="J57" s="4"/>
      <c r="K57" s="4">
        <v>216</v>
      </c>
      <c r="L57" s="4">
        <v>9</v>
      </c>
      <c r="M57" s="4">
        <v>3</v>
      </c>
      <c r="N57" s="4" t="s">
        <v>5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223</v>
      </c>
      <c r="F58" s="4">
        <f>ROUND(Source!AQ47,O58)</f>
        <v>0</v>
      </c>
      <c r="G58" s="4" t="s">
        <v>126</v>
      </c>
      <c r="H58" s="4" t="s">
        <v>127</v>
      </c>
      <c r="I58" s="4"/>
      <c r="J58" s="4"/>
      <c r="K58" s="4">
        <v>223</v>
      </c>
      <c r="L58" s="4">
        <v>10</v>
      </c>
      <c r="M58" s="4">
        <v>3</v>
      </c>
      <c r="N58" s="4" t="s">
        <v>5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229</v>
      </c>
      <c r="F59" s="4">
        <f>ROUND(Source!AZ47,O59)</f>
        <v>0</v>
      </c>
      <c r="G59" s="4" t="s">
        <v>128</v>
      </c>
      <c r="H59" s="4" t="s">
        <v>129</v>
      </c>
      <c r="I59" s="4"/>
      <c r="J59" s="4"/>
      <c r="K59" s="4">
        <v>229</v>
      </c>
      <c r="L59" s="4">
        <v>11</v>
      </c>
      <c r="M59" s="4">
        <v>3</v>
      </c>
      <c r="N59" s="4" t="s">
        <v>5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203</v>
      </c>
      <c r="F60" s="4">
        <f>ROUND(Source!Q47,O60)</f>
        <v>0</v>
      </c>
      <c r="G60" s="4" t="s">
        <v>130</v>
      </c>
      <c r="H60" s="4" t="s">
        <v>131</v>
      </c>
      <c r="I60" s="4"/>
      <c r="J60" s="4"/>
      <c r="K60" s="4">
        <v>203</v>
      </c>
      <c r="L60" s="4">
        <v>12</v>
      </c>
      <c r="M60" s="4">
        <v>3</v>
      </c>
      <c r="N60" s="4" t="s">
        <v>5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231</v>
      </c>
      <c r="F61" s="4">
        <f>ROUND(Source!BB47,O61)</f>
        <v>0</v>
      </c>
      <c r="G61" s="4" t="s">
        <v>132</v>
      </c>
      <c r="H61" s="4" t="s">
        <v>133</v>
      </c>
      <c r="I61" s="4"/>
      <c r="J61" s="4"/>
      <c r="K61" s="4">
        <v>231</v>
      </c>
      <c r="L61" s="4">
        <v>13</v>
      </c>
      <c r="M61" s="4">
        <v>3</v>
      </c>
      <c r="N61" s="4" t="s">
        <v>5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204</v>
      </c>
      <c r="F62" s="4">
        <f>ROUND(Source!R47,O62)</f>
        <v>0</v>
      </c>
      <c r="G62" s="4" t="s">
        <v>134</v>
      </c>
      <c r="H62" s="4" t="s">
        <v>135</v>
      </c>
      <c r="I62" s="4"/>
      <c r="J62" s="4"/>
      <c r="K62" s="4">
        <v>204</v>
      </c>
      <c r="L62" s="4">
        <v>14</v>
      </c>
      <c r="M62" s="4">
        <v>3</v>
      </c>
      <c r="N62" s="4" t="s">
        <v>5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205</v>
      </c>
      <c r="F63" s="4">
        <f>ROUND(Source!S47,O63)</f>
        <v>386076.67</v>
      </c>
      <c r="G63" s="4" t="s">
        <v>136</v>
      </c>
      <c r="H63" s="4" t="s">
        <v>137</v>
      </c>
      <c r="I63" s="4"/>
      <c r="J63" s="4"/>
      <c r="K63" s="4">
        <v>205</v>
      </c>
      <c r="L63" s="4">
        <v>15</v>
      </c>
      <c r="M63" s="4">
        <v>3</v>
      </c>
      <c r="N63" s="4" t="s">
        <v>5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232</v>
      </c>
      <c r="F64" s="4">
        <f>ROUND(Source!BC47,O64)</f>
        <v>0</v>
      </c>
      <c r="G64" s="4" t="s">
        <v>138</v>
      </c>
      <c r="H64" s="4" t="s">
        <v>139</v>
      </c>
      <c r="I64" s="4"/>
      <c r="J64" s="4"/>
      <c r="K64" s="4">
        <v>232</v>
      </c>
      <c r="L64" s="4">
        <v>16</v>
      </c>
      <c r="M64" s="4">
        <v>3</v>
      </c>
      <c r="N64" s="4" t="s">
        <v>5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88" x14ac:dyDescent="0.2">
      <c r="A65" s="4">
        <v>50</v>
      </c>
      <c r="B65" s="4">
        <v>0</v>
      </c>
      <c r="C65" s="4">
        <v>0</v>
      </c>
      <c r="D65" s="4">
        <v>1</v>
      </c>
      <c r="E65" s="4">
        <v>214</v>
      </c>
      <c r="F65" s="4">
        <f>ROUND(Source!AS47,O65)</f>
        <v>1508039.95</v>
      </c>
      <c r="G65" s="4" t="s">
        <v>140</v>
      </c>
      <c r="H65" s="4" t="s">
        <v>141</v>
      </c>
      <c r="I65" s="4"/>
      <c r="J65" s="4"/>
      <c r="K65" s="4">
        <v>214</v>
      </c>
      <c r="L65" s="4">
        <v>17</v>
      </c>
      <c r="M65" s="4">
        <v>3</v>
      </c>
      <c r="N65" s="4" t="s">
        <v>5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88" x14ac:dyDescent="0.2">
      <c r="A66" s="4">
        <v>50</v>
      </c>
      <c r="B66" s="4">
        <v>0</v>
      </c>
      <c r="C66" s="4">
        <v>0</v>
      </c>
      <c r="D66" s="4">
        <v>1</v>
      </c>
      <c r="E66" s="4">
        <v>215</v>
      </c>
      <c r="F66" s="4">
        <f>ROUND(Source!AT47,O66)</f>
        <v>0</v>
      </c>
      <c r="G66" s="4" t="s">
        <v>142</v>
      </c>
      <c r="H66" s="4" t="s">
        <v>143</v>
      </c>
      <c r="I66" s="4"/>
      <c r="J66" s="4"/>
      <c r="K66" s="4">
        <v>215</v>
      </c>
      <c r="L66" s="4">
        <v>18</v>
      </c>
      <c r="M66" s="4">
        <v>3</v>
      </c>
      <c r="N66" s="4" t="s">
        <v>5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88" x14ac:dyDescent="0.2">
      <c r="A67" s="4">
        <v>50</v>
      </c>
      <c r="B67" s="4">
        <v>0</v>
      </c>
      <c r="C67" s="4">
        <v>0</v>
      </c>
      <c r="D67" s="4">
        <v>1</v>
      </c>
      <c r="E67" s="4">
        <v>217</v>
      </c>
      <c r="F67" s="4">
        <f>ROUND(Source!AU47,O67)</f>
        <v>0</v>
      </c>
      <c r="G67" s="4" t="s">
        <v>144</v>
      </c>
      <c r="H67" s="4" t="s">
        <v>145</v>
      </c>
      <c r="I67" s="4"/>
      <c r="J67" s="4"/>
      <c r="K67" s="4">
        <v>217</v>
      </c>
      <c r="L67" s="4">
        <v>19</v>
      </c>
      <c r="M67" s="4">
        <v>3</v>
      </c>
      <c r="N67" s="4" t="s">
        <v>5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88" x14ac:dyDescent="0.2">
      <c r="A68" s="4">
        <v>50</v>
      </c>
      <c r="B68" s="4">
        <v>0</v>
      </c>
      <c r="C68" s="4">
        <v>0</v>
      </c>
      <c r="D68" s="4">
        <v>1</v>
      </c>
      <c r="E68" s="4">
        <v>230</v>
      </c>
      <c r="F68" s="4">
        <f>ROUND(Source!BA47,O68)</f>
        <v>0</v>
      </c>
      <c r="G68" s="4" t="s">
        <v>146</v>
      </c>
      <c r="H68" s="4" t="s">
        <v>147</v>
      </c>
      <c r="I68" s="4"/>
      <c r="J68" s="4"/>
      <c r="K68" s="4">
        <v>230</v>
      </c>
      <c r="L68" s="4">
        <v>20</v>
      </c>
      <c r="M68" s="4">
        <v>3</v>
      </c>
      <c r="N68" s="4" t="s">
        <v>5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88" x14ac:dyDescent="0.2">
      <c r="A69" s="4">
        <v>50</v>
      </c>
      <c r="B69" s="4">
        <v>0</v>
      </c>
      <c r="C69" s="4">
        <v>0</v>
      </c>
      <c r="D69" s="4">
        <v>1</v>
      </c>
      <c r="E69" s="4">
        <v>206</v>
      </c>
      <c r="F69" s="4">
        <f>ROUND(Source!T47,O69)</f>
        <v>0</v>
      </c>
      <c r="G69" s="4" t="s">
        <v>148</v>
      </c>
      <c r="H69" s="4" t="s">
        <v>149</v>
      </c>
      <c r="I69" s="4"/>
      <c r="J69" s="4"/>
      <c r="K69" s="4">
        <v>206</v>
      </c>
      <c r="L69" s="4">
        <v>21</v>
      </c>
      <c r="M69" s="4">
        <v>3</v>
      </c>
      <c r="N69" s="4" t="s">
        <v>5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88" x14ac:dyDescent="0.2">
      <c r="A70" s="4">
        <v>50</v>
      </c>
      <c r="B70" s="4">
        <v>0</v>
      </c>
      <c r="C70" s="4">
        <v>0</v>
      </c>
      <c r="D70" s="4">
        <v>1</v>
      </c>
      <c r="E70" s="4">
        <v>207</v>
      </c>
      <c r="F70" s="4">
        <f>Source!U47</f>
        <v>1645.7299578519778</v>
      </c>
      <c r="G70" s="4" t="s">
        <v>150</v>
      </c>
      <c r="H70" s="4" t="s">
        <v>151</v>
      </c>
      <c r="I70" s="4"/>
      <c r="J70" s="4"/>
      <c r="K70" s="4">
        <v>207</v>
      </c>
      <c r="L70" s="4">
        <v>22</v>
      </c>
      <c r="M70" s="4">
        <v>3</v>
      </c>
      <c r="N70" s="4" t="s">
        <v>5</v>
      </c>
      <c r="O70" s="4">
        <v>-1</v>
      </c>
      <c r="P70" s="4"/>
      <c r="Q70" s="4"/>
      <c r="R70" s="4"/>
      <c r="S70" s="4"/>
      <c r="T70" s="4"/>
      <c r="U70" s="4"/>
      <c r="V70" s="4"/>
      <c r="W70" s="4"/>
    </row>
    <row r="71" spans="1:88" x14ac:dyDescent="0.2">
      <c r="A71" s="4">
        <v>50</v>
      </c>
      <c r="B71" s="4">
        <v>0</v>
      </c>
      <c r="C71" s="4">
        <v>0</v>
      </c>
      <c r="D71" s="4">
        <v>1</v>
      </c>
      <c r="E71" s="4">
        <v>208</v>
      </c>
      <c r="F71" s="4">
        <f>Source!V47</f>
        <v>0</v>
      </c>
      <c r="G71" s="4" t="s">
        <v>152</v>
      </c>
      <c r="H71" s="4" t="s">
        <v>153</v>
      </c>
      <c r="I71" s="4"/>
      <c r="J71" s="4"/>
      <c r="K71" s="4">
        <v>208</v>
      </c>
      <c r="L71" s="4">
        <v>23</v>
      </c>
      <c r="M71" s="4">
        <v>3</v>
      </c>
      <c r="N71" s="4" t="s">
        <v>5</v>
      </c>
      <c r="O71" s="4">
        <v>-1</v>
      </c>
      <c r="P71" s="4"/>
      <c r="Q71" s="4"/>
      <c r="R71" s="4"/>
      <c r="S71" s="4"/>
      <c r="T71" s="4"/>
      <c r="U71" s="4"/>
      <c r="V71" s="4"/>
      <c r="W71" s="4"/>
    </row>
    <row r="72" spans="1:88" x14ac:dyDescent="0.2">
      <c r="A72" s="4">
        <v>50</v>
      </c>
      <c r="B72" s="4">
        <v>0</v>
      </c>
      <c r="C72" s="4">
        <v>0</v>
      </c>
      <c r="D72" s="4">
        <v>1</v>
      </c>
      <c r="E72" s="4">
        <v>209</v>
      </c>
      <c r="F72" s="4">
        <f>ROUND(Source!W47,O72)</f>
        <v>0</v>
      </c>
      <c r="G72" s="4" t="s">
        <v>154</v>
      </c>
      <c r="H72" s="4" t="s">
        <v>155</v>
      </c>
      <c r="I72" s="4"/>
      <c r="J72" s="4"/>
      <c r="K72" s="4">
        <v>209</v>
      </c>
      <c r="L72" s="4">
        <v>24</v>
      </c>
      <c r="M72" s="4">
        <v>3</v>
      </c>
      <c r="N72" s="4" t="s">
        <v>5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88" x14ac:dyDescent="0.2">
      <c r="A73" s="4">
        <v>50</v>
      </c>
      <c r="B73" s="4">
        <v>0</v>
      </c>
      <c r="C73" s="4">
        <v>0</v>
      </c>
      <c r="D73" s="4">
        <v>1</v>
      </c>
      <c r="E73" s="4">
        <v>233</v>
      </c>
      <c r="F73" s="4">
        <f>ROUND(Source!BD47,O73)</f>
        <v>0</v>
      </c>
      <c r="G73" s="4" t="s">
        <v>156</v>
      </c>
      <c r="H73" s="4" t="s">
        <v>157</v>
      </c>
      <c r="I73" s="4"/>
      <c r="J73" s="4"/>
      <c r="K73" s="4">
        <v>233</v>
      </c>
      <c r="L73" s="4">
        <v>25</v>
      </c>
      <c r="M73" s="4">
        <v>3</v>
      </c>
      <c r="N73" s="4" t="s">
        <v>5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88" x14ac:dyDescent="0.2">
      <c r="A74" s="4">
        <v>50</v>
      </c>
      <c r="B74" s="4">
        <v>0</v>
      </c>
      <c r="C74" s="4">
        <v>0</v>
      </c>
      <c r="D74" s="4">
        <v>1</v>
      </c>
      <c r="E74" s="4">
        <v>210</v>
      </c>
      <c r="F74" s="4">
        <f>ROUND(Source!X47,O74)</f>
        <v>326538.81</v>
      </c>
      <c r="G74" s="4" t="s">
        <v>158</v>
      </c>
      <c r="H74" s="4" t="s">
        <v>159</v>
      </c>
      <c r="I74" s="4"/>
      <c r="J74" s="4"/>
      <c r="K74" s="4">
        <v>210</v>
      </c>
      <c r="L74" s="4">
        <v>26</v>
      </c>
      <c r="M74" s="4">
        <v>3</v>
      </c>
      <c r="N74" s="4" t="s">
        <v>5</v>
      </c>
      <c r="O74" s="4">
        <v>2</v>
      </c>
      <c r="P74" s="4"/>
      <c r="Q74" s="4"/>
      <c r="R74" s="4"/>
      <c r="S74" s="4"/>
      <c r="T74" s="4"/>
      <c r="U74" s="4"/>
      <c r="V74" s="4"/>
      <c r="W74" s="4"/>
    </row>
    <row r="75" spans="1:88" x14ac:dyDescent="0.2">
      <c r="A75" s="4">
        <v>50</v>
      </c>
      <c r="B75" s="4">
        <v>0</v>
      </c>
      <c r="C75" s="4">
        <v>0</v>
      </c>
      <c r="D75" s="4">
        <v>1</v>
      </c>
      <c r="E75" s="4">
        <v>211</v>
      </c>
      <c r="F75" s="4">
        <f>ROUND(Source!Y47,O75)</f>
        <v>158291.43</v>
      </c>
      <c r="G75" s="4" t="s">
        <v>160</v>
      </c>
      <c r="H75" s="4" t="s">
        <v>161</v>
      </c>
      <c r="I75" s="4"/>
      <c r="J75" s="4"/>
      <c r="K75" s="4">
        <v>211</v>
      </c>
      <c r="L75" s="4">
        <v>27</v>
      </c>
      <c r="M75" s="4">
        <v>3</v>
      </c>
      <c r="N75" s="4" t="s">
        <v>5</v>
      </c>
      <c r="O75" s="4">
        <v>2</v>
      </c>
      <c r="P75" s="4"/>
      <c r="Q75" s="4"/>
      <c r="R75" s="4"/>
      <c r="S75" s="4"/>
      <c r="T75" s="4"/>
      <c r="U75" s="4"/>
      <c r="V75" s="4"/>
      <c r="W75" s="4"/>
    </row>
    <row r="76" spans="1:88" x14ac:dyDescent="0.2">
      <c r="A76" s="4">
        <v>50</v>
      </c>
      <c r="B76" s="4">
        <v>0</v>
      </c>
      <c r="C76" s="4">
        <v>0</v>
      </c>
      <c r="D76" s="4">
        <v>1</v>
      </c>
      <c r="E76" s="4">
        <v>224</v>
      </c>
      <c r="F76" s="4">
        <f>ROUND(Source!AR47,O76)</f>
        <v>1508039.95</v>
      </c>
      <c r="G76" s="4" t="s">
        <v>162</v>
      </c>
      <c r="H76" s="4" t="s">
        <v>163</v>
      </c>
      <c r="I76" s="4"/>
      <c r="J76" s="4"/>
      <c r="K76" s="4">
        <v>224</v>
      </c>
      <c r="L76" s="4">
        <v>28</v>
      </c>
      <c r="M76" s="4">
        <v>3</v>
      </c>
      <c r="N76" s="4" t="s">
        <v>5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88" x14ac:dyDescent="0.2">
      <c r="A77" s="4">
        <v>50</v>
      </c>
      <c r="B77" s="4">
        <v>1</v>
      </c>
      <c r="C77" s="4">
        <v>0</v>
      </c>
      <c r="D77" s="4">
        <v>2</v>
      </c>
      <c r="E77" s="4">
        <v>0</v>
      </c>
      <c r="F77" s="4">
        <f>ROUND(F76,O77)</f>
        <v>1508039.95</v>
      </c>
      <c r="G77" s="4" t="s">
        <v>164</v>
      </c>
      <c r="H77" s="4" t="s">
        <v>165</v>
      </c>
      <c r="I77" s="4"/>
      <c r="J77" s="4"/>
      <c r="K77" s="4">
        <v>212</v>
      </c>
      <c r="L77" s="4">
        <v>29</v>
      </c>
      <c r="M77" s="4">
        <v>0</v>
      </c>
      <c r="N77" s="4" t="s">
        <v>5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9" spans="1:88" x14ac:dyDescent="0.2">
      <c r="A79" s="1">
        <v>4</v>
      </c>
      <c r="B79" s="1">
        <v>1</v>
      </c>
      <c r="C79" s="1"/>
      <c r="D79" s="1">
        <f>ROW(A121)</f>
        <v>121</v>
      </c>
      <c r="E79" s="1"/>
      <c r="F79" s="1" t="s">
        <v>22</v>
      </c>
      <c r="G79" s="1" t="s">
        <v>166</v>
      </c>
      <c r="H79" s="1" t="s">
        <v>5</v>
      </c>
      <c r="I79" s="1">
        <v>0</v>
      </c>
      <c r="J79" s="1"/>
      <c r="K79" s="1">
        <v>0</v>
      </c>
      <c r="L79" s="1"/>
      <c r="M79" s="1"/>
      <c r="N79" s="1"/>
      <c r="O79" s="1"/>
      <c r="P79" s="1"/>
      <c r="Q79" s="1"/>
      <c r="R79" s="1"/>
      <c r="S79" s="1"/>
      <c r="T79" s="1"/>
      <c r="U79" s="1" t="s">
        <v>5</v>
      </c>
      <c r="V79" s="1">
        <v>0</v>
      </c>
      <c r="W79" s="1"/>
      <c r="X79" s="1"/>
      <c r="Y79" s="1"/>
      <c r="Z79" s="1"/>
      <c r="AA79" s="1"/>
      <c r="AB79" s="1" t="s">
        <v>5</v>
      </c>
      <c r="AC79" s="1" t="s">
        <v>5</v>
      </c>
      <c r="AD79" s="1" t="s">
        <v>5</v>
      </c>
      <c r="AE79" s="1" t="s">
        <v>5</v>
      </c>
      <c r="AF79" s="1" t="s">
        <v>5</v>
      </c>
      <c r="AG79" s="1" t="s">
        <v>5</v>
      </c>
      <c r="AH79" s="1"/>
      <c r="AI79" s="1"/>
      <c r="AJ79" s="1"/>
      <c r="AK79" s="1"/>
      <c r="AL79" s="1"/>
      <c r="AM79" s="1"/>
      <c r="AN79" s="1"/>
      <c r="AO79" s="1"/>
      <c r="AP79" s="1" t="s">
        <v>5</v>
      </c>
      <c r="AQ79" s="1" t="s">
        <v>5</v>
      </c>
      <c r="AR79" s="1" t="s">
        <v>5</v>
      </c>
      <c r="AS79" s="1"/>
      <c r="AT79" s="1"/>
      <c r="AU79" s="1"/>
      <c r="AV79" s="1"/>
      <c r="AW79" s="1"/>
      <c r="AX79" s="1"/>
      <c r="AY79" s="1"/>
      <c r="AZ79" s="1" t="s">
        <v>5</v>
      </c>
      <c r="BA79" s="1"/>
      <c r="BB79" s="1" t="s">
        <v>5</v>
      </c>
      <c r="BC79" s="1" t="s">
        <v>5</v>
      </c>
      <c r="BD79" s="1" t="s">
        <v>5</v>
      </c>
      <c r="BE79" s="1" t="s">
        <v>5</v>
      </c>
      <c r="BF79" s="1" t="s">
        <v>5</v>
      </c>
      <c r="BG79" s="1" t="s">
        <v>5</v>
      </c>
      <c r="BH79" s="1" t="s">
        <v>5</v>
      </c>
      <c r="BI79" s="1" t="s">
        <v>5</v>
      </c>
      <c r="BJ79" s="1" t="s">
        <v>5</v>
      </c>
      <c r="BK79" s="1" t="s">
        <v>5</v>
      </c>
      <c r="BL79" s="1" t="s">
        <v>5</v>
      </c>
      <c r="BM79" s="1" t="s">
        <v>5</v>
      </c>
      <c r="BN79" s="1" t="s">
        <v>5</v>
      </c>
      <c r="BO79" s="1" t="s">
        <v>5</v>
      </c>
      <c r="BP79" s="1" t="s">
        <v>5</v>
      </c>
      <c r="BQ79" s="1"/>
      <c r="BR79" s="1"/>
      <c r="BS79" s="1"/>
      <c r="BT79" s="1"/>
      <c r="BU79" s="1"/>
      <c r="BV79" s="1"/>
      <c r="BW79" s="1"/>
      <c r="BX79" s="1">
        <v>0</v>
      </c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>
        <v>0</v>
      </c>
    </row>
    <row r="81" spans="1:245" x14ac:dyDescent="0.2">
      <c r="A81" s="2">
        <v>52</v>
      </c>
      <c r="B81" s="2">
        <f t="shared" ref="B81:G81" si="64">B121</f>
        <v>1</v>
      </c>
      <c r="C81" s="2">
        <f t="shared" si="64"/>
        <v>4</v>
      </c>
      <c r="D81" s="2">
        <f t="shared" si="64"/>
        <v>79</v>
      </c>
      <c r="E81" s="2">
        <f t="shared" si="64"/>
        <v>0</v>
      </c>
      <c r="F81" s="2" t="str">
        <f t="shared" si="64"/>
        <v>Новый раздел</v>
      </c>
      <c r="G81" s="2" t="str">
        <f t="shared" si="64"/>
        <v>Прокладка кабеля в земле. Монтажные работы.</v>
      </c>
      <c r="H81" s="2"/>
      <c r="I81" s="2"/>
      <c r="J81" s="2"/>
      <c r="K81" s="2"/>
      <c r="L81" s="2"/>
      <c r="M81" s="2"/>
      <c r="N81" s="2"/>
      <c r="O81" s="2">
        <f t="shared" ref="O81:AT81" si="65">O121</f>
        <v>5253268.28</v>
      </c>
      <c r="P81" s="2">
        <f t="shared" si="65"/>
        <v>4562266.2699999996</v>
      </c>
      <c r="Q81" s="2">
        <f t="shared" si="65"/>
        <v>101451.14</v>
      </c>
      <c r="R81" s="2">
        <f t="shared" si="65"/>
        <v>48943.56</v>
      </c>
      <c r="S81" s="2">
        <f t="shared" si="65"/>
        <v>589550.87</v>
      </c>
      <c r="T81" s="2">
        <f t="shared" si="65"/>
        <v>0</v>
      </c>
      <c r="U81" s="2">
        <f t="shared" si="65"/>
        <v>2167.9024617136797</v>
      </c>
      <c r="V81" s="2">
        <f t="shared" si="65"/>
        <v>0</v>
      </c>
      <c r="W81" s="2">
        <f t="shared" si="65"/>
        <v>0</v>
      </c>
      <c r="X81" s="2">
        <f t="shared" si="65"/>
        <v>530595.79</v>
      </c>
      <c r="Y81" s="2">
        <f t="shared" si="65"/>
        <v>253506.85</v>
      </c>
      <c r="Z81" s="2">
        <f t="shared" si="65"/>
        <v>0</v>
      </c>
      <c r="AA81" s="2">
        <f t="shared" si="65"/>
        <v>0</v>
      </c>
      <c r="AB81" s="2">
        <f t="shared" si="65"/>
        <v>5253268.28</v>
      </c>
      <c r="AC81" s="2">
        <f t="shared" si="65"/>
        <v>4562266.2699999996</v>
      </c>
      <c r="AD81" s="2">
        <f t="shared" si="65"/>
        <v>101451.14</v>
      </c>
      <c r="AE81" s="2">
        <f t="shared" si="65"/>
        <v>48943.56</v>
      </c>
      <c r="AF81" s="2">
        <f t="shared" si="65"/>
        <v>589550.87</v>
      </c>
      <c r="AG81" s="2">
        <f t="shared" si="65"/>
        <v>0</v>
      </c>
      <c r="AH81" s="2">
        <f t="shared" si="65"/>
        <v>2167.9024617136797</v>
      </c>
      <c r="AI81" s="2">
        <f t="shared" si="65"/>
        <v>0</v>
      </c>
      <c r="AJ81" s="2">
        <f t="shared" si="65"/>
        <v>0</v>
      </c>
      <c r="AK81" s="2">
        <f t="shared" si="65"/>
        <v>530595.79</v>
      </c>
      <c r="AL81" s="2">
        <f t="shared" si="65"/>
        <v>253506.85</v>
      </c>
      <c r="AM81" s="2">
        <f t="shared" si="65"/>
        <v>0</v>
      </c>
      <c r="AN81" s="2">
        <f t="shared" si="65"/>
        <v>0</v>
      </c>
      <c r="AO81" s="2">
        <f t="shared" si="65"/>
        <v>0</v>
      </c>
      <c r="AP81" s="2">
        <f t="shared" si="65"/>
        <v>0</v>
      </c>
      <c r="AQ81" s="2">
        <f t="shared" si="65"/>
        <v>0</v>
      </c>
      <c r="AR81" s="2">
        <f t="shared" si="65"/>
        <v>6114212.2999999998</v>
      </c>
      <c r="AS81" s="2">
        <f t="shared" si="65"/>
        <v>149449</v>
      </c>
      <c r="AT81" s="2">
        <f t="shared" si="65"/>
        <v>5964763.2999999998</v>
      </c>
      <c r="AU81" s="2">
        <f t="shared" ref="AU81:BZ81" si="66">AU121</f>
        <v>0</v>
      </c>
      <c r="AV81" s="2">
        <f t="shared" si="66"/>
        <v>4562266.2699999996</v>
      </c>
      <c r="AW81" s="2">
        <f t="shared" si="66"/>
        <v>4562266.2699999996</v>
      </c>
      <c r="AX81" s="2">
        <f t="shared" si="66"/>
        <v>0</v>
      </c>
      <c r="AY81" s="2">
        <f t="shared" si="66"/>
        <v>4562266.2699999996</v>
      </c>
      <c r="AZ81" s="2">
        <f t="shared" si="66"/>
        <v>0</v>
      </c>
      <c r="BA81" s="2">
        <f t="shared" si="66"/>
        <v>0</v>
      </c>
      <c r="BB81" s="2">
        <f t="shared" si="66"/>
        <v>0</v>
      </c>
      <c r="BC81" s="2">
        <f t="shared" si="66"/>
        <v>0</v>
      </c>
      <c r="BD81" s="2">
        <f t="shared" si="66"/>
        <v>0</v>
      </c>
      <c r="BE81" s="2">
        <f t="shared" si="66"/>
        <v>0</v>
      </c>
      <c r="BF81" s="2">
        <f t="shared" si="66"/>
        <v>0</v>
      </c>
      <c r="BG81" s="2">
        <f t="shared" si="66"/>
        <v>0</v>
      </c>
      <c r="BH81" s="2">
        <f t="shared" si="66"/>
        <v>0</v>
      </c>
      <c r="BI81" s="2">
        <f t="shared" si="66"/>
        <v>0</v>
      </c>
      <c r="BJ81" s="2">
        <f t="shared" si="66"/>
        <v>0</v>
      </c>
      <c r="BK81" s="2">
        <f t="shared" si="66"/>
        <v>0</v>
      </c>
      <c r="BL81" s="2">
        <f t="shared" si="66"/>
        <v>0</v>
      </c>
      <c r="BM81" s="2">
        <f t="shared" si="66"/>
        <v>0</v>
      </c>
      <c r="BN81" s="2">
        <f t="shared" si="66"/>
        <v>0</v>
      </c>
      <c r="BO81" s="2">
        <f t="shared" si="66"/>
        <v>0</v>
      </c>
      <c r="BP81" s="2">
        <f t="shared" si="66"/>
        <v>0</v>
      </c>
      <c r="BQ81" s="2">
        <f t="shared" si="66"/>
        <v>0</v>
      </c>
      <c r="BR81" s="2">
        <f t="shared" si="66"/>
        <v>0</v>
      </c>
      <c r="BS81" s="2">
        <f t="shared" si="66"/>
        <v>0</v>
      </c>
      <c r="BT81" s="2">
        <f t="shared" si="66"/>
        <v>0</v>
      </c>
      <c r="BU81" s="2">
        <f t="shared" si="66"/>
        <v>0</v>
      </c>
      <c r="BV81" s="2">
        <f t="shared" si="66"/>
        <v>0</v>
      </c>
      <c r="BW81" s="2">
        <f t="shared" si="66"/>
        <v>0</v>
      </c>
      <c r="BX81" s="2">
        <f t="shared" si="66"/>
        <v>0</v>
      </c>
      <c r="BY81" s="2">
        <f t="shared" si="66"/>
        <v>0</v>
      </c>
      <c r="BZ81" s="2">
        <f t="shared" si="66"/>
        <v>0</v>
      </c>
      <c r="CA81" s="2">
        <f t="shared" ref="CA81:DF81" si="67">CA121</f>
        <v>6114212.2999999998</v>
      </c>
      <c r="CB81" s="2">
        <f t="shared" si="67"/>
        <v>149449</v>
      </c>
      <c r="CC81" s="2">
        <f t="shared" si="67"/>
        <v>5964763.2999999998</v>
      </c>
      <c r="CD81" s="2">
        <f t="shared" si="67"/>
        <v>0</v>
      </c>
      <c r="CE81" s="2">
        <f t="shared" si="67"/>
        <v>4562266.2699999996</v>
      </c>
      <c r="CF81" s="2">
        <f t="shared" si="67"/>
        <v>4562266.2699999996</v>
      </c>
      <c r="CG81" s="2">
        <f t="shared" si="67"/>
        <v>0</v>
      </c>
      <c r="CH81" s="2">
        <f t="shared" si="67"/>
        <v>4562266.2699999996</v>
      </c>
      <c r="CI81" s="2">
        <f t="shared" si="67"/>
        <v>0</v>
      </c>
      <c r="CJ81" s="2">
        <f t="shared" si="67"/>
        <v>0</v>
      </c>
      <c r="CK81" s="2">
        <f t="shared" si="67"/>
        <v>0</v>
      </c>
      <c r="CL81" s="2">
        <f t="shared" si="67"/>
        <v>0</v>
      </c>
      <c r="CM81" s="2">
        <f t="shared" si="67"/>
        <v>0</v>
      </c>
      <c r="CN81" s="2">
        <f t="shared" si="67"/>
        <v>0</v>
      </c>
      <c r="CO81" s="2">
        <f t="shared" si="67"/>
        <v>0</v>
      </c>
      <c r="CP81" s="2">
        <f t="shared" si="67"/>
        <v>0</v>
      </c>
      <c r="CQ81" s="2">
        <f t="shared" si="67"/>
        <v>0</v>
      </c>
      <c r="CR81" s="2">
        <f t="shared" si="67"/>
        <v>0</v>
      </c>
      <c r="CS81" s="2">
        <f t="shared" si="67"/>
        <v>0</v>
      </c>
      <c r="CT81" s="2">
        <f t="shared" si="67"/>
        <v>0</v>
      </c>
      <c r="CU81" s="2">
        <f t="shared" si="67"/>
        <v>0</v>
      </c>
      <c r="CV81" s="2">
        <f t="shared" si="67"/>
        <v>0</v>
      </c>
      <c r="CW81" s="2">
        <f t="shared" si="67"/>
        <v>0</v>
      </c>
      <c r="CX81" s="2">
        <f t="shared" si="67"/>
        <v>0</v>
      </c>
      <c r="CY81" s="2">
        <f t="shared" si="67"/>
        <v>0</v>
      </c>
      <c r="CZ81" s="2">
        <f t="shared" si="67"/>
        <v>0</v>
      </c>
      <c r="DA81" s="2">
        <f t="shared" si="67"/>
        <v>0</v>
      </c>
      <c r="DB81" s="2">
        <f t="shared" si="67"/>
        <v>0</v>
      </c>
      <c r="DC81" s="2">
        <f t="shared" si="67"/>
        <v>0</v>
      </c>
      <c r="DD81" s="2">
        <f t="shared" si="67"/>
        <v>0</v>
      </c>
      <c r="DE81" s="2">
        <f t="shared" si="67"/>
        <v>0</v>
      </c>
      <c r="DF81" s="2">
        <f t="shared" si="67"/>
        <v>0</v>
      </c>
      <c r="DG81" s="3">
        <f t="shared" ref="DG81:EL81" si="68">DG121</f>
        <v>0</v>
      </c>
      <c r="DH81" s="3">
        <f t="shared" si="68"/>
        <v>0</v>
      </c>
      <c r="DI81" s="3">
        <f t="shared" si="68"/>
        <v>0</v>
      </c>
      <c r="DJ81" s="3">
        <f t="shared" si="68"/>
        <v>0</v>
      </c>
      <c r="DK81" s="3">
        <f t="shared" si="68"/>
        <v>0</v>
      </c>
      <c r="DL81" s="3">
        <f t="shared" si="68"/>
        <v>0</v>
      </c>
      <c r="DM81" s="3">
        <f t="shared" si="68"/>
        <v>0</v>
      </c>
      <c r="DN81" s="3">
        <f t="shared" si="68"/>
        <v>0</v>
      </c>
      <c r="DO81" s="3">
        <f t="shared" si="68"/>
        <v>0</v>
      </c>
      <c r="DP81" s="3">
        <f t="shared" si="68"/>
        <v>0</v>
      </c>
      <c r="DQ81" s="3">
        <f t="shared" si="68"/>
        <v>0</v>
      </c>
      <c r="DR81" s="3">
        <f t="shared" si="68"/>
        <v>0</v>
      </c>
      <c r="DS81" s="3">
        <f t="shared" si="68"/>
        <v>0</v>
      </c>
      <c r="DT81" s="3">
        <f t="shared" si="68"/>
        <v>0</v>
      </c>
      <c r="DU81" s="3">
        <f t="shared" si="68"/>
        <v>0</v>
      </c>
      <c r="DV81" s="3">
        <f t="shared" si="68"/>
        <v>0</v>
      </c>
      <c r="DW81" s="3">
        <f t="shared" si="68"/>
        <v>0</v>
      </c>
      <c r="DX81" s="3">
        <f t="shared" si="68"/>
        <v>0</v>
      </c>
      <c r="DY81" s="3">
        <f t="shared" si="68"/>
        <v>0</v>
      </c>
      <c r="DZ81" s="3">
        <f t="shared" si="68"/>
        <v>0</v>
      </c>
      <c r="EA81" s="3">
        <f t="shared" si="68"/>
        <v>0</v>
      </c>
      <c r="EB81" s="3">
        <f t="shared" si="68"/>
        <v>0</v>
      </c>
      <c r="EC81" s="3">
        <f t="shared" si="68"/>
        <v>0</v>
      </c>
      <c r="ED81" s="3">
        <f t="shared" si="68"/>
        <v>0</v>
      </c>
      <c r="EE81" s="3">
        <f t="shared" si="68"/>
        <v>0</v>
      </c>
      <c r="EF81" s="3">
        <f t="shared" si="68"/>
        <v>0</v>
      </c>
      <c r="EG81" s="3">
        <f t="shared" si="68"/>
        <v>0</v>
      </c>
      <c r="EH81" s="3">
        <f t="shared" si="68"/>
        <v>0</v>
      </c>
      <c r="EI81" s="3">
        <f t="shared" si="68"/>
        <v>0</v>
      </c>
      <c r="EJ81" s="3">
        <f t="shared" si="68"/>
        <v>0</v>
      </c>
      <c r="EK81" s="3">
        <f t="shared" si="68"/>
        <v>0</v>
      </c>
      <c r="EL81" s="3">
        <f t="shared" si="68"/>
        <v>0</v>
      </c>
      <c r="EM81" s="3">
        <f t="shared" ref="EM81:FR81" si="69">EM121</f>
        <v>0</v>
      </c>
      <c r="EN81" s="3">
        <f t="shared" si="69"/>
        <v>0</v>
      </c>
      <c r="EO81" s="3">
        <f t="shared" si="69"/>
        <v>0</v>
      </c>
      <c r="EP81" s="3">
        <f t="shared" si="69"/>
        <v>0</v>
      </c>
      <c r="EQ81" s="3">
        <f t="shared" si="69"/>
        <v>0</v>
      </c>
      <c r="ER81" s="3">
        <f t="shared" si="69"/>
        <v>0</v>
      </c>
      <c r="ES81" s="3">
        <f t="shared" si="69"/>
        <v>0</v>
      </c>
      <c r="ET81" s="3">
        <f t="shared" si="69"/>
        <v>0</v>
      </c>
      <c r="EU81" s="3">
        <f t="shared" si="69"/>
        <v>0</v>
      </c>
      <c r="EV81" s="3">
        <f t="shared" si="69"/>
        <v>0</v>
      </c>
      <c r="EW81" s="3">
        <f t="shared" si="69"/>
        <v>0</v>
      </c>
      <c r="EX81" s="3">
        <f t="shared" si="69"/>
        <v>0</v>
      </c>
      <c r="EY81" s="3">
        <f t="shared" si="69"/>
        <v>0</v>
      </c>
      <c r="EZ81" s="3">
        <f t="shared" si="69"/>
        <v>0</v>
      </c>
      <c r="FA81" s="3">
        <f t="shared" si="69"/>
        <v>0</v>
      </c>
      <c r="FB81" s="3">
        <f t="shared" si="69"/>
        <v>0</v>
      </c>
      <c r="FC81" s="3">
        <f t="shared" si="69"/>
        <v>0</v>
      </c>
      <c r="FD81" s="3">
        <f t="shared" si="69"/>
        <v>0</v>
      </c>
      <c r="FE81" s="3">
        <f t="shared" si="69"/>
        <v>0</v>
      </c>
      <c r="FF81" s="3">
        <f t="shared" si="69"/>
        <v>0</v>
      </c>
      <c r="FG81" s="3">
        <f t="shared" si="69"/>
        <v>0</v>
      </c>
      <c r="FH81" s="3">
        <f t="shared" si="69"/>
        <v>0</v>
      </c>
      <c r="FI81" s="3">
        <f t="shared" si="69"/>
        <v>0</v>
      </c>
      <c r="FJ81" s="3">
        <f t="shared" si="69"/>
        <v>0</v>
      </c>
      <c r="FK81" s="3">
        <f t="shared" si="69"/>
        <v>0</v>
      </c>
      <c r="FL81" s="3">
        <f t="shared" si="69"/>
        <v>0</v>
      </c>
      <c r="FM81" s="3">
        <f t="shared" si="69"/>
        <v>0</v>
      </c>
      <c r="FN81" s="3">
        <f t="shared" si="69"/>
        <v>0</v>
      </c>
      <c r="FO81" s="3">
        <f t="shared" si="69"/>
        <v>0</v>
      </c>
      <c r="FP81" s="3">
        <f t="shared" si="69"/>
        <v>0</v>
      </c>
      <c r="FQ81" s="3">
        <f t="shared" si="69"/>
        <v>0</v>
      </c>
      <c r="FR81" s="3">
        <f t="shared" si="69"/>
        <v>0</v>
      </c>
      <c r="FS81" s="3">
        <f t="shared" ref="FS81:GX81" si="70">FS121</f>
        <v>0</v>
      </c>
      <c r="FT81" s="3">
        <f t="shared" si="70"/>
        <v>0</v>
      </c>
      <c r="FU81" s="3">
        <f t="shared" si="70"/>
        <v>0</v>
      </c>
      <c r="FV81" s="3">
        <f t="shared" si="70"/>
        <v>0</v>
      </c>
      <c r="FW81" s="3">
        <f t="shared" si="70"/>
        <v>0</v>
      </c>
      <c r="FX81" s="3">
        <f t="shared" si="70"/>
        <v>0</v>
      </c>
      <c r="FY81" s="3">
        <f t="shared" si="70"/>
        <v>0</v>
      </c>
      <c r="FZ81" s="3">
        <f t="shared" si="70"/>
        <v>0</v>
      </c>
      <c r="GA81" s="3">
        <f t="shared" si="70"/>
        <v>0</v>
      </c>
      <c r="GB81" s="3">
        <f t="shared" si="70"/>
        <v>0</v>
      </c>
      <c r="GC81" s="3">
        <f t="shared" si="70"/>
        <v>0</v>
      </c>
      <c r="GD81" s="3">
        <f t="shared" si="70"/>
        <v>0</v>
      </c>
      <c r="GE81" s="3">
        <f t="shared" si="70"/>
        <v>0</v>
      </c>
      <c r="GF81" s="3">
        <f t="shared" si="70"/>
        <v>0</v>
      </c>
      <c r="GG81" s="3">
        <f t="shared" si="70"/>
        <v>0</v>
      </c>
      <c r="GH81" s="3">
        <f t="shared" si="70"/>
        <v>0</v>
      </c>
      <c r="GI81" s="3">
        <f t="shared" si="70"/>
        <v>0</v>
      </c>
      <c r="GJ81" s="3">
        <f t="shared" si="70"/>
        <v>0</v>
      </c>
      <c r="GK81" s="3">
        <f t="shared" si="70"/>
        <v>0</v>
      </c>
      <c r="GL81" s="3">
        <f t="shared" si="70"/>
        <v>0</v>
      </c>
      <c r="GM81" s="3">
        <f t="shared" si="70"/>
        <v>0</v>
      </c>
      <c r="GN81" s="3">
        <f t="shared" si="70"/>
        <v>0</v>
      </c>
      <c r="GO81" s="3">
        <f t="shared" si="70"/>
        <v>0</v>
      </c>
      <c r="GP81" s="3">
        <f t="shared" si="70"/>
        <v>0</v>
      </c>
      <c r="GQ81" s="3">
        <f t="shared" si="70"/>
        <v>0</v>
      </c>
      <c r="GR81" s="3">
        <f t="shared" si="70"/>
        <v>0</v>
      </c>
      <c r="GS81" s="3">
        <f t="shared" si="70"/>
        <v>0</v>
      </c>
      <c r="GT81" s="3">
        <f t="shared" si="70"/>
        <v>0</v>
      </c>
      <c r="GU81" s="3">
        <f t="shared" si="70"/>
        <v>0</v>
      </c>
      <c r="GV81" s="3">
        <f t="shared" si="70"/>
        <v>0</v>
      </c>
      <c r="GW81" s="3">
        <f t="shared" si="70"/>
        <v>0</v>
      </c>
      <c r="GX81" s="3">
        <f t="shared" si="70"/>
        <v>0</v>
      </c>
    </row>
    <row r="83" spans="1:245" x14ac:dyDescent="0.2">
      <c r="A83">
        <v>17</v>
      </c>
      <c r="B83">
        <v>1</v>
      </c>
      <c r="D83">
        <f>ROW(EtalonRes!A22)</f>
        <v>22</v>
      </c>
      <c r="E83" t="s">
        <v>167</v>
      </c>
      <c r="F83" t="s">
        <v>168</v>
      </c>
      <c r="G83" t="s">
        <v>169</v>
      </c>
      <c r="H83" t="s">
        <v>170</v>
      </c>
      <c r="I83">
        <f>ROUND(219/100,9)</f>
        <v>2.19</v>
      </c>
      <c r="J83">
        <v>0</v>
      </c>
      <c r="O83">
        <f t="shared" ref="O83:O119" si="71">ROUND(CP83,2)</f>
        <v>16441.45</v>
      </c>
      <c r="P83">
        <f t="shared" ref="P83:P119" si="72">ROUND((ROUND((AC83*AW83*I83),2)*BC83),2)</f>
        <v>7.13</v>
      </c>
      <c r="Q83">
        <f t="shared" ref="Q83:Q101" si="73">(ROUND((ROUND((((ET83*1.2*1.15))*AV83*I83),2)*BB83),2)+ROUND((ROUND(((AE83-((EU83*1.2*1.15)))*AV83*I83),2)*BS83),2))</f>
        <v>11253.62</v>
      </c>
      <c r="R83">
        <f t="shared" ref="R83:R119" si="74">ROUND((ROUND((AE83*AV83*I83),2)*BS83),2)</f>
        <v>6209.13</v>
      </c>
      <c r="S83">
        <f t="shared" ref="S83:S119" si="75">ROUND((ROUND((AF83*AV83*I83),2)*BA83),2)</f>
        <v>5180.7</v>
      </c>
      <c r="T83">
        <f t="shared" ref="T83:T119" si="76">ROUND(CU83*I83,2)</f>
        <v>0</v>
      </c>
      <c r="U83">
        <f t="shared" ref="U83:U119" si="77">CV83*I83</f>
        <v>19.60609939199999</v>
      </c>
      <c r="V83">
        <f t="shared" ref="V83:V119" si="78">CW83*I83</f>
        <v>0</v>
      </c>
      <c r="W83">
        <f t="shared" ref="W83:W119" si="79">ROUND(CX83*I83,2)</f>
        <v>0</v>
      </c>
      <c r="X83">
        <f t="shared" ref="X83:X119" si="80">ROUND(CY83,2)</f>
        <v>4662.63</v>
      </c>
      <c r="Y83">
        <f t="shared" ref="Y83:Y119" si="81">ROUND(CZ83,2)</f>
        <v>2227.6999999999998</v>
      </c>
      <c r="AA83">
        <v>44175501</v>
      </c>
      <c r="AB83">
        <f t="shared" ref="AB83:AB119" si="82">ROUND((AC83+AD83+AF83),6)</f>
        <v>637.94060000000002</v>
      </c>
      <c r="AC83">
        <f t="shared" ref="AC83:AC110" si="83">ROUND((ES83),6)</f>
        <v>0.56000000000000005</v>
      </c>
      <c r="AD83">
        <f t="shared" ref="AD83:AD101" si="84">ROUND(((((ET83*1.2*1.15))-((EU83*1.2*1.15)))+AE83),6)</f>
        <v>533.92200000000003</v>
      </c>
      <c r="AE83">
        <f t="shared" ref="AE83:AE101" si="85">ROUND(((EU83*1.2*1.15)),6)</f>
        <v>123.99299999999999</v>
      </c>
      <c r="AF83">
        <f t="shared" ref="AF83:AF101" si="86">ROUND(((EV83*1.2*1.15)),6)</f>
        <v>103.4586</v>
      </c>
      <c r="AG83">
        <f t="shared" ref="AG83:AG119" si="87">ROUND((AP83),6)</f>
        <v>0</v>
      </c>
      <c r="AH83">
        <f t="shared" ref="AH83:AH101" si="88">((EW83*1.2*1.15))</f>
        <v>8.3903999999999979</v>
      </c>
      <c r="AI83">
        <f t="shared" ref="AI83:AI101" si="89">((EX83*1.2*1.15))</f>
        <v>0</v>
      </c>
      <c r="AJ83">
        <f t="shared" ref="AJ83:AJ119" si="90">(AS83)</f>
        <v>0</v>
      </c>
      <c r="AK83">
        <v>462.43</v>
      </c>
      <c r="AL83">
        <v>0.56000000000000005</v>
      </c>
      <c r="AM83">
        <v>386.9</v>
      </c>
      <c r="AN83">
        <v>89.85</v>
      </c>
      <c r="AO83">
        <v>74.97</v>
      </c>
      <c r="AP83">
        <v>0</v>
      </c>
      <c r="AQ83">
        <v>6.08</v>
      </c>
      <c r="AR83">
        <v>0</v>
      </c>
      <c r="AS83">
        <v>0</v>
      </c>
      <c r="AT83">
        <v>90</v>
      </c>
      <c r="AU83">
        <v>43</v>
      </c>
      <c r="AV83">
        <v>1.0669999999999999</v>
      </c>
      <c r="AW83">
        <v>1.081</v>
      </c>
      <c r="AZ83">
        <v>1</v>
      </c>
      <c r="BA83">
        <v>21.43</v>
      </c>
      <c r="BB83">
        <v>9.02</v>
      </c>
      <c r="BC83">
        <v>5.36</v>
      </c>
      <c r="BD83" t="s">
        <v>5</v>
      </c>
      <c r="BE83" t="s">
        <v>5</v>
      </c>
      <c r="BF83" t="s">
        <v>5</v>
      </c>
      <c r="BG83" t="s">
        <v>5</v>
      </c>
      <c r="BH83">
        <v>0</v>
      </c>
      <c r="BI83">
        <v>2</v>
      </c>
      <c r="BJ83" t="s">
        <v>171</v>
      </c>
      <c r="BM83">
        <v>318</v>
      </c>
      <c r="BN83">
        <v>0</v>
      </c>
      <c r="BO83" t="s">
        <v>168</v>
      </c>
      <c r="BP83">
        <v>1</v>
      </c>
      <c r="BQ83">
        <v>40</v>
      </c>
      <c r="BR83">
        <v>0</v>
      </c>
      <c r="BS83">
        <v>21.43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5</v>
      </c>
      <c r="BZ83">
        <v>90</v>
      </c>
      <c r="CA83">
        <v>43</v>
      </c>
      <c r="CE83">
        <v>30</v>
      </c>
      <c r="CF83">
        <v>0</v>
      </c>
      <c r="CG83">
        <v>0</v>
      </c>
      <c r="CM83">
        <v>0</v>
      </c>
      <c r="CN83" t="s">
        <v>5</v>
      </c>
      <c r="CO83">
        <v>0</v>
      </c>
      <c r="CP83">
        <f t="shared" ref="CP83:CP119" si="91">(P83+Q83+S83)</f>
        <v>16441.45</v>
      </c>
      <c r="CQ83">
        <f t="shared" ref="CQ83:CQ119" si="92">ROUND((ROUND((AC83*AW83*1),2)*BC83),2)</f>
        <v>3.27</v>
      </c>
      <c r="CR83">
        <f t="shared" ref="CR83:CR101" si="93">(ROUND((ROUND((((ET83*1.2*1.15))*AV83*1),2)*BB83),2)+ROUND((ROUND(((AE83-((EU83*1.2*1.15)))*AV83*1),2)*BS83),2))</f>
        <v>5138.6000000000004</v>
      </c>
      <c r="CS83">
        <f t="shared" ref="CS83:CS119" si="94">ROUND((ROUND((AE83*AV83*1),2)*BS83),2)</f>
        <v>2835.19</v>
      </c>
      <c r="CT83">
        <f t="shared" ref="CT83:CT119" si="95">ROUND((ROUND((AF83*AV83*1),2)*BA83),2)</f>
        <v>2365.66</v>
      </c>
      <c r="CU83">
        <f t="shared" ref="CU83:CU119" si="96">AG83</f>
        <v>0</v>
      </c>
      <c r="CV83">
        <f t="shared" ref="CV83:CV119" si="97">(AH83*AV83)</f>
        <v>8.9525567999999964</v>
      </c>
      <c r="CW83">
        <f t="shared" ref="CW83:CW119" si="98">AI83</f>
        <v>0</v>
      </c>
      <c r="CX83">
        <f t="shared" ref="CX83:CX119" si="99">AJ83</f>
        <v>0</v>
      </c>
      <c r="CY83">
        <f t="shared" ref="CY83:CY119" si="100">S83*(BZ83/100)</f>
        <v>4662.63</v>
      </c>
      <c r="CZ83">
        <f t="shared" ref="CZ83:CZ119" si="101">S83*(CA83/100)</f>
        <v>2227.701</v>
      </c>
      <c r="DC83" t="s">
        <v>5</v>
      </c>
      <c r="DD83" t="s">
        <v>5</v>
      </c>
      <c r="DE83" t="s">
        <v>30</v>
      </c>
      <c r="DF83" t="s">
        <v>30</v>
      </c>
      <c r="DG83" t="s">
        <v>30</v>
      </c>
      <c r="DH83" t="s">
        <v>5</v>
      </c>
      <c r="DI83" t="s">
        <v>30</v>
      </c>
      <c r="DJ83" t="s">
        <v>30</v>
      </c>
      <c r="DK83" t="s">
        <v>5</v>
      </c>
      <c r="DL83" t="s">
        <v>5</v>
      </c>
      <c r="DM83" t="s">
        <v>5</v>
      </c>
      <c r="DN83">
        <v>112</v>
      </c>
      <c r="DO83">
        <v>70</v>
      </c>
      <c r="DP83">
        <v>1.0669999999999999</v>
      </c>
      <c r="DQ83">
        <v>1.081</v>
      </c>
      <c r="DU83">
        <v>1013</v>
      </c>
      <c r="DV83" t="s">
        <v>170</v>
      </c>
      <c r="DW83" t="s">
        <v>170</v>
      </c>
      <c r="DX83">
        <v>1</v>
      </c>
      <c r="EE83">
        <v>44064137</v>
      </c>
      <c r="EF83">
        <v>40</v>
      </c>
      <c r="EG83" t="s">
        <v>172</v>
      </c>
      <c r="EH83">
        <v>0</v>
      </c>
      <c r="EI83" t="s">
        <v>5</v>
      </c>
      <c r="EJ83">
        <v>2</v>
      </c>
      <c r="EK83">
        <v>318</v>
      </c>
      <c r="EL83" t="s">
        <v>173</v>
      </c>
      <c r="EM83" t="s">
        <v>174</v>
      </c>
      <c r="EO83" t="s">
        <v>5</v>
      </c>
      <c r="EQ83">
        <v>131072</v>
      </c>
      <c r="ER83">
        <v>462.43</v>
      </c>
      <c r="ES83">
        <v>0.56000000000000005</v>
      </c>
      <c r="ET83">
        <v>386.9</v>
      </c>
      <c r="EU83">
        <v>89.85</v>
      </c>
      <c r="EV83">
        <v>74.97</v>
      </c>
      <c r="EW83">
        <v>6.08</v>
      </c>
      <c r="EX83">
        <v>0</v>
      </c>
      <c r="EY83">
        <v>0</v>
      </c>
      <c r="FQ83">
        <v>0</v>
      </c>
      <c r="FR83">
        <f t="shared" ref="FR83:FR119" si="102">ROUND(IF(AND(BH83=3,BI83=3),P83,0),2)</f>
        <v>0</v>
      </c>
      <c r="FS83">
        <v>0</v>
      </c>
      <c r="FX83">
        <v>112</v>
      </c>
      <c r="FY83">
        <v>70</v>
      </c>
      <c r="GA83" t="s">
        <v>5</v>
      </c>
      <c r="GD83">
        <v>0</v>
      </c>
      <c r="GF83">
        <v>137885402</v>
      </c>
      <c r="GG83">
        <v>2</v>
      </c>
      <c r="GH83">
        <v>1</v>
      </c>
      <c r="GI83">
        <v>2</v>
      </c>
      <c r="GJ83">
        <v>0</v>
      </c>
      <c r="GK83">
        <f>ROUND(R83*(R12)/100,2)</f>
        <v>9748.33</v>
      </c>
      <c r="GL83">
        <f t="shared" ref="GL83:GL119" si="103">ROUND(IF(AND(BH83=3,BI83=3,FS83&lt;&gt;0),P83,0),2)</f>
        <v>0</v>
      </c>
      <c r="GM83">
        <f t="shared" ref="GM83:GM119" si="104">ROUND(O83+X83+Y83+GK83,2)+GX83</f>
        <v>33080.11</v>
      </c>
      <c r="GN83">
        <f t="shared" ref="GN83:GN119" si="105">IF(OR(BI83=0,BI83=1),ROUND(O83+X83+Y83+GK83,2),0)</f>
        <v>0</v>
      </c>
      <c r="GO83">
        <f t="shared" ref="GO83:GO119" si="106">IF(BI83=2,ROUND(O83+X83+Y83+GK83,2),0)</f>
        <v>33080.11</v>
      </c>
      <c r="GP83">
        <f t="shared" ref="GP83:GP119" si="107">IF(BI83=4,ROUND(O83+X83+Y83+GK83,2)+GX83,0)</f>
        <v>0</v>
      </c>
      <c r="GR83">
        <v>0</v>
      </c>
      <c r="GS83">
        <v>0</v>
      </c>
      <c r="GT83">
        <v>0</v>
      </c>
      <c r="GU83" t="s">
        <v>5</v>
      </c>
      <c r="GV83">
        <f t="shared" ref="GV83:GV119" si="108">ROUND((GT83),6)</f>
        <v>0</v>
      </c>
      <c r="GW83">
        <v>1</v>
      </c>
      <c r="GX83">
        <f t="shared" ref="GX83:GX119" si="109">ROUND(HC83*I83,2)</f>
        <v>0</v>
      </c>
      <c r="HA83">
        <v>0</v>
      </c>
      <c r="HB83">
        <v>0</v>
      </c>
      <c r="HC83">
        <f t="shared" ref="HC83:HC119" si="110">GV83*GW83</f>
        <v>0</v>
      </c>
      <c r="IK83">
        <v>0</v>
      </c>
    </row>
    <row r="84" spans="1:245" x14ac:dyDescent="0.2">
      <c r="A84">
        <v>17</v>
      </c>
      <c r="B84">
        <v>1</v>
      </c>
      <c r="D84">
        <f>ROW(EtalonRes!A23)</f>
        <v>23</v>
      </c>
      <c r="E84" t="s">
        <v>25</v>
      </c>
      <c r="F84" t="s">
        <v>168</v>
      </c>
      <c r="G84" t="s">
        <v>169</v>
      </c>
      <c r="H84" t="s">
        <v>170</v>
      </c>
      <c r="I84">
        <v>0</v>
      </c>
      <c r="J84">
        <v>0</v>
      </c>
      <c r="O84">
        <f t="shared" si="71"/>
        <v>0</v>
      </c>
      <c r="P84">
        <f t="shared" si="72"/>
        <v>0</v>
      </c>
      <c r="Q84">
        <f t="shared" si="73"/>
        <v>0</v>
      </c>
      <c r="R84">
        <f t="shared" si="74"/>
        <v>0</v>
      </c>
      <c r="S84">
        <f t="shared" si="75"/>
        <v>0</v>
      </c>
      <c r="T84">
        <f t="shared" si="76"/>
        <v>0</v>
      </c>
      <c r="U84">
        <f t="shared" si="77"/>
        <v>0</v>
      </c>
      <c r="V84">
        <f t="shared" si="78"/>
        <v>0</v>
      </c>
      <c r="W84">
        <f t="shared" si="79"/>
        <v>0</v>
      </c>
      <c r="X84">
        <f t="shared" si="80"/>
        <v>0</v>
      </c>
      <c r="Y84">
        <f t="shared" si="81"/>
        <v>0</v>
      </c>
      <c r="AA84">
        <v>44175501</v>
      </c>
      <c r="AB84">
        <f t="shared" si="82"/>
        <v>637.94060000000002</v>
      </c>
      <c r="AC84">
        <f t="shared" si="83"/>
        <v>0.56000000000000005</v>
      </c>
      <c r="AD84">
        <f t="shared" si="84"/>
        <v>533.92200000000003</v>
      </c>
      <c r="AE84">
        <f t="shared" si="85"/>
        <v>123.99299999999999</v>
      </c>
      <c r="AF84">
        <f t="shared" si="86"/>
        <v>103.4586</v>
      </c>
      <c r="AG84">
        <f t="shared" si="87"/>
        <v>0</v>
      </c>
      <c r="AH84">
        <f t="shared" si="88"/>
        <v>8.3903999999999979</v>
      </c>
      <c r="AI84">
        <f t="shared" si="89"/>
        <v>0</v>
      </c>
      <c r="AJ84">
        <f t="shared" si="90"/>
        <v>0</v>
      </c>
      <c r="AK84">
        <v>462.43</v>
      </c>
      <c r="AL84">
        <v>0.56000000000000005</v>
      </c>
      <c r="AM84">
        <v>386.9</v>
      </c>
      <c r="AN84">
        <v>89.85</v>
      </c>
      <c r="AO84">
        <v>74.97</v>
      </c>
      <c r="AP84">
        <v>0</v>
      </c>
      <c r="AQ84">
        <v>6.08</v>
      </c>
      <c r="AR84">
        <v>0</v>
      </c>
      <c r="AS84">
        <v>0</v>
      </c>
      <c r="AT84">
        <v>90</v>
      </c>
      <c r="AU84">
        <v>43</v>
      </c>
      <c r="AV84">
        <v>1.0669999999999999</v>
      </c>
      <c r="AW84">
        <v>1.081</v>
      </c>
      <c r="AZ84">
        <v>1</v>
      </c>
      <c r="BA84">
        <v>21.43</v>
      </c>
      <c r="BB84">
        <v>9.02</v>
      </c>
      <c r="BC84">
        <v>5.36</v>
      </c>
      <c r="BD84" t="s">
        <v>5</v>
      </c>
      <c r="BE84" t="s">
        <v>5</v>
      </c>
      <c r="BF84" t="s">
        <v>5</v>
      </c>
      <c r="BG84" t="s">
        <v>5</v>
      </c>
      <c r="BH84">
        <v>0</v>
      </c>
      <c r="BI84">
        <v>2</v>
      </c>
      <c r="BJ84" t="s">
        <v>171</v>
      </c>
      <c r="BM84">
        <v>318</v>
      </c>
      <c r="BN84">
        <v>0</v>
      </c>
      <c r="BO84" t="s">
        <v>168</v>
      </c>
      <c r="BP84">
        <v>1</v>
      </c>
      <c r="BQ84">
        <v>40</v>
      </c>
      <c r="BR84">
        <v>0</v>
      </c>
      <c r="BS84">
        <v>21.43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5</v>
      </c>
      <c r="BZ84">
        <v>90</v>
      </c>
      <c r="CA84">
        <v>43</v>
      </c>
      <c r="CE84">
        <v>30</v>
      </c>
      <c r="CF84">
        <v>0</v>
      </c>
      <c r="CG84">
        <v>0</v>
      </c>
      <c r="CM84">
        <v>0</v>
      </c>
      <c r="CN84" t="s">
        <v>5</v>
      </c>
      <c r="CO84">
        <v>0</v>
      </c>
      <c r="CP84">
        <f t="shared" si="91"/>
        <v>0</v>
      </c>
      <c r="CQ84">
        <f t="shared" si="92"/>
        <v>3.27</v>
      </c>
      <c r="CR84">
        <f t="shared" si="93"/>
        <v>5138.6000000000004</v>
      </c>
      <c r="CS84">
        <f t="shared" si="94"/>
        <v>2835.19</v>
      </c>
      <c r="CT84">
        <f t="shared" si="95"/>
        <v>2365.66</v>
      </c>
      <c r="CU84">
        <f t="shared" si="96"/>
        <v>0</v>
      </c>
      <c r="CV84">
        <f t="shared" si="97"/>
        <v>8.9525567999999964</v>
      </c>
      <c r="CW84">
        <f t="shared" si="98"/>
        <v>0</v>
      </c>
      <c r="CX84">
        <f t="shared" si="99"/>
        <v>0</v>
      </c>
      <c r="CY84">
        <f t="shared" si="100"/>
        <v>0</v>
      </c>
      <c r="CZ84">
        <f t="shared" si="101"/>
        <v>0</v>
      </c>
      <c r="DC84" t="s">
        <v>5</v>
      </c>
      <c r="DD84" t="s">
        <v>5</v>
      </c>
      <c r="DE84" t="s">
        <v>30</v>
      </c>
      <c r="DF84" t="s">
        <v>30</v>
      </c>
      <c r="DG84" t="s">
        <v>30</v>
      </c>
      <c r="DH84" t="s">
        <v>5</v>
      </c>
      <c r="DI84" t="s">
        <v>30</v>
      </c>
      <c r="DJ84" t="s">
        <v>30</v>
      </c>
      <c r="DK84" t="s">
        <v>5</v>
      </c>
      <c r="DL84" t="s">
        <v>5</v>
      </c>
      <c r="DM84" t="s">
        <v>5</v>
      </c>
      <c r="DN84">
        <v>112</v>
      </c>
      <c r="DO84">
        <v>70</v>
      </c>
      <c r="DP84">
        <v>1.0669999999999999</v>
      </c>
      <c r="DQ84">
        <v>1.081</v>
      </c>
      <c r="DU84">
        <v>1013</v>
      </c>
      <c r="DV84" t="s">
        <v>170</v>
      </c>
      <c r="DW84" t="s">
        <v>170</v>
      </c>
      <c r="DX84">
        <v>1</v>
      </c>
      <c r="EE84">
        <v>44064137</v>
      </c>
      <c r="EF84">
        <v>40</v>
      </c>
      <c r="EG84" t="s">
        <v>172</v>
      </c>
      <c r="EH84">
        <v>0</v>
      </c>
      <c r="EI84" t="s">
        <v>5</v>
      </c>
      <c r="EJ84">
        <v>2</v>
      </c>
      <c r="EK84">
        <v>318</v>
      </c>
      <c r="EL84" t="s">
        <v>173</v>
      </c>
      <c r="EM84" t="s">
        <v>174</v>
      </c>
      <c r="EO84" t="s">
        <v>5</v>
      </c>
      <c r="EQ84">
        <v>131072</v>
      </c>
      <c r="ER84">
        <v>462.43</v>
      </c>
      <c r="ES84">
        <v>0.56000000000000005</v>
      </c>
      <c r="ET84">
        <v>386.9</v>
      </c>
      <c r="EU84">
        <v>89.85</v>
      </c>
      <c r="EV84">
        <v>74.97</v>
      </c>
      <c r="EW84">
        <v>6.08</v>
      </c>
      <c r="EX84">
        <v>0</v>
      </c>
      <c r="EY84">
        <v>0</v>
      </c>
      <c r="FQ84">
        <v>0</v>
      </c>
      <c r="FR84">
        <f t="shared" si="102"/>
        <v>0</v>
      </c>
      <c r="FS84">
        <v>0</v>
      </c>
      <c r="FX84">
        <v>112</v>
      </c>
      <c r="FY84">
        <v>70</v>
      </c>
      <c r="GA84" t="s">
        <v>5</v>
      </c>
      <c r="GD84">
        <v>0</v>
      </c>
      <c r="GF84">
        <v>137885402</v>
      </c>
      <c r="GG84">
        <v>2</v>
      </c>
      <c r="GH84">
        <v>1</v>
      </c>
      <c r="GI84">
        <v>2</v>
      </c>
      <c r="GJ84">
        <v>0</v>
      </c>
      <c r="GK84">
        <f>ROUND(R84*(R12)/100,2)</f>
        <v>0</v>
      </c>
      <c r="GL84">
        <f t="shared" si="103"/>
        <v>0</v>
      </c>
      <c r="GM84">
        <f t="shared" si="104"/>
        <v>0</v>
      </c>
      <c r="GN84">
        <f t="shared" si="105"/>
        <v>0</v>
      </c>
      <c r="GO84">
        <f t="shared" si="106"/>
        <v>0</v>
      </c>
      <c r="GP84">
        <f t="shared" si="107"/>
        <v>0</v>
      </c>
      <c r="GR84">
        <v>0</v>
      </c>
      <c r="GS84">
        <v>0</v>
      </c>
      <c r="GT84">
        <v>0</v>
      </c>
      <c r="GU84" t="s">
        <v>5</v>
      </c>
      <c r="GV84">
        <f t="shared" si="108"/>
        <v>0</v>
      </c>
      <c r="GW84">
        <v>1</v>
      </c>
      <c r="GX84">
        <f t="shared" si="109"/>
        <v>0</v>
      </c>
      <c r="HA84">
        <v>0</v>
      </c>
      <c r="HB84">
        <v>0</v>
      </c>
      <c r="HC84">
        <f t="shared" si="110"/>
        <v>0</v>
      </c>
      <c r="IK84">
        <v>0</v>
      </c>
    </row>
    <row r="85" spans="1:245" x14ac:dyDescent="0.2">
      <c r="A85">
        <v>17</v>
      </c>
      <c r="B85">
        <v>1</v>
      </c>
      <c r="C85">
        <f>ROW(SmtRes!A26)</f>
        <v>26</v>
      </c>
      <c r="D85">
        <f>ROW(EtalonRes!A24)</f>
        <v>24</v>
      </c>
      <c r="E85" t="s">
        <v>175</v>
      </c>
      <c r="F85" t="s">
        <v>176</v>
      </c>
      <c r="G85" t="s">
        <v>177</v>
      </c>
      <c r="H85" t="s">
        <v>170</v>
      </c>
      <c r="I85">
        <f>ROUND(219/100,9)</f>
        <v>2.19</v>
      </c>
      <c r="J85">
        <v>0</v>
      </c>
      <c r="O85">
        <f t="shared" si="71"/>
        <v>5167.4799999999996</v>
      </c>
      <c r="P85">
        <f t="shared" si="72"/>
        <v>2.69</v>
      </c>
      <c r="Q85">
        <f t="shared" si="73"/>
        <v>3222.16</v>
      </c>
      <c r="R85">
        <f t="shared" si="74"/>
        <v>1779.55</v>
      </c>
      <c r="S85">
        <f t="shared" si="75"/>
        <v>1942.63</v>
      </c>
      <c r="T85">
        <f t="shared" si="76"/>
        <v>0</v>
      </c>
      <c r="U85">
        <f t="shared" si="77"/>
        <v>7.3522872719999981</v>
      </c>
      <c r="V85">
        <f t="shared" si="78"/>
        <v>0</v>
      </c>
      <c r="W85">
        <f t="shared" si="79"/>
        <v>0</v>
      </c>
      <c r="X85">
        <f t="shared" si="80"/>
        <v>1748.37</v>
      </c>
      <c r="Y85">
        <f t="shared" si="81"/>
        <v>835.33</v>
      </c>
      <c r="AA85">
        <v>44175501</v>
      </c>
      <c r="AB85">
        <f t="shared" si="82"/>
        <v>192.0438</v>
      </c>
      <c r="AC85">
        <f t="shared" si="83"/>
        <v>0.21</v>
      </c>
      <c r="AD85">
        <f t="shared" si="84"/>
        <v>153.042</v>
      </c>
      <c r="AE85">
        <f t="shared" si="85"/>
        <v>35.534999999999997</v>
      </c>
      <c r="AF85">
        <f t="shared" si="86"/>
        <v>38.791800000000002</v>
      </c>
      <c r="AG85">
        <f t="shared" si="87"/>
        <v>0</v>
      </c>
      <c r="AH85">
        <f t="shared" si="88"/>
        <v>3.1463999999999994</v>
      </c>
      <c r="AI85">
        <f t="shared" si="89"/>
        <v>0</v>
      </c>
      <c r="AJ85">
        <f t="shared" si="90"/>
        <v>0</v>
      </c>
      <c r="AK85">
        <v>139.22</v>
      </c>
      <c r="AL85">
        <v>0.21</v>
      </c>
      <c r="AM85">
        <v>110.9</v>
      </c>
      <c r="AN85">
        <v>25.75</v>
      </c>
      <c r="AO85">
        <v>28.11</v>
      </c>
      <c r="AP85">
        <v>0</v>
      </c>
      <c r="AQ85">
        <v>2.2799999999999998</v>
      </c>
      <c r="AR85">
        <v>0</v>
      </c>
      <c r="AS85">
        <v>0</v>
      </c>
      <c r="AT85">
        <v>90</v>
      </c>
      <c r="AU85">
        <v>43</v>
      </c>
      <c r="AV85">
        <v>1.0669999999999999</v>
      </c>
      <c r="AW85">
        <v>1.081</v>
      </c>
      <c r="AZ85">
        <v>1</v>
      </c>
      <c r="BA85">
        <v>21.43</v>
      </c>
      <c r="BB85">
        <v>9.01</v>
      </c>
      <c r="BC85">
        <v>5.38</v>
      </c>
      <c r="BD85" t="s">
        <v>5</v>
      </c>
      <c r="BE85" t="s">
        <v>5</v>
      </c>
      <c r="BF85" t="s">
        <v>5</v>
      </c>
      <c r="BG85" t="s">
        <v>5</v>
      </c>
      <c r="BH85">
        <v>0</v>
      </c>
      <c r="BI85">
        <v>2</v>
      </c>
      <c r="BJ85" t="s">
        <v>178</v>
      </c>
      <c r="BM85">
        <v>318</v>
      </c>
      <c r="BN85">
        <v>0</v>
      </c>
      <c r="BO85" t="s">
        <v>176</v>
      </c>
      <c r="BP85">
        <v>1</v>
      </c>
      <c r="BQ85">
        <v>40</v>
      </c>
      <c r="BR85">
        <v>0</v>
      </c>
      <c r="BS85">
        <v>21.43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5</v>
      </c>
      <c r="BZ85">
        <v>90</v>
      </c>
      <c r="CA85">
        <v>43</v>
      </c>
      <c r="CE85">
        <v>30</v>
      </c>
      <c r="CF85">
        <v>0</v>
      </c>
      <c r="CG85">
        <v>0</v>
      </c>
      <c r="CM85">
        <v>0</v>
      </c>
      <c r="CN85" t="s">
        <v>5</v>
      </c>
      <c r="CO85">
        <v>0</v>
      </c>
      <c r="CP85">
        <f t="shared" si="91"/>
        <v>5167.4799999999996</v>
      </c>
      <c r="CQ85">
        <f t="shared" si="92"/>
        <v>1.24</v>
      </c>
      <c r="CR85">
        <f t="shared" si="93"/>
        <v>1471.33</v>
      </c>
      <c r="CS85">
        <f t="shared" si="94"/>
        <v>812.63</v>
      </c>
      <c r="CT85">
        <f t="shared" si="95"/>
        <v>886.99</v>
      </c>
      <c r="CU85">
        <f t="shared" si="96"/>
        <v>0</v>
      </c>
      <c r="CV85">
        <f t="shared" si="97"/>
        <v>3.3572087999999991</v>
      </c>
      <c r="CW85">
        <f t="shared" si="98"/>
        <v>0</v>
      </c>
      <c r="CX85">
        <f t="shared" si="99"/>
        <v>0</v>
      </c>
      <c r="CY85">
        <f t="shared" si="100"/>
        <v>1748.3670000000002</v>
      </c>
      <c r="CZ85">
        <f t="shared" si="101"/>
        <v>835.33090000000004</v>
      </c>
      <c r="DC85" t="s">
        <v>5</v>
      </c>
      <c r="DD85" t="s">
        <v>5</v>
      </c>
      <c r="DE85" t="s">
        <v>30</v>
      </c>
      <c r="DF85" t="s">
        <v>30</v>
      </c>
      <c r="DG85" t="s">
        <v>30</v>
      </c>
      <c r="DH85" t="s">
        <v>5</v>
      </c>
      <c r="DI85" t="s">
        <v>30</v>
      </c>
      <c r="DJ85" t="s">
        <v>30</v>
      </c>
      <c r="DK85" t="s">
        <v>5</v>
      </c>
      <c r="DL85" t="s">
        <v>5</v>
      </c>
      <c r="DM85" t="s">
        <v>5</v>
      </c>
      <c r="DN85">
        <v>112</v>
      </c>
      <c r="DO85">
        <v>70</v>
      </c>
      <c r="DP85">
        <v>1.0669999999999999</v>
      </c>
      <c r="DQ85">
        <v>1.081</v>
      </c>
      <c r="DU85">
        <v>1013</v>
      </c>
      <c r="DV85" t="s">
        <v>170</v>
      </c>
      <c r="DW85" t="s">
        <v>170</v>
      </c>
      <c r="DX85">
        <v>1</v>
      </c>
      <c r="EE85">
        <v>44064137</v>
      </c>
      <c r="EF85">
        <v>40</v>
      </c>
      <c r="EG85" t="s">
        <v>172</v>
      </c>
      <c r="EH85">
        <v>0</v>
      </c>
      <c r="EI85" t="s">
        <v>5</v>
      </c>
      <c r="EJ85">
        <v>2</v>
      </c>
      <c r="EK85">
        <v>318</v>
      </c>
      <c r="EL85" t="s">
        <v>173</v>
      </c>
      <c r="EM85" t="s">
        <v>174</v>
      </c>
      <c r="EO85" t="s">
        <v>5</v>
      </c>
      <c r="EQ85">
        <v>131072</v>
      </c>
      <c r="ER85">
        <v>139.22</v>
      </c>
      <c r="ES85">
        <v>0.21</v>
      </c>
      <c r="ET85">
        <v>110.9</v>
      </c>
      <c r="EU85">
        <v>25.75</v>
      </c>
      <c r="EV85">
        <v>28.11</v>
      </c>
      <c r="EW85">
        <v>2.2799999999999998</v>
      </c>
      <c r="EX85">
        <v>0</v>
      </c>
      <c r="EY85">
        <v>0</v>
      </c>
      <c r="FQ85">
        <v>0</v>
      </c>
      <c r="FR85">
        <f t="shared" si="102"/>
        <v>0</v>
      </c>
      <c r="FS85">
        <v>0</v>
      </c>
      <c r="FX85">
        <v>112</v>
      </c>
      <c r="FY85">
        <v>70</v>
      </c>
      <c r="GA85" t="s">
        <v>5</v>
      </c>
      <c r="GD85">
        <v>0</v>
      </c>
      <c r="GF85">
        <v>130135036</v>
      </c>
      <c r="GG85">
        <v>2</v>
      </c>
      <c r="GH85">
        <v>1</v>
      </c>
      <c r="GI85">
        <v>2</v>
      </c>
      <c r="GJ85">
        <v>0</v>
      </c>
      <c r="GK85">
        <f>ROUND(R85*(R12)/100,2)</f>
        <v>2793.89</v>
      </c>
      <c r="GL85">
        <f t="shared" si="103"/>
        <v>0</v>
      </c>
      <c r="GM85">
        <f t="shared" si="104"/>
        <v>10545.07</v>
      </c>
      <c r="GN85">
        <f t="shared" si="105"/>
        <v>0</v>
      </c>
      <c r="GO85">
        <f t="shared" si="106"/>
        <v>10545.07</v>
      </c>
      <c r="GP85">
        <f t="shared" si="107"/>
        <v>0</v>
      </c>
      <c r="GR85">
        <v>0</v>
      </c>
      <c r="GS85">
        <v>0</v>
      </c>
      <c r="GT85">
        <v>0</v>
      </c>
      <c r="GU85" t="s">
        <v>5</v>
      </c>
      <c r="GV85">
        <f t="shared" si="108"/>
        <v>0</v>
      </c>
      <c r="GW85">
        <v>1</v>
      </c>
      <c r="GX85">
        <f t="shared" si="109"/>
        <v>0</v>
      </c>
      <c r="HA85">
        <v>0</v>
      </c>
      <c r="HB85">
        <v>0</v>
      </c>
      <c r="HC85">
        <f t="shared" si="110"/>
        <v>0</v>
      </c>
      <c r="IK85">
        <v>0</v>
      </c>
    </row>
    <row r="86" spans="1:245" x14ac:dyDescent="0.2">
      <c r="A86">
        <v>17</v>
      </c>
      <c r="B86">
        <v>1</v>
      </c>
      <c r="C86">
        <f>ROW(SmtRes!A27)</f>
        <v>27</v>
      </c>
      <c r="D86">
        <f>ROW(EtalonRes!A25)</f>
        <v>25</v>
      </c>
      <c r="E86" t="s">
        <v>19</v>
      </c>
      <c r="F86" t="s">
        <v>176</v>
      </c>
      <c r="G86" t="s">
        <v>177</v>
      </c>
      <c r="H86" t="s">
        <v>170</v>
      </c>
      <c r="I86">
        <v>0</v>
      </c>
      <c r="J86">
        <v>0</v>
      </c>
      <c r="O86">
        <f t="shared" si="71"/>
        <v>0</v>
      </c>
      <c r="P86">
        <f t="shared" si="72"/>
        <v>0</v>
      </c>
      <c r="Q86">
        <f t="shared" si="73"/>
        <v>0</v>
      </c>
      <c r="R86">
        <f t="shared" si="74"/>
        <v>0</v>
      </c>
      <c r="S86">
        <f t="shared" si="75"/>
        <v>0</v>
      </c>
      <c r="T86">
        <f t="shared" si="76"/>
        <v>0</v>
      </c>
      <c r="U86">
        <f t="shared" si="77"/>
        <v>0</v>
      </c>
      <c r="V86">
        <f t="shared" si="78"/>
        <v>0</v>
      </c>
      <c r="W86">
        <f t="shared" si="79"/>
        <v>0</v>
      </c>
      <c r="X86">
        <f t="shared" si="80"/>
        <v>0</v>
      </c>
      <c r="Y86">
        <f t="shared" si="81"/>
        <v>0</v>
      </c>
      <c r="AA86">
        <v>44175501</v>
      </c>
      <c r="AB86">
        <f t="shared" si="82"/>
        <v>192.0438</v>
      </c>
      <c r="AC86">
        <f t="shared" si="83"/>
        <v>0.21</v>
      </c>
      <c r="AD86">
        <f t="shared" si="84"/>
        <v>153.042</v>
      </c>
      <c r="AE86">
        <f t="shared" si="85"/>
        <v>35.534999999999997</v>
      </c>
      <c r="AF86">
        <f t="shared" si="86"/>
        <v>38.791800000000002</v>
      </c>
      <c r="AG86">
        <f t="shared" si="87"/>
        <v>0</v>
      </c>
      <c r="AH86">
        <f t="shared" si="88"/>
        <v>3.1463999999999994</v>
      </c>
      <c r="AI86">
        <f t="shared" si="89"/>
        <v>0</v>
      </c>
      <c r="AJ86">
        <f t="shared" si="90"/>
        <v>0</v>
      </c>
      <c r="AK86">
        <v>139.22</v>
      </c>
      <c r="AL86">
        <v>0.21</v>
      </c>
      <c r="AM86">
        <v>110.9</v>
      </c>
      <c r="AN86">
        <v>25.75</v>
      </c>
      <c r="AO86">
        <v>28.11</v>
      </c>
      <c r="AP86">
        <v>0</v>
      </c>
      <c r="AQ86">
        <v>2.2799999999999998</v>
      </c>
      <c r="AR86">
        <v>0</v>
      </c>
      <c r="AS86">
        <v>0</v>
      </c>
      <c r="AT86">
        <v>90</v>
      </c>
      <c r="AU86">
        <v>43</v>
      </c>
      <c r="AV86">
        <v>1.0669999999999999</v>
      </c>
      <c r="AW86">
        <v>1.081</v>
      </c>
      <c r="AZ86">
        <v>1</v>
      </c>
      <c r="BA86">
        <v>21.43</v>
      </c>
      <c r="BB86">
        <v>9.01</v>
      </c>
      <c r="BC86">
        <v>5.38</v>
      </c>
      <c r="BD86" t="s">
        <v>5</v>
      </c>
      <c r="BE86" t="s">
        <v>5</v>
      </c>
      <c r="BF86" t="s">
        <v>5</v>
      </c>
      <c r="BG86" t="s">
        <v>5</v>
      </c>
      <c r="BH86">
        <v>0</v>
      </c>
      <c r="BI86">
        <v>2</v>
      </c>
      <c r="BJ86" t="s">
        <v>178</v>
      </c>
      <c r="BM86">
        <v>318</v>
      </c>
      <c r="BN86">
        <v>0</v>
      </c>
      <c r="BO86" t="s">
        <v>176</v>
      </c>
      <c r="BP86">
        <v>1</v>
      </c>
      <c r="BQ86">
        <v>40</v>
      </c>
      <c r="BR86">
        <v>0</v>
      </c>
      <c r="BS86">
        <v>21.43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5</v>
      </c>
      <c r="BZ86">
        <v>90</v>
      </c>
      <c r="CA86">
        <v>43</v>
      </c>
      <c r="CE86">
        <v>30</v>
      </c>
      <c r="CF86">
        <v>0</v>
      </c>
      <c r="CG86">
        <v>0</v>
      </c>
      <c r="CM86">
        <v>0</v>
      </c>
      <c r="CN86" t="s">
        <v>5</v>
      </c>
      <c r="CO86">
        <v>0</v>
      </c>
      <c r="CP86">
        <f t="shared" si="91"/>
        <v>0</v>
      </c>
      <c r="CQ86">
        <f t="shared" si="92"/>
        <v>1.24</v>
      </c>
      <c r="CR86">
        <f t="shared" si="93"/>
        <v>1471.33</v>
      </c>
      <c r="CS86">
        <f t="shared" si="94"/>
        <v>812.63</v>
      </c>
      <c r="CT86">
        <f t="shared" si="95"/>
        <v>886.99</v>
      </c>
      <c r="CU86">
        <f t="shared" si="96"/>
        <v>0</v>
      </c>
      <c r="CV86">
        <f t="shared" si="97"/>
        <v>3.3572087999999991</v>
      </c>
      <c r="CW86">
        <f t="shared" si="98"/>
        <v>0</v>
      </c>
      <c r="CX86">
        <f t="shared" si="99"/>
        <v>0</v>
      </c>
      <c r="CY86">
        <f t="shared" si="100"/>
        <v>0</v>
      </c>
      <c r="CZ86">
        <f t="shared" si="101"/>
        <v>0</v>
      </c>
      <c r="DC86" t="s">
        <v>5</v>
      </c>
      <c r="DD86" t="s">
        <v>5</v>
      </c>
      <c r="DE86" t="s">
        <v>30</v>
      </c>
      <c r="DF86" t="s">
        <v>30</v>
      </c>
      <c r="DG86" t="s">
        <v>30</v>
      </c>
      <c r="DH86" t="s">
        <v>5</v>
      </c>
      <c r="DI86" t="s">
        <v>30</v>
      </c>
      <c r="DJ86" t="s">
        <v>30</v>
      </c>
      <c r="DK86" t="s">
        <v>5</v>
      </c>
      <c r="DL86" t="s">
        <v>5</v>
      </c>
      <c r="DM86" t="s">
        <v>5</v>
      </c>
      <c r="DN86">
        <v>112</v>
      </c>
      <c r="DO86">
        <v>70</v>
      </c>
      <c r="DP86">
        <v>1.0669999999999999</v>
      </c>
      <c r="DQ86">
        <v>1.081</v>
      </c>
      <c r="DU86">
        <v>1013</v>
      </c>
      <c r="DV86" t="s">
        <v>170</v>
      </c>
      <c r="DW86" t="s">
        <v>170</v>
      </c>
      <c r="DX86">
        <v>1</v>
      </c>
      <c r="EE86">
        <v>44064137</v>
      </c>
      <c r="EF86">
        <v>40</v>
      </c>
      <c r="EG86" t="s">
        <v>172</v>
      </c>
      <c r="EH86">
        <v>0</v>
      </c>
      <c r="EI86" t="s">
        <v>5</v>
      </c>
      <c r="EJ86">
        <v>2</v>
      </c>
      <c r="EK86">
        <v>318</v>
      </c>
      <c r="EL86" t="s">
        <v>173</v>
      </c>
      <c r="EM86" t="s">
        <v>174</v>
      </c>
      <c r="EO86" t="s">
        <v>5</v>
      </c>
      <c r="EQ86">
        <v>131072</v>
      </c>
      <c r="ER86">
        <v>139.22</v>
      </c>
      <c r="ES86">
        <v>0.21</v>
      </c>
      <c r="ET86">
        <v>110.9</v>
      </c>
      <c r="EU86">
        <v>25.75</v>
      </c>
      <c r="EV86">
        <v>28.11</v>
      </c>
      <c r="EW86">
        <v>2.2799999999999998</v>
      </c>
      <c r="EX86">
        <v>0</v>
      </c>
      <c r="EY86">
        <v>0</v>
      </c>
      <c r="FQ86">
        <v>0</v>
      </c>
      <c r="FR86">
        <f t="shared" si="102"/>
        <v>0</v>
      </c>
      <c r="FS86">
        <v>0</v>
      </c>
      <c r="FX86">
        <v>112</v>
      </c>
      <c r="FY86">
        <v>70</v>
      </c>
      <c r="GA86" t="s">
        <v>5</v>
      </c>
      <c r="GD86">
        <v>0</v>
      </c>
      <c r="GF86">
        <v>130135036</v>
      </c>
      <c r="GG86">
        <v>2</v>
      </c>
      <c r="GH86">
        <v>1</v>
      </c>
      <c r="GI86">
        <v>2</v>
      </c>
      <c r="GJ86">
        <v>0</v>
      </c>
      <c r="GK86">
        <f>ROUND(R86*(R12)/100,2)</f>
        <v>0</v>
      </c>
      <c r="GL86">
        <f t="shared" si="103"/>
        <v>0</v>
      </c>
      <c r="GM86">
        <f t="shared" si="104"/>
        <v>0</v>
      </c>
      <c r="GN86">
        <f t="shared" si="105"/>
        <v>0</v>
      </c>
      <c r="GO86">
        <f t="shared" si="106"/>
        <v>0</v>
      </c>
      <c r="GP86">
        <f t="shared" si="107"/>
        <v>0</v>
      </c>
      <c r="GR86">
        <v>0</v>
      </c>
      <c r="GS86">
        <v>0</v>
      </c>
      <c r="GT86">
        <v>0</v>
      </c>
      <c r="GU86" t="s">
        <v>5</v>
      </c>
      <c r="GV86">
        <f t="shared" si="108"/>
        <v>0</v>
      </c>
      <c r="GW86">
        <v>1</v>
      </c>
      <c r="GX86">
        <f t="shared" si="109"/>
        <v>0</v>
      </c>
      <c r="HA86">
        <v>0</v>
      </c>
      <c r="HB86">
        <v>0</v>
      </c>
      <c r="HC86">
        <f t="shared" si="110"/>
        <v>0</v>
      </c>
      <c r="IK86">
        <v>0</v>
      </c>
    </row>
    <row r="87" spans="1:245" x14ac:dyDescent="0.2">
      <c r="A87">
        <v>17</v>
      </c>
      <c r="B87">
        <v>1</v>
      </c>
      <c r="E87" t="s">
        <v>37</v>
      </c>
      <c r="F87" t="s">
        <v>38</v>
      </c>
      <c r="G87" t="s">
        <v>39</v>
      </c>
      <c r="H87" t="s">
        <v>40</v>
      </c>
      <c r="I87">
        <v>12.05</v>
      </c>
      <c r="J87">
        <v>0</v>
      </c>
      <c r="O87">
        <f t="shared" si="71"/>
        <v>6641.93</v>
      </c>
      <c r="P87">
        <f t="shared" si="72"/>
        <v>6641.93</v>
      </c>
      <c r="Q87">
        <f t="shared" si="73"/>
        <v>0</v>
      </c>
      <c r="R87">
        <f t="shared" si="74"/>
        <v>0</v>
      </c>
      <c r="S87">
        <f t="shared" si="75"/>
        <v>0</v>
      </c>
      <c r="T87">
        <f t="shared" si="76"/>
        <v>0</v>
      </c>
      <c r="U87">
        <f t="shared" si="77"/>
        <v>0</v>
      </c>
      <c r="V87">
        <f t="shared" si="78"/>
        <v>0</v>
      </c>
      <c r="W87">
        <f t="shared" si="79"/>
        <v>0</v>
      </c>
      <c r="X87">
        <f t="shared" si="80"/>
        <v>0</v>
      </c>
      <c r="Y87">
        <f t="shared" si="81"/>
        <v>0</v>
      </c>
      <c r="AA87">
        <v>44175501</v>
      </c>
      <c r="AB87">
        <f t="shared" si="82"/>
        <v>104.99</v>
      </c>
      <c r="AC87">
        <f t="shared" si="83"/>
        <v>104.99</v>
      </c>
      <c r="AD87">
        <f t="shared" si="84"/>
        <v>0</v>
      </c>
      <c r="AE87">
        <f t="shared" si="85"/>
        <v>0</v>
      </c>
      <c r="AF87">
        <f t="shared" si="86"/>
        <v>0</v>
      </c>
      <c r="AG87">
        <f t="shared" si="87"/>
        <v>0</v>
      </c>
      <c r="AH87">
        <f t="shared" si="88"/>
        <v>0</v>
      </c>
      <c r="AI87">
        <f t="shared" si="89"/>
        <v>0</v>
      </c>
      <c r="AJ87">
        <f t="shared" si="90"/>
        <v>0</v>
      </c>
      <c r="AK87">
        <v>104.99</v>
      </c>
      <c r="AL87">
        <v>104.99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5.25</v>
      </c>
      <c r="BD87" t="s">
        <v>5</v>
      </c>
      <c r="BE87" t="s">
        <v>5</v>
      </c>
      <c r="BF87" t="s">
        <v>5</v>
      </c>
      <c r="BG87" t="s">
        <v>5</v>
      </c>
      <c r="BH87">
        <v>3</v>
      </c>
      <c r="BI87">
        <v>1</v>
      </c>
      <c r="BJ87" t="s">
        <v>41</v>
      </c>
      <c r="BM87">
        <v>1617</v>
      </c>
      <c r="BN87">
        <v>0</v>
      </c>
      <c r="BO87" t="s">
        <v>38</v>
      </c>
      <c r="BP87">
        <v>1</v>
      </c>
      <c r="BQ87">
        <v>200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5</v>
      </c>
      <c r="BZ87">
        <v>0</v>
      </c>
      <c r="CA87">
        <v>0</v>
      </c>
      <c r="CE87">
        <v>30</v>
      </c>
      <c r="CF87">
        <v>0</v>
      </c>
      <c r="CG87">
        <v>0</v>
      </c>
      <c r="CM87">
        <v>0</v>
      </c>
      <c r="CN87" t="s">
        <v>5</v>
      </c>
      <c r="CO87">
        <v>0</v>
      </c>
      <c r="CP87">
        <f t="shared" si="91"/>
        <v>6641.93</v>
      </c>
      <c r="CQ87">
        <f t="shared" si="92"/>
        <v>551.20000000000005</v>
      </c>
      <c r="CR87">
        <f t="shared" si="93"/>
        <v>0</v>
      </c>
      <c r="CS87">
        <f t="shared" si="94"/>
        <v>0</v>
      </c>
      <c r="CT87">
        <f t="shared" si="95"/>
        <v>0</v>
      </c>
      <c r="CU87">
        <f t="shared" si="96"/>
        <v>0</v>
      </c>
      <c r="CV87">
        <f t="shared" si="97"/>
        <v>0</v>
      </c>
      <c r="CW87">
        <f t="shared" si="98"/>
        <v>0</v>
      </c>
      <c r="CX87">
        <f t="shared" si="99"/>
        <v>0</v>
      </c>
      <c r="CY87">
        <f t="shared" si="100"/>
        <v>0</v>
      </c>
      <c r="CZ87">
        <f t="shared" si="101"/>
        <v>0</v>
      </c>
      <c r="DC87" t="s">
        <v>5</v>
      </c>
      <c r="DD87" t="s">
        <v>5</v>
      </c>
      <c r="DE87" t="s">
        <v>30</v>
      </c>
      <c r="DF87" t="s">
        <v>30</v>
      </c>
      <c r="DG87" t="s">
        <v>30</v>
      </c>
      <c r="DH87" t="s">
        <v>5</v>
      </c>
      <c r="DI87" t="s">
        <v>30</v>
      </c>
      <c r="DJ87" t="s">
        <v>30</v>
      </c>
      <c r="DK87" t="s">
        <v>5</v>
      </c>
      <c r="DL87" t="s">
        <v>5</v>
      </c>
      <c r="DM87" t="s">
        <v>5</v>
      </c>
      <c r="DN87">
        <v>0</v>
      </c>
      <c r="DO87">
        <v>0</v>
      </c>
      <c r="DP87">
        <v>1</v>
      </c>
      <c r="DQ87">
        <v>1</v>
      </c>
      <c r="DU87">
        <v>1007</v>
      </c>
      <c r="DV87" t="s">
        <v>40</v>
      </c>
      <c r="DW87" t="s">
        <v>40</v>
      </c>
      <c r="DX87">
        <v>1</v>
      </c>
      <c r="EE87">
        <v>44065436</v>
      </c>
      <c r="EF87">
        <v>200</v>
      </c>
      <c r="EG87" t="s">
        <v>42</v>
      </c>
      <c r="EH87">
        <v>0</v>
      </c>
      <c r="EI87" t="s">
        <v>5</v>
      </c>
      <c r="EJ87">
        <v>1</v>
      </c>
      <c r="EK87">
        <v>1617</v>
      </c>
      <c r="EL87" t="s">
        <v>43</v>
      </c>
      <c r="EM87" t="s">
        <v>44</v>
      </c>
      <c r="EO87" t="s">
        <v>5</v>
      </c>
      <c r="EQ87">
        <v>131072</v>
      </c>
      <c r="ER87">
        <v>104.99</v>
      </c>
      <c r="ES87">
        <v>104.99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FQ87">
        <v>0</v>
      </c>
      <c r="FR87">
        <f t="shared" si="102"/>
        <v>0</v>
      </c>
      <c r="FS87">
        <v>0</v>
      </c>
      <c r="FX87">
        <v>0</v>
      </c>
      <c r="FY87">
        <v>0</v>
      </c>
      <c r="GA87" t="s">
        <v>5</v>
      </c>
      <c r="GD87">
        <v>0</v>
      </c>
      <c r="GF87">
        <v>2069056849</v>
      </c>
      <c r="GG87">
        <v>2</v>
      </c>
      <c r="GH87">
        <v>1</v>
      </c>
      <c r="GI87">
        <v>2</v>
      </c>
      <c r="GJ87">
        <v>0</v>
      </c>
      <c r="GK87">
        <f>ROUND(R87*(R12)/100,2)</f>
        <v>0</v>
      </c>
      <c r="GL87">
        <f t="shared" si="103"/>
        <v>0</v>
      </c>
      <c r="GM87">
        <f t="shared" si="104"/>
        <v>6641.93</v>
      </c>
      <c r="GN87">
        <f t="shared" si="105"/>
        <v>6641.93</v>
      </c>
      <c r="GO87">
        <f t="shared" si="106"/>
        <v>0</v>
      </c>
      <c r="GP87">
        <f t="shared" si="107"/>
        <v>0</v>
      </c>
      <c r="GR87">
        <v>0</v>
      </c>
      <c r="GS87">
        <v>0</v>
      </c>
      <c r="GT87">
        <v>0</v>
      </c>
      <c r="GU87" t="s">
        <v>5</v>
      </c>
      <c r="GV87">
        <f t="shared" si="108"/>
        <v>0</v>
      </c>
      <c r="GW87">
        <v>1</v>
      </c>
      <c r="GX87">
        <f t="shared" si="109"/>
        <v>0</v>
      </c>
      <c r="HA87">
        <v>0</v>
      </c>
      <c r="HB87">
        <v>0</v>
      </c>
      <c r="HC87">
        <f t="shared" si="110"/>
        <v>0</v>
      </c>
      <c r="IK87">
        <v>0</v>
      </c>
    </row>
    <row r="88" spans="1:245" x14ac:dyDescent="0.2">
      <c r="A88">
        <v>17</v>
      </c>
      <c r="B88">
        <v>1</v>
      </c>
      <c r="D88">
        <f>ROW(EtalonRes!A27)</f>
        <v>27</v>
      </c>
      <c r="E88" t="s">
        <v>45</v>
      </c>
      <c r="F88" t="s">
        <v>179</v>
      </c>
      <c r="G88" t="s">
        <v>180</v>
      </c>
      <c r="H88" t="s">
        <v>181</v>
      </c>
      <c r="I88">
        <f>ROUND(1340.28/3/100,9)</f>
        <v>4.4676</v>
      </c>
      <c r="J88">
        <v>0</v>
      </c>
      <c r="O88">
        <f t="shared" si="71"/>
        <v>69534.06</v>
      </c>
      <c r="P88">
        <f t="shared" si="72"/>
        <v>1236.1199999999999</v>
      </c>
      <c r="Q88">
        <f t="shared" si="73"/>
        <v>14626.5</v>
      </c>
      <c r="R88">
        <f t="shared" si="74"/>
        <v>7346.85</v>
      </c>
      <c r="S88">
        <f t="shared" si="75"/>
        <v>53671.44</v>
      </c>
      <c r="T88">
        <f t="shared" si="76"/>
        <v>0</v>
      </c>
      <c r="U88">
        <f t="shared" si="77"/>
        <v>199.65489865847999</v>
      </c>
      <c r="V88">
        <f t="shared" si="78"/>
        <v>0</v>
      </c>
      <c r="W88">
        <f t="shared" si="79"/>
        <v>0</v>
      </c>
      <c r="X88">
        <f t="shared" si="80"/>
        <v>48304.3</v>
      </c>
      <c r="Y88">
        <f t="shared" si="81"/>
        <v>23078.720000000001</v>
      </c>
      <c r="AA88">
        <v>44175501</v>
      </c>
      <c r="AB88">
        <f t="shared" si="82"/>
        <v>956.22379999999998</v>
      </c>
      <c r="AC88">
        <f t="shared" si="83"/>
        <v>51.62</v>
      </c>
      <c r="AD88">
        <f t="shared" si="84"/>
        <v>369.17759999999998</v>
      </c>
      <c r="AE88">
        <f t="shared" si="85"/>
        <v>73.291799999999995</v>
      </c>
      <c r="AF88">
        <f t="shared" si="86"/>
        <v>535.42619999999999</v>
      </c>
      <c r="AG88">
        <f t="shared" si="87"/>
        <v>0</v>
      </c>
      <c r="AH88">
        <f t="shared" si="88"/>
        <v>42.683399999999999</v>
      </c>
      <c r="AI88">
        <f t="shared" si="89"/>
        <v>0</v>
      </c>
      <c r="AJ88">
        <f t="shared" si="90"/>
        <v>0</v>
      </c>
      <c r="AK88">
        <v>707.13</v>
      </c>
      <c r="AL88">
        <v>51.62</v>
      </c>
      <c r="AM88">
        <v>267.52</v>
      </c>
      <c r="AN88">
        <v>53.11</v>
      </c>
      <c r="AO88">
        <v>387.99</v>
      </c>
      <c r="AP88">
        <v>0</v>
      </c>
      <c r="AQ88">
        <v>30.93</v>
      </c>
      <c r="AR88">
        <v>0</v>
      </c>
      <c r="AS88">
        <v>0</v>
      </c>
      <c r="AT88">
        <v>90</v>
      </c>
      <c r="AU88">
        <v>43</v>
      </c>
      <c r="AV88">
        <v>1.0469999999999999</v>
      </c>
      <c r="AW88">
        <v>1</v>
      </c>
      <c r="AZ88">
        <v>1</v>
      </c>
      <c r="BA88">
        <v>21.43</v>
      </c>
      <c r="BB88">
        <v>8.4700000000000006</v>
      </c>
      <c r="BC88">
        <v>5.36</v>
      </c>
      <c r="BD88" t="s">
        <v>5</v>
      </c>
      <c r="BE88" t="s">
        <v>5</v>
      </c>
      <c r="BF88" t="s">
        <v>5</v>
      </c>
      <c r="BG88" t="s">
        <v>5</v>
      </c>
      <c r="BH88">
        <v>0</v>
      </c>
      <c r="BI88">
        <v>2</v>
      </c>
      <c r="BJ88" t="s">
        <v>182</v>
      </c>
      <c r="BM88">
        <v>1608</v>
      </c>
      <c r="BN88">
        <v>0</v>
      </c>
      <c r="BO88" t="s">
        <v>179</v>
      </c>
      <c r="BP88">
        <v>1</v>
      </c>
      <c r="BQ88">
        <v>40</v>
      </c>
      <c r="BR88">
        <v>0</v>
      </c>
      <c r="BS88">
        <v>21.43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5</v>
      </c>
      <c r="BZ88">
        <v>90</v>
      </c>
      <c r="CA88">
        <v>43</v>
      </c>
      <c r="CE88">
        <v>30</v>
      </c>
      <c r="CF88">
        <v>0</v>
      </c>
      <c r="CG88">
        <v>0</v>
      </c>
      <c r="CM88">
        <v>0</v>
      </c>
      <c r="CN88" t="s">
        <v>5</v>
      </c>
      <c r="CO88">
        <v>0</v>
      </c>
      <c r="CP88">
        <f t="shared" si="91"/>
        <v>69534.06</v>
      </c>
      <c r="CQ88">
        <f t="shared" si="92"/>
        <v>276.68</v>
      </c>
      <c r="CR88">
        <f t="shared" si="93"/>
        <v>3273.91</v>
      </c>
      <c r="CS88">
        <f t="shared" si="94"/>
        <v>1644.54</v>
      </c>
      <c r="CT88">
        <f t="shared" si="95"/>
        <v>12013.44</v>
      </c>
      <c r="CU88">
        <f t="shared" si="96"/>
        <v>0</v>
      </c>
      <c r="CV88">
        <f t="shared" si="97"/>
        <v>44.689519799999999</v>
      </c>
      <c r="CW88">
        <f t="shared" si="98"/>
        <v>0</v>
      </c>
      <c r="CX88">
        <f t="shared" si="99"/>
        <v>0</v>
      </c>
      <c r="CY88">
        <f t="shared" si="100"/>
        <v>48304.296000000002</v>
      </c>
      <c r="CZ88">
        <f t="shared" si="101"/>
        <v>23078.7192</v>
      </c>
      <c r="DC88" t="s">
        <v>5</v>
      </c>
      <c r="DD88" t="s">
        <v>5</v>
      </c>
      <c r="DE88" t="s">
        <v>30</v>
      </c>
      <c r="DF88" t="s">
        <v>30</v>
      </c>
      <c r="DG88" t="s">
        <v>30</v>
      </c>
      <c r="DH88" t="s">
        <v>5</v>
      </c>
      <c r="DI88" t="s">
        <v>30</v>
      </c>
      <c r="DJ88" t="s">
        <v>30</v>
      </c>
      <c r="DK88" t="s">
        <v>5</v>
      </c>
      <c r="DL88" t="s">
        <v>5</v>
      </c>
      <c r="DM88" t="s">
        <v>5</v>
      </c>
      <c r="DN88">
        <v>112</v>
      </c>
      <c r="DO88">
        <v>70</v>
      </c>
      <c r="DP88">
        <v>1.0669999999999999</v>
      </c>
      <c r="DQ88">
        <v>1.081</v>
      </c>
      <c r="DU88">
        <v>1003</v>
      </c>
      <c r="DV88" t="s">
        <v>181</v>
      </c>
      <c r="DW88" t="s">
        <v>181</v>
      </c>
      <c r="DX88">
        <v>100</v>
      </c>
      <c r="EE88">
        <v>44065427</v>
      </c>
      <c r="EF88">
        <v>40</v>
      </c>
      <c r="EG88" t="s">
        <v>172</v>
      </c>
      <c r="EH88">
        <v>0</v>
      </c>
      <c r="EI88" t="s">
        <v>5</v>
      </c>
      <c r="EJ88">
        <v>2</v>
      </c>
      <c r="EK88">
        <v>1608</v>
      </c>
      <c r="EL88" t="s">
        <v>183</v>
      </c>
      <c r="EM88" t="s">
        <v>184</v>
      </c>
      <c r="EO88" t="s">
        <v>5</v>
      </c>
      <c r="EQ88">
        <v>131072</v>
      </c>
      <c r="ER88">
        <v>707.13</v>
      </c>
      <c r="ES88">
        <v>51.62</v>
      </c>
      <c r="ET88">
        <v>267.52</v>
      </c>
      <c r="EU88">
        <v>53.11</v>
      </c>
      <c r="EV88">
        <v>387.99</v>
      </c>
      <c r="EW88">
        <v>30.93</v>
      </c>
      <c r="EX88">
        <v>0</v>
      </c>
      <c r="EY88">
        <v>0</v>
      </c>
      <c r="FQ88">
        <v>0</v>
      </c>
      <c r="FR88">
        <f t="shared" si="102"/>
        <v>0</v>
      </c>
      <c r="FS88">
        <v>0</v>
      </c>
      <c r="FX88">
        <v>112</v>
      </c>
      <c r="FY88">
        <v>70</v>
      </c>
      <c r="GA88" t="s">
        <v>5</v>
      </c>
      <c r="GD88">
        <v>0</v>
      </c>
      <c r="GF88">
        <v>-426852459</v>
      </c>
      <c r="GG88">
        <v>2</v>
      </c>
      <c r="GH88">
        <v>1</v>
      </c>
      <c r="GI88">
        <v>2</v>
      </c>
      <c r="GJ88">
        <v>0</v>
      </c>
      <c r="GK88">
        <f>ROUND(R88*(R12)/100,2)</f>
        <v>11534.55</v>
      </c>
      <c r="GL88">
        <f t="shared" si="103"/>
        <v>0</v>
      </c>
      <c r="GM88">
        <f t="shared" si="104"/>
        <v>152451.63</v>
      </c>
      <c r="GN88">
        <f t="shared" si="105"/>
        <v>0</v>
      </c>
      <c r="GO88">
        <f t="shared" si="106"/>
        <v>152451.63</v>
      </c>
      <c r="GP88">
        <f t="shared" si="107"/>
        <v>0</v>
      </c>
      <c r="GR88">
        <v>0</v>
      </c>
      <c r="GS88">
        <v>0</v>
      </c>
      <c r="GT88">
        <v>0</v>
      </c>
      <c r="GU88" t="s">
        <v>5</v>
      </c>
      <c r="GV88">
        <f t="shared" si="108"/>
        <v>0</v>
      </c>
      <c r="GW88">
        <v>1</v>
      </c>
      <c r="GX88">
        <f t="shared" si="109"/>
        <v>0</v>
      </c>
      <c r="HA88">
        <v>0</v>
      </c>
      <c r="HB88">
        <v>0</v>
      </c>
      <c r="HC88">
        <f t="shared" si="110"/>
        <v>0</v>
      </c>
      <c r="IK88">
        <v>0</v>
      </c>
    </row>
    <row r="89" spans="1:245" x14ac:dyDescent="0.2">
      <c r="A89">
        <v>17</v>
      </c>
      <c r="B89">
        <v>1</v>
      </c>
      <c r="D89">
        <f>ROW(EtalonRes!A29)</f>
        <v>29</v>
      </c>
      <c r="E89" t="s">
        <v>53</v>
      </c>
      <c r="F89" t="s">
        <v>179</v>
      </c>
      <c r="G89" t="s">
        <v>180</v>
      </c>
      <c r="H89" t="s">
        <v>181</v>
      </c>
      <c r="I89">
        <v>0</v>
      </c>
      <c r="J89">
        <v>0</v>
      </c>
      <c r="O89">
        <f t="shared" si="71"/>
        <v>0</v>
      </c>
      <c r="P89">
        <f t="shared" si="72"/>
        <v>0</v>
      </c>
      <c r="Q89">
        <f t="shared" si="73"/>
        <v>0</v>
      </c>
      <c r="R89">
        <f t="shared" si="74"/>
        <v>0</v>
      </c>
      <c r="S89">
        <f t="shared" si="75"/>
        <v>0</v>
      </c>
      <c r="T89">
        <f t="shared" si="76"/>
        <v>0</v>
      </c>
      <c r="U89">
        <f t="shared" si="77"/>
        <v>0</v>
      </c>
      <c r="V89">
        <f t="shared" si="78"/>
        <v>0</v>
      </c>
      <c r="W89">
        <f t="shared" si="79"/>
        <v>0</v>
      </c>
      <c r="X89">
        <f t="shared" si="80"/>
        <v>0</v>
      </c>
      <c r="Y89">
        <f t="shared" si="81"/>
        <v>0</v>
      </c>
      <c r="AA89">
        <v>44175501</v>
      </c>
      <c r="AB89">
        <f t="shared" si="82"/>
        <v>956.22379999999998</v>
      </c>
      <c r="AC89">
        <f t="shared" si="83"/>
        <v>51.62</v>
      </c>
      <c r="AD89">
        <f t="shared" si="84"/>
        <v>369.17759999999998</v>
      </c>
      <c r="AE89">
        <f t="shared" si="85"/>
        <v>73.291799999999995</v>
      </c>
      <c r="AF89">
        <f t="shared" si="86"/>
        <v>535.42619999999999</v>
      </c>
      <c r="AG89">
        <f t="shared" si="87"/>
        <v>0</v>
      </c>
      <c r="AH89">
        <f t="shared" si="88"/>
        <v>42.683399999999999</v>
      </c>
      <c r="AI89">
        <f t="shared" si="89"/>
        <v>0</v>
      </c>
      <c r="AJ89">
        <f t="shared" si="90"/>
        <v>0</v>
      </c>
      <c r="AK89">
        <v>707.13</v>
      </c>
      <c r="AL89">
        <v>51.62</v>
      </c>
      <c r="AM89">
        <v>267.52</v>
      </c>
      <c r="AN89">
        <v>53.11</v>
      </c>
      <c r="AO89">
        <v>387.99</v>
      </c>
      <c r="AP89">
        <v>0</v>
      </c>
      <c r="AQ89">
        <v>30.93</v>
      </c>
      <c r="AR89">
        <v>0</v>
      </c>
      <c r="AS89">
        <v>0</v>
      </c>
      <c r="AT89">
        <v>90</v>
      </c>
      <c r="AU89">
        <v>43</v>
      </c>
      <c r="AV89">
        <v>1.0469999999999999</v>
      </c>
      <c r="AW89">
        <v>1</v>
      </c>
      <c r="AZ89">
        <v>1</v>
      </c>
      <c r="BA89">
        <v>21.43</v>
      </c>
      <c r="BB89">
        <v>8.4700000000000006</v>
      </c>
      <c r="BC89">
        <v>5.36</v>
      </c>
      <c r="BD89" t="s">
        <v>5</v>
      </c>
      <c r="BE89" t="s">
        <v>5</v>
      </c>
      <c r="BF89" t="s">
        <v>5</v>
      </c>
      <c r="BG89" t="s">
        <v>5</v>
      </c>
      <c r="BH89">
        <v>0</v>
      </c>
      <c r="BI89">
        <v>2</v>
      </c>
      <c r="BJ89" t="s">
        <v>182</v>
      </c>
      <c r="BM89">
        <v>1608</v>
      </c>
      <c r="BN89">
        <v>0</v>
      </c>
      <c r="BO89" t="s">
        <v>179</v>
      </c>
      <c r="BP89">
        <v>1</v>
      </c>
      <c r="BQ89">
        <v>40</v>
      </c>
      <c r="BR89">
        <v>0</v>
      </c>
      <c r="BS89">
        <v>21.43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5</v>
      </c>
      <c r="BZ89">
        <v>90</v>
      </c>
      <c r="CA89">
        <v>43</v>
      </c>
      <c r="CE89">
        <v>30</v>
      </c>
      <c r="CF89">
        <v>0</v>
      </c>
      <c r="CG89">
        <v>0</v>
      </c>
      <c r="CM89">
        <v>0</v>
      </c>
      <c r="CN89" t="s">
        <v>5</v>
      </c>
      <c r="CO89">
        <v>0</v>
      </c>
      <c r="CP89">
        <f t="shared" si="91"/>
        <v>0</v>
      </c>
      <c r="CQ89">
        <f t="shared" si="92"/>
        <v>276.68</v>
      </c>
      <c r="CR89">
        <f t="shared" si="93"/>
        <v>3273.91</v>
      </c>
      <c r="CS89">
        <f t="shared" si="94"/>
        <v>1644.54</v>
      </c>
      <c r="CT89">
        <f t="shared" si="95"/>
        <v>12013.44</v>
      </c>
      <c r="CU89">
        <f t="shared" si="96"/>
        <v>0</v>
      </c>
      <c r="CV89">
        <f t="shared" si="97"/>
        <v>44.689519799999999</v>
      </c>
      <c r="CW89">
        <f t="shared" si="98"/>
        <v>0</v>
      </c>
      <c r="CX89">
        <f t="shared" si="99"/>
        <v>0</v>
      </c>
      <c r="CY89">
        <f t="shared" si="100"/>
        <v>0</v>
      </c>
      <c r="CZ89">
        <f t="shared" si="101"/>
        <v>0</v>
      </c>
      <c r="DC89" t="s">
        <v>5</v>
      </c>
      <c r="DD89" t="s">
        <v>5</v>
      </c>
      <c r="DE89" t="s">
        <v>30</v>
      </c>
      <c r="DF89" t="s">
        <v>30</v>
      </c>
      <c r="DG89" t="s">
        <v>30</v>
      </c>
      <c r="DH89" t="s">
        <v>5</v>
      </c>
      <c r="DI89" t="s">
        <v>30</v>
      </c>
      <c r="DJ89" t="s">
        <v>30</v>
      </c>
      <c r="DK89" t="s">
        <v>5</v>
      </c>
      <c r="DL89" t="s">
        <v>5</v>
      </c>
      <c r="DM89" t="s">
        <v>5</v>
      </c>
      <c r="DN89">
        <v>112</v>
      </c>
      <c r="DO89">
        <v>70</v>
      </c>
      <c r="DP89">
        <v>1.0669999999999999</v>
      </c>
      <c r="DQ89">
        <v>1.081</v>
      </c>
      <c r="DU89">
        <v>1003</v>
      </c>
      <c r="DV89" t="s">
        <v>181</v>
      </c>
      <c r="DW89" t="s">
        <v>181</v>
      </c>
      <c r="DX89">
        <v>100</v>
      </c>
      <c r="EE89">
        <v>44065427</v>
      </c>
      <c r="EF89">
        <v>40</v>
      </c>
      <c r="EG89" t="s">
        <v>172</v>
      </c>
      <c r="EH89">
        <v>0</v>
      </c>
      <c r="EI89" t="s">
        <v>5</v>
      </c>
      <c r="EJ89">
        <v>2</v>
      </c>
      <c r="EK89">
        <v>1608</v>
      </c>
      <c r="EL89" t="s">
        <v>183</v>
      </c>
      <c r="EM89" t="s">
        <v>184</v>
      </c>
      <c r="EO89" t="s">
        <v>5</v>
      </c>
      <c r="EQ89">
        <v>131072</v>
      </c>
      <c r="ER89">
        <v>707.13</v>
      </c>
      <c r="ES89">
        <v>51.62</v>
      </c>
      <c r="ET89">
        <v>267.52</v>
      </c>
      <c r="EU89">
        <v>53.11</v>
      </c>
      <c r="EV89">
        <v>387.99</v>
      </c>
      <c r="EW89">
        <v>30.93</v>
      </c>
      <c r="EX89">
        <v>0</v>
      </c>
      <c r="EY89">
        <v>0</v>
      </c>
      <c r="FQ89">
        <v>0</v>
      </c>
      <c r="FR89">
        <f t="shared" si="102"/>
        <v>0</v>
      </c>
      <c r="FS89">
        <v>0</v>
      </c>
      <c r="FX89">
        <v>112</v>
      </c>
      <c r="FY89">
        <v>70</v>
      </c>
      <c r="GA89" t="s">
        <v>5</v>
      </c>
      <c r="GD89">
        <v>0</v>
      </c>
      <c r="GF89">
        <v>-426852459</v>
      </c>
      <c r="GG89">
        <v>2</v>
      </c>
      <c r="GH89">
        <v>1</v>
      </c>
      <c r="GI89">
        <v>2</v>
      </c>
      <c r="GJ89">
        <v>0</v>
      </c>
      <c r="GK89">
        <f>ROUND(R89*(R12)/100,2)</f>
        <v>0</v>
      </c>
      <c r="GL89">
        <f t="shared" si="103"/>
        <v>0</v>
      </c>
      <c r="GM89">
        <f t="shared" si="104"/>
        <v>0</v>
      </c>
      <c r="GN89">
        <f t="shared" si="105"/>
        <v>0</v>
      </c>
      <c r="GO89">
        <f t="shared" si="106"/>
        <v>0</v>
      </c>
      <c r="GP89">
        <f t="shared" si="107"/>
        <v>0</v>
      </c>
      <c r="GR89">
        <v>0</v>
      </c>
      <c r="GS89">
        <v>0</v>
      </c>
      <c r="GT89">
        <v>0</v>
      </c>
      <c r="GU89" t="s">
        <v>5</v>
      </c>
      <c r="GV89">
        <f t="shared" si="108"/>
        <v>0</v>
      </c>
      <c r="GW89">
        <v>1</v>
      </c>
      <c r="GX89">
        <f t="shared" si="109"/>
        <v>0</v>
      </c>
      <c r="HA89">
        <v>0</v>
      </c>
      <c r="HB89">
        <v>0</v>
      </c>
      <c r="HC89">
        <f t="shared" si="110"/>
        <v>0</v>
      </c>
      <c r="IK89">
        <v>0</v>
      </c>
    </row>
    <row r="90" spans="1:245" x14ac:dyDescent="0.2">
      <c r="A90">
        <v>17</v>
      </c>
      <c r="B90">
        <v>1</v>
      </c>
      <c r="C90">
        <f>ROW(SmtRes!A28)</f>
        <v>28</v>
      </c>
      <c r="D90">
        <f>ROW(EtalonRes!A30)</f>
        <v>30</v>
      </c>
      <c r="E90" t="s">
        <v>185</v>
      </c>
      <c r="F90" t="s">
        <v>186</v>
      </c>
      <c r="G90" t="s">
        <v>187</v>
      </c>
      <c r="H90" t="s">
        <v>170</v>
      </c>
      <c r="I90">
        <f>ROUND(1829.88/100,9)</f>
        <v>18.2988</v>
      </c>
      <c r="J90">
        <v>0</v>
      </c>
      <c r="O90">
        <f t="shared" si="71"/>
        <v>211886.12</v>
      </c>
      <c r="P90">
        <f t="shared" si="72"/>
        <v>3837.06</v>
      </c>
      <c r="Q90">
        <f t="shared" si="73"/>
        <v>31487.08</v>
      </c>
      <c r="R90">
        <f t="shared" si="74"/>
        <v>17201.22</v>
      </c>
      <c r="S90">
        <f t="shared" si="75"/>
        <v>176561.98</v>
      </c>
      <c r="T90">
        <f t="shared" si="76"/>
        <v>0</v>
      </c>
      <c r="U90">
        <f t="shared" si="77"/>
        <v>668.21742599039999</v>
      </c>
      <c r="V90">
        <f t="shared" si="78"/>
        <v>0</v>
      </c>
      <c r="W90">
        <f t="shared" si="79"/>
        <v>0</v>
      </c>
      <c r="X90">
        <f t="shared" si="80"/>
        <v>158905.78</v>
      </c>
      <c r="Y90">
        <f t="shared" si="81"/>
        <v>75921.649999999994</v>
      </c>
      <c r="AA90">
        <v>44175501</v>
      </c>
      <c r="AB90">
        <f t="shared" si="82"/>
        <v>638.35299999999995</v>
      </c>
      <c r="AC90">
        <f t="shared" si="83"/>
        <v>36.19</v>
      </c>
      <c r="AD90">
        <f t="shared" si="84"/>
        <v>180.1866</v>
      </c>
      <c r="AE90">
        <f t="shared" si="85"/>
        <v>41.110199999999999</v>
      </c>
      <c r="AF90">
        <f t="shared" si="86"/>
        <v>421.97640000000001</v>
      </c>
      <c r="AG90">
        <f t="shared" si="87"/>
        <v>0</v>
      </c>
      <c r="AH90">
        <f t="shared" si="88"/>
        <v>34.223999999999997</v>
      </c>
      <c r="AI90">
        <f t="shared" si="89"/>
        <v>0</v>
      </c>
      <c r="AJ90">
        <f t="shared" si="90"/>
        <v>0</v>
      </c>
      <c r="AK90">
        <v>472.54</v>
      </c>
      <c r="AL90">
        <v>36.19</v>
      </c>
      <c r="AM90">
        <v>130.57</v>
      </c>
      <c r="AN90">
        <v>29.79</v>
      </c>
      <c r="AO90">
        <v>305.77999999999997</v>
      </c>
      <c r="AP90">
        <v>0</v>
      </c>
      <c r="AQ90">
        <v>24.8</v>
      </c>
      <c r="AR90">
        <v>0</v>
      </c>
      <c r="AS90">
        <v>0</v>
      </c>
      <c r="AT90">
        <v>90</v>
      </c>
      <c r="AU90">
        <v>43</v>
      </c>
      <c r="AV90">
        <v>1.0669999999999999</v>
      </c>
      <c r="AW90">
        <v>1.081</v>
      </c>
      <c r="AZ90">
        <v>1</v>
      </c>
      <c r="BA90">
        <v>21.43</v>
      </c>
      <c r="BB90">
        <v>8.9499999999999993</v>
      </c>
      <c r="BC90">
        <v>5.36</v>
      </c>
      <c r="BD90" t="s">
        <v>5</v>
      </c>
      <c r="BE90" t="s">
        <v>5</v>
      </c>
      <c r="BF90" t="s">
        <v>5</v>
      </c>
      <c r="BG90" t="s">
        <v>5</v>
      </c>
      <c r="BH90">
        <v>0</v>
      </c>
      <c r="BI90">
        <v>2</v>
      </c>
      <c r="BJ90" t="s">
        <v>188</v>
      </c>
      <c r="BM90">
        <v>318</v>
      </c>
      <c r="BN90">
        <v>0</v>
      </c>
      <c r="BO90" t="s">
        <v>186</v>
      </c>
      <c r="BP90">
        <v>1</v>
      </c>
      <c r="BQ90">
        <v>40</v>
      </c>
      <c r="BR90">
        <v>0</v>
      </c>
      <c r="BS90">
        <v>21.43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5</v>
      </c>
      <c r="BZ90">
        <v>90</v>
      </c>
      <c r="CA90">
        <v>43</v>
      </c>
      <c r="CE90">
        <v>30</v>
      </c>
      <c r="CF90">
        <v>0</v>
      </c>
      <c r="CG90">
        <v>0</v>
      </c>
      <c r="CM90">
        <v>0</v>
      </c>
      <c r="CN90" t="s">
        <v>5</v>
      </c>
      <c r="CO90">
        <v>0</v>
      </c>
      <c r="CP90">
        <f t="shared" si="91"/>
        <v>211886.12</v>
      </c>
      <c r="CQ90">
        <f t="shared" si="92"/>
        <v>209.68</v>
      </c>
      <c r="CR90">
        <f t="shared" si="93"/>
        <v>1720.73</v>
      </c>
      <c r="CS90">
        <f t="shared" si="94"/>
        <v>939.92</v>
      </c>
      <c r="CT90">
        <f t="shared" si="95"/>
        <v>9648.86</v>
      </c>
      <c r="CU90">
        <f t="shared" si="96"/>
        <v>0</v>
      </c>
      <c r="CV90">
        <f t="shared" si="97"/>
        <v>36.517007999999997</v>
      </c>
      <c r="CW90">
        <f t="shared" si="98"/>
        <v>0</v>
      </c>
      <c r="CX90">
        <f t="shared" si="99"/>
        <v>0</v>
      </c>
      <c r="CY90">
        <f t="shared" si="100"/>
        <v>158905.78200000001</v>
      </c>
      <c r="CZ90">
        <f t="shared" si="101"/>
        <v>75921.651400000002</v>
      </c>
      <c r="DC90" t="s">
        <v>5</v>
      </c>
      <c r="DD90" t="s">
        <v>5</v>
      </c>
      <c r="DE90" t="s">
        <v>30</v>
      </c>
      <c r="DF90" t="s">
        <v>30</v>
      </c>
      <c r="DG90" t="s">
        <v>30</v>
      </c>
      <c r="DH90" t="s">
        <v>5</v>
      </c>
      <c r="DI90" t="s">
        <v>30</v>
      </c>
      <c r="DJ90" t="s">
        <v>30</v>
      </c>
      <c r="DK90" t="s">
        <v>5</v>
      </c>
      <c r="DL90" t="s">
        <v>5</v>
      </c>
      <c r="DM90" t="s">
        <v>5</v>
      </c>
      <c r="DN90">
        <v>112</v>
      </c>
      <c r="DO90">
        <v>70</v>
      </c>
      <c r="DP90">
        <v>1.0669999999999999</v>
      </c>
      <c r="DQ90">
        <v>1.081</v>
      </c>
      <c r="DU90">
        <v>1013</v>
      </c>
      <c r="DV90" t="s">
        <v>170</v>
      </c>
      <c r="DW90" t="s">
        <v>170</v>
      </c>
      <c r="DX90">
        <v>1</v>
      </c>
      <c r="EE90">
        <v>44064137</v>
      </c>
      <c r="EF90">
        <v>40</v>
      </c>
      <c r="EG90" t="s">
        <v>172</v>
      </c>
      <c r="EH90">
        <v>0</v>
      </c>
      <c r="EI90" t="s">
        <v>5</v>
      </c>
      <c r="EJ90">
        <v>2</v>
      </c>
      <c r="EK90">
        <v>318</v>
      </c>
      <c r="EL90" t="s">
        <v>173</v>
      </c>
      <c r="EM90" t="s">
        <v>174</v>
      </c>
      <c r="EO90" t="s">
        <v>5</v>
      </c>
      <c r="EQ90">
        <v>131072</v>
      </c>
      <c r="ER90">
        <v>472.54</v>
      </c>
      <c r="ES90">
        <v>36.19</v>
      </c>
      <c r="ET90">
        <v>130.57</v>
      </c>
      <c r="EU90">
        <v>29.79</v>
      </c>
      <c r="EV90">
        <v>305.77999999999997</v>
      </c>
      <c r="EW90">
        <v>24.8</v>
      </c>
      <c r="EX90">
        <v>0</v>
      </c>
      <c r="EY90">
        <v>0</v>
      </c>
      <c r="FQ90">
        <v>0</v>
      </c>
      <c r="FR90">
        <f t="shared" si="102"/>
        <v>0</v>
      </c>
      <c r="FS90">
        <v>0</v>
      </c>
      <c r="FX90">
        <v>112</v>
      </c>
      <c r="FY90">
        <v>70</v>
      </c>
      <c r="GA90" t="s">
        <v>5</v>
      </c>
      <c r="GD90">
        <v>0</v>
      </c>
      <c r="GF90">
        <v>-1735492394</v>
      </c>
      <c r="GG90">
        <v>2</v>
      </c>
      <c r="GH90">
        <v>1</v>
      </c>
      <c r="GI90">
        <v>2</v>
      </c>
      <c r="GJ90">
        <v>0</v>
      </c>
      <c r="GK90">
        <f>ROUND(R90*(R12)/100,2)</f>
        <v>27005.919999999998</v>
      </c>
      <c r="GL90">
        <f t="shared" si="103"/>
        <v>0</v>
      </c>
      <c r="GM90">
        <f t="shared" si="104"/>
        <v>473719.47</v>
      </c>
      <c r="GN90">
        <f t="shared" si="105"/>
        <v>0</v>
      </c>
      <c r="GO90">
        <f t="shared" si="106"/>
        <v>473719.47</v>
      </c>
      <c r="GP90">
        <f t="shared" si="107"/>
        <v>0</v>
      </c>
      <c r="GR90">
        <v>0</v>
      </c>
      <c r="GS90">
        <v>0</v>
      </c>
      <c r="GT90">
        <v>0</v>
      </c>
      <c r="GU90" t="s">
        <v>5</v>
      </c>
      <c r="GV90">
        <f t="shared" si="108"/>
        <v>0</v>
      </c>
      <c r="GW90">
        <v>1</v>
      </c>
      <c r="GX90">
        <f t="shared" si="109"/>
        <v>0</v>
      </c>
      <c r="HA90">
        <v>0</v>
      </c>
      <c r="HB90">
        <v>0</v>
      </c>
      <c r="HC90">
        <f t="shared" si="110"/>
        <v>0</v>
      </c>
      <c r="IK90">
        <v>0</v>
      </c>
    </row>
    <row r="91" spans="1:245" x14ac:dyDescent="0.2">
      <c r="A91">
        <v>17</v>
      </c>
      <c r="B91">
        <v>1</v>
      </c>
      <c r="C91">
        <f>ROW(SmtRes!A29)</f>
        <v>29</v>
      </c>
      <c r="D91">
        <f>ROW(EtalonRes!A31)</f>
        <v>31</v>
      </c>
      <c r="E91" t="s">
        <v>60</v>
      </c>
      <c r="F91" t="s">
        <v>186</v>
      </c>
      <c r="G91" t="s">
        <v>189</v>
      </c>
      <c r="H91" t="s">
        <v>170</v>
      </c>
      <c r="I91">
        <f>ROUND(624.24/100,9)</f>
        <v>6.2423999999999999</v>
      </c>
      <c r="J91">
        <v>0</v>
      </c>
      <c r="O91">
        <f t="shared" si="71"/>
        <v>72282.2</v>
      </c>
      <c r="P91">
        <f t="shared" si="72"/>
        <v>1308.97</v>
      </c>
      <c r="Q91">
        <f t="shared" si="73"/>
        <v>10741.43</v>
      </c>
      <c r="R91">
        <f t="shared" si="74"/>
        <v>5867.96</v>
      </c>
      <c r="S91">
        <f t="shared" si="75"/>
        <v>60231.8</v>
      </c>
      <c r="T91">
        <f t="shared" si="76"/>
        <v>0</v>
      </c>
      <c r="U91">
        <f t="shared" si="77"/>
        <v>227.95377073919997</v>
      </c>
      <c r="V91">
        <f t="shared" si="78"/>
        <v>0</v>
      </c>
      <c r="W91">
        <f t="shared" si="79"/>
        <v>0</v>
      </c>
      <c r="X91">
        <f t="shared" si="80"/>
        <v>54208.62</v>
      </c>
      <c r="Y91">
        <f t="shared" si="81"/>
        <v>25899.67</v>
      </c>
      <c r="AA91">
        <v>44175501</v>
      </c>
      <c r="AB91">
        <f t="shared" si="82"/>
        <v>638.35299999999995</v>
      </c>
      <c r="AC91">
        <f t="shared" si="83"/>
        <v>36.19</v>
      </c>
      <c r="AD91">
        <f t="shared" si="84"/>
        <v>180.1866</v>
      </c>
      <c r="AE91">
        <f t="shared" si="85"/>
        <v>41.110199999999999</v>
      </c>
      <c r="AF91">
        <f t="shared" si="86"/>
        <v>421.97640000000001</v>
      </c>
      <c r="AG91">
        <f t="shared" si="87"/>
        <v>0</v>
      </c>
      <c r="AH91">
        <f t="shared" si="88"/>
        <v>34.223999999999997</v>
      </c>
      <c r="AI91">
        <f t="shared" si="89"/>
        <v>0</v>
      </c>
      <c r="AJ91">
        <f t="shared" si="90"/>
        <v>0</v>
      </c>
      <c r="AK91">
        <v>472.54</v>
      </c>
      <c r="AL91">
        <v>36.19</v>
      </c>
      <c r="AM91">
        <v>130.57</v>
      </c>
      <c r="AN91">
        <v>29.79</v>
      </c>
      <c r="AO91">
        <v>305.77999999999997</v>
      </c>
      <c r="AP91">
        <v>0</v>
      </c>
      <c r="AQ91">
        <v>24.8</v>
      </c>
      <c r="AR91">
        <v>0</v>
      </c>
      <c r="AS91">
        <v>0</v>
      </c>
      <c r="AT91">
        <v>90</v>
      </c>
      <c r="AU91">
        <v>43</v>
      </c>
      <c r="AV91">
        <v>1.0669999999999999</v>
      </c>
      <c r="AW91">
        <v>1.081</v>
      </c>
      <c r="AZ91">
        <v>1</v>
      </c>
      <c r="BA91">
        <v>21.43</v>
      </c>
      <c r="BB91">
        <v>8.9499999999999993</v>
      </c>
      <c r="BC91">
        <v>5.36</v>
      </c>
      <c r="BD91" t="s">
        <v>5</v>
      </c>
      <c r="BE91" t="s">
        <v>5</v>
      </c>
      <c r="BF91" t="s">
        <v>5</v>
      </c>
      <c r="BG91" t="s">
        <v>5</v>
      </c>
      <c r="BH91">
        <v>0</v>
      </c>
      <c r="BI91">
        <v>2</v>
      </c>
      <c r="BJ91" t="s">
        <v>188</v>
      </c>
      <c r="BM91">
        <v>318</v>
      </c>
      <c r="BN91">
        <v>0</v>
      </c>
      <c r="BO91" t="s">
        <v>186</v>
      </c>
      <c r="BP91">
        <v>1</v>
      </c>
      <c r="BQ91">
        <v>40</v>
      </c>
      <c r="BR91">
        <v>0</v>
      </c>
      <c r="BS91">
        <v>21.43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5</v>
      </c>
      <c r="BZ91">
        <v>90</v>
      </c>
      <c r="CA91">
        <v>43</v>
      </c>
      <c r="CE91">
        <v>30</v>
      </c>
      <c r="CF91">
        <v>0</v>
      </c>
      <c r="CG91">
        <v>0</v>
      </c>
      <c r="CM91">
        <v>0</v>
      </c>
      <c r="CN91" t="s">
        <v>5</v>
      </c>
      <c r="CO91">
        <v>0</v>
      </c>
      <c r="CP91">
        <f t="shared" si="91"/>
        <v>72282.2</v>
      </c>
      <c r="CQ91">
        <f t="shared" si="92"/>
        <v>209.68</v>
      </c>
      <c r="CR91">
        <f t="shared" si="93"/>
        <v>1720.73</v>
      </c>
      <c r="CS91">
        <f t="shared" si="94"/>
        <v>939.92</v>
      </c>
      <c r="CT91">
        <f t="shared" si="95"/>
        <v>9648.86</v>
      </c>
      <c r="CU91">
        <f t="shared" si="96"/>
        <v>0</v>
      </c>
      <c r="CV91">
        <f t="shared" si="97"/>
        <v>36.517007999999997</v>
      </c>
      <c r="CW91">
        <f t="shared" si="98"/>
        <v>0</v>
      </c>
      <c r="CX91">
        <f t="shared" si="99"/>
        <v>0</v>
      </c>
      <c r="CY91">
        <f t="shared" si="100"/>
        <v>54208.62</v>
      </c>
      <c r="CZ91">
        <f t="shared" si="101"/>
        <v>25899.673999999999</v>
      </c>
      <c r="DC91" t="s">
        <v>5</v>
      </c>
      <c r="DD91" t="s">
        <v>5</v>
      </c>
      <c r="DE91" t="s">
        <v>30</v>
      </c>
      <c r="DF91" t="s">
        <v>30</v>
      </c>
      <c r="DG91" t="s">
        <v>30</v>
      </c>
      <c r="DH91" t="s">
        <v>5</v>
      </c>
      <c r="DI91" t="s">
        <v>30</v>
      </c>
      <c r="DJ91" t="s">
        <v>30</v>
      </c>
      <c r="DK91" t="s">
        <v>5</v>
      </c>
      <c r="DL91" t="s">
        <v>5</v>
      </c>
      <c r="DM91" t="s">
        <v>5</v>
      </c>
      <c r="DN91">
        <v>112</v>
      </c>
      <c r="DO91">
        <v>70</v>
      </c>
      <c r="DP91">
        <v>1.0669999999999999</v>
      </c>
      <c r="DQ91">
        <v>1.081</v>
      </c>
      <c r="DU91">
        <v>1013</v>
      </c>
      <c r="DV91" t="s">
        <v>170</v>
      </c>
      <c r="DW91" t="s">
        <v>170</v>
      </c>
      <c r="DX91">
        <v>1</v>
      </c>
      <c r="EE91">
        <v>44064137</v>
      </c>
      <c r="EF91">
        <v>40</v>
      </c>
      <c r="EG91" t="s">
        <v>172</v>
      </c>
      <c r="EH91">
        <v>0</v>
      </c>
      <c r="EI91" t="s">
        <v>5</v>
      </c>
      <c r="EJ91">
        <v>2</v>
      </c>
      <c r="EK91">
        <v>318</v>
      </c>
      <c r="EL91" t="s">
        <v>173</v>
      </c>
      <c r="EM91" t="s">
        <v>174</v>
      </c>
      <c r="EO91" t="s">
        <v>5</v>
      </c>
      <c r="EQ91">
        <v>131072</v>
      </c>
      <c r="ER91">
        <v>472.54</v>
      </c>
      <c r="ES91">
        <v>36.19</v>
      </c>
      <c r="ET91">
        <v>130.57</v>
      </c>
      <c r="EU91">
        <v>29.79</v>
      </c>
      <c r="EV91">
        <v>305.77999999999997</v>
      </c>
      <c r="EW91">
        <v>24.8</v>
      </c>
      <c r="EX91">
        <v>0</v>
      </c>
      <c r="EY91">
        <v>0</v>
      </c>
      <c r="FQ91">
        <v>0</v>
      </c>
      <c r="FR91">
        <f t="shared" si="102"/>
        <v>0</v>
      </c>
      <c r="FS91">
        <v>0</v>
      </c>
      <c r="FX91">
        <v>112</v>
      </c>
      <c r="FY91">
        <v>70</v>
      </c>
      <c r="GA91" t="s">
        <v>5</v>
      </c>
      <c r="GD91">
        <v>0</v>
      </c>
      <c r="GF91">
        <v>-1252654068</v>
      </c>
      <c r="GG91">
        <v>2</v>
      </c>
      <c r="GH91">
        <v>1</v>
      </c>
      <c r="GI91">
        <v>2</v>
      </c>
      <c r="GJ91">
        <v>0</v>
      </c>
      <c r="GK91">
        <f>ROUND(R91*(R12)/100,2)</f>
        <v>9212.7000000000007</v>
      </c>
      <c r="GL91">
        <f t="shared" si="103"/>
        <v>0</v>
      </c>
      <c r="GM91">
        <f t="shared" si="104"/>
        <v>161603.19</v>
      </c>
      <c r="GN91">
        <f t="shared" si="105"/>
        <v>0</v>
      </c>
      <c r="GO91">
        <f t="shared" si="106"/>
        <v>161603.19</v>
      </c>
      <c r="GP91">
        <f t="shared" si="107"/>
        <v>0</v>
      </c>
      <c r="GR91">
        <v>0</v>
      </c>
      <c r="GS91">
        <v>0</v>
      </c>
      <c r="GT91">
        <v>0</v>
      </c>
      <c r="GU91" t="s">
        <v>5</v>
      </c>
      <c r="GV91">
        <f t="shared" si="108"/>
        <v>0</v>
      </c>
      <c r="GW91">
        <v>1</v>
      </c>
      <c r="GX91">
        <f t="shared" si="109"/>
        <v>0</v>
      </c>
      <c r="HA91">
        <v>0</v>
      </c>
      <c r="HB91">
        <v>0</v>
      </c>
      <c r="HC91">
        <f t="shared" si="110"/>
        <v>0</v>
      </c>
      <c r="IK91">
        <v>0</v>
      </c>
    </row>
    <row r="92" spans="1:245" x14ac:dyDescent="0.2">
      <c r="A92">
        <v>17</v>
      </c>
      <c r="B92">
        <v>1</v>
      </c>
      <c r="C92">
        <f>ROW(SmtRes!A30)</f>
        <v>30</v>
      </c>
      <c r="D92">
        <f>ROW(EtalonRes!A32)</f>
        <v>32</v>
      </c>
      <c r="E92" t="s">
        <v>190</v>
      </c>
      <c r="F92" t="s">
        <v>186</v>
      </c>
      <c r="G92" t="s">
        <v>189</v>
      </c>
      <c r="H92" t="s">
        <v>170</v>
      </c>
      <c r="I92">
        <v>0</v>
      </c>
      <c r="J92">
        <v>0</v>
      </c>
      <c r="O92">
        <f t="shared" si="71"/>
        <v>0</v>
      </c>
      <c r="P92">
        <f t="shared" si="72"/>
        <v>0</v>
      </c>
      <c r="Q92">
        <f t="shared" si="73"/>
        <v>0</v>
      </c>
      <c r="R92">
        <f t="shared" si="74"/>
        <v>0</v>
      </c>
      <c r="S92">
        <f t="shared" si="75"/>
        <v>0</v>
      </c>
      <c r="T92">
        <f t="shared" si="76"/>
        <v>0</v>
      </c>
      <c r="U92">
        <f t="shared" si="77"/>
        <v>0</v>
      </c>
      <c r="V92">
        <f t="shared" si="78"/>
        <v>0</v>
      </c>
      <c r="W92">
        <f t="shared" si="79"/>
        <v>0</v>
      </c>
      <c r="X92">
        <f t="shared" si="80"/>
        <v>0</v>
      </c>
      <c r="Y92">
        <f t="shared" si="81"/>
        <v>0</v>
      </c>
      <c r="AA92">
        <v>44175501</v>
      </c>
      <c r="AB92">
        <f t="shared" si="82"/>
        <v>638.35299999999995</v>
      </c>
      <c r="AC92">
        <f t="shared" si="83"/>
        <v>36.19</v>
      </c>
      <c r="AD92">
        <f t="shared" si="84"/>
        <v>180.1866</v>
      </c>
      <c r="AE92">
        <f t="shared" si="85"/>
        <v>41.110199999999999</v>
      </c>
      <c r="AF92">
        <f t="shared" si="86"/>
        <v>421.97640000000001</v>
      </c>
      <c r="AG92">
        <f t="shared" si="87"/>
        <v>0</v>
      </c>
      <c r="AH92">
        <f t="shared" si="88"/>
        <v>34.223999999999997</v>
      </c>
      <c r="AI92">
        <f t="shared" si="89"/>
        <v>0</v>
      </c>
      <c r="AJ92">
        <f t="shared" si="90"/>
        <v>0</v>
      </c>
      <c r="AK92">
        <v>472.54</v>
      </c>
      <c r="AL92">
        <v>36.19</v>
      </c>
      <c r="AM92">
        <v>130.57</v>
      </c>
      <c r="AN92">
        <v>29.79</v>
      </c>
      <c r="AO92">
        <v>305.77999999999997</v>
      </c>
      <c r="AP92">
        <v>0</v>
      </c>
      <c r="AQ92">
        <v>24.8</v>
      </c>
      <c r="AR92">
        <v>0</v>
      </c>
      <c r="AS92">
        <v>0</v>
      </c>
      <c r="AT92">
        <v>90</v>
      </c>
      <c r="AU92">
        <v>43</v>
      </c>
      <c r="AV92">
        <v>1.0669999999999999</v>
      </c>
      <c r="AW92">
        <v>1.081</v>
      </c>
      <c r="AZ92">
        <v>1</v>
      </c>
      <c r="BA92">
        <v>21.43</v>
      </c>
      <c r="BB92">
        <v>8.9499999999999993</v>
      </c>
      <c r="BC92">
        <v>5.36</v>
      </c>
      <c r="BD92" t="s">
        <v>5</v>
      </c>
      <c r="BE92" t="s">
        <v>5</v>
      </c>
      <c r="BF92" t="s">
        <v>5</v>
      </c>
      <c r="BG92" t="s">
        <v>5</v>
      </c>
      <c r="BH92">
        <v>0</v>
      </c>
      <c r="BI92">
        <v>2</v>
      </c>
      <c r="BJ92" t="s">
        <v>188</v>
      </c>
      <c r="BM92">
        <v>318</v>
      </c>
      <c r="BN92">
        <v>0</v>
      </c>
      <c r="BO92" t="s">
        <v>186</v>
      </c>
      <c r="BP92">
        <v>1</v>
      </c>
      <c r="BQ92">
        <v>40</v>
      </c>
      <c r="BR92">
        <v>0</v>
      </c>
      <c r="BS92">
        <v>21.43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5</v>
      </c>
      <c r="BZ92">
        <v>90</v>
      </c>
      <c r="CA92">
        <v>43</v>
      </c>
      <c r="CE92">
        <v>30</v>
      </c>
      <c r="CF92">
        <v>0</v>
      </c>
      <c r="CG92">
        <v>0</v>
      </c>
      <c r="CM92">
        <v>0</v>
      </c>
      <c r="CN92" t="s">
        <v>5</v>
      </c>
      <c r="CO92">
        <v>0</v>
      </c>
      <c r="CP92">
        <f t="shared" si="91"/>
        <v>0</v>
      </c>
      <c r="CQ92">
        <f t="shared" si="92"/>
        <v>209.68</v>
      </c>
      <c r="CR92">
        <f t="shared" si="93"/>
        <v>1720.73</v>
      </c>
      <c r="CS92">
        <f t="shared" si="94"/>
        <v>939.92</v>
      </c>
      <c r="CT92">
        <f t="shared" si="95"/>
        <v>9648.86</v>
      </c>
      <c r="CU92">
        <f t="shared" si="96"/>
        <v>0</v>
      </c>
      <c r="CV92">
        <f t="shared" si="97"/>
        <v>36.517007999999997</v>
      </c>
      <c r="CW92">
        <f t="shared" si="98"/>
        <v>0</v>
      </c>
      <c r="CX92">
        <f t="shared" si="99"/>
        <v>0</v>
      </c>
      <c r="CY92">
        <f t="shared" si="100"/>
        <v>0</v>
      </c>
      <c r="CZ92">
        <f t="shared" si="101"/>
        <v>0</v>
      </c>
      <c r="DC92" t="s">
        <v>5</v>
      </c>
      <c r="DD92" t="s">
        <v>5</v>
      </c>
      <c r="DE92" t="s">
        <v>30</v>
      </c>
      <c r="DF92" t="s">
        <v>30</v>
      </c>
      <c r="DG92" t="s">
        <v>30</v>
      </c>
      <c r="DH92" t="s">
        <v>5</v>
      </c>
      <c r="DI92" t="s">
        <v>30</v>
      </c>
      <c r="DJ92" t="s">
        <v>30</v>
      </c>
      <c r="DK92" t="s">
        <v>5</v>
      </c>
      <c r="DL92" t="s">
        <v>5</v>
      </c>
      <c r="DM92" t="s">
        <v>5</v>
      </c>
      <c r="DN92">
        <v>112</v>
      </c>
      <c r="DO92">
        <v>70</v>
      </c>
      <c r="DP92">
        <v>1.0669999999999999</v>
      </c>
      <c r="DQ92">
        <v>1.081</v>
      </c>
      <c r="DU92">
        <v>1013</v>
      </c>
      <c r="DV92" t="s">
        <v>170</v>
      </c>
      <c r="DW92" t="s">
        <v>170</v>
      </c>
      <c r="DX92">
        <v>1</v>
      </c>
      <c r="EE92">
        <v>44064137</v>
      </c>
      <c r="EF92">
        <v>40</v>
      </c>
      <c r="EG92" t="s">
        <v>172</v>
      </c>
      <c r="EH92">
        <v>0</v>
      </c>
      <c r="EI92" t="s">
        <v>5</v>
      </c>
      <c r="EJ92">
        <v>2</v>
      </c>
      <c r="EK92">
        <v>318</v>
      </c>
      <c r="EL92" t="s">
        <v>173</v>
      </c>
      <c r="EM92" t="s">
        <v>174</v>
      </c>
      <c r="EO92" t="s">
        <v>5</v>
      </c>
      <c r="EQ92">
        <v>131072</v>
      </c>
      <c r="ER92">
        <v>472.54</v>
      </c>
      <c r="ES92">
        <v>36.19</v>
      </c>
      <c r="ET92">
        <v>130.57</v>
      </c>
      <c r="EU92">
        <v>29.79</v>
      </c>
      <c r="EV92">
        <v>305.77999999999997</v>
      </c>
      <c r="EW92">
        <v>24.8</v>
      </c>
      <c r="EX92">
        <v>0</v>
      </c>
      <c r="EY92">
        <v>0</v>
      </c>
      <c r="FQ92">
        <v>0</v>
      </c>
      <c r="FR92">
        <f t="shared" si="102"/>
        <v>0</v>
      </c>
      <c r="FS92">
        <v>0</v>
      </c>
      <c r="FX92">
        <v>112</v>
      </c>
      <c r="FY92">
        <v>70</v>
      </c>
      <c r="GA92" t="s">
        <v>5</v>
      </c>
      <c r="GD92">
        <v>0</v>
      </c>
      <c r="GF92">
        <v>-1252654068</v>
      </c>
      <c r="GG92">
        <v>2</v>
      </c>
      <c r="GH92">
        <v>1</v>
      </c>
      <c r="GI92">
        <v>2</v>
      </c>
      <c r="GJ92">
        <v>0</v>
      </c>
      <c r="GK92">
        <f>ROUND(R92*(R12)/100,2)</f>
        <v>0</v>
      </c>
      <c r="GL92">
        <f t="shared" si="103"/>
        <v>0</v>
      </c>
      <c r="GM92">
        <f t="shared" si="104"/>
        <v>0</v>
      </c>
      <c r="GN92">
        <f t="shared" si="105"/>
        <v>0</v>
      </c>
      <c r="GO92">
        <f t="shared" si="106"/>
        <v>0</v>
      </c>
      <c r="GP92">
        <f t="shared" si="107"/>
        <v>0</v>
      </c>
      <c r="GR92">
        <v>0</v>
      </c>
      <c r="GS92">
        <v>0</v>
      </c>
      <c r="GT92">
        <v>0</v>
      </c>
      <c r="GU92" t="s">
        <v>5</v>
      </c>
      <c r="GV92">
        <f t="shared" si="108"/>
        <v>0</v>
      </c>
      <c r="GW92">
        <v>1</v>
      </c>
      <c r="GX92">
        <f t="shared" si="109"/>
        <v>0</v>
      </c>
      <c r="HA92">
        <v>0</v>
      </c>
      <c r="HB92">
        <v>0</v>
      </c>
      <c r="HC92">
        <f t="shared" si="110"/>
        <v>0</v>
      </c>
      <c r="IK92">
        <v>0</v>
      </c>
    </row>
    <row r="93" spans="1:245" x14ac:dyDescent="0.2">
      <c r="A93">
        <v>17</v>
      </c>
      <c r="B93">
        <v>1</v>
      </c>
      <c r="D93">
        <f>ROW(EtalonRes!A34)</f>
        <v>34</v>
      </c>
      <c r="E93" t="s">
        <v>65</v>
      </c>
      <c r="F93" t="s">
        <v>191</v>
      </c>
      <c r="G93" t="s">
        <v>192</v>
      </c>
      <c r="H93" t="s">
        <v>181</v>
      </c>
      <c r="I93">
        <f>ROUND((244.8+413.1)/3/100,9)</f>
        <v>2.1930000000000001</v>
      </c>
      <c r="J93">
        <v>0</v>
      </c>
      <c r="O93">
        <f t="shared" si="71"/>
        <v>54700.34</v>
      </c>
      <c r="P93">
        <f t="shared" si="72"/>
        <v>2215.61</v>
      </c>
      <c r="Q93">
        <f t="shared" si="73"/>
        <v>7876.68</v>
      </c>
      <c r="R93">
        <f t="shared" si="74"/>
        <v>3950.62</v>
      </c>
      <c r="S93">
        <f t="shared" si="75"/>
        <v>44608.05</v>
      </c>
      <c r="T93">
        <f t="shared" si="76"/>
        <v>0</v>
      </c>
      <c r="U93">
        <f t="shared" si="77"/>
        <v>171.48344027759995</v>
      </c>
      <c r="V93">
        <f t="shared" si="78"/>
        <v>0</v>
      </c>
      <c r="W93">
        <f t="shared" si="79"/>
        <v>0</v>
      </c>
      <c r="X93">
        <f t="shared" si="80"/>
        <v>40147.25</v>
      </c>
      <c r="Y93">
        <f t="shared" si="81"/>
        <v>19181.46</v>
      </c>
      <c r="AA93">
        <v>44175501</v>
      </c>
      <c r="AB93">
        <f t="shared" si="82"/>
        <v>1500.0834</v>
      </c>
      <c r="AC93">
        <f t="shared" si="83"/>
        <v>188.49</v>
      </c>
      <c r="AD93">
        <f t="shared" si="84"/>
        <v>405.01620000000003</v>
      </c>
      <c r="AE93">
        <f t="shared" si="85"/>
        <v>80.288399999999996</v>
      </c>
      <c r="AF93">
        <f t="shared" si="86"/>
        <v>906.57719999999995</v>
      </c>
      <c r="AG93">
        <f t="shared" si="87"/>
        <v>0</v>
      </c>
      <c r="AH93">
        <f t="shared" si="88"/>
        <v>74.68559999999998</v>
      </c>
      <c r="AI93">
        <f t="shared" si="89"/>
        <v>0</v>
      </c>
      <c r="AJ93">
        <f t="shared" si="90"/>
        <v>0</v>
      </c>
      <c r="AK93">
        <v>1138.92</v>
      </c>
      <c r="AL93">
        <v>188.49</v>
      </c>
      <c r="AM93">
        <v>293.49</v>
      </c>
      <c r="AN93">
        <v>58.18</v>
      </c>
      <c r="AO93">
        <v>656.94</v>
      </c>
      <c r="AP93">
        <v>0</v>
      </c>
      <c r="AQ93">
        <v>54.12</v>
      </c>
      <c r="AR93">
        <v>0</v>
      </c>
      <c r="AS93">
        <v>0</v>
      </c>
      <c r="AT93">
        <v>90</v>
      </c>
      <c r="AU93">
        <v>43</v>
      </c>
      <c r="AV93">
        <v>1.0469999999999999</v>
      </c>
      <c r="AW93">
        <v>1</v>
      </c>
      <c r="AZ93">
        <v>1</v>
      </c>
      <c r="BA93">
        <v>21.43</v>
      </c>
      <c r="BB93">
        <v>8.4700000000000006</v>
      </c>
      <c r="BC93">
        <v>5.36</v>
      </c>
      <c r="BD93" t="s">
        <v>5</v>
      </c>
      <c r="BE93" t="s">
        <v>5</v>
      </c>
      <c r="BF93" t="s">
        <v>5</v>
      </c>
      <c r="BG93" t="s">
        <v>5</v>
      </c>
      <c r="BH93">
        <v>0</v>
      </c>
      <c r="BI93">
        <v>2</v>
      </c>
      <c r="BJ93" t="s">
        <v>193</v>
      </c>
      <c r="BM93">
        <v>1608</v>
      </c>
      <c r="BN93">
        <v>0</v>
      </c>
      <c r="BO93" t="s">
        <v>191</v>
      </c>
      <c r="BP93">
        <v>1</v>
      </c>
      <c r="BQ93">
        <v>40</v>
      </c>
      <c r="BR93">
        <v>0</v>
      </c>
      <c r="BS93">
        <v>21.43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5</v>
      </c>
      <c r="BZ93">
        <v>90</v>
      </c>
      <c r="CA93">
        <v>43</v>
      </c>
      <c r="CE93">
        <v>30</v>
      </c>
      <c r="CF93">
        <v>0</v>
      </c>
      <c r="CG93">
        <v>0</v>
      </c>
      <c r="CM93">
        <v>0</v>
      </c>
      <c r="CN93" t="s">
        <v>5</v>
      </c>
      <c r="CO93">
        <v>0</v>
      </c>
      <c r="CP93">
        <f t="shared" si="91"/>
        <v>54700.340000000004</v>
      </c>
      <c r="CQ93">
        <f t="shared" si="92"/>
        <v>1010.31</v>
      </c>
      <c r="CR93">
        <f t="shared" si="93"/>
        <v>3591.7</v>
      </c>
      <c r="CS93">
        <f t="shared" si="94"/>
        <v>1801.41</v>
      </c>
      <c r="CT93">
        <f t="shared" si="95"/>
        <v>20341.14</v>
      </c>
      <c r="CU93">
        <f t="shared" si="96"/>
        <v>0</v>
      </c>
      <c r="CV93">
        <f t="shared" si="97"/>
        <v>78.195823199999978</v>
      </c>
      <c r="CW93">
        <f t="shared" si="98"/>
        <v>0</v>
      </c>
      <c r="CX93">
        <f t="shared" si="99"/>
        <v>0</v>
      </c>
      <c r="CY93">
        <f t="shared" si="100"/>
        <v>40147.245000000003</v>
      </c>
      <c r="CZ93">
        <f t="shared" si="101"/>
        <v>19181.461500000001</v>
      </c>
      <c r="DC93" t="s">
        <v>5</v>
      </c>
      <c r="DD93" t="s">
        <v>5</v>
      </c>
      <c r="DE93" t="s">
        <v>30</v>
      </c>
      <c r="DF93" t="s">
        <v>30</v>
      </c>
      <c r="DG93" t="s">
        <v>30</v>
      </c>
      <c r="DH93" t="s">
        <v>5</v>
      </c>
      <c r="DI93" t="s">
        <v>30</v>
      </c>
      <c r="DJ93" t="s">
        <v>30</v>
      </c>
      <c r="DK93" t="s">
        <v>5</v>
      </c>
      <c r="DL93" t="s">
        <v>5</v>
      </c>
      <c r="DM93" t="s">
        <v>5</v>
      </c>
      <c r="DN93">
        <v>112</v>
      </c>
      <c r="DO93">
        <v>70</v>
      </c>
      <c r="DP93">
        <v>1.0669999999999999</v>
      </c>
      <c r="DQ93">
        <v>1.081</v>
      </c>
      <c r="DU93">
        <v>1003</v>
      </c>
      <c r="DV93" t="s">
        <v>181</v>
      </c>
      <c r="DW93" t="s">
        <v>181</v>
      </c>
      <c r="DX93">
        <v>100</v>
      </c>
      <c r="EE93">
        <v>44065427</v>
      </c>
      <c r="EF93">
        <v>40</v>
      </c>
      <c r="EG93" t="s">
        <v>172</v>
      </c>
      <c r="EH93">
        <v>0</v>
      </c>
      <c r="EI93" t="s">
        <v>5</v>
      </c>
      <c r="EJ93">
        <v>2</v>
      </c>
      <c r="EK93">
        <v>1608</v>
      </c>
      <c r="EL93" t="s">
        <v>183</v>
      </c>
      <c r="EM93" t="s">
        <v>184</v>
      </c>
      <c r="EO93" t="s">
        <v>5</v>
      </c>
      <c r="EQ93">
        <v>131072</v>
      </c>
      <c r="ER93">
        <v>1138.92</v>
      </c>
      <c r="ES93">
        <v>188.49</v>
      </c>
      <c r="ET93">
        <v>293.49</v>
      </c>
      <c r="EU93">
        <v>58.18</v>
      </c>
      <c r="EV93">
        <v>656.94</v>
      </c>
      <c r="EW93">
        <v>54.12</v>
      </c>
      <c r="EX93">
        <v>0</v>
      </c>
      <c r="EY93">
        <v>0</v>
      </c>
      <c r="FQ93">
        <v>0</v>
      </c>
      <c r="FR93">
        <f t="shared" si="102"/>
        <v>0</v>
      </c>
      <c r="FS93">
        <v>0</v>
      </c>
      <c r="FX93">
        <v>112</v>
      </c>
      <c r="FY93">
        <v>70</v>
      </c>
      <c r="GA93" t="s">
        <v>5</v>
      </c>
      <c r="GD93">
        <v>0</v>
      </c>
      <c r="GF93">
        <v>44368857</v>
      </c>
      <c r="GG93">
        <v>2</v>
      </c>
      <c r="GH93">
        <v>1</v>
      </c>
      <c r="GI93">
        <v>2</v>
      </c>
      <c r="GJ93">
        <v>0</v>
      </c>
      <c r="GK93">
        <f>ROUND(R93*(R12)/100,2)</f>
        <v>6202.47</v>
      </c>
      <c r="GL93">
        <f t="shared" si="103"/>
        <v>0</v>
      </c>
      <c r="GM93">
        <f t="shared" si="104"/>
        <v>120231.52</v>
      </c>
      <c r="GN93">
        <f t="shared" si="105"/>
        <v>0</v>
      </c>
      <c r="GO93">
        <f t="shared" si="106"/>
        <v>120231.52</v>
      </c>
      <c r="GP93">
        <f t="shared" si="107"/>
        <v>0</v>
      </c>
      <c r="GR93">
        <v>0</v>
      </c>
      <c r="GS93">
        <v>0</v>
      </c>
      <c r="GT93">
        <v>0</v>
      </c>
      <c r="GU93" t="s">
        <v>5</v>
      </c>
      <c r="GV93">
        <f t="shared" si="108"/>
        <v>0</v>
      </c>
      <c r="GW93">
        <v>1</v>
      </c>
      <c r="GX93">
        <f t="shared" si="109"/>
        <v>0</v>
      </c>
      <c r="HA93">
        <v>0</v>
      </c>
      <c r="HB93">
        <v>0</v>
      </c>
      <c r="HC93">
        <f t="shared" si="110"/>
        <v>0</v>
      </c>
      <c r="IK93">
        <v>0</v>
      </c>
    </row>
    <row r="94" spans="1:245" x14ac:dyDescent="0.2">
      <c r="A94">
        <v>17</v>
      </c>
      <c r="B94">
        <v>1</v>
      </c>
      <c r="C94">
        <f>ROW(SmtRes!A31)</f>
        <v>31</v>
      </c>
      <c r="D94">
        <f>ROW(EtalonRes!A35)</f>
        <v>35</v>
      </c>
      <c r="E94" t="s">
        <v>82</v>
      </c>
      <c r="F94" t="s">
        <v>194</v>
      </c>
      <c r="G94" t="s">
        <v>195</v>
      </c>
      <c r="H94" t="s">
        <v>170</v>
      </c>
      <c r="I94">
        <f>ROUND(30/100,9)</f>
        <v>0.3</v>
      </c>
      <c r="J94">
        <v>0</v>
      </c>
      <c r="O94">
        <f t="shared" si="71"/>
        <v>2755.94</v>
      </c>
      <c r="P94">
        <f t="shared" si="72"/>
        <v>61.21</v>
      </c>
      <c r="Q94">
        <f t="shared" si="73"/>
        <v>1410.86</v>
      </c>
      <c r="R94">
        <f t="shared" si="74"/>
        <v>663.9</v>
      </c>
      <c r="S94">
        <f t="shared" si="75"/>
        <v>1283.8699999999999</v>
      </c>
      <c r="T94">
        <f t="shared" si="76"/>
        <v>0</v>
      </c>
      <c r="U94">
        <f t="shared" si="77"/>
        <v>4.8591179999999987</v>
      </c>
      <c r="V94">
        <f t="shared" si="78"/>
        <v>0</v>
      </c>
      <c r="W94">
        <f t="shared" si="79"/>
        <v>0</v>
      </c>
      <c r="X94">
        <f t="shared" si="80"/>
        <v>1155.48</v>
      </c>
      <c r="Y94">
        <f t="shared" si="81"/>
        <v>552.05999999999995</v>
      </c>
      <c r="AA94">
        <v>44175501</v>
      </c>
      <c r="AB94">
        <f t="shared" si="82"/>
        <v>762.52520000000004</v>
      </c>
      <c r="AC94">
        <f t="shared" si="83"/>
        <v>35.21</v>
      </c>
      <c r="AD94">
        <f t="shared" si="84"/>
        <v>540.14580000000001</v>
      </c>
      <c r="AE94">
        <f t="shared" si="85"/>
        <v>96.793199999999999</v>
      </c>
      <c r="AF94">
        <f t="shared" si="86"/>
        <v>187.1694</v>
      </c>
      <c r="AG94">
        <f t="shared" si="87"/>
        <v>0</v>
      </c>
      <c r="AH94">
        <f t="shared" si="88"/>
        <v>15.179999999999998</v>
      </c>
      <c r="AI94">
        <f t="shared" si="89"/>
        <v>0</v>
      </c>
      <c r="AJ94">
        <f t="shared" si="90"/>
        <v>0</v>
      </c>
      <c r="AK94">
        <v>562.25</v>
      </c>
      <c r="AL94">
        <v>35.21</v>
      </c>
      <c r="AM94">
        <v>391.41</v>
      </c>
      <c r="AN94">
        <v>70.14</v>
      </c>
      <c r="AO94">
        <v>135.63</v>
      </c>
      <c r="AP94">
        <v>0</v>
      </c>
      <c r="AQ94">
        <v>11</v>
      </c>
      <c r="AR94">
        <v>0</v>
      </c>
      <c r="AS94">
        <v>0</v>
      </c>
      <c r="AT94">
        <v>90</v>
      </c>
      <c r="AU94">
        <v>43</v>
      </c>
      <c r="AV94">
        <v>1.0669999999999999</v>
      </c>
      <c r="AW94">
        <v>1.081</v>
      </c>
      <c r="AZ94">
        <v>1</v>
      </c>
      <c r="BA94">
        <v>21.43</v>
      </c>
      <c r="BB94">
        <v>8.16</v>
      </c>
      <c r="BC94">
        <v>5.36</v>
      </c>
      <c r="BD94" t="s">
        <v>5</v>
      </c>
      <c r="BE94" t="s">
        <v>5</v>
      </c>
      <c r="BF94" t="s">
        <v>5</v>
      </c>
      <c r="BG94" t="s">
        <v>5</v>
      </c>
      <c r="BH94">
        <v>0</v>
      </c>
      <c r="BI94">
        <v>2</v>
      </c>
      <c r="BJ94" t="s">
        <v>196</v>
      </c>
      <c r="BM94">
        <v>318</v>
      </c>
      <c r="BN94">
        <v>0</v>
      </c>
      <c r="BO94" t="s">
        <v>194</v>
      </c>
      <c r="BP94">
        <v>1</v>
      </c>
      <c r="BQ94">
        <v>40</v>
      </c>
      <c r="BR94">
        <v>0</v>
      </c>
      <c r="BS94">
        <v>21.43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5</v>
      </c>
      <c r="BZ94">
        <v>90</v>
      </c>
      <c r="CA94">
        <v>43</v>
      </c>
      <c r="CE94">
        <v>30</v>
      </c>
      <c r="CF94">
        <v>0</v>
      </c>
      <c r="CG94">
        <v>0</v>
      </c>
      <c r="CM94">
        <v>0</v>
      </c>
      <c r="CN94" t="s">
        <v>5</v>
      </c>
      <c r="CO94">
        <v>0</v>
      </c>
      <c r="CP94">
        <f t="shared" si="91"/>
        <v>2755.9399999999996</v>
      </c>
      <c r="CQ94">
        <f t="shared" si="92"/>
        <v>204</v>
      </c>
      <c r="CR94">
        <f t="shared" si="93"/>
        <v>4702.93</v>
      </c>
      <c r="CS94">
        <f t="shared" si="94"/>
        <v>2213.29</v>
      </c>
      <c r="CT94">
        <f t="shared" si="95"/>
        <v>4279.79</v>
      </c>
      <c r="CU94">
        <f t="shared" si="96"/>
        <v>0</v>
      </c>
      <c r="CV94">
        <f t="shared" si="97"/>
        <v>16.197059999999997</v>
      </c>
      <c r="CW94">
        <f t="shared" si="98"/>
        <v>0</v>
      </c>
      <c r="CX94">
        <f t="shared" si="99"/>
        <v>0</v>
      </c>
      <c r="CY94">
        <f t="shared" si="100"/>
        <v>1155.4829999999999</v>
      </c>
      <c r="CZ94">
        <f t="shared" si="101"/>
        <v>552.06409999999994</v>
      </c>
      <c r="DC94" t="s">
        <v>5</v>
      </c>
      <c r="DD94" t="s">
        <v>5</v>
      </c>
      <c r="DE94" t="s">
        <v>30</v>
      </c>
      <c r="DF94" t="s">
        <v>30</v>
      </c>
      <c r="DG94" t="s">
        <v>30</v>
      </c>
      <c r="DH94" t="s">
        <v>5</v>
      </c>
      <c r="DI94" t="s">
        <v>30</v>
      </c>
      <c r="DJ94" t="s">
        <v>30</v>
      </c>
      <c r="DK94" t="s">
        <v>5</v>
      </c>
      <c r="DL94" t="s">
        <v>5</v>
      </c>
      <c r="DM94" t="s">
        <v>5</v>
      </c>
      <c r="DN94">
        <v>112</v>
      </c>
      <c r="DO94">
        <v>70</v>
      </c>
      <c r="DP94">
        <v>1.0669999999999999</v>
      </c>
      <c r="DQ94">
        <v>1.081</v>
      </c>
      <c r="DU94">
        <v>1013</v>
      </c>
      <c r="DV94" t="s">
        <v>170</v>
      </c>
      <c r="DW94" t="s">
        <v>170</v>
      </c>
      <c r="DX94">
        <v>1</v>
      </c>
      <c r="EE94">
        <v>44064137</v>
      </c>
      <c r="EF94">
        <v>40</v>
      </c>
      <c r="EG94" t="s">
        <v>172</v>
      </c>
      <c r="EH94">
        <v>0</v>
      </c>
      <c r="EI94" t="s">
        <v>5</v>
      </c>
      <c r="EJ94">
        <v>2</v>
      </c>
      <c r="EK94">
        <v>318</v>
      </c>
      <c r="EL94" t="s">
        <v>173</v>
      </c>
      <c r="EM94" t="s">
        <v>174</v>
      </c>
      <c r="EO94" t="s">
        <v>5</v>
      </c>
      <c r="EQ94">
        <v>131072</v>
      </c>
      <c r="ER94">
        <v>562.25</v>
      </c>
      <c r="ES94">
        <v>35.21</v>
      </c>
      <c r="ET94">
        <v>391.41</v>
      </c>
      <c r="EU94">
        <v>70.14</v>
      </c>
      <c r="EV94">
        <v>135.63</v>
      </c>
      <c r="EW94">
        <v>11</v>
      </c>
      <c r="EX94">
        <v>0</v>
      </c>
      <c r="EY94">
        <v>0</v>
      </c>
      <c r="FQ94">
        <v>0</v>
      </c>
      <c r="FR94">
        <f t="shared" si="102"/>
        <v>0</v>
      </c>
      <c r="FS94">
        <v>0</v>
      </c>
      <c r="FX94">
        <v>112</v>
      </c>
      <c r="FY94">
        <v>70</v>
      </c>
      <c r="GA94" t="s">
        <v>5</v>
      </c>
      <c r="GD94">
        <v>0</v>
      </c>
      <c r="GF94">
        <v>-1685042682</v>
      </c>
      <c r="GG94">
        <v>2</v>
      </c>
      <c r="GH94">
        <v>1</v>
      </c>
      <c r="GI94">
        <v>2</v>
      </c>
      <c r="GJ94">
        <v>0</v>
      </c>
      <c r="GK94">
        <f>ROUND(R94*(R12)/100,2)</f>
        <v>1042.32</v>
      </c>
      <c r="GL94">
        <f t="shared" si="103"/>
        <v>0</v>
      </c>
      <c r="GM94">
        <f t="shared" si="104"/>
        <v>5505.8</v>
      </c>
      <c r="GN94">
        <f t="shared" si="105"/>
        <v>0</v>
      </c>
      <c r="GO94">
        <f t="shared" si="106"/>
        <v>5505.8</v>
      </c>
      <c r="GP94">
        <f t="shared" si="107"/>
        <v>0</v>
      </c>
      <c r="GR94">
        <v>0</v>
      </c>
      <c r="GS94">
        <v>0</v>
      </c>
      <c r="GT94">
        <v>0</v>
      </c>
      <c r="GU94" t="s">
        <v>5</v>
      </c>
      <c r="GV94">
        <f t="shared" si="108"/>
        <v>0</v>
      </c>
      <c r="GW94">
        <v>1</v>
      </c>
      <c r="GX94">
        <f t="shared" si="109"/>
        <v>0</v>
      </c>
      <c r="HA94">
        <v>0</v>
      </c>
      <c r="HB94">
        <v>0</v>
      </c>
      <c r="HC94">
        <f t="shared" si="110"/>
        <v>0</v>
      </c>
      <c r="IK94">
        <v>0</v>
      </c>
    </row>
    <row r="95" spans="1:245" x14ac:dyDescent="0.2">
      <c r="A95">
        <v>17</v>
      </c>
      <c r="B95">
        <v>1</v>
      </c>
      <c r="C95">
        <f>ROW(SmtRes!A32)</f>
        <v>32</v>
      </c>
      <c r="D95">
        <f>ROW(EtalonRes!A36)</f>
        <v>36</v>
      </c>
      <c r="E95" t="s">
        <v>83</v>
      </c>
      <c r="F95" t="s">
        <v>194</v>
      </c>
      <c r="G95" t="s">
        <v>195</v>
      </c>
      <c r="H95" t="s">
        <v>170</v>
      </c>
      <c r="I95">
        <v>0</v>
      </c>
      <c r="J95">
        <v>0</v>
      </c>
      <c r="O95">
        <f t="shared" si="71"/>
        <v>0</v>
      </c>
      <c r="P95">
        <f t="shared" si="72"/>
        <v>0</v>
      </c>
      <c r="Q95">
        <f t="shared" si="73"/>
        <v>0</v>
      </c>
      <c r="R95">
        <f t="shared" si="74"/>
        <v>0</v>
      </c>
      <c r="S95">
        <f t="shared" si="75"/>
        <v>0</v>
      </c>
      <c r="T95">
        <f t="shared" si="76"/>
        <v>0</v>
      </c>
      <c r="U95">
        <f t="shared" si="77"/>
        <v>0</v>
      </c>
      <c r="V95">
        <f t="shared" si="78"/>
        <v>0</v>
      </c>
      <c r="W95">
        <f t="shared" si="79"/>
        <v>0</v>
      </c>
      <c r="X95">
        <f t="shared" si="80"/>
        <v>0</v>
      </c>
      <c r="Y95">
        <f t="shared" si="81"/>
        <v>0</v>
      </c>
      <c r="AA95">
        <v>44175501</v>
      </c>
      <c r="AB95">
        <f t="shared" si="82"/>
        <v>762.52520000000004</v>
      </c>
      <c r="AC95">
        <f t="shared" si="83"/>
        <v>35.21</v>
      </c>
      <c r="AD95">
        <f t="shared" si="84"/>
        <v>540.14580000000001</v>
      </c>
      <c r="AE95">
        <f t="shared" si="85"/>
        <v>96.793199999999999</v>
      </c>
      <c r="AF95">
        <f t="shared" si="86"/>
        <v>187.1694</v>
      </c>
      <c r="AG95">
        <f t="shared" si="87"/>
        <v>0</v>
      </c>
      <c r="AH95">
        <f t="shared" si="88"/>
        <v>15.179999999999998</v>
      </c>
      <c r="AI95">
        <f t="shared" si="89"/>
        <v>0</v>
      </c>
      <c r="AJ95">
        <f t="shared" si="90"/>
        <v>0</v>
      </c>
      <c r="AK95">
        <v>562.25</v>
      </c>
      <c r="AL95">
        <v>35.21</v>
      </c>
      <c r="AM95">
        <v>391.41</v>
      </c>
      <c r="AN95">
        <v>70.14</v>
      </c>
      <c r="AO95">
        <v>135.63</v>
      </c>
      <c r="AP95">
        <v>0</v>
      </c>
      <c r="AQ95">
        <v>11</v>
      </c>
      <c r="AR95">
        <v>0</v>
      </c>
      <c r="AS95">
        <v>0</v>
      </c>
      <c r="AT95">
        <v>90</v>
      </c>
      <c r="AU95">
        <v>43</v>
      </c>
      <c r="AV95">
        <v>1.0669999999999999</v>
      </c>
      <c r="AW95">
        <v>1.081</v>
      </c>
      <c r="AZ95">
        <v>1</v>
      </c>
      <c r="BA95">
        <v>21.43</v>
      </c>
      <c r="BB95">
        <v>8.16</v>
      </c>
      <c r="BC95">
        <v>5.36</v>
      </c>
      <c r="BD95" t="s">
        <v>5</v>
      </c>
      <c r="BE95" t="s">
        <v>5</v>
      </c>
      <c r="BF95" t="s">
        <v>5</v>
      </c>
      <c r="BG95" t="s">
        <v>5</v>
      </c>
      <c r="BH95">
        <v>0</v>
      </c>
      <c r="BI95">
        <v>2</v>
      </c>
      <c r="BJ95" t="s">
        <v>196</v>
      </c>
      <c r="BM95">
        <v>318</v>
      </c>
      <c r="BN95">
        <v>0</v>
      </c>
      <c r="BO95" t="s">
        <v>194</v>
      </c>
      <c r="BP95">
        <v>1</v>
      </c>
      <c r="BQ95">
        <v>40</v>
      </c>
      <c r="BR95">
        <v>0</v>
      </c>
      <c r="BS95">
        <v>21.43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5</v>
      </c>
      <c r="BZ95">
        <v>90</v>
      </c>
      <c r="CA95">
        <v>43</v>
      </c>
      <c r="CE95">
        <v>30</v>
      </c>
      <c r="CF95">
        <v>0</v>
      </c>
      <c r="CG95">
        <v>0</v>
      </c>
      <c r="CM95">
        <v>0</v>
      </c>
      <c r="CN95" t="s">
        <v>5</v>
      </c>
      <c r="CO95">
        <v>0</v>
      </c>
      <c r="CP95">
        <f t="shared" si="91"/>
        <v>0</v>
      </c>
      <c r="CQ95">
        <f t="shared" si="92"/>
        <v>204</v>
      </c>
      <c r="CR95">
        <f t="shared" si="93"/>
        <v>4702.93</v>
      </c>
      <c r="CS95">
        <f t="shared" si="94"/>
        <v>2213.29</v>
      </c>
      <c r="CT95">
        <f t="shared" si="95"/>
        <v>4279.79</v>
      </c>
      <c r="CU95">
        <f t="shared" si="96"/>
        <v>0</v>
      </c>
      <c r="CV95">
        <f t="shared" si="97"/>
        <v>16.197059999999997</v>
      </c>
      <c r="CW95">
        <f t="shared" si="98"/>
        <v>0</v>
      </c>
      <c r="CX95">
        <f t="shared" si="99"/>
        <v>0</v>
      </c>
      <c r="CY95">
        <f t="shared" si="100"/>
        <v>0</v>
      </c>
      <c r="CZ95">
        <f t="shared" si="101"/>
        <v>0</v>
      </c>
      <c r="DC95" t="s">
        <v>5</v>
      </c>
      <c r="DD95" t="s">
        <v>5</v>
      </c>
      <c r="DE95" t="s">
        <v>30</v>
      </c>
      <c r="DF95" t="s">
        <v>30</v>
      </c>
      <c r="DG95" t="s">
        <v>30</v>
      </c>
      <c r="DH95" t="s">
        <v>5</v>
      </c>
      <c r="DI95" t="s">
        <v>30</v>
      </c>
      <c r="DJ95" t="s">
        <v>30</v>
      </c>
      <c r="DK95" t="s">
        <v>5</v>
      </c>
      <c r="DL95" t="s">
        <v>5</v>
      </c>
      <c r="DM95" t="s">
        <v>5</v>
      </c>
      <c r="DN95">
        <v>112</v>
      </c>
      <c r="DO95">
        <v>70</v>
      </c>
      <c r="DP95">
        <v>1.0669999999999999</v>
      </c>
      <c r="DQ95">
        <v>1.081</v>
      </c>
      <c r="DU95">
        <v>1013</v>
      </c>
      <c r="DV95" t="s">
        <v>170</v>
      </c>
      <c r="DW95" t="s">
        <v>170</v>
      </c>
      <c r="DX95">
        <v>1</v>
      </c>
      <c r="EE95">
        <v>44064137</v>
      </c>
      <c r="EF95">
        <v>40</v>
      </c>
      <c r="EG95" t="s">
        <v>172</v>
      </c>
      <c r="EH95">
        <v>0</v>
      </c>
      <c r="EI95" t="s">
        <v>5</v>
      </c>
      <c r="EJ95">
        <v>2</v>
      </c>
      <c r="EK95">
        <v>318</v>
      </c>
      <c r="EL95" t="s">
        <v>173</v>
      </c>
      <c r="EM95" t="s">
        <v>174</v>
      </c>
      <c r="EO95" t="s">
        <v>5</v>
      </c>
      <c r="EQ95">
        <v>131072</v>
      </c>
      <c r="ER95">
        <v>562.25</v>
      </c>
      <c r="ES95">
        <v>35.21</v>
      </c>
      <c r="ET95">
        <v>391.41</v>
      </c>
      <c r="EU95">
        <v>70.14</v>
      </c>
      <c r="EV95">
        <v>135.63</v>
      </c>
      <c r="EW95">
        <v>11</v>
      </c>
      <c r="EX95">
        <v>0</v>
      </c>
      <c r="EY95">
        <v>0</v>
      </c>
      <c r="FQ95">
        <v>0</v>
      </c>
      <c r="FR95">
        <f t="shared" si="102"/>
        <v>0</v>
      </c>
      <c r="FS95">
        <v>0</v>
      </c>
      <c r="FX95">
        <v>112</v>
      </c>
      <c r="FY95">
        <v>70</v>
      </c>
      <c r="GA95" t="s">
        <v>5</v>
      </c>
      <c r="GD95">
        <v>0</v>
      </c>
      <c r="GF95">
        <v>-1685042682</v>
      </c>
      <c r="GG95">
        <v>2</v>
      </c>
      <c r="GH95">
        <v>1</v>
      </c>
      <c r="GI95">
        <v>2</v>
      </c>
      <c r="GJ95">
        <v>0</v>
      </c>
      <c r="GK95">
        <f>ROUND(R95*(R12)/100,2)</f>
        <v>0</v>
      </c>
      <c r="GL95">
        <f t="shared" si="103"/>
        <v>0</v>
      </c>
      <c r="GM95">
        <f t="shared" si="104"/>
        <v>0</v>
      </c>
      <c r="GN95">
        <f t="shared" si="105"/>
        <v>0</v>
      </c>
      <c r="GO95">
        <f t="shared" si="106"/>
        <v>0</v>
      </c>
      <c r="GP95">
        <f t="shared" si="107"/>
        <v>0</v>
      </c>
      <c r="GR95">
        <v>0</v>
      </c>
      <c r="GS95">
        <v>0</v>
      </c>
      <c r="GT95">
        <v>0</v>
      </c>
      <c r="GU95" t="s">
        <v>5</v>
      </c>
      <c r="GV95">
        <f t="shared" si="108"/>
        <v>0</v>
      </c>
      <c r="GW95">
        <v>1</v>
      </c>
      <c r="GX95">
        <f t="shared" si="109"/>
        <v>0</v>
      </c>
      <c r="HA95">
        <v>0</v>
      </c>
      <c r="HB95">
        <v>0</v>
      </c>
      <c r="HC95">
        <f t="shared" si="110"/>
        <v>0</v>
      </c>
      <c r="IK95">
        <v>0</v>
      </c>
    </row>
    <row r="96" spans="1:245" x14ac:dyDescent="0.2">
      <c r="A96">
        <v>17</v>
      </c>
      <c r="B96">
        <v>1</v>
      </c>
      <c r="E96" t="s">
        <v>95</v>
      </c>
      <c r="F96" t="s">
        <v>197</v>
      </c>
      <c r="G96" t="s">
        <v>198</v>
      </c>
      <c r="H96" t="s">
        <v>199</v>
      </c>
      <c r="I96">
        <f>ROUND((I95+I94+I93*3+I92+I91+I90+I89*3+I88*3)/10*1.02,9)</f>
        <v>4.5719459999999996</v>
      </c>
      <c r="J96">
        <v>0</v>
      </c>
      <c r="O96">
        <f t="shared" si="71"/>
        <v>4253766.5999999996</v>
      </c>
      <c r="P96">
        <f t="shared" si="72"/>
        <v>4253766.5999999996</v>
      </c>
      <c r="Q96">
        <f t="shared" si="73"/>
        <v>0</v>
      </c>
      <c r="R96">
        <f t="shared" si="74"/>
        <v>0</v>
      </c>
      <c r="S96">
        <f t="shared" si="75"/>
        <v>0</v>
      </c>
      <c r="T96">
        <f t="shared" si="76"/>
        <v>0</v>
      </c>
      <c r="U96">
        <f t="shared" si="77"/>
        <v>0</v>
      </c>
      <c r="V96">
        <f t="shared" si="78"/>
        <v>0</v>
      </c>
      <c r="W96">
        <f t="shared" si="79"/>
        <v>0</v>
      </c>
      <c r="X96">
        <f t="shared" si="80"/>
        <v>0</v>
      </c>
      <c r="Y96">
        <f t="shared" si="81"/>
        <v>0</v>
      </c>
      <c r="AA96">
        <v>44175501</v>
      </c>
      <c r="AB96">
        <f t="shared" si="82"/>
        <v>157963.69</v>
      </c>
      <c r="AC96">
        <f t="shared" si="83"/>
        <v>157963.69</v>
      </c>
      <c r="AD96">
        <f t="shared" si="84"/>
        <v>0</v>
      </c>
      <c r="AE96">
        <f t="shared" si="85"/>
        <v>0</v>
      </c>
      <c r="AF96">
        <f t="shared" si="86"/>
        <v>0</v>
      </c>
      <c r="AG96">
        <f t="shared" si="87"/>
        <v>0</v>
      </c>
      <c r="AH96">
        <f t="shared" si="88"/>
        <v>0</v>
      </c>
      <c r="AI96">
        <f t="shared" si="89"/>
        <v>0</v>
      </c>
      <c r="AJ96">
        <f t="shared" si="90"/>
        <v>0</v>
      </c>
      <c r="AK96">
        <v>157963.69</v>
      </c>
      <c r="AL96">
        <v>157963.69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5.89</v>
      </c>
      <c r="BD96" t="s">
        <v>5</v>
      </c>
      <c r="BE96" t="s">
        <v>5</v>
      </c>
      <c r="BF96" t="s">
        <v>5</v>
      </c>
      <c r="BG96" t="s">
        <v>5</v>
      </c>
      <c r="BH96">
        <v>3</v>
      </c>
      <c r="BI96">
        <v>2</v>
      </c>
      <c r="BJ96" t="s">
        <v>200</v>
      </c>
      <c r="BM96">
        <v>1618</v>
      </c>
      <c r="BN96">
        <v>0</v>
      </c>
      <c r="BO96" t="s">
        <v>197</v>
      </c>
      <c r="BP96">
        <v>1</v>
      </c>
      <c r="BQ96">
        <v>201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5</v>
      </c>
      <c r="BZ96">
        <v>0</v>
      </c>
      <c r="CA96">
        <v>0</v>
      </c>
      <c r="CE96">
        <v>30</v>
      </c>
      <c r="CF96">
        <v>0</v>
      </c>
      <c r="CG96">
        <v>0</v>
      </c>
      <c r="CM96">
        <v>0</v>
      </c>
      <c r="CN96" t="s">
        <v>5</v>
      </c>
      <c r="CO96">
        <v>0</v>
      </c>
      <c r="CP96">
        <f t="shared" si="91"/>
        <v>4253766.5999999996</v>
      </c>
      <c r="CQ96">
        <f t="shared" si="92"/>
        <v>930406.13</v>
      </c>
      <c r="CR96">
        <f t="shared" si="93"/>
        <v>0</v>
      </c>
      <c r="CS96">
        <f t="shared" si="94"/>
        <v>0</v>
      </c>
      <c r="CT96">
        <f t="shared" si="95"/>
        <v>0</v>
      </c>
      <c r="CU96">
        <f t="shared" si="96"/>
        <v>0</v>
      </c>
      <c r="CV96">
        <f t="shared" si="97"/>
        <v>0</v>
      </c>
      <c r="CW96">
        <f t="shared" si="98"/>
        <v>0</v>
      </c>
      <c r="CX96">
        <f t="shared" si="99"/>
        <v>0</v>
      </c>
      <c r="CY96">
        <f t="shared" si="100"/>
        <v>0</v>
      </c>
      <c r="CZ96">
        <f t="shared" si="101"/>
        <v>0</v>
      </c>
      <c r="DC96" t="s">
        <v>5</v>
      </c>
      <c r="DD96" t="s">
        <v>5</v>
      </c>
      <c r="DE96" t="s">
        <v>30</v>
      </c>
      <c r="DF96" t="s">
        <v>30</v>
      </c>
      <c r="DG96" t="s">
        <v>30</v>
      </c>
      <c r="DH96" t="s">
        <v>5</v>
      </c>
      <c r="DI96" t="s">
        <v>30</v>
      </c>
      <c r="DJ96" t="s">
        <v>30</v>
      </c>
      <c r="DK96" t="s">
        <v>5</v>
      </c>
      <c r="DL96" t="s">
        <v>5</v>
      </c>
      <c r="DM96" t="s">
        <v>5</v>
      </c>
      <c r="DN96">
        <v>0</v>
      </c>
      <c r="DO96">
        <v>0</v>
      </c>
      <c r="DP96">
        <v>1</v>
      </c>
      <c r="DQ96">
        <v>1</v>
      </c>
      <c r="DU96">
        <v>1003</v>
      </c>
      <c r="DV96" t="s">
        <v>199</v>
      </c>
      <c r="DW96" t="s">
        <v>199</v>
      </c>
      <c r="DX96">
        <v>1000</v>
      </c>
      <c r="EE96">
        <v>44065437</v>
      </c>
      <c r="EF96">
        <v>201</v>
      </c>
      <c r="EG96" t="s">
        <v>201</v>
      </c>
      <c r="EH96">
        <v>0</v>
      </c>
      <c r="EI96" t="s">
        <v>5</v>
      </c>
      <c r="EJ96">
        <v>2</v>
      </c>
      <c r="EK96">
        <v>1618</v>
      </c>
      <c r="EL96" t="s">
        <v>202</v>
      </c>
      <c r="EM96" t="s">
        <v>203</v>
      </c>
      <c r="EO96" t="s">
        <v>5</v>
      </c>
      <c r="EQ96">
        <v>131072</v>
      </c>
      <c r="ER96">
        <v>157963.69</v>
      </c>
      <c r="ES96">
        <v>157963.69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FQ96">
        <v>0</v>
      </c>
      <c r="FR96">
        <f t="shared" si="102"/>
        <v>0</v>
      </c>
      <c r="FS96">
        <v>0</v>
      </c>
      <c r="FX96">
        <v>0</v>
      </c>
      <c r="FY96">
        <v>0</v>
      </c>
      <c r="GA96" t="s">
        <v>5</v>
      </c>
      <c r="GD96">
        <v>0</v>
      </c>
      <c r="GF96">
        <v>562246139</v>
      </c>
      <c r="GG96">
        <v>2</v>
      </c>
      <c r="GH96">
        <v>1</v>
      </c>
      <c r="GI96">
        <v>2</v>
      </c>
      <c r="GJ96">
        <v>0</v>
      </c>
      <c r="GK96">
        <f>ROUND(R96*(R12)/100,2)</f>
        <v>0</v>
      </c>
      <c r="GL96">
        <f t="shared" si="103"/>
        <v>0</v>
      </c>
      <c r="GM96">
        <f t="shared" si="104"/>
        <v>4253766.5999999996</v>
      </c>
      <c r="GN96">
        <f t="shared" si="105"/>
        <v>0</v>
      </c>
      <c r="GO96">
        <f t="shared" si="106"/>
        <v>4253766.5999999996</v>
      </c>
      <c r="GP96">
        <f t="shared" si="107"/>
        <v>0</v>
      </c>
      <c r="GR96">
        <v>0</v>
      </c>
      <c r="GS96">
        <v>0</v>
      </c>
      <c r="GT96">
        <v>0</v>
      </c>
      <c r="GU96" t="s">
        <v>5</v>
      </c>
      <c r="GV96">
        <f t="shared" si="108"/>
        <v>0</v>
      </c>
      <c r="GW96">
        <v>1</v>
      </c>
      <c r="GX96">
        <f t="shared" si="109"/>
        <v>0</v>
      </c>
      <c r="HA96">
        <v>0</v>
      </c>
      <c r="HB96">
        <v>0</v>
      </c>
      <c r="HC96">
        <f t="shared" si="110"/>
        <v>0</v>
      </c>
      <c r="IK96">
        <v>0</v>
      </c>
    </row>
    <row r="97" spans="1:245" x14ac:dyDescent="0.2">
      <c r="A97">
        <v>17</v>
      </c>
      <c r="B97">
        <v>1</v>
      </c>
      <c r="C97">
        <f>ROW(SmtRes!A33)</f>
        <v>33</v>
      </c>
      <c r="D97">
        <f>ROW(EtalonRes!A37)</f>
        <v>37</v>
      </c>
      <c r="E97" t="s">
        <v>102</v>
      </c>
      <c r="F97" t="s">
        <v>204</v>
      </c>
      <c r="G97" t="s">
        <v>205</v>
      </c>
      <c r="H97" t="s">
        <v>170</v>
      </c>
      <c r="I97">
        <v>0</v>
      </c>
      <c r="J97">
        <v>0</v>
      </c>
      <c r="O97">
        <f t="shared" si="71"/>
        <v>0</v>
      </c>
      <c r="P97">
        <f t="shared" si="72"/>
        <v>0</v>
      </c>
      <c r="Q97">
        <f t="shared" si="73"/>
        <v>0</v>
      </c>
      <c r="R97">
        <f t="shared" si="74"/>
        <v>0</v>
      </c>
      <c r="S97">
        <f t="shared" si="75"/>
        <v>0</v>
      </c>
      <c r="T97">
        <f t="shared" si="76"/>
        <v>0</v>
      </c>
      <c r="U97">
        <f t="shared" si="77"/>
        <v>0</v>
      </c>
      <c r="V97">
        <f t="shared" si="78"/>
        <v>0</v>
      </c>
      <c r="W97">
        <f t="shared" si="79"/>
        <v>0</v>
      </c>
      <c r="X97">
        <f t="shared" si="80"/>
        <v>0</v>
      </c>
      <c r="Y97">
        <f t="shared" si="81"/>
        <v>0</v>
      </c>
      <c r="AA97">
        <v>44175501</v>
      </c>
      <c r="AB97">
        <f t="shared" si="82"/>
        <v>556.47720000000004</v>
      </c>
      <c r="AC97">
        <f t="shared" si="83"/>
        <v>0.42</v>
      </c>
      <c r="AD97">
        <f t="shared" si="84"/>
        <v>454.47539999999998</v>
      </c>
      <c r="AE97">
        <f t="shared" si="85"/>
        <v>105.5424</v>
      </c>
      <c r="AF97">
        <f t="shared" si="86"/>
        <v>101.5818</v>
      </c>
      <c r="AG97">
        <f t="shared" si="87"/>
        <v>0</v>
      </c>
      <c r="AH97">
        <f t="shared" si="88"/>
        <v>8.2385999999999981</v>
      </c>
      <c r="AI97">
        <f t="shared" si="89"/>
        <v>0</v>
      </c>
      <c r="AJ97">
        <f t="shared" si="90"/>
        <v>0</v>
      </c>
      <c r="AK97">
        <v>403.36</v>
      </c>
      <c r="AL97">
        <v>0.42</v>
      </c>
      <c r="AM97">
        <v>329.33</v>
      </c>
      <c r="AN97">
        <v>76.48</v>
      </c>
      <c r="AO97">
        <v>73.61</v>
      </c>
      <c r="AP97">
        <v>0</v>
      </c>
      <c r="AQ97">
        <v>5.97</v>
      </c>
      <c r="AR97">
        <v>0</v>
      </c>
      <c r="AS97">
        <v>0</v>
      </c>
      <c r="AT97">
        <v>90</v>
      </c>
      <c r="AU97">
        <v>43</v>
      </c>
      <c r="AV97">
        <v>1.0669999999999999</v>
      </c>
      <c r="AW97">
        <v>1.081</v>
      </c>
      <c r="AZ97">
        <v>1</v>
      </c>
      <c r="BA97">
        <v>21.43</v>
      </c>
      <c r="BB97">
        <v>9.02</v>
      </c>
      <c r="BC97">
        <v>5.36</v>
      </c>
      <c r="BD97" t="s">
        <v>5</v>
      </c>
      <c r="BE97" t="s">
        <v>5</v>
      </c>
      <c r="BF97" t="s">
        <v>5</v>
      </c>
      <c r="BG97" t="s">
        <v>5</v>
      </c>
      <c r="BH97">
        <v>0</v>
      </c>
      <c r="BI97">
        <v>2</v>
      </c>
      <c r="BJ97" t="s">
        <v>206</v>
      </c>
      <c r="BM97">
        <v>318</v>
      </c>
      <c r="BN97">
        <v>0</v>
      </c>
      <c r="BO97" t="s">
        <v>204</v>
      </c>
      <c r="BP97">
        <v>1</v>
      </c>
      <c r="BQ97">
        <v>40</v>
      </c>
      <c r="BR97">
        <v>0</v>
      </c>
      <c r="BS97">
        <v>21.43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5</v>
      </c>
      <c r="BZ97">
        <v>90</v>
      </c>
      <c r="CA97">
        <v>43</v>
      </c>
      <c r="CE97">
        <v>30</v>
      </c>
      <c r="CF97">
        <v>0</v>
      </c>
      <c r="CG97">
        <v>0</v>
      </c>
      <c r="CM97">
        <v>0</v>
      </c>
      <c r="CN97" t="s">
        <v>5</v>
      </c>
      <c r="CO97">
        <v>0</v>
      </c>
      <c r="CP97">
        <f t="shared" si="91"/>
        <v>0</v>
      </c>
      <c r="CQ97">
        <f t="shared" si="92"/>
        <v>2.41</v>
      </c>
      <c r="CR97">
        <f t="shared" si="93"/>
        <v>4374.07</v>
      </c>
      <c r="CS97">
        <f t="shared" si="94"/>
        <v>2413.23</v>
      </c>
      <c r="CT97">
        <f t="shared" si="95"/>
        <v>2322.8000000000002</v>
      </c>
      <c r="CU97">
        <f t="shared" si="96"/>
        <v>0</v>
      </c>
      <c r="CV97">
        <f t="shared" si="97"/>
        <v>8.7905861999999981</v>
      </c>
      <c r="CW97">
        <f t="shared" si="98"/>
        <v>0</v>
      </c>
      <c r="CX97">
        <f t="shared" si="99"/>
        <v>0</v>
      </c>
      <c r="CY97">
        <f t="shared" si="100"/>
        <v>0</v>
      </c>
      <c r="CZ97">
        <f t="shared" si="101"/>
        <v>0</v>
      </c>
      <c r="DC97" t="s">
        <v>5</v>
      </c>
      <c r="DD97" t="s">
        <v>5</v>
      </c>
      <c r="DE97" t="s">
        <v>30</v>
      </c>
      <c r="DF97" t="s">
        <v>30</v>
      </c>
      <c r="DG97" t="s">
        <v>30</v>
      </c>
      <c r="DH97" t="s">
        <v>5</v>
      </c>
      <c r="DI97" t="s">
        <v>30</v>
      </c>
      <c r="DJ97" t="s">
        <v>30</v>
      </c>
      <c r="DK97" t="s">
        <v>5</v>
      </c>
      <c r="DL97" t="s">
        <v>5</v>
      </c>
      <c r="DM97" t="s">
        <v>5</v>
      </c>
      <c r="DN97">
        <v>112</v>
      </c>
      <c r="DO97">
        <v>70</v>
      </c>
      <c r="DP97">
        <v>1.0669999999999999</v>
      </c>
      <c r="DQ97">
        <v>1.081</v>
      </c>
      <c r="DU97">
        <v>1013</v>
      </c>
      <c r="DV97" t="s">
        <v>170</v>
      </c>
      <c r="DW97" t="s">
        <v>170</v>
      </c>
      <c r="DX97">
        <v>1</v>
      </c>
      <c r="EE97">
        <v>44064137</v>
      </c>
      <c r="EF97">
        <v>40</v>
      </c>
      <c r="EG97" t="s">
        <v>172</v>
      </c>
      <c r="EH97">
        <v>0</v>
      </c>
      <c r="EI97" t="s">
        <v>5</v>
      </c>
      <c r="EJ97">
        <v>2</v>
      </c>
      <c r="EK97">
        <v>318</v>
      </c>
      <c r="EL97" t="s">
        <v>173</v>
      </c>
      <c r="EM97" t="s">
        <v>174</v>
      </c>
      <c r="EO97" t="s">
        <v>5</v>
      </c>
      <c r="EQ97">
        <v>131072</v>
      </c>
      <c r="ER97">
        <v>403.36</v>
      </c>
      <c r="ES97">
        <v>0.42</v>
      </c>
      <c r="ET97">
        <v>329.33</v>
      </c>
      <c r="EU97">
        <v>76.48</v>
      </c>
      <c r="EV97">
        <v>73.61</v>
      </c>
      <c r="EW97">
        <v>5.97</v>
      </c>
      <c r="EX97">
        <v>0</v>
      </c>
      <c r="EY97">
        <v>0</v>
      </c>
      <c r="FQ97">
        <v>0</v>
      </c>
      <c r="FR97">
        <f t="shared" si="102"/>
        <v>0</v>
      </c>
      <c r="FS97">
        <v>0</v>
      </c>
      <c r="FX97">
        <v>112</v>
      </c>
      <c r="FY97">
        <v>70</v>
      </c>
      <c r="GA97" t="s">
        <v>5</v>
      </c>
      <c r="GD97">
        <v>0</v>
      </c>
      <c r="GF97">
        <v>1401956261</v>
      </c>
      <c r="GG97">
        <v>2</v>
      </c>
      <c r="GH97">
        <v>1</v>
      </c>
      <c r="GI97">
        <v>2</v>
      </c>
      <c r="GJ97">
        <v>0</v>
      </c>
      <c r="GK97">
        <f>ROUND(R97*(R12)/100,2)</f>
        <v>0</v>
      </c>
      <c r="GL97">
        <f t="shared" si="103"/>
        <v>0</v>
      </c>
      <c r="GM97">
        <f t="shared" si="104"/>
        <v>0</v>
      </c>
      <c r="GN97">
        <f t="shared" si="105"/>
        <v>0</v>
      </c>
      <c r="GO97">
        <f t="shared" si="106"/>
        <v>0</v>
      </c>
      <c r="GP97">
        <f t="shared" si="107"/>
        <v>0</v>
      </c>
      <c r="GR97">
        <v>0</v>
      </c>
      <c r="GS97">
        <v>0</v>
      </c>
      <c r="GT97">
        <v>0</v>
      </c>
      <c r="GU97" t="s">
        <v>5</v>
      </c>
      <c r="GV97">
        <f t="shared" si="108"/>
        <v>0</v>
      </c>
      <c r="GW97">
        <v>1</v>
      </c>
      <c r="GX97">
        <f t="shared" si="109"/>
        <v>0</v>
      </c>
      <c r="HA97">
        <v>0</v>
      </c>
      <c r="HB97">
        <v>0</v>
      </c>
      <c r="HC97">
        <f t="shared" si="110"/>
        <v>0</v>
      </c>
      <c r="IK97">
        <v>0</v>
      </c>
    </row>
    <row r="98" spans="1:245" x14ac:dyDescent="0.2">
      <c r="A98">
        <v>17</v>
      </c>
      <c r="B98">
        <v>1</v>
      </c>
      <c r="E98" t="s">
        <v>207</v>
      </c>
      <c r="F98" t="s">
        <v>208</v>
      </c>
      <c r="G98" t="s">
        <v>209</v>
      </c>
      <c r="H98" t="s">
        <v>210</v>
      </c>
      <c r="I98">
        <v>0</v>
      </c>
      <c r="J98">
        <v>0</v>
      </c>
      <c r="O98">
        <f t="shared" si="71"/>
        <v>0</v>
      </c>
      <c r="P98">
        <f t="shared" si="72"/>
        <v>0</v>
      </c>
      <c r="Q98">
        <f t="shared" si="73"/>
        <v>0</v>
      </c>
      <c r="R98">
        <f t="shared" si="74"/>
        <v>0</v>
      </c>
      <c r="S98">
        <f t="shared" si="75"/>
        <v>0</v>
      </c>
      <c r="T98">
        <f t="shared" si="76"/>
        <v>0</v>
      </c>
      <c r="U98">
        <f t="shared" si="77"/>
        <v>0</v>
      </c>
      <c r="V98">
        <f t="shared" si="78"/>
        <v>0</v>
      </c>
      <c r="W98">
        <f t="shared" si="79"/>
        <v>0</v>
      </c>
      <c r="X98">
        <f t="shared" si="80"/>
        <v>0</v>
      </c>
      <c r="Y98">
        <f t="shared" si="81"/>
        <v>0</v>
      </c>
      <c r="AA98">
        <v>44175501</v>
      </c>
      <c r="AB98">
        <f t="shared" si="82"/>
        <v>1059.8499999999999</v>
      </c>
      <c r="AC98">
        <f t="shared" si="83"/>
        <v>1059.8499999999999</v>
      </c>
      <c r="AD98">
        <f t="shared" si="84"/>
        <v>0</v>
      </c>
      <c r="AE98">
        <f t="shared" si="85"/>
        <v>0</v>
      </c>
      <c r="AF98">
        <f t="shared" si="86"/>
        <v>0</v>
      </c>
      <c r="AG98">
        <f t="shared" si="87"/>
        <v>0</v>
      </c>
      <c r="AH98">
        <f t="shared" si="88"/>
        <v>0</v>
      </c>
      <c r="AI98">
        <f t="shared" si="89"/>
        <v>0</v>
      </c>
      <c r="AJ98">
        <f t="shared" si="90"/>
        <v>0</v>
      </c>
      <c r="AK98">
        <v>1059.8499999999999</v>
      </c>
      <c r="AL98">
        <v>1059.8499999999999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9.08</v>
      </c>
      <c r="BD98" t="s">
        <v>5</v>
      </c>
      <c r="BE98" t="s">
        <v>5</v>
      </c>
      <c r="BF98" t="s">
        <v>5</v>
      </c>
      <c r="BG98" t="s">
        <v>5</v>
      </c>
      <c r="BH98">
        <v>3</v>
      </c>
      <c r="BI98">
        <v>1</v>
      </c>
      <c r="BJ98" t="s">
        <v>211</v>
      </c>
      <c r="BM98">
        <v>1617</v>
      </c>
      <c r="BN98">
        <v>0</v>
      </c>
      <c r="BO98" t="s">
        <v>208</v>
      </c>
      <c r="BP98">
        <v>1</v>
      </c>
      <c r="BQ98">
        <v>200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5</v>
      </c>
      <c r="BZ98">
        <v>0</v>
      </c>
      <c r="CA98">
        <v>0</v>
      </c>
      <c r="CE98">
        <v>30</v>
      </c>
      <c r="CF98">
        <v>0</v>
      </c>
      <c r="CG98">
        <v>0</v>
      </c>
      <c r="CM98">
        <v>0</v>
      </c>
      <c r="CN98" t="s">
        <v>5</v>
      </c>
      <c r="CO98">
        <v>0</v>
      </c>
      <c r="CP98">
        <f t="shared" si="91"/>
        <v>0</v>
      </c>
      <c r="CQ98">
        <f t="shared" si="92"/>
        <v>9623.44</v>
      </c>
      <c r="CR98">
        <f t="shared" si="93"/>
        <v>0</v>
      </c>
      <c r="CS98">
        <f t="shared" si="94"/>
        <v>0</v>
      </c>
      <c r="CT98">
        <f t="shared" si="95"/>
        <v>0</v>
      </c>
      <c r="CU98">
        <f t="shared" si="96"/>
        <v>0</v>
      </c>
      <c r="CV98">
        <f t="shared" si="97"/>
        <v>0</v>
      </c>
      <c r="CW98">
        <f t="shared" si="98"/>
        <v>0</v>
      </c>
      <c r="CX98">
        <f t="shared" si="99"/>
        <v>0</v>
      </c>
      <c r="CY98">
        <f t="shared" si="100"/>
        <v>0</v>
      </c>
      <c r="CZ98">
        <f t="shared" si="101"/>
        <v>0</v>
      </c>
      <c r="DC98" t="s">
        <v>5</v>
      </c>
      <c r="DD98" t="s">
        <v>5</v>
      </c>
      <c r="DE98" t="s">
        <v>30</v>
      </c>
      <c r="DF98" t="s">
        <v>30</v>
      </c>
      <c r="DG98" t="s">
        <v>30</v>
      </c>
      <c r="DH98" t="s">
        <v>5</v>
      </c>
      <c r="DI98" t="s">
        <v>30</v>
      </c>
      <c r="DJ98" t="s">
        <v>30</v>
      </c>
      <c r="DK98" t="s">
        <v>5</v>
      </c>
      <c r="DL98" t="s">
        <v>5</v>
      </c>
      <c r="DM98" t="s">
        <v>5</v>
      </c>
      <c r="DN98">
        <v>0</v>
      </c>
      <c r="DO98">
        <v>0</v>
      </c>
      <c r="DP98">
        <v>1</v>
      </c>
      <c r="DQ98">
        <v>1</v>
      </c>
      <c r="DU98">
        <v>1010</v>
      </c>
      <c r="DV98" t="s">
        <v>210</v>
      </c>
      <c r="DW98" t="s">
        <v>210</v>
      </c>
      <c r="DX98">
        <v>1000</v>
      </c>
      <c r="EE98">
        <v>44065436</v>
      </c>
      <c r="EF98">
        <v>200</v>
      </c>
      <c r="EG98" t="s">
        <v>42</v>
      </c>
      <c r="EH98">
        <v>0</v>
      </c>
      <c r="EI98" t="s">
        <v>5</v>
      </c>
      <c r="EJ98">
        <v>1</v>
      </c>
      <c r="EK98">
        <v>1617</v>
      </c>
      <c r="EL98" t="s">
        <v>43</v>
      </c>
      <c r="EM98" t="s">
        <v>44</v>
      </c>
      <c r="EO98" t="s">
        <v>5</v>
      </c>
      <c r="EQ98">
        <v>131072</v>
      </c>
      <c r="ER98">
        <v>1059.8499999999999</v>
      </c>
      <c r="ES98">
        <v>1059.8499999999999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FQ98">
        <v>0</v>
      </c>
      <c r="FR98">
        <f t="shared" si="102"/>
        <v>0</v>
      </c>
      <c r="FS98">
        <v>0</v>
      </c>
      <c r="FX98">
        <v>0</v>
      </c>
      <c r="FY98">
        <v>0</v>
      </c>
      <c r="GA98" t="s">
        <v>5</v>
      </c>
      <c r="GD98">
        <v>0</v>
      </c>
      <c r="GF98">
        <v>1553253866</v>
      </c>
      <c r="GG98">
        <v>2</v>
      </c>
      <c r="GH98">
        <v>1</v>
      </c>
      <c r="GI98">
        <v>2</v>
      </c>
      <c r="GJ98">
        <v>0</v>
      </c>
      <c r="GK98">
        <f>ROUND(R98*(R12)/100,2)</f>
        <v>0</v>
      </c>
      <c r="GL98">
        <f t="shared" si="103"/>
        <v>0</v>
      </c>
      <c r="GM98">
        <f t="shared" si="104"/>
        <v>0</v>
      </c>
      <c r="GN98">
        <f t="shared" si="105"/>
        <v>0</v>
      </c>
      <c r="GO98">
        <f t="shared" si="106"/>
        <v>0</v>
      </c>
      <c r="GP98">
        <f t="shared" si="107"/>
        <v>0</v>
      </c>
      <c r="GR98">
        <v>0</v>
      </c>
      <c r="GS98">
        <v>0</v>
      </c>
      <c r="GT98">
        <v>0</v>
      </c>
      <c r="GU98" t="s">
        <v>5</v>
      </c>
      <c r="GV98">
        <f t="shared" si="108"/>
        <v>0</v>
      </c>
      <c r="GW98">
        <v>1</v>
      </c>
      <c r="GX98">
        <f t="shared" si="109"/>
        <v>0</v>
      </c>
      <c r="HA98">
        <v>0</v>
      </c>
      <c r="HB98">
        <v>0</v>
      </c>
      <c r="HC98">
        <f t="shared" si="110"/>
        <v>0</v>
      </c>
      <c r="IK98">
        <v>0</v>
      </c>
    </row>
    <row r="99" spans="1:245" x14ac:dyDescent="0.2">
      <c r="A99">
        <v>17</v>
      </c>
      <c r="B99">
        <v>1</v>
      </c>
      <c r="C99">
        <f>ROW(SmtRes!A34)</f>
        <v>34</v>
      </c>
      <c r="D99">
        <f>ROW(EtalonRes!A38)</f>
        <v>38</v>
      </c>
      <c r="E99" t="s">
        <v>212</v>
      </c>
      <c r="F99" t="s">
        <v>204</v>
      </c>
      <c r="G99" t="s">
        <v>205</v>
      </c>
      <c r="H99" t="s">
        <v>170</v>
      </c>
      <c r="I99">
        <v>0</v>
      </c>
      <c r="J99">
        <v>0</v>
      </c>
      <c r="O99">
        <f t="shared" si="71"/>
        <v>0</v>
      </c>
      <c r="P99">
        <f t="shared" si="72"/>
        <v>0</v>
      </c>
      <c r="Q99">
        <f t="shared" si="73"/>
        <v>0</v>
      </c>
      <c r="R99">
        <f t="shared" si="74"/>
        <v>0</v>
      </c>
      <c r="S99">
        <f t="shared" si="75"/>
        <v>0</v>
      </c>
      <c r="T99">
        <f t="shared" si="76"/>
        <v>0</v>
      </c>
      <c r="U99">
        <f t="shared" si="77"/>
        <v>0</v>
      </c>
      <c r="V99">
        <f t="shared" si="78"/>
        <v>0</v>
      </c>
      <c r="W99">
        <f t="shared" si="79"/>
        <v>0</v>
      </c>
      <c r="X99">
        <f t="shared" si="80"/>
        <v>0</v>
      </c>
      <c r="Y99">
        <f t="shared" si="81"/>
        <v>0</v>
      </c>
      <c r="AA99">
        <v>44175501</v>
      </c>
      <c r="AB99">
        <f t="shared" si="82"/>
        <v>556.47720000000004</v>
      </c>
      <c r="AC99">
        <f t="shared" si="83"/>
        <v>0.42</v>
      </c>
      <c r="AD99">
        <f t="shared" si="84"/>
        <v>454.47539999999998</v>
      </c>
      <c r="AE99">
        <f t="shared" si="85"/>
        <v>105.5424</v>
      </c>
      <c r="AF99">
        <f t="shared" si="86"/>
        <v>101.5818</v>
      </c>
      <c r="AG99">
        <f t="shared" si="87"/>
        <v>0</v>
      </c>
      <c r="AH99">
        <f t="shared" si="88"/>
        <v>8.2385999999999981</v>
      </c>
      <c r="AI99">
        <f t="shared" si="89"/>
        <v>0</v>
      </c>
      <c r="AJ99">
        <f t="shared" si="90"/>
        <v>0</v>
      </c>
      <c r="AK99">
        <v>403.36</v>
      </c>
      <c r="AL99">
        <v>0.42</v>
      </c>
      <c r="AM99">
        <v>329.33</v>
      </c>
      <c r="AN99">
        <v>76.48</v>
      </c>
      <c r="AO99">
        <v>73.61</v>
      </c>
      <c r="AP99">
        <v>0</v>
      </c>
      <c r="AQ99">
        <v>5.97</v>
      </c>
      <c r="AR99">
        <v>0</v>
      </c>
      <c r="AS99">
        <v>0</v>
      </c>
      <c r="AT99">
        <v>90</v>
      </c>
      <c r="AU99">
        <v>43</v>
      </c>
      <c r="AV99">
        <v>1.0669999999999999</v>
      </c>
      <c r="AW99">
        <v>1.081</v>
      </c>
      <c r="AZ99">
        <v>1</v>
      </c>
      <c r="BA99">
        <v>21.43</v>
      </c>
      <c r="BB99">
        <v>9.02</v>
      </c>
      <c r="BC99">
        <v>5.36</v>
      </c>
      <c r="BD99" t="s">
        <v>5</v>
      </c>
      <c r="BE99" t="s">
        <v>5</v>
      </c>
      <c r="BF99" t="s">
        <v>5</v>
      </c>
      <c r="BG99" t="s">
        <v>5</v>
      </c>
      <c r="BH99">
        <v>0</v>
      </c>
      <c r="BI99">
        <v>2</v>
      </c>
      <c r="BJ99" t="s">
        <v>206</v>
      </c>
      <c r="BM99">
        <v>318</v>
      </c>
      <c r="BN99">
        <v>0</v>
      </c>
      <c r="BO99" t="s">
        <v>204</v>
      </c>
      <c r="BP99">
        <v>1</v>
      </c>
      <c r="BQ99">
        <v>40</v>
      </c>
      <c r="BR99">
        <v>0</v>
      </c>
      <c r="BS99">
        <v>21.43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5</v>
      </c>
      <c r="BZ99">
        <v>90</v>
      </c>
      <c r="CA99">
        <v>43</v>
      </c>
      <c r="CE99">
        <v>30</v>
      </c>
      <c r="CF99">
        <v>0</v>
      </c>
      <c r="CG99">
        <v>0</v>
      </c>
      <c r="CM99">
        <v>0</v>
      </c>
      <c r="CN99" t="s">
        <v>5</v>
      </c>
      <c r="CO99">
        <v>0</v>
      </c>
      <c r="CP99">
        <f t="shared" si="91"/>
        <v>0</v>
      </c>
      <c r="CQ99">
        <f t="shared" si="92"/>
        <v>2.41</v>
      </c>
      <c r="CR99">
        <f t="shared" si="93"/>
        <v>4374.07</v>
      </c>
      <c r="CS99">
        <f t="shared" si="94"/>
        <v>2413.23</v>
      </c>
      <c r="CT99">
        <f t="shared" si="95"/>
        <v>2322.8000000000002</v>
      </c>
      <c r="CU99">
        <f t="shared" si="96"/>
        <v>0</v>
      </c>
      <c r="CV99">
        <f t="shared" si="97"/>
        <v>8.7905861999999981</v>
      </c>
      <c r="CW99">
        <f t="shared" si="98"/>
        <v>0</v>
      </c>
      <c r="CX99">
        <f t="shared" si="99"/>
        <v>0</v>
      </c>
      <c r="CY99">
        <f t="shared" si="100"/>
        <v>0</v>
      </c>
      <c r="CZ99">
        <f t="shared" si="101"/>
        <v>0</v>
      </c>
      <c r="DC99" t="s">
        <v>5</v>
      </c>
      <c r="DD99" t="s">
        <v>5</v>
      </c>
      <c r="DE99" t="s">
        <v>30</v>
      </c>
      <c r="DF99" t="s">
        <v>30</v>
      </c>
      <c r="DG99" t="s">
        <v>30</v>
      </c>
      <c r="DH99" t="s">
        <v>5</v>
      </c>
      <c r="DI99" t="s">
        <v>30</v>
      </c>
      <c r="DJ99" t="s">
        <v>30</v>
      </c>
      <c r="DK99" t="s">
        <v>5</v>
      </c>
      <c r="DL99" t="s">
        <v>5</v>
      </c>
      <c r="DM99" t="s">
        <v>5</v>
      </c>
      <c r="DN99">
        <v>112</v>
      </c>
      <c r="DO99">
        <v>70</v>
      </c>
      <c r="DP99">
        <v>1.0669999999999999</v>
      </c>
      <c r="DQ99">
        <v>1.081</v>
      </c>
      <c r="DU99">
        <v>1013</v>
      </c>
      <c r="DV99" t="s">
        <v>170</v>
      </c>
      <c r="DW99" t="s">
        <v>170</v>
      </c>
      <c r="DX99">
        <v>1</v>
      </c>
      <c r="EE99">
        <v>44064137</v>
      </c>
      <c r="EF99">
        <v>40</v>
      </c>
      <c r="EG99" t="s">
        <v>172</v>
      </c>
      <c r="EH99">
        <v>0</v>
      </c>
      <c r="EI99" t="s">
        <v>5</v>
      </c>
      <c r="EJ99">
        <v>2</v>
      </c>
      <c r="EK99">
        <v>318</v>
      </c>
      <c r="EL99" t="s">
        <v>173</v>
      </c>
      <c r="EM99" t="s">
        <v>174</v>
      </c>
      <c r="EO99" t="s">
        <v>5</v>
      </c>
      <c r="EQ99">
        <v>131072</v>
      </c>
      <c r="ER99">
        <v>403.36</v>
      </c>
      <c r="ES99">
        <v>0.42</v>
      </c>
      <c r="ET99">
        <v>329.33</v>
      </c>
      <c r="EU99">
        <v>76.48</v>
      </c>
      <c r="EV99">
        <v>73.61</v>
      </c>
      <c r="EW99">
        <v>5.97</v>
      </c>
      <c r="EX99">
        <v>0</v>
      </c>
      <c r="EY99">
        <v>0</v>
      </c>
      <c r="FQ99">
        <v>0</v>
      </c>
      <c r="FR99">
        <f t="shared" si="102"/>
        <v>0</v>
      </c>
      <c r="FS99">
        <v>0</v>
      </c>
      <c r="FX99">
        <v>112</v>
      </c>
      <c r="FY99">
        <v>70</v>
      </c>
      <c r="GA99" t="s">
        <v>5</v>
      </c>
      <c r="GD99">
        <v>0</v>
      </c>
      <c r="GF99">
        <v>1401956261</v>
      </c>
      <c r="GG99">
        <v>2</v>
      </c>
      <c r="GH99">
        <v>1</v>
      </c>
      <c r="GI99">
        <v>2</v>
      </c>
      <c r="GJ99">
        <v>0</v>
      </c>
      <c r="GK99">
        <f>ROUND(R99*(R12)/100,2)</f>
        <v>0</v>
      </c>
      <c r="GL99">
        <f t="shared" si="103"/>
        <v>0</v>
      </c>
      <c r="GM99">
        <f t="shared" si="104"/>
        <v>0</v>
      </c>
      <c r="GN99">
        <f t="shared" si="105"/>
        <v>0</v>
      </c>
      <c r="GO99">
        <f t="shared" si="106"/>
        <v>0</v>
      </c>
      <c r="GP99">
        <f t="shared" si="107"/>
        <v>0</v>
      </c>
      <c r="GR99">
        <v>0</v>
      </c>
      <c r="GS99">
        <v>0</v>
      </c>
      <c r="GT99">
        <v>0</v>
      </c>
      <c r="GU99" t="s">
        <v>5</v>
      </c>
      <c r="GV99">
        <f t="shared" si="108"/>
        <v>0</v>
      </c>
      <c r="GW99">
        <v>1</v>
      </c>
      <c r="GX99">
        <f t="shared" si="109"/>
        <v>0</v>
      </c>
      <c r="HA99">
        <v>0</v>
      </c>
      <c r="HB99">
        <v>0</v>
      </c>
      <c r="HC99">
        <f t="shared" si="110"/>
        <v>0</v>
      </c>
      <c r="IK99">
        <v>0</v>
      </c>
    </row>
    <row r="100" spans="1:245" x14ac:dyDescent="0.2">
      <c r="A100">
        <v>17</v>
      </c>
      <c r="B100">
        <v>1</v>
      </c>
      <c r="E100" t="s">
        <v>213</v>
      </c>
      <c r="F100" t="s">
        <v>208</v>
      </c>
      <c r="G100" t="s">
        <v>209</v>
      </c>
      <c r="H100" t="s">
        <v>210</v>
      </c>
      <c r="I100">
        <v>0</v>
      </c>
      <c r="J100">
        <v>0</v>
      </c>
      <c r="O100">
        <f t="shared" si="71"/>
        <v>0</v>
      </c>
      <c r="P100">
        <f t="shared" si="72"/>
        <v>0</v>
      </c>
      <c r="Q100">
        <f t="shared" si="73"/>
        <v>0</v>
      </c>
      <c r="R100">
        <f t="shared" si="74"/>
        <v>0</v>
      </c>
      <c r="S100">
        <f t="shared" si="75"/>
        <v>0</v>
      </c>
      <c r="T100">
        <f t="shared" si="76"/>
        <v>0</v>
      </c>
      <c r="U100">
        <f t="shared" si="77"/>
        <v>0</v>
      </c>
      <c r="V100">
        <f t="shared" si="78"/>
        <v>0</v>
      </c>
      <c r="W100">
        <f t="shared" si="79"/>
        <v>0</v>
      </c>
      <c r="X100">
        <f t="shared" si="80"/>
        <v>0</v>
      </c>
      <c r="Y100">
        <f t="shared" si="81"/>
        <v>0</v>
      </c>
      <c r="AA100">
        <v>44175501</v>
      </c>
      <c r="AB100">
        <f t="shared" si="82"/>
        <v>1059.8499999999999</v>
      </c>
      <c r="AC100">
        <f t="shared" si="83"/>
        <v>1059.8499999999999</v>
      </c>
      <c r="AD100">
        <f t="shared" si="84"/>
        <v>0</v>
      </c>
      <c r="AE100">
        <f t="shared" si="85"/>
        <v>0</v>
      </c>
      <c r="AF100">
        <f t="shared" si="86"/>
        <v>0</v>
      </c>
      <c r="AG100">
        <f t="shared" si="87"/>
        <v>0</v>
      </c>
      <c r="AH100">
        <f t="shared" si="88"/>
        <v>0</v>
      </c>
      <c r="AI100">
        <f t="shared" si="89"/>
        <v>0</v>
      </c>
      <c r="AJ100">
        <f t="shared" si="90"/>
        <v>0</v>
      </c>
      <c r="AK100">
        <v>1059.8499999999999</v>
      </c>
      <c r="AL100">
        <v>1059.8499999999999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9.08</v>
      </c>
      <c r="BD100" t="s">
        <v>5</v>
      </c>
      <c r="BE100" t="s">
        <v>5</v>
      </c>
      <c r="BF100" t="s">
        <v>5</v>
      </c>
      <c r="BG100" t="s">
        <v>5</v>
      </c>
      <c r="BH100">
        <v>3</v>
      </c>
      <c r="BI100">
        <v>1</v>
      </c>
      <c r="BJ100" t="s">
        <v>211</v>
      </c>
      <c r="BM100">
        <v>1617</v>
      </c>
      <c r="BN100">
        <v>0</v>
      </c>
      <c r="BO100" t="s">
        <v>208</v>
      </c>
      <c r="BP100">
        <v>1</v>
      </c>
      <c r="BQ100">
        <v>200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5</v>
      </c>
      <c r="BZ100">
        <v>0</v>
      </c>
      <c r="CA100">
        <v>0</v>
      </c>
      <c r="CE100">
        <v>30</v>
      </c>
      <c r="CF100">
        <v>0</v>
      </c>
      <c r="CG100">
        <v>0</v>
      </c>
      <c r="CM100">
        <v>0</v>
      </c>
      <c r="CN100" t="s">
        <v>5</v>
      </c>
      <c r="CO100">
        <v>0</v>
      </c>
      <c r="CP100">
        <f t="shared" si="91"/>
        <v>0</v>
      </c>
      <c r="CQ100">
        <f t="shared" si="92"/>
        <v>9623.44</v>
      </c>
      <c r="CR100">
        <f t="shared" si="93"/>
        <v>0</v>
      </c>
      <c r="CS100">
        <f t="shared" si="94"/>
        <v>0</v>
      </c>
      <c r="CT100">
        <f t="shared" si="95"/>
        <v>0</v>
      </c>
      <c r="CU100">
        <f t="shared" si="96"/>
        <v>0</v>
      </c>
      <c r="CV100">
        <f t="shared" si="97"/>
        <v>0</v>
      </c>
      <c r="CW100">
        <f t="shared" si="98"/>
        <v>0</v>
      </c>
      <c r="CX100">
        <f t="shared" si="99"/>
        <v>0</v>
      </c>
      <c r="CY100">
        <f t="shared" si="100"/>
        <v>0</v>
      </c>
      <c r="CZ100">
        <f t="shared" si="101"/>
        <v>0</v>
      </c>
      <c r="DC100" t="s">
        <v>5</v>
      </c>
      <c r="DD100" t="s">
        <v>5</v>
      </c>
      <c r="DE100" t="s">
        <v>30</v>
      </c>
      <c r="DF100" t="s">
        <v>30</v>
      </c>
      <c r="DG100" t="s">
        <v>30</v>
      </c>
      <c r="DH100" t="s">
        <v>5</v>
      </c>
      <c r="DI100" t="s">
        <v>30</v>
      </c>
      <c r="DJ100" t="s">
        <v>30</v>
      </c>
      <c r="DK100" t="s">
        <v>5</v>
      </c>
      <c r="DL100" t="s">
        <v>5</v>
      </c>
      <c r="DM100" t="s">
        <v>5</v>
      </c>
      <c r="DN100">
        <v>0</v>
      </c>
      <c r="DO100">
        <v>0</v>
      </c>
      <c r="DP100">
        <v>1</v>
      </c>
      <c r="DQ100">
        <v>1</v>
      </c>
      <c r="DU100">
        <v>1010</v>
      </c>
      <c r="DV100" t="s">
        <v>210</v>
      </c>
      <c r="DW100" t="s">
        <v>210</v>
      </c>
      <c r="DX100">
        <v>1000</v>
      </c>
      <c r="EE100">
        <v>44065436</v>
      </c>
      <c r="EF100">
        <v>200</v>
      </c>
      <c r="EG100" t="s">
        <v>42</v>
      </c>
      <c r="EH100">
        <v>0</v>
      </c>
      <c r="EI100" t="s">
        <v>5</v>
      </c>
      <c r="EJ100">
        <v>1</v>
      </c>
      <c r="EK100">
        <v>1617</v>
      </c>
      <c r="EL100" t="s">
        <v>43</v>
      </c>
      <c r="EM100" t="s">
        <v>44</v>
      </c>
      <c r="EO100" t="s">
        <v>5</v>
      </c>
      <c r="EQ100">
        <v>131072</v>
      </c>
      <c r="ER100">
        <v>1059.8499999999999</v>
      </c>
      <c r="ES100">
        <v>1059.8499999999999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FQ100">
        <v>0</v>
      </c>
      <c r="FR100">
        <f t="shared" si="102"/>
        <v>0</v>
      </c>
      <c r="FS100">
        <v>0</v>
      </c>
      <c r="FX100">
        <v>0</v>
      </c>
      <c r="FY100">
        <v>0</v>
      </c>
      <c r="GA100" t="s">
        <v>5</v>
      </c>
      <c r="GD100">
        <v>0</v>
      </c>
      <c r="GF100">
        <v>1553253866</v>
      </c>
      <c r="GG100">
        <v>2</v>
      </c>
      <c r="GH100">
        <v>1</v>
      </c>
      <c r="GI100">
        <v>2</v>
      </c>
      <c r="GJ100">
        <v>0</v>
      </c>
      <c r="GK100">
        <f>ROUND(R100*(R12)/100,2)</f>
        <v>0</v>
      </c>
      <c r="GL100">
        <f t="shared" si="103"/>
        <v>0</v>
      </c>
      <c r="GM100">
        <f t="shared" si="104"/>
        <v>0</v>
      </c>
      <c r="GN100">
        <f t="shared" si="105"/>
        <v>0</v>
      </c>
      <c r="GO100">
        <f t="shared" si="106"/>
        <v>0</v>
      </c>
      <c r="GP100">
        <f t="shared" si="107"/>
        <v>0</v>
      </c>
      <c r="GR100">
        <v>0</v>
      </c>
      <c r="GS100">
        <v>0</v>
      </c>
      <c r="GT100">
        <v>0</v>
      </c>
      <c r="GU100" t="s">
        <v>5</v>
      </c>
      <c r="GV100">
        <f t="shared" si="108"/>
        <v>0</v>
      </c>
      <c r="GW100">
        <v>1</v>
      </c>
      <c r="GX100">
        <f t="shared" si="109"/>
        <v>0</v>
      </c>
      <c r="HA100">
        <v>0</v>
      </c>
      <c r="HB100">
        <v>0</v>
      </c>
      <c r="HC100">
        <f t="shared" si="110"/>
        <v>0</v>
      </c>
      <c r="IK100">
        <v>0</v>
      </c>
    </row>
    <row r="101" spans="1:245" x14ac:dyDescent="0.2">
      <c r="A101">
        <v>17</v>
      </c>
      <c r="B101">
        <v>1</v>
      </c>
      <c r="C101">
        <f>ROW(SmtRes!A35)</f>
        <v>35</v>
      </c>
      <c r="D101">
        <f>ROW(EtalonRes!A40)</f>
        <v>40</v>
      </c>
      <c r="E101" t="s">
        <v>214</v>
      </c>
      <c r="F101" t="s">
        <v>215</v>
      </c>
      <c r="G101" t="s">
        <v>216</v>
      </c>
      <c r="H101" t="s">
        <v>170</v>
      </c>
      <c r="I101">
        <f>ROUND(219/100,9)</f>
        <v>2.19</v>
      </c>
      <c r="J101">
        <v>0</v>
      </c>
      <c r="O101">
        <f t="shared" si="71"/>
        <v>3266.31</v>
      </c>
      <c r="P101">
        <f t="shared" si="72"/>
        <v>0</v>
      </c>
      <c r="Q101">
        <f t="shared" si="73"/>
        <v>239.54</v>
      </c>
      <c r="R101">
        <f t="shared" si="74"/>
        <v>133.29</v>
      </c>
      <c r="S101">
        <f t="shared" si="75"/>
        <v>3026.77</v>
      </c>
      <c r="T101">
        <f t="shared" si="76"/>
        <v>0</v>
      </c>
      <c r="U101">
        <f t="shared" si="77"/>
        <v>13.414699583999997</v>
      </c>
      <c r="V101">
        <f t="shared" si="78"/>
        <v>0</v>
      </c>
      <c r="W101">
        <f t="shared" si="79"/>
        <v>0</v>
      </c>
      <c r="X101">
        <f t="shared" si="80"/>
        <v>2724.09</v>
      </c>
      <c r="Y101">
        <f t="shared" si="81"/>
        <v>1301.51</v>
      </c>
      <c r="AA101">
        <v>44175501</v>
      </c>
      <c r="AB101">
        <f t="shared" si="82"/>
        <v>71.746200000000002</v>
      </c>
      <c r="AC101">
        <f t="shared" si="83"/>
        <v>0</v>
      </c>
      <c r="AD101">
        <f t="shared" si="84"/>
        <v>11.302199999999999</v>
      </c>
      <c r="AE101">
        <f t="shared" si="85"/>
        <v>2.6634000000000002</v>
      </c>
      <c r="AF101">
        <f t="shared" si="86"/>
        <v>60.444000000000003</v>
      </c>
      <c r="AG101">
        <f t="shared" si="87"/>
        <v>0</v>
      </c>
      <c r="AH101">
        <f t="shared" si="88"/>
        <v>5.7407999999999992</v>
      </c>
      <c r="AI101">
        <f t="shared" si="89"/>
        <v>0</v>
      </c>
      <c r="AJ101">
        <f t="shared" si="90"/>
        <v>0</v>
      </c>
      <c r="AK101">
        <v>51.99</v>
      </c>
      <c r="AL101">
        <v>0</v>
      </c>
      <c r="AM101">
        <v>8.19</v>
      </c>
      <c r="AN101">
        <v>1.93</v>
      </c>
      <c r="AO101">
        <v>43.8</v>
      </c>
      <c r="AP101">
        <v>0</v>
      </c>
      <c r="AQ101">
        <v>4.16</v>
      </c>
      <c r="AR101">
        <v>0</v>
      </c>
      <c r="AS101">
        <v>0</v>
      </c>
      <c r="AT101">
        <v>90</v>
      </c>
      <c r="AU101">
        <v>43</v>
      </c>
      <c r="AV101">
        <v>1.0669999999999999</v>
      </c>
      <c r="AW101">
        <v>1.081</v>
      </c>
      <c r="AZ101">
        <v>1</v>
      </c>
      <c r="BA101">
        <v>21.43</v>
      </c>
      <c r="BB101">
        <v>9.07</v>
      </c>
      <c r="BC101">
        <v>1</v>
      </c>
      <c r="BD101" t="s">
        <v>5</v>
      </c>
      <c r="BE101" t="s">
        <v>5</v>
      </c>
      <c r="BF101" t="s">
        <v>5</v>
      </c>
      <c r="BG101" t="s">
        <v>5</v>
      </c>
      <c r="BH101">
        <v>0</v>
      </c>
      <c r="BI101">
        <v>2</v>
      </c>
      <c r="BJ101" t="s">
        <v>217</v>
      </c>
      <c r="BM101">
        <v>318</v>
      </c>
      <c r="BN101">
        <v>0</v>
      </c>
      <c r="BO101" t="s">
        <v>215</v>
      </c>
      <c r="BP101">
        <v>1</v>
      </c>
      <c r="BQ101">
        <v>40</v>
      </c>
      <c r="BR101">
        <v>0</v>
      </c>
      <c r="BS101">
        <v>21.43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5</v>
      </c>
      <c r="BZ101">
        <v>90</v>
      </c>
      <c r="CA101">
        <v>43</v>
      </c>
      <c r="CE101">
        <v>30</v>
      </c>
      <c r="CF101">
        <v>0</v>
      </c>
      <c r="CG101">
        <v>0</v>
      </c>
      <c r="CM101">
        <v>0</v>
      </c>
      <c r="CN101" t="s">
        <v>5</v>
      </c>
      <c r="CO101">
        <v>0</v>
      </c>
      <c r="CP101">
        <f t="shared" si="91"/>
        <v>3266.31</v>
      </c>
      <c r="CQ101">
        <f t="shared" si="92"/>
        <v>0</v>
      </c>
      <c r="CR101">
        <f t="shared" si="93"/>
        <v>109.38</v>
      </c>
      <c r="CS101">
        <f t="shared" si="94"/>
        <v>60.86</v>
      </c>
      <c r="CT101">
        <f t="shared" si="95"/>
        <v>1382.02</v>
      </c>
      <c r="CU101">
        <f t="shared" si="96"/>
        <v>0</v>
      </c>
      <c r="CV101">
        <f t="shared" si="97"/>
        <v>6.1254335999999991</v>
      </c>
      <c r="CW101">
        <f t="shared" si="98"/>
        <v>0</v>
      </c>
      <c r="CX101">
        <f t="shared" si="99"/>
        <v>0</v>
      </c>
      <c r="CY101">
        <f t="shared" si="100"/>
        <v>2724.0929999999998</v>
      </c>
      <c r="CZ101">
        <f t="shared" si="101"/>
        <v>1301.5110999999999</v>
      </c>
      <c r="DC101" t="s">
        <v>5</v>
      </c>
      <c r="DD101" t="s">
        <v>5</v>
      </c>
      <c r="DE101" t="s">
        <v>30</v>
      </c>
      <c r="DF101" t="s">
        <v>30</v>
      </c>
      <c r="DG101" t="s">
        <v>30</v>
      </c>
      <c r="DH101" t="s">
        <v>5</v>
      </c>
      <c r="DI101" t="s">
        <v>30</v>
      </c>
      <c r="DJ101" t="s">
        <v>30</v>
      </c>
      <c r="DK101" t="s">
        <v>5</v>
      </c>
      <c r="DL101" t="s">
        <v>5</v>
      </c>
      <c r="DM101" t="s">
        <v>5</v>
      </c>
      <c r="DN101">
        <v>112</v>
      </c>
      <c r="DO101">
        <v>70</v>
      </c>
      <c r="DP101">
        <v>1.0669999999999999</v>
      </c>
      <c r="DQ101">
        <v>1.081</v>
      </c>
      <c r="DU101">
        <v>1013</v>
      </c>
      <c r="DV101" t="s">
        <v>170</v>
      </c>
      <c r="DW101" t="s">
        <v>170</v>
      </c>
      <c r="DX101">
        <v>1</v>
      </c>
      <c r="EE101">
        <v>44064137</v>
      </c>
      <c r="EF101">
        <v>40</v>
      </c>
      <c r="EG101" t="s">
        <v>172</v>
      </c>
      <c r="EH101">
        <v>0</v>
      </c>
      <c r="EI101" t="s">
        <v>5</v>
      </c>
      <c r="EJ101">
        <v>2</v>
      </c>
      <c r="EK101">
        <v>318</v>
      </c>
      <c r="EL101" t="s">
        <v>173</v>
      </c>
      <c r="EM101" t="s">
        <v>174</v>
      </c>
      <c r="EO101" t="s">
        <v>5</v>
      </c>
      <c r="EQ101">
        <v>131072</v>
      </c>
      <c r="ER101">
        <v>51.99</v>
      </c>
      <c r="ES101">
        <v>0</v>
      </c>
      <c r="ET101">
        <v>8.19</v>
      </c>
      <c r="EU101">
        <v>1.93</v>
      </c>
      <c r="EV101">
        <v>43.8</v>
      </c>
      <c r="EW101">
        <v>4.16</v>
      </c>
      <c r="EX101">
        <v>0</v>
      </c>
      <c r="EY101">
        <v>0</v>
      </c>
      <c r="FQ101">
        <v>0</v>
      </c>
      <c r="FR101">
        <f t="shared" si="102"/>
        <v>0</v>
      </c>
      <c r="FS101">
        <v>0</v>
      </c>
      <c r="FX101">
        <v>112</v>
      </c>
      <c r="FY101">
        <v>70</v>
      </c>
      <c r="GA101" t="s">
        <v>5</v>
      </c>
      <c r="GD101">
        <v>0</v>
      </c>
      <c r="GF101">
        <v>-1321162253</v>
      </c>
      <c r="GG101">
        <v>2</v>
      </c>
      <c r="GH101">
        <v>1</v>
      </c>
      <c r="GI101">
        <v>2</v>
      </c>
      <c r="GJ101">
        <v>0</v>
      </c>
      <c r="GK101">
        <f>ROUND(R101*(R12)/100,2)</f>
        <v>209.27</v>
      </c>
      <c r="GL101">
        <f t="shared" si="103"/>
        <v>0</v>
      </c>
      <c r="GM101">
        <f t="shared" si="104"/>
        <v>7501.18</v>
      </c>
      <c r="GN101">
        <f t="shared" si="105"/>
        <v>0</v>
      </c>
      <c r="GO101">
        <f t="shared" si="106"/>
        <v>7501.18</v>
      </c>
      <c r="GP101">
        <f t="shared" si="107"/>
        <v>0</v>
      </c>
      <c r="GR101">
        <v>0</v>
      </c>
      <c r="GS101">
        <v>0</v>
      </c>
      <c r="GT101">
        <v>0</v>
      </c>
      <c r="GU101" t="s">
        <v>5</v>
      </c>
      <c r="GV101">
        <f t="shared" si="108"/>
        <v>0</v>
      </c>
      <c r="GW101">
        <v>1</v>
      </c>
      <c r="GX101">
        <f t="shared" si="109"/>
        <v>0</v>
      </c>
      <c r="HA101">
        <v>0</v>
      </c>
      <c r="HB101">
        <v>0</v>
      </c>
      <c r="HC101">
        <f t="shared" si="110"/>
        <v>0</v>
      </c>
      <c r="IK101">
        <v>0</v>
      </c>
    </row>
    <row r="102" spans="1:245" x14ac:dyDescent="0.2">
      <c r="A102">
        <v>18</v>
      </c>
      <c r="B102">
        <v>1</v>
      </c>
      <c r="C102">
        <v>35</v>
      </c>
      <c r="E102" t="s">
        <v>218</v>
      </c>
      <c r="F102" t="s">
        <v>219</v>
      </c>
      <c r="G102" t="s">
        <v>220</v>
      </c>
      <c r="H102" t="s">
        <v>80</v>
      </c>
      <c r="I102">
        <f>I101*J102</f>
        <v>451.14</v>
      </c>
      <c r="J102">
        <v>206</v>
      </c>
      <c r="O102">
        <f t="shared" si="71"/>
        <v>24517.75</v>
      </c>
      <c r="P102">
        <f t="shared" si="72"/>
        <v>24517.75</v>
      </c>
      <c r="Q102">
        <f>(ROUND((ROUND(((ET102)*AV102*I102),2)*BB102),2)+ROUND((ROUND(((AE102-(EU102))*AV102*I102),2)*BS102),2))</f>
        <v>0</v>
      </c>
      <c r="R102">
        <f t="shared" si="74"/>
        <v>0</v>
      </c>
      <c r="S102">
        <f t="shared" si="75"/>
        <v>0</v>
      </c>
      <c r="T102">
        <f t="shared" si="76"/>
        <v>0</v>
      </c>
      <c r="U102">
        <f t="shared" si="77"/>
        <v>0</v>
      </c>
      <c r="V102">
        <f t="shared" si="78"/>
        <v>0</v>
      </c>
      <c r="W102">
        <f t="shared" si="79"/>
        <v>0</v>
      </c>
      <c r="X102">
        <f t="shared" si="80"/>
        <v>0</v>
      </c>
      <c r="Y102">
        <f t="shared" si="81"/>
        <v>0</v>
      </c>
      <c r="AA102">
        <v>44175501</v>
      </c>
      <c r="AB102">
        <f t="shared" si="82"/>
        <v>8.82</v>
      </c>
      <c r="AC102">
        <f t="shared" si="83"/>
        <v>8.82</v>
      </c>
      <c r="AD102">
        <f>ROUND((((ET102)-(EU102))+AE102),6)</f>
        <v>0</v>
      </c>
      <c r="AE102">
        <f>ROUND((EU102),6)</f>
        <v>0</v>
      </c>
      <c r="AF102">
        <f>ROUND((EV102),6)</f>
        <v>0</v>
      </c>
      <c r="AG102">
        <f t="shared" si="87"/>
        <v>0</v>
      </c>
      <c r="AH102">
        <f>(EW102)</f>
        <v>0</v>
      </c>
      <c r="AI102">
        <f>(EX102)</f>
        <v>0</v>
      </c>
      <c r="AJ102">
        <f t="shared" si="90"/>
        <v>0</v>
      </c>
      <c r="AK102">
        <v>8.82</v>
      </c>
      <c r="AL102">
        <v>8.82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1.081</v>
      </c>
      <c r="AZ102">
        <v>1</v>
      </c>
      <c r="BA102">
        <v>1</v>
      </c>
      <c r="BB102">
        <v>1</v>
      </c>
      <c r="BC102">
        <v>5.7</v>
      </c>
      <c r="BD102" t="s">
        <v>5</v>
      </c>
      <c r="BE102" t="s">
        <v>5</v>
      </c>
      <c r="BF102" t="s">
        <v>5</v>
      </c>
      <c r="BG102" t="s">
        <v>5</v>
      </c>
      <c r="BH102">
        <v>3</v>
      </c>
      <c r="BI102">
        <v>2</v>
      </c>
      <c r="BJ102" t="s">
        <v>221</v>
      </c>
      <c r="BM102">
        <v>318</v>
      </c>
      <c r="BN102">
        <v>0</v>
      </c>
      <c r="BO102" t="s">
        <v>219</v>
      </c>
      <c r="BP102">
        <v>1</v>
      </c>
      <c r="BQ102">
        <v>40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5</v>
      </c>
      <c r="BZ102">
        <v>0</v>
      </c>
      <c r="CA102">
        <v>0</v>
      </c>
      <c r="CE102">
        <v>30</v>
      </c>
      <c r="CF102">
        <v>0</v>
      </c>
      <c r="CG102">
        <v>0</v>
      </c>
      <c r="CM102">
        <v>0</v>
      </c>
      <c r="CN102" t="s">
        <v>5</v>
      </c>
      <c r="CO102">
        <v>0</v>
      </c>
      <c r="CP102">
        <f t="shared" si="91"/>
        <v>24517.75</v>
      </c>
      <c r="CQ102">
        <f t="shared" si="92"/>
        <v>54.32</v>
      </c>
      <c r="CR102">
        <f>(ROUND((ROUND(((ET102)*AV102*1),2)*BB102),2)+ROUND((ROUND(((AE102-(EU102))*AV102*1),2)*BS102),2))</f>
        <v>0</v>
      </c>
      <c r="CS102">
        <f t="shared" si="94"/>
        <v>0</v>
      </c>
      <c r="CT102">
        <f t="shared" si="95"/>
        <v>0</v>
      </c>
      <c r="CU102">
        <f t="shared" si="96"/>
        <v>0</v>
      </c>
      <c r="CV102">
        <f t="shared" si="97"/>
        <v>0</v>
      </c>
      <c r="CW102">
        <f t="shared" si="98"/>
        <v>0</v>
      </c>
      <c r="CX102">
        <f t="shared" si="99"/>
        <v>0</v>
      </c>
      <c r="CY102">
        <f t="shared" si="100"/>
        <v>0</v>
      </c>
      <c r="CZ102">
        <f t="shared" si="101"/>
        <v>0</v>
      </c>
      <c r="DC102" t="s">
        <v>5</v>
      </c>
      <c r="DD102" t="s">
        <v>5</v>
      </c>
      <c r="DE102" t="s">
        <v>5</v>
      </c>
      <c r="DF102" t="s">
        <v>5</v>
      </c>
      <c r="DG102" t="s">
        <v>5</v>
      </c>
      <c r="DH102" t="s">
        <v>5</v>
      </c>
      <c r="DI102" t="s">
        <v>5</v>
      </c>
      <c r="DJ102" t="s">
        <v>5</v>
      </c>
      <c r="DK102" t="s">
        <v>5</v>
      </c>
      <c r="DL102" t="s">
        <v>5</v>
      </c>
      <c r="DM102" t="s">
        <v>5</v>
      </c>
      <c r="DN102">
        <v>112</v>
      </c>
      <c r="DO102">
        <v>70</v>
      </c>
      <c r="DP102">
        <v>1.0669999999999999</v>
      </c>
      <c r="DQ102">
        <v>1.081</v>
      </c>
      <c r="DU102">
        <v>1010</v>
      </c>
      <c r="DV102" t="s">
        <v>80</v>
      </c>
      <c r="DW102" t="s">
        <v>80</v>
      </c>
      <c r="DX102">
        <v>1</v>
      </c>
      <c r="EE102">
        <v>44064137</v>
      </c>
      <c r="EF102">
        <v>40</v>
      </c>
      <c r="EG102" t="s">
        <v>172</v>
      </c>
      <c r="EH102">
        <v>0</v>
      </c>
      <c r="EI102" t="s">
        <v>5</v>
      </c>
      <c r="EJ102">
        <v>2</v>
      </c>
      <c r="EK102">
        <v>318</v>
      </c>
      <c r="EL102" t="s">
        <v>173</v>
      </c>
      <c r="EM102" t="s">
        <v>174</v>
      </c>
      <c r="EO102" t="s">
        <v>5</v>
      </c>
      <c r="EQ102">
        <v>0</v>
      </c>
      <c r="ER102">
        <v>8.82</v>
      </c>
      <c r="ES102">
        <v>8.82</v>
      </c>
      <c r="ET102">
        <v>0</v>
      </c>
      <c r="EU102">
        <v>0</v>
      </c>
      <c r="EV102">
        <v>0</v>
      </c>
      <c r="EW102">
        <v>0</v>
      </c>
      <c r="EX102">
        <v>0</v>
      </c>
      <c r="FQ102">
        <v>0</v>
      </c>
      <c r="FR102">
        <f t="shared" si="102"/>
        <v>0</v>
      </c>
      <c r="FS102">
        <v>0</v>
      </c>
      <c r="FX102">
        <v>112</v>
      </c>
      <c r="FY102">
        <v>70</v>
      </c>
      <c r="GA102" t="s">
        <v>5</v>
      </c>
      <c r="GD102">
        <v>0</v>
      </c>
      <c r="GF102">
        <v>-1494779997</v>
      </c>
      <c r="GG102">
        <v>2</v>
      </c>
      <c r="GH102">
        <v>1</v>
      </c>
      <c r="GI102">
        <v>2</v>
      </c>
      <c r="GJ102">
        <v>0</v>
      </c>
      <c r="GK102">
        <f>ROUND(R102*(R12)/100,2)</f>
        <v>0</v>
      </c>
      <c r="GL102">
        <f t="shared" si="103"/>
        <v>0</v>
      </c>
      <c r="GM102">
        <f t="shared" si="104"/>
        <v>24517.75</v>
      </c>
      <c r="GN102">
        <f t="shared" si="105"/>
        <v>0</v>
      </c>
      <c r="GO102">
        <f t="shared" si="106"/>
        <v>24517.75</v>
      </c>
      <c r="GP102">
        <f t="shared" si="107"/>
        <v>0</v>
      </c>
      <c r="GR102">
        <v>0</v>
      </c>
      <c r="GS102">
        <v>0</v>
      </c>
      <c r="GT102">
        <v>0</v>
      </c>
      <c r="GU102" t="s">
        <v>5</v>
      </c>
      <c r="GV102">
        <f t="shared" si="108"/>
        <v>0</v>
      </c>
      <c r="GW102">
        <v>1</v>
      </c>
      <c r="GX102">
        <f t="shared" si="109"/>
        <v>0</v>
      </c>
      <c r="HA102">
        <v>0</v>
      </c>
      <c r="HB102">
        <v>0</v>
      </c>
      <c r="HC102">
        <f t="shared" si="110"/>
        <v>0</v>
      </c>
      <c r="IK102">
        <v>0</v>
      </c>
    </row>
    <row r="103" spans="1:245" x14ac:dyDescent="0.2">
      <c r="A103">
        <v>17</v>
      </c>
      <c r="B103">
        <v>1</v>
      </c>
      <c r="C103">
        <f>ROW(SmtRes!A36)</f>
        <v>36</v>
      </c>
      <c r="D103">
        <f>ROW(EtalonRes!A42)</f>
        <v>42</v>
      </c>
      <c r="E103" t="s">
        <v>222</v>
      </c>
      <c r="F103" t="s">
        <v>215</v>
      </c>
      <c r="G103" t="s">
        <v>216</v>
      </c>
      <c r="H103" t="s">
        <v>170</v>
      </c>
      <c r="I103">
        <v>0</v>
      </c>
      <c r="J103">
        <v>0</v>
      </c>
      <c r="O103">
        <f t="shared" si="71"/>
        <v>0</v>
      </c>
      <c r="P103">
        <f t="shared" si="72"/>
        <v>0</v>
      </c>
      <c r="Q103">
        <f>(ROUND((ROUND((((ET103*1.2*1.15))*AV103*I103),2)*BB103),2)+ROUND((ROUND(((AE103-((EU103*1.2*1.15)))*AV103*I103),2)*BS103),2))</f>
        <v>0</v>
      </c>
      <c r="R103">
        <f t="shared" si="74"/>
        <v>0</v>
      </c>
      <c r="S103">
        <f t="shared" si="75"/>
        <v>0</v>
      </c>
      <c r="T103">
        <f t="shared" si="76"/>
        <v>0</v>
      </c>
      <c r="U103">
        <f t="shared" si="77"/>
        <v>0</v>
      </c>
      <c r="V103">
        <f t="shared" si="78"/>
        <v>0</v>
      </c>
      <c r="W103">
        <f t="shared" si="79"/>
        <v>0</v>
      </c>
      <c r="X103">
        <f t="shared" si="80"/>
        <v>0</v>
      </c>
      <c r="Y103">
        <f t="shared" si="81"/>
        <v>0</v>
      </c>
      <c r="AA103">
        <v>44175501</v>
      </c>
      <c r="AB103">
        <f t="shared" si="82"/>
        <v>71.746200000000002</v>
      </c>
      <c r="AC103">
        <f t="shared" si="83"/>
        <v>0</v>
      </c>
      <c r="AD103">
        <f>ROUND(((((ET103*1.2*1.15))-((EU103*1.2*1.15)))+AE103),6)</f>
        <v>11.302199999999999</v>
      </c>
      <c r="AE103">
        <f>ROUND(((EU103*1.2*1.15)),6)</f>
        <v>2.6634000000000002</v>
      </c>
      <c r="AF103">
        <f>ROUND(((EV103*1.2*1.15)),6)</f>
        <v>60.444000000000003</v>
      </c>
      <c r="AG103">
        <f t="shared" si="87"/>
        <v>0</v>
      </c>
      <c r="AH103">
        <f>((EW103*1.2*1.15))</f>
        <v>5.7407999999999992</v>
      </c>
      <c r="AI103">
        <f>((EX103*1.2*1.15))</f>
        <v>0</v>
      </c>
      <c r="AJ103">
        <f t="shared" si="90"/>
        <v>0</v>
      </c>
      <c r="AK103">
        <v>51.99</v>
      </c>
      <c r="AL103">
        <v>0</v>
      </c>
      <c r="AM103">
        <v>8.19</v>
      </c>
      <c r="AN103">
        <v>1.93</v>
      </c>
      <c r="AO103">
        <v>43.8</v>
      </c>
      <c r="AP103">
        <v>0</v>
      </c>
      <c r="AQ103">
        <v>4.16</v>
      </c>
      <c r="AR103">
        <v>0</v>
      </c>
      <c r="AS103">
        <v>0</v>
      </c>
      <c r="AT103">
        <v>90</v>
      </c>
      <c r="AU103">
        <v>43</v>
      </c>
      <c r="AV103">
        <v>1.0669999999999999</v>
      </c>
      <c r="AW103">
        <v>1.081</v>
      </c>
      <c r="AZ103">
        <v>1</v>
      </c>
      <c r="BA103">
        <v>21.43</v>
      </c>
      <c r="BB103">
        <v>9.07</v>
      </c>
      <c r="BC103">
        <v>1</v>
      </c>
      <c r="BD103" t="s">
        <v>5</v>
      </c>
      <c r="BE103" t="s">
        <v>5</v>
      </c>
      <c r="BF103" t="s">
        <v>5</v>
      </c>
      <c r="BG103" t="s">
        <v>5</v>
      </c>
      <c r="BH103">
        <v>0</v>
      </c>
      <c r="BI103">
        <v>2</v>
      </c>
      <c r="BJ103" t="s">
        <v>217</v>
      </c>
      <c r="BM103">
        <v>318</v>
      </c>
      <c r="BN103">
        <v>0</v>
      </c>
      <c r="BO103" t="s">
        <v>215</v>
      </c>
      <c r="BP103">
        <v>1</v>
      </c>
      <c r="BQ103">
        <v>40</v>
      </c>
      <c r="BR103">
        <v>0</v>
      </c>
      <c r="BS103">
        <v>21.43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5</v>
      </c>
      <c r="BZ103">
        <v>90</v>
      </c>
      <c r="CA103">
        <v>43</v>
      </c>
      <c r="CE103">
        <v>30</v>
      </c>
      <c r="CF103">
        <v>0</v>
      </c>
      <c r="CG103">
        <v>0</v>
      </c>
      <c r="CM103">
        <v>0</v>
      </c>
      <c r="CN103" t="s">
        <v>5</v>
      </c>
      <c r="CO103">
        <v>0</v>
      </c>
      <c r="CP103">
        <f t="shared" si="91"/>
        <v>0</v>
      </c>
      <c r="CQ103">
        <f t="shared" si="92"/>
        <v>0</v>
      </c>
      <c r="CR103">
        <f>(ROUND((ROUND((((ET103*1.2*1.15))*AV103*1),2)*BB103),2)+ROUND((ROUND(((AE103-((EU103*1.2*1.15)))*AV103*1),2)*BS103),2))</f>
        <v>109.38</v>
      </c>
      <c r="CS103">
        <f t="shared" si="94"/>
        <v>60.86</v>
      </c>
      <c r="CT103">
        <f t="shared" si="95"/>
        <v>1382.02</v>
      </c>
      <c r="CU103">
        <f t="shared" si="96"/>
        <v>0</v>
      </c>
      <c r="CV103">
        <f t="shared" si="97"/>
        <v>6.1254335999999991</v>
      </c>
      <c r="CW103">
        <f t="shared" si="98"/>
        <v>0</v>
      </c>
      <c r="CX103">
        <f t="shared" si="99"/>
        <v>0</v>
      </c>
      <c r="CY103">
        <f t="shared" si="100"/>
        <v>0</v>
      </c>
      <c r="CZ103">
        <f t="shared" si="101"/>
        <v>0</v>
      </c>
      <c r="DC103" t="s">
        <v>5</v>
      </c>
      <c r="DD103" t="s">
        <v>5</v>
      </c>
      <c r="DE103" t="s">
        <v>30</v>
      </c>
      <c r="DF103" t="s">
        <v>30</v>
      </c>
      <c r="DG103" t="s">
        <v>30</v>
      </c>
      <c r="DH103" t="s">
        <v>5</v>
      </c>
      <c r="DI103" t="s">
        <v>30</v>
      </c>
      <c r="DJ103" t="s">
        <v>30</v>
      </c>
      <c r="DK103" t="s">
        <v>5</v>
      </c>
      <c r="DL103" t="s">
        <v>5</v>
      </c>
      <c r="DM103" t="s">
        <v>5</v>
      </c>
      <c r="DN103">
        <v>112</v>
      </c>
      <c r="DO103">
        <v>70</v>
      </c>
      <c r="DP103">
        <v>1.0669999999999999</v>
      </c>
      <c r="DQ103">
        <v>1.081</v>
      </c>
      <c r="DU103">
        <v>1013</v>
      </c>
      <c r="DV103" t="s">
        <v>170</v>
      </c>
      <c r="DW103" t="s">
        <v>170</v>
      </c>
      <c r="DX103">
        <v>1</v>
      </c>
      <c r="EE103">
        <v>44064137</v>
      </c>
      <c r="EF103">
        <v>40</v>
      </c>
      <c r="EG103" t="s">
        <v>172</v>
      </c>
      <c r="EH103">
        <v>0</v>
      </c>
      <c r="EI103" t="s">
        <v>5</v>
      </c>
      <c r="EJ103">
        <v>2</v>
      </c>
      <c r="EK103">
        <v>318</v>
      </c>
      <c r="EL103" t="s">
        <v>173</v>
      </c>
      <c r="EM103" t="s">
        <v>174</v>
      </c>
      <c r="EO103" t="s">
        <v>5</v>
      </c>
      <c r="EQ103">
        <v>131072</v>
      </c>
      <c r="ER103">
        <v>51.99</v>
      </c>
      <c r="ES103">
        <v>0</v>
      </c>
      <c r="ET103">
        <v>8.19</v>
      </c>
      <c r="EU103">
        <v>1.93</v>
      </c>
      <c r="EV103">
        <v>43.8</v>
      </c>
      <c r="EW103">
        <v>4.16</v>
      </c>
      <c r="EX103">
        <v>0</v>
      </c>
      <c r="EY103">
        <v>0</v>
      </c>
      <c r="FQ103">
        <v>0</v>
      </c>
      <c r="FR103">
        <f t="shared" si="102"/>
        <v>0</v>
      </c>
      <c r="FS103">
        <v>0</v>
      </c>
      <c r="FX103">
        <v>112</v>
      </c>
      <c r="FY103">
        <v>70</v>
      </c>
      <c r="GA103" t="s">
        <v>5</v>
      </c>
      <c r="GD103">
        <v>0</v>
      </c>
      <c r="GF103">
        <v>-1321162253</v>
      </c>
      <c r="GG103">
        <v>2</v>
      </c>
      <c r="GH103">
        <v>1</v>
      </c>
      <c r="GI103">
        <v>2</v>
      </c>
      <c r="GJ103">
        <v>0</v>
      </c>
      <c r="GK103">
        <f>ROUND(R103*(R12)/100,2)</f>
        <v>0</v>
      </c>
      <c r="GL103">
        <f t="shared" si="103"/>
        <v>0</v>
      </c>
      <c r="GM103">
        <f t="shared" si="104"/>
        <v>0</v>
      </c>
      <c r="GN103">
        <f t="shared" si="105"/>
        <v>0</v>
      </c>
      <c r="GO103">
        <f t="shared" si="106"/>
        <v>0</v>
      </c>
      <c r="GP103">
        <f t="shared" si="107"/>
        <v>0</v>
      </c>
      <c r="GR103">
        <v>0</v>
      </c>
      <c r="GS103">
        <v>0</v>
      </c>
      <c r="GT103">
        <v>0</v>
      </c>
      <c r="GU103" t="s">
        <v>5</v>
      </c>
      <c r="GV103">
        <f t="shared" si="108"/>
        <v>0</v>
      </c>
      <c r="GW103">
        <v>1</v>
      </c>
      <c r="GX103">
        <f t="shared" si="109"/>
        <v>0</v>
      </c>
      <c r="HA103">
        <v>0</v>
      </c>
      <c r="HB103">
        <v>0</v>
      </c>
      <c r="HC103">
        <f t="shared" si="110"/>
        <v>0</v>
      </c>
      <c r="IK103">
        <v>0</v>
      </c>
    </row>
    <row r="104" spans="1:245" x14ac:dyDescent="0.2">
      <c r="A104">
        <v>18</v>
      </c>
      <c r="B104">
        <v>1</v>
      </c>
      <c r="C104">
        <v>36</v>
      </c>
      <c r="E104" t="s">
        <v>223</v>
      </c>
      <c r="F104" t="s">
        <v>219</v>
      </c>
      <c r="G104" t="s">
        <v>220</v>
      </c>
      <c r="H104" t="s">
        <v>80</v>
      </c>
      <c r="I104">
        <f>I103*J104</f>
        <v>0</v>
      </c>
      <c r="J104">
        <v>206</v>
      </c>
      <c r="O104">
        <f t="shared" si="71"/>
        <v>0</v>
      </c>
      <c r="P104">
        <f t="shared" si="72"/>
        <v>0</v>
      </c>
      <c r="Q104">
        <f>(ROUND((ROUND(((ET104)*AV104*I104),2)*BB104),2)+ROUND((ROUND(((AE104-(EU104))*AV104*I104),2)*BS104),2))</f>
        <v>0</v>
      </c>
      <c r="R104">
        <f t="shared" si="74"/>
        <v>0</v>
      </c>
      <c r="S104">
        <f t="shared" si="75"/>
        <v>0</v>
      </c>
      <c r="T104">
        <f t="shared" si="76"/>
        <v>0</v>
      </c>
      <c r="U104">
        <f t="shared" si="77"/>
        <v>0</v>
      </c>
      <c r="V104">
        <f t="shared" si="78"/>
        <v>0</v>
      </c>
      <c r="W104">
        <f t="shared" si="79"/>
        <v>0</v>
      </c>
      <c r="X104">
        <f t="shared" si="80"/>
        <v>0</v>
      </c>
      <c r="Y104">
        <f t="shared" si="81"/>
        <v>0</v>
      </c>
      <c r="AA104">
        <v>44175501</v>
      </c>
      <c r="AB104">
        <f t="shared" si="82"/>
        <v>8.82</v>
      </c>
      <c r="AC104">
        <f t="shared" si="83"/>
        <v>8.82</v>
      </c>
      <c r="AD104">
        <f>ROUND((((ET104)-(EU104))+AE104),6)</f>
        <v>0</v>
      </c>
      <c r="AE104">
        <f>ROUND((EU104),6)</f>
        <v>0</v>
      </c>
      <c r="AF104">
        <f>ROUND((EV104),6)</f>
        <v>0</v>
      </c>
      <c r="AG104">
        <f t="shared" si="87"/>
        <v>0</v>
      </c>
      <c r="AH104">
        <f>(EW104)</f>
        <v>0</v>
      </c>
      <c r="AI104">
        <f>(EX104)</f>
        <v>0</v>
      </c>
      <c r="AJ104">
        <f t="shared" si="90"/>
        <v>0</v>
      </c>
      <c r="AK104">
        <v>8.82</v>
      </c>
      <c r="AL104">
        <v>8.82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1</v>
      </c>
      <c r="AW104">
        <v>1.081</v>
      </c>
      <c r="AZ104">
        <v>1</v>
      </c>
      <c r="BA104">
        <v>1</v>
      </c>
      <c r="BB104">
        <v>1</v>
      </c>
      <c r="BC104">
        <v>5.7</v>
      </c>
      <c r="BD104" t="s">
        <v>5</v>
      </c>
      <c r="BE104" t="s">
        <v>5</v>
      </c>
      <c r="BF104" t="s">
        <v>5</v>
      </c>
      <c r="BG104" t="s">
        <v>5</v>
      </c>
      <c r="BH104">
        <v>3</v>
      </c>
      <c r="BI104">
        <v>2</v>
      </c>
      <c r="BJ104" t="s">
        <v>221</v>
      </c>
      <c r="BM104">
        <v>318</v>
      </c>
      <c r="BN104">
        <v>0</v>
      </c>
      <c r="BO104" t="s">
        <v>219</v>
      </c>
      <c r="BP104">
        <v>1</v>
      </c>
      <c r="BQ104">
        <v>40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5</v>
      </c>
      <c r="BZ104">
        <v>0</v>
      </c>
      <c r="CA104">
        <v>0</v>
      </c>
      <c r="CE104">
        <v>30</v>
      </c>
      <c r="CF104">
        <v>0</v>
      </c>
      <c r="CG104">
        <v>0</v>
      </c>
      <c r="CM104">
        <v>0</v>
      </c>
      <c r="CN104" t="s">
        <v>5</v>
      </c>
      <c r="CO104">
        <v>0</v>
      </c>
      <c r="CP104">
        <f t="shared" si="91"/>
        <v>0</v>
      </c>
      <c r="CQ104">
        <f t="shared" si="92"/>
        <v>54.32</v>
      </c>
      <c r="CR104">
        <f>(ROUND((ROUND(((ET104)*AV104*1),2)*BB104),2)+ROUND((ROUND(((AE104-(EU104))*AV104*1),2)*BS104),2))</f>
        <v>0</v>
      </c>
      <c r="CS104">
        <f t="shared" si="94"/>
        <v>0</v>
      </c>
      <c r="CT104">
        <f t="shared" si="95"/>
        <v>0</v>
      </c>
      <c r="CU104">
        <f t="shared" si="96"/>
        <v>0</v>
      </c>
      <c r="CV104">
        <f t="shared" si="97"/>
        <v>0</v>
      </c>
      <c r="CW104">
        <f t="shared" si="98"/>
        <v>0</v>
      </c>
      <c r="CX104">
        <f t="shared" si="99"/>
        <v>0</v>
      </c>
      <c r="CY104">
        <f t="shared" si="100"/>
        <v>0</v>
      </c>
      <c r="CZ104">
        <f t="shared" si="101"/>
        <v>0</v>
      </c>
      <c r="DC104" t="s">
        <v>5</v>
      </c>
      <c r="DD104" t="s">
        <v>5</v>
      </c>
      <c r="DE104" t="s">
        <v>5</v>
      </c>
      <c r="DF104" t="s">
        <v>5</v>
      </c>
      <c r="DG104" t="s">
        <v>5</v>
      </c>
      <c r="DH104" t="s">
        <v>5</v>
      </c>
      <c r="DI104" t="s">
        <v>5</v>
      </c>
      <c r="DJ104" t="s">
        <v>5</v>
      </c>
      <c r="DK104" t="s">
        <v>5</v>
      </c>
      <c r="DL104" t="s">
        <v>5</v>
      </c>
      <c r="DM104" t="s">
        <v>5</v>
      </c>
      <c r="DN104">
        <v>112</v>
      </c>
      <c r="DO104">
        <v>70</v>
      </c>
      <c r="DP104">
        <v>1.0669999999999999</v>
      </c>
      <c r="DQ104">
        <v>1.081</v>
      </c>
      <c r="DU104">
        <v>1010</v>
      </c>
      <c r="DV104" t="s">
        <v>80</v>
      </c>
      <c r="DW104" t="s">
        <v>80</v>
      </c>
      <c r="DX104">
        <v>1</v>
      </c>
      <c r="EE104">
        <v>44064137</v>
      </c>
      <c r="EF104">
        <v>40</v>
      </c>
      <c r="EG104" t="s">
        <v>172</v>
      </c>
      <c r="EH104">
        <v>0</v>
      </c>
      <c r="EI104" t="s">
        <v>5</v>
      </c>
      <c r="EJ104">
        <v>2</v>
      </c>
      <c r="EK104">
        <v>318</v>
      </c>
      <c r="EL104" t="s">
        <v>173</v>
      </c>
      <c r="EM104" t="s">
        <v>174</v>
      </c>
      <c r="EO104" t="s">
        <v>5</v>
      </c>
      <c r="EQ104">
        <v>0</v>
      </c>
      <c r="ER104">
        <v>8.82</v>
      </c>
      <c r="ES104">
        <v>8.82</v>
      </c>
      <c r="ET104">
        <v>0</v>
      </c>
      <c r="EU104">
        <v>0</v>
      </c>
      <c r="EV104">
        <v>0</v>
      </c>
      <c r="EW104">
        <v>0</v>
      </c>
      <c r="EX104">
        <v>0</v>
      </c>
      <c r="FQ104">
        <v>0</v>
      </c>
      <c r="FR104">
        <f t="shared" si="102"/>
        <v>0</v>
      </c>
      <c r="FS104">
        <v>0</v>
      </c>
      <c r="FX104">
        <v>112</v>
      </c>
      <c r="FY104">
        <v>70</v>
      </c>
      <c r="GA104" t="s">
        <v>5</v>
      </c>
      <c r="GD104">
        <v>0</v>
      </c>
      <c r="GF104">
        <v>-1494779997</v>
      </c>
      <c r="GG104">
        <v>2</v>
      </c>
      <c r="GH104">
        <v>1</v>
      </c>
      <c r="GI104">
        <v>2</v>
      </c>
      <c r="GJ104">
        <v>0</v>
      </c>
      <c r="GK104">
        <f>ROUND(R104*(R12)/100,2)</f>
        <v>0</v>
      </c>
      <c r="GL104">
        <f t="shared" si="103"/>
        <v>0</v>
      </c>
      <c r="GM104">
        <f t="shared" si="104"/>
        <v>0</v>
      </c>
      <c r="GN104">
        <f t="shared" si="105"/>
        <v>0</v>
      </c>
      <c r="GO104">
        <f t="shared" si="106"/>
        <v>0</v>
      </c>
      <c r="GP104">
        <f t="shared" si="107"/>
        <v>0</v>
      </c>
      <c r="GR104">
        <v>0</v>
      </c>
      <c r="GS104">
        <v>0</v>
      </c>
      <c r="GT104">
        <v>0</v>
      </c>
      <c r="GU104" t="s">
        <v>5</v>
      </c>
      <c r="GV104">
        <f t="shared" si="108"/>
        <v>0</v>
      </c>
      <c r="GW104">
        <v>1</v>
      </c>
      <c r="GX104">
        <f t="shared" si="109"/>
        <v>0</v>
      </c>
      <c r="HA104">
        <v>0</v>
      </c>
      <c r="HB104">
        <v>0</v>
      </c>
      <c r="HC104">
        <f t="shared" si="110"/>
        <v>0</v>
      </c>
      <c r="IK104">
        <v>0</v>
      </c>
    </row>
    <row r="105" spans="1:245" x14ac:dyDescent="0.2">
      <c r="A105">
        <v>17</v>
      </c>
      <c r="B105">
        <v>1</v>
      </c>
      <c r="C105">
        <f>ROW(SmtRes!A37)</f>
        <v>37</v>
      </c>
      <c r="D105">
        <f>ROW(EtalonRes!A44)</f>
        <v>44</v>
      </c>
      <c r="E105" t="s">
        <v>224</v>
      </c>
      <c r="F105" t="s">
        <v>225</v>
      </c>
      <c r="G105" t="s">
        <v>226</v>
      </c>
      <c r="H105" t="s">
        <v>170</v>
      </c>
      <c r="I105">
        <v>0</v>
      </c>
      <c r="J105">
        <v>0</v>
      </c>
      <c r="O105">
        <f t="shared" si="71"/>
        <v>0</v>
      </c>
      <c r="P105">
        <f t="shared" si="72"/>
        <v>0</v>
      </c>
      <c r="Q105">
        <f>(ROUND((ROUND((((ET105*1.2*1.15))*AV105*I105),2)*BB105),2)+ROUND((ROUND(((AE105-((EU105*1.2*1.15)))*AV105*I105),2)*BS105),2))</f>
        <v>0</v>
      </c>
      <c r="R105">
        <f t="shared" si="74"/>
        <v>0</v>
      </c>
      <c r="S105">
        <f t="shared" si="75"/>
        <v>0</v>
      </c>
      <c r="T105">
        <f t="shared" si="76"/>
        <v>0</v>
      </c>
      <c r="U105">
        <f t="shared" si="77"/>
        <v>0</v>
      </c>
      <c r="V105">
        <f t="shared" si="78"/>
        <v>0</v>
      </c>
      <c r="W105">
        <f t="shared" si="79"/>
        <v>0</v>
      </c>
      <c r="X105">
        <f t="shared" si="80"/>
        <v>0</v>
      </c>
      <c r="Y105">
        <f t="shared" si="81"/>
        <v>0</v>
      </c>
      <c r="AA105">
        <v>44175501</v>
      </c>
      <c r="AB105">
        <f t="shared" si="82"/>
        <v>61.7136</v>
      </c>
      <c r="AC105">
        <f t="shared" si="83"/>
        <v>0</v>
      </c>
      <c r="AD105">
        <f>ROUND(((((ET105*1.2*1.15))-((EU105*1.2*1.15)))+AE105),6)</f>
        <v>11.302199999999999</v>
      </c>
      <c r="AE105">
        <f>ROUND(((EU105*1.2*1.15)),6)</f>
        <v>2.6634000000000002</v>
      </c>
      <c r="AF105">
        <f>ROUND(((EV105*1.2*1.15)),6)</f>
        <v>50.4114</v>
      </c>
      <c r="AG105">
        <f t="shared" si="87"/>
        <v>0</v>
      </c>
      <c r="AH105">
        <f>((EW105*1.2*1.15))</f>
        <v>4.8023999999999996</v>
      </c>
      <c r="AI105">
        <f>((EX105*1.2*1.15))</f>
        <v>0</v>
      </c>
      <c r="AJ105">
        <f t="shared" si="90"/>
        <v>0</v>
      </c>
      <c r="AK105">
        <v>44.72</v>
      </c>
      <c r="AL105">
        <v>0</v>
      </c>
      <c r="AM105">
        <v>8.19</v>
      </c>
      <c r="AN105">
        <v>1.93</v>
      </c>
      <c r="AO105">
        <v>36.53</v>
      </c>
      <c r="AP105">
        <v>0</v>
      </c>
      <c r="AQ105">
        <v>3.48</v>
      </c>
      <c r="AR105">
        <v>0</v>
      </c>
      <c r="AS105">
        <v>0</v>
      </c>
      <c r="AT105">
        <v>90</v>
      </c>
      <c r="AU105">
        <v>43</v>
      </c>
      <c r="AV105">
        <v>1.0669999999999999</v>
      </c>
      <c r="AW105">
        <v>1.081</v>
      </c>
      <c r="AZ105">
        <v>1</v>
      </c>
      <c r="BA105">
        <v>21.43</v>
      </c>
      <c r="BB105">
        <v>9.07</v>
      </c>
      <c r="BC105">
        <v>1</v>
      </c>
      <c r="BD105" t="s">
        <v>5</v>
      </c>
      <c r="BE105" t="s">
        <v>5</v>
      </c>
      <c r="BF105" t="s">
        <v>5</v>
      </c>
      <c r="BG105" t="s">
        <v>5</v>
      </c>
      <c r="BH105">
        <v>0</v>
      </c>
      <c r="BI105">
        <v>2</v>
      </c>
      <c r="BJ105" t="s">
        <v>227</v>
      </c>
      <c r="BM105">
        <v>318</v>
      </c>
      <c r="BN105">
        <v>0</v>
      </c>
      <c r="BO105" t="s">
        <v>225</v>
      </c>
      <c r="BP105">
        <v>1</v>
      </c>
      <c r="BQ105">
        <v>40</v>
      </c>
      <c r="BR105">
        <v>0</v>
      </c>
      <c r="BS105">
        <v>21.43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5</v>
      </c>
      <c r="BZ105">
        <v>90</v>
      </c>
      <c r="CA105">
        <v>43</v>
      </c>
      <c r="CE105">
        <v>30</v>
      </c>
      <c r="CF105">
        <v>0</v>
      </c>
      <c r="CG105">
        <v>0</v>
      </c>
      <c r="CM105">
        <v>0</v>
      </c>
      <c r="CN105" t="s">
        <v>5</v>
      </c>
      <c r="CO105">
        <v>0</v>
      </c>
      <c r="CP105">
        <f t="shared" si="91"/>
        <v>0</v>
      </c>
      <c r="CQ105">
        <f t="shared" si="92"/>
        <v>0</v>
      </c>
      <c r="CR105">
        <f>(ROUND((ROUND((((ET105*1.2*1.15))*AV105*1),2)*BB105),2)+ROUND((ROUND(((AE105-((EU105*1.2*1.15)))*AV105*1),2)*BS105),2))</f>
        <v>109.38</v>
      </c>
      <c r="CS105">
        <f t="shared" si="94"/>
        <v>60.86</v>
      </c>
      <c r="CT105">
        <f t="shared" si="95"/>
        <v>1152.72</v>
      </c>
      <c r="CU105">
        <f t="shared" si="96"/>
        <v>0</v>
      </c>
      <c r="CV105">
        <f t="shared" si="97"/>
        <v>5.1241607999999994</v>
      </c>
      <c r="CW105">
        <f t="shared" si="98"/>
        <v>0</v>
      </c>
      <c r="CX105">
        <f t="shared" si="99"/>
        <v>0</v>
      </c>
      <c r="CY105">
        <f t="shared" si="100"/>
        <v>0</v>
      </c>
      <c r="CZ105">
        <f t="shared" si="101"/>
        <v>0</v>
      </c>
      <c r="DC105" t="s">
        <v>5</v>
      </c>
      <c r="DD105" t="s">
        <v>5</v>
      </c>
      <c r="DE105" t="s">
        <v>30</v>
      </c>
      <c r="DF105" t="s">
        <v>30</v>
      </c>
      <c r="DG105" t="s">
        <v>30</v>
      </c>
      <c r="DH105" t="s">
        <v>5</v>
      </c>
      <c r="DI105" t="s">
        <v>30</v>
      </c>
      <c r="DJ105" t="s">
        <v>30</v>
      </c>
      <c r="DK105" t="s">
        <v>5</v>
      </c>
      <c r="DL105" t="s">
        <v>5</v>
      </c>
      <c r="DM105" t="s">
        <v>5</v>
      </c>
      <c r="DN105">
        <v>112</v>
      </c>
      <c r="DO105">
        <v>70</v>
      </c>
      <c r="DP105">
        <v>1.0669999999999999</v>
      </c>
      <c r="DQ105">
        <v>1.081</v>
      </c>
      <c r="DU105">
        <v>1013</v>
      </c>
      <c r="DV105" t="s">
        <v>170</v>
      </c>
      <c r="DW105" t="s">
        <v>170</v>
      </c>
      <c r="DX105">
        <v>1</v>
      </c>
      <c r="EE105">
        <v>44064137</v>
      </c>
      <c r="EF105">
        <v>40</v>
      </c>
      <c r="EG105" t="s">
        <v>172</v>
      </c>
      <c r="EH105">
        <v>0</v>
      </c>
      <c r="EI105" t="s">
        <v>5</v>
      </c>
      <c r="EJ105">
        <v>2</v>
      </c>
      <c r="EK105">
        <v>318</v>
      </c>
      <c r="EL105" t="s">
        <v>173</v>
      </c>
      <c r="EM105" t="s">
        <v>174</v>
      </c>
      <c r="EO105" t="s">
        <v>5</v>
      </c>
      <c r="EQ105">
        <v>131072</v>
      </c>
      <c r="ER105">
        <v>44.72</v>
      </c>
      <c r="ES105">
        <v>0</v>
      </c>
      <c r="ET105">
        <v>8.19</v>
      </c>
      <c r="EU105">
        <v>1.93</v>
      </c>
      <c r="EV105">
        <v>36.53</v>
      </c>
      <c r="EW105">
        <v>3.48</v>
      </c>
      <c r="EX105">
        <v>0</v>
      </c>
      <c r="EY105">
        <v>0</v>
      </c>
      <c r="FQ105">
        <v>0</v>
      </c>
      <c r="FR105">
        <f t="shared" si="102"/>
        <v>0</v>
      </c>
      <c r="FS105">
        <v>0</v>
      </c>
      <c r="FX105">
        <v>112</v>
      </c>
      <c r="FY105">
        <v>70</v>
      </c>
      <c r="GA105" t="s">
        <v>5</v>
      </c>
      <c r="GD105">
        <v>0</v>
      </c>
      <c r="GF105">
        <v>-417997148</v>
      </c>
      <c r="GG105">
        <v>2</v>
      </c>
      <c r="GH105">
        <v>1</v>
      </c>
      <c r="GI105">
        <v>2</v>
      </c>
      <c r="GJ105">
        <v>0</v>
      </c>
      <c r="GK105">
        <f>ROUND(R105*(R12)/100,2)</f>
        <v>0</v>
      </c>
      <c r="GL105">
        <f t="shared" si="103"/>
        <v>0</v>
      </c>
      <c r="GM105">
        <f t="shared" si="104"/>
        <v>0</v>
      </c>
      <c r="GN105">
        <f t="shared" si="105"/>
        <v>0</v>
      </c>
      <c r="GO105">
        <f t="shared" si="106"/>
        <v>0</v>
      </c>
      <c r="GP105">
        <f t="shared" si="107"/>
        <v>0</v>
      </c>
      <c r="GR105">
        <v>0</v>
      </c>
      <c r="GS105">
        <v>0</v>
      </c>
      <c r="GT105">
        <v>0</v>
      </c>
      <c r="GU105" t="s">
        <v>5</v>
      </c>
      <c r="GV105">
        <f t="shared" si="108"/>
        <v>0</v>
      </c>
      <c r="GW105">
        <v>1</v>
      </c>
      <c r="GX105">
        <f t="shared" si="109"/>
        <v>0</v>
      </c>
      <c r="HA105">
        <v>0</v>
      </c>
      <c r="HB105">
        <v>0</v>
      </c>
      <c r="HC105">
        <f t="shared" si="110"/>
        <v>0</v>
      </c>
      <c r="IK105">
        <v>0</v>
      </c>
    </row>
    <row r="106" spans="1:245" x14ac:dyDescent="0.2">
      <c r="A106">
        <v>18</v>
      </c>
      <c r="B106">
        <v>1</v>
      </c>
      <c r="C106">
        <v>37</v>
      </c>
      <c r="E106" t="s">
        <v>228</v>
      </c>
      <c r="F106" t="s">
        <v>219</v>
      </c>
      <c r="G106" t="s">
        <v>220</v>
      </c>
      <c r="H106" t="s">
        <v>80</v>
      </c>
      <c r="I106">
        <f>I105*J106</f>
        <v>0</v>
      </c>
      <c r="J106">
        <v>206</v>
      </c>
      <c r="O106">
        <f t="shared" si="71"/>
        <v>0</v>
      </c>
      <c r="P106">
        <f t="shared" si="72"/>
        <v>0</v>
      </c>
      <c r="Q106">
        <f>(ROUND((ROUND(((ET106)*AV106*I106),2)*BB106),2)+ROUND((ROUND(((AE106-(EU106))*AV106*I106),2)*BS106),2))</f>
        <v>0</v>
      </c>
      <c r="R106">
        <f t="shared" si="74"/>
        <v>0</v>
      </c>
      <c r="S106">
        <f t="shared" si="75"/>
        <v>0</v>
      </c>
      <c r="T106">
        <f t="shared" si="76"/>
        <v>0</v>
      </c>
      <c r="U106">
        <f t="shared" si="77"/>
        <v>0</v>
      </c>
      <c r="V106">
        <f t="shared" si="78"/>
        <v>0</v>
      </c>
      <c r="W106">
        <f t="shared" si="79"/>
        <v>0</v>
      </c>
      <c r="X106">
        <f t="shared" si="80"/>
        <v>0</v>
      </c>
      <c r="Y106">
        <f t="shared" si="81"/>
        <v>0</v>
      </c>
      <c r="AA106">
        <v>44175501</v>
      </c>
      <c r="AB106">
        <f t="shared" si="82"/>
        <v>8.82</v>
      </c>
      <c r="AC106">
        <f t="shared" si="83"/>
        <v>8.82</v>
      </c>
      <c r="AD106">
        <f>ROUND((((ET106)-(EU106))+AE106),6)</f>
        <v>0</v>
      </c>
      <c r="AE106">
        <f>ROUND((EU106),6)</f>
        <v>0</v>
      </c>
      <c r="AF106">
        <f>ROUND((EV106),6)</f>
        <v>0</v>
      </c>
      <c r="AG106">
        <f t="shared" si="87"/>
        <v>0</v>
      </c>
      <c r="AH106">
        <f>(EW106)</f>
        <v>0</v>
      </c>
      <c r="AI106">
        <f>(EX106)</f>
        <v>0</v>
      </c>
      <c r="AJ106">
        <f t="shared" si="90"/>
        <v>0</v>
      </c>
      <c r="AK106">
        <v>8.82</v>
      </c>
      <c r="AL106">
        <v>8.82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1.081</v>
      </c>
      <c r="AZ106">
        <v>1</v>
      </c>
      <c r="BA106">
        <v>1</v>
      </c>
      <c r="BB106">
        <v>1</v>
      </c>
      <c r="BC106">
        <v>5.7</v>
      </c>
      <c r="BD106" t="s">
        <v>5</v>
      </c>
      <c r="BE106" t="s">
        <v>5</v>
      </c>
      <c r="BF106" t="s">
        <v>5</v>
      </c>
      <c r="BG106" t="s">
        <v>5</v>
      </c>
      <c r="BH106">
        <v>3</v>
      </c>
      <c r="BI106">
        <v>2</v>
      </c>
      <c r="BJ106" t="s">
        <v>221</v>
      </c>
      <c r="BM106">
        <v>318</v>
      </c>
      <c r="BN106">
        <v>0</v>
      </c>
      <c r="BO106" t="s">
        <v>219</v>
      </c>
      <c r="BP106">
        <v>1</v>
      </c>
      <c r="BQ106">
        <v>40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5</v>
      </c>
      <c r="BZ106">
        <v>0</v>
      </c>
      <c r="CA106">
        <v>0</v>
      </c>
      <c r="CE106">
        <v>30</v>
      </c>
      <c r="CF106">
        <v>0</v>
      </c>
      <c r="CG106">
        <v>0</v>
      </c>
      <c r="CM106">
        <v>0</v>
      </c>
      <c r="CN106" t="s">
        <v>5</v>
      </c>
      <c r="CO106">
        <v>0</v>
      </c>
      <c r="CP106">
        <f t="shared" si="91"/>
        <v>0</v>
      </c>
      <c r="CQ106">
        <f t="shared" si="92"/>
        <v>54.32</v>
      </c>
      <c r="CR106">
        <f>(ROUND((ROUND(((ET106)*AV106*1),2)*BB106),2)+ROUND((ROUND(((AE106-(EU106))*AV106*1),2)*BS106),2))</f>
        <v>0</v>
      </c>
      <c r="CS106">
        <f t="shared" si="94"/>
        <v>0</v>
      </c>
      <c r="CT106">
        <f t="shared" si="95"/>
        <v>0</v>
      </c>
      <c r="CU106">
        <f t="shared" si="96"/>
        <v>0</v>
      </c>
      <c r="CV106">
        <f t="shared" si="97"/>
        <v>0</v>
      </c>
      <c r="CW106">
        <f t="shared" si="98"/>
        <v>0</v>
      </c>
      <c r="CX106">
        <f t="shared" si="99"/>
        <v>0</v>
      </c>
      <c r="CY106">
        <f t="shared" si="100"/>
        <v>0</v>
      </c>
      <c r="CZ106">
        <f t="shared" si="101"/>
        <v>0</v>
      </c>
      <c r="DC106" t="s">
        <v>5</v>
      </c>
      <c r="DD106" t="s">
        <v>5</v>
      </c>
      <c r="DE106" t="s">
        <v>5</v>
      </c>
      <c r="DF106" t="s">
        <v>5</v>
      </c>
      <c r="DG106" t="s">
        <v>5</v>
      </c>
      <c r="DH106" t="s">
        <v>5</v>
      </c>
      <c r="DI106" t="s">
        <v>5</v>
      </c>
      <c r="DJ106" t="s">
        <v>5</v>
      </c>
      <c r="DK106" t="s">
        <v>5</v>
      </c>
      <c r="DL106" t="s">
        <v>5</v>
      </c>
      <c r="DM106" t="s">
        <v>5</v>
      </c>
      <c r="DN106">
        <v>112</v>
      </c>
      <c r="DO106">
        <v>70</v>
      </c>
      <c r="DP106">
        <v>1.0669999999999999</v>
      </c>
      <c r="DQ106">
        <v>1.081</v>
      </c>
      <c r="DU106">
        <v>1010</v>
      </c>
      <c r="DV106" t="s">
        <v>80</v>
      </c>
      <c r="DW106" t="s">
        <v>80</v>
      </c>
      <c r="DX106">
        <v>1</v>
      </c>
      <c r="EE106">
        <v>44064137</v>
      </c>
      <c r="EF106">
        <v>40</v>
      </c>
      <c r="EG106" t="s">
        <v>172</v>
      </c>
      <c r="EH106">
        <v>0</v>
      </c>
      <c r="EI106" t="s">
        <v>5</v>
      </c>
      <c r="EJ106">
        <v>2</v>
      </c>
      <c r="EK106">
        <v>318</v>
      </c>
      <c r="EL106" t="s">
        <v>173</v>
      </c>
      <c r="EM106" t="s">
        <v>174</v>
      </c>
      <c r="EO106" t="s">
        <v>5</v>
      </c>
      <c r="EQ106">
        <v>0</v>
      </c>
      <c r="ER106">
        <v>8.82</v>
      </c>
      <c r="ES106">
        <v>8.82</v>
      </c>
      <c r="ET106">
        <v>0</v>
      </c>
      <c r="EU106">
        <v>0</v>
      </c>
      <c r="EV106">
        <v>0</v>
      </c>
      <c r="EW106">
        <v>0</v>
      </c>
      <c r="EX106">
        <v>0</v>
      </c>
      <c r="FQ106">
        <v>0</v>
      </c>
      <c r="FR106">
        <f t="shared" si="102"/>
        <v>0</v>
      </c>
      <c r="FS106">
        <v>0</v>
      </c>
      <c r="FX106">
        <v>112</v>
      </c>
      <c r="FY106">
        <v>70</v>
      </c>
      <c r="GA106" t="s">
        <v>5</v>
      </c>
      <c r="GD106">
        <v>0</v>
      </c>
      <c r="GF106">
        <v>-1494779997</v>
      </c>
      <c r="GG106">
        <v>2</v>
      </c>
      <c r="GH106">
        <v>1</v>
      </c>
      <c r="GI106">
        <v>2</v>
      </c>
      <c r="GJ106">
        <v>0</v>
      </c>
      <c r="GK106">
        <f>ROUND(R106*(R12)/100,2)</f>
        <v>0</v>
      </c>
      <c r="GL106">
        <f t="shared" si="103"/>
        <v>0</v>
      </c>
      <c r="GM106">
        <f t="shared" si="104"/>
        <v>0</v>
      </c>
      <c r="GN106">
        <f t="shared" si="105"/>
        <v>0</v>
      </c>
      <c r="GO106">
        <f t="shared" si="106"/>
        <v>0</v>
      </c>
      <c r="GP106">
        <f t="shared" si="107"/>
        <v>0</v>
      </c>
      <c r="GR106">
        <v>0</v>
      </c>
      <c r="GS106">
        <v>0</v>
      </c>
      <c r="GT106">
        <v>0</v>
      </c>
      <c r="GU106" t="s">
        <v>5</v>
      </c>
      <c r="GV106">
        <f t="shared" si="108"/>
        <v>0</v>
      </c>
      <c r="GW106">
        <v>1</v>
      </c>
      <c r="GX106">
        <f t="shared" si="109"/>
        <v>0</v>
      </c>
      <c r="HA106">
        <v>0</v>
      </c>
      <c r="HB106">
        <v>0</v>
      </c>
      <c r="HC106">
        <f t="shared" si="110"/>
        <v>0</v>
      </c>
      <c r="IK106">
        <v>0</v>
      </c>
    </row>
    <row r="107" spans="1:245" x14ac:dyDescent="0.2">
      <c r="A107">
        <v>17</v>
      </c>
      <c r="B107">
        <v>1</v>
      </c>
      <c r="C107">
        <f>ROW(SmtRes!A38)</f>
        <v>38</v>
      </c>
      <c r="D107">
        <f>ROW(EtalonRes!A46)</f>
        <v>46</v>
      </c>
      <c r="E107" t="s">
        <v>229</v>
      </c>
      <c r="F107" t="s">
        <v>225</v>
      </c>
      <c r="G107" t="s">
        <v>226</v>
      </c>
      <c r="H107" t="s">
        <v>170</v>
      </c>
      <c r="I107">
        <v>0</v>
      </c>
      <c r="J107">
        <v>0</v>
      </c>
      <c r="O107">
        <f t="shared" si="71"/>
        <v>0</v>
      </c>
      <c r="P107">
        <f t="shared" si="72"/>
        <v>0</v>
      </c>
      <c r="Q107">
        <f>(ROUND((ROUND((((ET107*1.2*1.15))*AV107*I107),2)*BB107),2)+ROUND((ROUND(((AE107-((EU107*1.2*1.15)))*AV107*I107),2)*BS107),2))</f>
        <v>0</v>
      </c>
      <c r="R107">
        <f t="shared" si="74"/>
        <v>0</v>
      </c>
      <c r="S107">
        <f t="shared" si="75"/>
        <v>0</v>
      </c>
      <c r="T107">
        <f t="shared" si="76"/>
        <v>0</v>
      </c>
      <c r="U107">
        <f t="shared" si="77"/>
        <v>0</v>
      </c>
      <c r="V107">
        <f t="shared" si="78"/>
        <v>0</v>
      </c>
      <c r="W107">
        <f t="shared" si="79"/>
        <v>0</v>
      </c>
      <c r="X107">
        <f t="shared" si="80"/>
        <v>0</v>
      </c>
      <c r="Y107">
        <f t="shared" si="81"/>
        <v>0</v>
      </c>
      <c r="AA107">
        <v>44175501</v>
      </c>
      <c r="AB107">
        <f t="shared" si="82"/>
        <v>61.7136</v>
      </c>
      <c r="AC107">
        <f t="shared" si="83"/>
        <v>0</v>
      </c>
      <c r="AD107">
        <f>ROUND(((((ET107*1.2*1.15))-((EU107*1.2*1.15)))+AE107),6)</f>
        <v>11.302199999999999</v>
      </c>
      <c r="AE107">
        <f>ROUND(((EU107*1.2*1.15)),6)</f>
        <v>2.6634000000000002</v>
      </c>
      <c r="AF107">
        <f>ROUND(((EV107*1.2*1.15)),6)</f>
        <v>50.4114</v>
      </c>
      <c r="AG107">
        <f t="shared" si="87"/>
        <v>0</v>
      </c>
      <c r="AH107">
        <f>((EW107*1.2*1.15))</f>
        <v>4.8023999999999996</v>
      </c>
      <c r="AI107">
        <f>((EX107*1.2*1.15))</f>
        <v>0</v>
      </c>
      <c r="AJ107">
        <f t="shared" si="90"/>
        <v>0</v>
      </c>
      <c r="AK107">
        <v>44.72</v>
      </c>
      <c r="AL107">
        <v>0</v>
      </c>
      <c r="AM107">
        <v>8.19</v>
      </c>
      <c r="AN107">
        <v>1.93</v>
      </c>
      <c r="AO107">
        <v>36.53</v>
      </c>
      <c r="AP107">
        <v>0</v>
      </c>
      <c r="AQ107">
        <v>3.48</v>
      </c>
      <c r="AR107">
        <v>0</v>
      </c>
      <c r="AS107">
        <v>0</v>
      </c>
      <c r="AT107">
        <v>90</v>
      </c>
      <c r="AU107">
        <v>43</v>
      </c>
      <c r="AV107">
        <v>1.0669999999999999</v>
      </c>
      <c r="AW107">
        <v>1.081</v>
      </c>
      <c r="AZ107">
        <v>1</v>
      </c>
      <c r="BA107">
        <v>21.43</v>
      </c>
      <c r="BB107">
        <v>9.07</v>
      </c>
      <c r="BC107">
        <v>1</v>
      </c>
      <c r="BD107" t="s">
        <v>5</v>
      </c>
      <c r="BE107" t="s">
        <v>5</v>
      </c>
      <c r="BF107" t="s">
        <v>5</v>
      </c>
      <c r="BG107" t="s">
        <v>5</v>
      </c>
      <c r="BH107">
        <v>0</v>
      </c>
      <c r="BI107">
        <v>2</v>
      </c>
      <c r="BJ107" t="s">
        <v>227</v>
      </c>
      <c r="BM107">
        <v>318</v>
      </c>
      <c r="BN107">
        <v>0</v>
      </c>
      <c r="BO107" t="s">
        <v>225</v>
      </c>
      <c r="BP107">
        <v>1</v>
      </c>
      <c r="BQ107">
        <v>40</v>
      </c>
      <c r="BR107">
        <v>0</v>
      </c>
      <c r="BS107">
        <v>21.43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5</v>
      </c>
      <c r="BZ107">
        <v>90</v>
      </c>
      <c r="CA107">
        <v>43</v>
      </c>
      <c r="CE107">
        <v>30</v>
      </c>
      <c r="CF107">
        <v>0</v>
      </c>
      <c r="CG107">
        <v>0</v>
      </c>
      <c r="CM107">
        <v>0</v>
      </c>
      <c r="CN107" t="s">
        <v>5</v>
      </c>
      <c r="CO107">
        <v>0</v>
      </c>
      <c r="CP107">
        <f t="shared" si="91"/>
        <v>0</v>
      </c>
      <c r="CQ107">
        <f t="shared" si="92"/>
        <v>0</v>
      </c>
      <c r="CR107">
        <f>(ROUND((ROUND((((ET107*1.2*1.15))*AV107*1),2)*BB107),2)+ROUND((ROUND(((AE107-((EU107*1.2*1.15)))*AV107*1),2)*BS107),2))</f>
        <v>109.38</v>
      </c>
      <c r="CS107">
        <f t="shared" si="94"/>
        <v>60.86</v>
      </c>
      <c r="CT107">
        <f t="shared" si="95"/>
        <v>1152.72</v>
      </c>
      <c r="CU107">
        <f t="shared" si="96"/>
        <v>0</v>
      </c>
      <c r="CV107">
        <f t="shared" si="97"/>
        <v>5.1241607999999994</v>
      </c>
      <c r="CW107">
        <f t="shared" si="98"/>
        <v>0</v>
      </c>
      <c r="CX107">
        <f t="shared" si="99"/>
        <v>0</v>
      </c>
      <c r="CY107">
        <f t="shared" si="100"/>
        <v>0</v>
      </c>
      <c r="CZ107">
        <f t="shared" si="101"/>
        <v>0</v>
      </c>
      <c r="DC107" t="s">
        <v>5</v>
      </c>
      <c r="DD107" t="s">
        <v>5</v>
      </c>
      <c r="DE107" t="s">
        <v>30</v>
      </c>
      <c r="DF107" t="s">
        <v>30</v>
      </c>
      <c r="DG107" t="s">
        <v>30</v>
      </c>
      <c r="DH107" t="s">
        <v>5</v>
      </c>
      <c r="DI107" t="s">
        <v>30</v>
      </c>
      <c r="DJ107" t="s">
        <v>30</v>
      </c>
      <c r="DK107" t="s">
        <v>5</v>
      </c>
      <c r="DL107" t="s">
        <v>5</v>
      </c>
      <c r="DM107" t="s">
        <v>5</v>
      </c>
      <c r="DN107">
        <v>112</v>
      </c>
      <c r="DO107">
        <v>70</v>
      </c>
      <c r="DP107">
        <v>1.0669999999999999</v>
      </c>
      <c r="DQ107">
        <v>1.081</v>
      </c>
      <c r="DU107">
        <v>1013</v>
      </c>
      <c r="DV107" t="s">
        <v>170</v>
      </c>
      <c r="DW107" t="s">
        <v>170</v>
      </c>
      <c r="DX107">
        <v>1</v>
      </c>
      <c r="EE107">
        <v>44064137</v>
      </c>
      <c r="EF107">
        <v>40</v>
      </c>
      <c r="EG107" t="s">
        <v>172</v>
      </c>
      <c r="EH107">
        <v>0</v>
      </c>
      <c r="EI107" t="s">
        <v>5</v>
      </c>
      <c r="EJ107">
        <v>2</v>
      </c>
      <c r="EK107">
        <v>318</v>
      </c>
      <c r="EL107" t="s">
        <v>173</v>
      </c>
      <c r="EM107" t="s">
        <v>174</v>
      </c>
      <c r="EO107" t="s">
        <v>5</v>
      </c>
      <c r="EQ107">
        <v>131072</v>
      </c>
      <c r="ER107">
        <v>44.72</v>
      </c>
      <c r="ES107">
        <v>0</v>
      </c>
      <c r="ET107">
        <v>8.19</v>
      </c>
      <c r="EU107">
        <v>1.93</v>
      </c>
      <c r="EV107">
        <v>36.53</v>
      </c>
      <c r="EW107">
        <v>3.48</v>
      </c>
      <c r="EX107">
        <v>0</v>
      </c>
      <c r="EY107">
        <v>0</v>
      </c>
      <c r="FQ107">
        <v>0</v>
      </c>
      <c r="FR107">
        <f t="shared" si="102"/>
        <v>0</v>
      </c>
      <c r="FS107">
        <v>0</v>
      </c>
      <c r="FX107">
        <v>112</v>
      </c>
      <c r="FY107">
        <v>70</v>
      </c>
      <c r="GA107" t="s">
        <v>5</v>
      </c>
      <c r="GD107">
        <v>0</v>
      </c>
      <c r="GF107">
        <v>-417997148</v>
      </c>
      <c r="GG107">
        <v>2</v>
      </c>
      <c r="GH107">
        <v>1</v>
      </c>
      <c r="GI107">
        <v>2</v>
      </c>
      <c r="GJ107">
        <v>0</v>
      </c>
      <c r="GK107">
        <f>ROUND(R107*(R12)/100,2)</f>
        <v>0</v>
      </c>
      <c r="GL107">
        <f t="shared" si="103"/>
        <v>0</v>
      </c>
      <c r="GM107">
        <f t="shared" si="104"/>
        <v>0</v>
      </c>
      <c r="GN107">
        <f t="shared" si="105"/>
        <v>0</v>
      </c>
      <c r="GO107">
        <f t="shared" si="106"/>
        <v>0</v>
      </c>
      <c r="GP107">
        <f t="shared" si="107"/>
        <v>0</v>
      </c>
      <c r="GR107">
        <v>0</v>
      </c>
      <c r="GS107">
        <v>0</v>
      </c>
      <c r="GT107">
        <v>0</v>
      </c>
      <c r="GU107" t="s">
        <v>5</v>
      </c>
      <c r="GV107">
        <f t="shared" si="108"/>
        <v>0</v>
      </c>
      <c r="GW107">
        <v>1</v>
      </c>
      <c r="GX107">
        <f t="shared" si="109"/>
        <v>0</v>
      </c>
      <c r="HA107">
        <v>0</v>
      </c>
      <c r="HB107">
        <v>0</v>
      </c>
      <c r="HC107">
        <f t="shared" si="110"/>
        <v>0</v>
      </c>
      <c r="IK107">
        <v>0</v>
      </c>
    </row>
    <row r="108" spans="1:245" x14ac:dyDescent="0.2">
      <c r="A108">
        <v>18</v>
      </c>
      <c r="B108">
        <v>1</v>
      </c>
      <c r="C108">
        <v>38</v>
      </c>
      <c r="E108" t="s">
        <v>230</v>
      </c>
      <c r="F108" t="s">
        <v>219</v>
      </c>
      <c r="G108" t="s">
        <v>220</v>
      </c>
      <c r="H108" t="s">
        <v>80</v>
      </c>
      <c r="I108">
        <f>I107*J108</f>
        <v>0</v>
      </c>
      <c r="J108">
        <v>206</v>
      </c>
      <c r="O108">
        <f t="shared" si="71"/>
        <v>0</v>
      </c>
      <c r="P108">
        <f t="shared" si="72"/>
        <v>0</v>
      </c>
      <c r="Q108">
        <f>(ROUND((ROUND(((ET108)*AV108*I108),2)*BB108),2)+ROUND((ROUND(((AE108-(EU108))*AV108*I108),2)*BS108),2))</f>
        <v>0</v>
      </c>
      <c r="R108">
        <f t="shared" si="74"/>
        <v>0</v>
      </c>
      <c r="S108">
        <f t="shared" si="75"/>
        <v>0</v>
      </c>
      <c r="T108">
        <f t="shared" si="76"/>
        <v>0</v>
      </c>
      <c r="U108">
        <f t="shared" si="77"/>
        <v>0</v>
      </c>
      <c r="V108">
        <f t="shared" si="78"/>
        <v>0</v>
      </c>
      <c r="W108">
        <f t="shared" si="79"/>
        <v>0</v>
      </c>
      <c r="X108">
        <f t="shared" si="80"/>
        <v>0</v>
      </c>
      <c r="Y108">
        <f t="shared" si="81"/>
        <v>0</v>
      </c>
      <c r="AA108">
        <v>44175501</v>
      </c>
      <c r="AB108">
        <f t="shared" si="82"/>
        <v>8.82</v>
      </c>
      <c r="AC108">
        <f t="shared" si="83"/>
        <v>8.82</v>
      </c>
      <c r="AD108">
        <f>ROUND((((ET108)-(EU108))+AE108),6)</f>
        <v>0</v>
      </c>
      <c r="AE108">
        <f>ROUND((EU108),6)</f>
        <v>0</v>
      </c>
      <c r="AF108">
        <f>ROUND((EV108),6)</f>
        <v>0</v>
      </c>
      <c r="AG108">
        <f t="shared" si="87"/>
        <v>0</v>
      </c>
      <c r="AH108">
        <f>(EW108)</f>
        <v>0</v>
      </c>
      <c r="AI108">
        <f>(EX108)</f>
        <v>0</v>
      </c>
      <c r="AJ108">
        <f t="shared" si="90"/>
        <v>0</v>
      </c>
      <c r="AK108">
        <v>8.82</v>
      </c>
      <c r="AL108">
        <v>8.82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1.081</v>
      </c>
      <c r="AZ108">
        <v>1</v>
      </c>
      <c r="BA108">
        <v>1</v>
      </c>
      <c r="BB108">
        <v>1</v>
      </c>
      <c r="BC108">
        <v>5.7</v>
      </c>
      <c r="BD108" t="s">
        <v>5</v>
      </c>
      <c r="BE108" t="s">
        <v>5</v>
      </c>
      <c r="BF108" t="s">
        <v>5</v>
      </c>
      <c r="BG108" t="s">
        <v>5</v>
      </c>
      <c r="BH108">
        <v>3</v>
      </c>
      <c r="BI108">
        <v>2</v>
      </c>
      <c r="BJ108" t="s">
        <v>221</v>
      </c>
      <c r="BM108">
        <v>318</v>
      </c>
      <c r="BN108">
        <v>0</v>
      </c>
      <c r="BO108" t="s">
        <v>219</v>
      </c>
      <c r="BP108">
        <v>1</v>
      </c>
      <c r="BQ108">
        <v>40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5</v>
      </c>
      <c r="BZ108">
        <v>0</v>
      </c>
      <c r="CA108">
        <v>0</v>
      </c>
      <c r="CE108">
        <v>30</v>
      </c>
      <c r="CF108">
        <v>0</v>
      </c>
      <c r="CG108">
        <v>0</v>
      </c>
      <c r="CM108">
        <v>0</v>
      </c>
      <c r="CN108" t="s">
        <v>5</v>
      </c>
      <c r="CO108">
        <v>0</v>
      </c>
      <c r="CP108">
        <f t="shared" si="91"/>
        <v>0</v>
      </c>
      <c r="CQ108">
        <f t="shared" si="92"/>
        <v>54.32</v>
      </c>
      <c r="CR108">
        <f>(ROUND((ROUND(((ET108)*AV108*1),2)*BB108),2)+ROUND((ROUND(((AE108-(EU108))*AV108*1),2)*BS108),2))</f>
        <v>0</v>
      </c>
      <c r="CS108">
        <f t="shared" si="94"/>
        <v>0</v>
      </c>
      <c r="CT108">
        <f t="shared" si="95"/>
        <v>0</v>
      </c>
      <c r="CU108">
        <f t="shared" si="96"/>
        <v>0</v>
      </c>
      <c r="CV108">
        <f t="shared" si="97"/>
        <v>0</v>
      </c>
      <c r="CW108">
        <f t="shared" si="98"/>
        <v>0</v>
      </c>
      <c r="CX108">
        <f t="shared" si="99"/>
        <v>0</v>
      </c>
      <c r="CY108">
        <f t="shared" si="100"/>
        <v>0</v>
      </c>
      <c r="CZ108">
        <f t="shared" si="101"/>
        <v>0</v>
      </c>
      <c r="DC108" t="s">
        <v>5</v>
      </c>
      <c r="DD108" t="s">
        <v>5</v>
      </c>
      <c r="DE108" t="s">
        <v>5</v>
      </c>
      <c r="DF108" t="s">
        <v>5</v>
      </c>
      <c r="DG108" t="s">
        <v>5</v>
      </c>
      <c r="DH108" t="s">
        <v>5</v>
      </c>
      <c r="DI108" t="s">
        <v>5</v>
      </c>
      <c r="DJ108" t="s">
        <v>5</v>
      </c>
      <c r="DK108" t="s">
        <v>5</v>
      </c>
      <c r="DL108" t="s">
        <v>5</v>
      </c>
      <c r="DM108" t="s">
        <v>5</v>
      </c>
      <c r="DN108">
        <v>112</v>
      </c>
      <c r="DO108">
        <v>70</v>
      </c>
      <c r="DP108">
        <v>1.0669999999999999</v>
      </c>
      <c r="DQ108">
        <v>1.081</v>
      </c>
      <c r="DU108">
        <v>1010</v>
      </c>
      <c r="DV108" t="s">
        <v>80</v>
      </c>
      <c r="DW108" t="s">
        <v>80</v>
      </c>
      <c r="DX108">
        <v>1</v>
      </c>
      <c r="EE108">
        <v>44064137</v>
      </c>
      <c r="EF108">
        <v>40</v>
      </c>
      <c r="EG108" t="s">
        <v>172</v>
      </c>
      <c r="EH108">
        <v>0</v>
      </c>
      <c r="EI108" t="s">
        <v>5</v>
      </c>
      <c r="EJ108">
        <v>2</v>
      </c>
      <c r="EK108">
        <v>318</v>
      </c>
      <c r="EL108" t="s">
        <v>173</v>
      </c>
      <c r="EM108" t="s">
        <v>174</v>
      </c>
      <c r="EO108" t="s">
        <v>5</v>
      </c>
      <c r="EQ108">
        <v>0</v>
      </c>
      <c r="ER108">
        <v>8.82</v>
      </c>
      <c r="ES108">
        <v>8.82</v>
      </c>
      <c r="ET108">
        <v>0</v>
      </c>
      <c r="EU108">
        <v>0</v>
      </c>
      <c r="EV108">
        <v>0</v>
      </c>
      <c r="EW108">
        <v>0</v>
      </c>
      <c r="EX108">
        <v>0</v>
      </c>
      <c r="FQ108">
        <v>0</v>
      </c>
      <c r="FR108">
        <f t="shared" si="102"/>
        <v>0</v>
      </c>
      <c r="FS108">
        <v>0</v>
      </c>
      <c r="FX108">
        <v>112</v>
      </c>
      <c r="FY108">
        <v>70</v>
      </c>
      <c r="GA108" t="s">
        <v>5</v>
      </c>
      <c r="GD108">
        <v>0</v>
      </c>
      <c r="GF108">
        <v>-1494779997</v>
      </c>
      <c r="GG108">
        <v>2</v>
      </c>
      <c r="GH108">
        <v>1</v>
      </c>
      <c r="GI108">
        <v>2</v>
      </c>
      <c r="GJ108">
        <v>0</v>
      </c>
      <c r="GK108">
        <f>ROUND(R108*(R12)/100,2)</f>
        <v>0</v>
      </c>
      <c r="GL108">
        <f t="shared" si="103"/>
        <v>0</v>
      </c>
      <c r="GM108">
        <f t="shared" si="104"/>
        <v>0</v>
      </c>
      <c r="GN108">
        <f t="shared" si="105"/>
        <v>0</v>
      </c>
      <c r="GO108">
        <f t="shared" si="106"/>
        <v>0</v>
      </c>
      <c r="GP108">
        <f t="shared" si="107"/>
        <v>0</v>
      </c>
      <c r="GR108">
        <v>0</v>
      </c>
      <c r="GS108">
        <v>0</v>
      </c>
      <c r="GT108">
        <v>0</v>
      </c>
      <c r="GU108" t="s">
        <v>5</v>
      </c>
      <c r="GV108">
        <f t="shared" si="108"/>
        <v>0</v>
      </c>
      <c r="GW108">
        <v>1</v>
      </c>
      <c r="GX108">
        <f t="shared" si="109"/>
        <v>0</v>
      </c>
      <c r="HA108">
        <v>0</v>
      </c>
      <c r="HB108">
        <v>0</v>
      </c>
      <c r="HC108">
        <f t="shared" si="110"/>
        <v>0</v>
      </c>
      <c r="IK108">
        <v>0</v>
      </c>
    </row>
    <row r="109" spans="1:245" x14ac:dyDescent="0.2">
      <c r="A109">
        <v>17</v>
      </c>
      <c r="B109">
        <v>1</v>
      </c>
      <c r="C109">
        <f>ROW(SmtRes!A39)</f>
        <v>39</v>
      </c>
      <c r="D109">
        <f>ROW(EtalonRes!A48)</f>
        <v>48</v>
      </c>
      <c r="E109" t="s">
        <v>231</v>
      </c>
      <c r="F109" t="s">
        <v>232</v>
      </c>
      <c r="G109" t="s">
        <v>233</v>
      </c>
      <c r="H109" t="s">
        <v>234</v>
      </c>
      <c r="I109">
        <v>0</v>
      </c>
      <c r="J109">
        <v>0</v>
      </c>
      <c r="O109">
        <f t="shared" si="71"/>
        <v>0</v>
      </c>
      <c r="P109">
        <f t="shared" si="72"/>
        <v>0</v>
      </c>
      <c r="Q109">
        <f t="shared" ref="Q109:Q114" si="111">(ROUND((ROUND((((ET109*1.2*1.15))*AV109*I109),2)*BB109),2)+ROUND((ROUND(((AE109-((EU109*1.2*1.15)))*AV109*I109),2)*BS109),2))</f>
        <v>0</v>
      </c>
      <c r="R109">
        <f t="shared" si="74"/>
        <v>0</v>
      </c>
      <c r="S109">
        <f t="shared" si="75"/>
        <v>0</v>
      </c>
      <c r="T109">
        <f t="shared" si="76"/>
        <v>0</v>
      </c>
      <c r="U109">
        <f t="shared" si="77"/>
        <v>0</v>
      </c>
      <c r="V109">
        <f t="shared" si="78"/>
        <v>0</v>
      </c>
      <c r="W109">
        <f t="shared" si="79"/>
        <v>0</v>
      </c>
      <c r="X109">
        <f t="shared" si="80"/>
        <v>0</v>
      </c>
      <c r="Y109">
        <f t="shared" si="81"/>
        <v>0</v>
      </c>
      <c r="AA109">
        <v>44175501</v>
      </c>
      <c r="AB109">
        <f t="shared" si="82"/>
        <v>428.09640000000002</v>
      </c>
      <c r="AC109">
        <f t="shared" si="83"/>
        <v>61.32</v>
      </c>
      <c r="AD109">
        <f t="shared" ref="AD109:AD114" si="112">ROUND(((((ET109*1.2*1.15))-((EU109*1.2*1.15)))+AE109),6)</f>
        <v>73.885199999999998</v>
      </c>
      <c r="AE109">
        <f t="shared" ref="AE109:AF114" si="113">ROUND(((EU109*1.2*1.15)),6)</f>
        <v>6.4997999999999996</v>
      </c>
      <c r="AF109">
        <f t="shared" si="113"/>
        <v>292.89120000000003</v>
      </c>
      <c r="AG109">
        <f t="shared" si="87"/>
        <v>0</v>
      </c>
      <c r="AH109">
        <f t="shared" ref="AH109:AI114" si="114">((EW109*1.2*1.15))</f>
        <v>22.273199999999996</v>
      </c>
      <c r="AI109">
        <f t="shared" si="114"/>
        <v>0</v>
      </c>
      <c r="AJ109">
        <f t="shared" si="90"/>
        <v>0</v>
      </c>
      <c r="AK109">
        <v>327.10000000000002</v>
      </c>
      <c r="AL109">
        <v>61.32</v>
      </c>
      <c r="AM109">
        <v>53.54</v>
      </c>
      <c r="AN109">
        <v>4.71</v>
      </c>
      <c r="AO109">
        <v>212.24</v>
      </c>
      <c r="AP109">
        <v>0</v>
      </c>
      <c r="AQ109">
        <v>16.14</v>
      </c>
      <c r="AR109">
        <v>0</v>
      </c>
      <c r="AS109">
        <v>0</v>
      </c>
      <c r="AT109">
        <v>90</v>
      </c>
      <c r="AU109">
        <v>43</v>
      </c>
      <c r="AV109">
        <v>1.0469999999999999</v>
      </c>
      <c r="AW109">
        <v>1</v>
      </c>
      <c r="AZ109">
        <v>1</v>
      </c>
      <c r="BA109">
        <v>21.43</v>
      </c>
      <c r="BB109">
        <v>6.68</v>
      </c>
      <c r="BC109">
        <v>5.36</v>
      </c>
      <c r="BD109" t="s">
        <v>5</v>
      </c>
      <c r="BE109" t="s">
        <v>5</v>
      </c>
      <c r="BF109" t="s">
        <v>5</v>
      </c>
      <c r="BG109" t="s">
        <v>5</v>
      </c>
      <c r="BH109">
        <v>0</v>
      </c>
      <c r="BI109">
        <v>2</v>
      </c>
      <c r="BJ109" t="s">
        <v>235</v>
      </c>
      <c r="BM109">
        <v>1608</v>
      </c>
      <c r="BN109">
        <v>0</v>
      </c>
      <c r="BO109" t="s">
        <v>232</v>
      </c>
      <c r="BP109">
        <v>1</v>
      </c>
      <c r="BQ109">
        <v>40</v>
      </c>
      <c r="BR109">
        <v>0</v>
      </c>
      <c r="BS109">
        <v>21.43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5</v>
      </c>
      <c r="BZ109">
        <v>90</v>
      </c>
      <c r="CA109">
        <v>43</v>
      </c>
      <c r="CE109">
        <v>30</v>
      </c>
      <c r="CF109">
        <v>0</v>
      </c>
      <c r="CG109">
        <v>0</v>
      </c>
      <c r="CM109">
        <v>0</v>
      </c>
      <c r="CN109" t="s">
        <v>5</v>
      </c>
      <c r="CO109">
        <v>0</v>
      </c>
      <c r="CP109">
        <f t="shared" si="91"/>
        <v>0</v>
      </c>
      <c r="CQ109">
        <f t="shared" si="92"/>
        <v>328.68</v>
      </c>
      <c r="CR109">
        <f t="shared" ref="CR109:CR114" si="115">(ROUND((ROUND((((ET109*1.2*1.15))*AV109*1),2)*BB109),2)+ROUND((ROUND(((AE109-((EU109*1.2*1.15)))*AV109*1),2)*BS109),2))</f>
        <v>516.76</v>
      </c>
      <c r="CS109">
        <f t="shared" si="94"/>
        <v>145.94</v>
      </c>
      <c r="CT109">
        <f t="shared" si="95"/>
        <v>6571.72</v>
      </c>
      <c r="CU109">
        <f t="shared" si="96"/>
        <v>0</v>
      </c>
      <c r="CV109">
        <f t="shared" si="97"/>
        <v>23.320040399999993</v>
      </c>
      <c r="CW109">
        <f t="shared" si="98"/>
        <v>0</v>
      </c>
      <c r="CX109">
        <f t="shared" si="99"/>
        <v>0</v>
      </c>
      <c r="CY109">
        <f t="shared" si="100"/>
        <v>0</v>
      </c>
      <c r="CZ109">
        <f t="shared" si="101"/>
        <v>0</v>
      </c>
      <c r="DC109" t="s">
        <v>5</v>
      </c>
      <c r="DD109" t="s">
        <v>5</v>
      </c>
      <c r="DE109" t="s">
        <v>30</v>
      </c>
      <c r="DF109" t="s">
        <v>30</v>
      </c>
      <c r="DG109" t="s">
        <v>30</v>
      </c>
      <c r="DH109" t="s">
        <v>5</v>
      </c>
      <c r="DI109" t="s">
        <v>30</v>
      </c>
      <c r="DJ109" t="s">
        <v>30</v>
      </c>
      <c r="DK109" t="s">
        <v>5</v>
      </c>
      <c r="DL109" t="s">
        <v>5</v>
      </c>
      <c r="DM109" t="s">
        <v>5</v>
      </c>
      <c r="DN109">
        <v>112</v>
      </c>
      <c r="DO109">
        <v>70</v>
      </c>
      <c r="DP109">
        <v>1.0669999999999999</v>
      </c>
      <c r="DQ109">
        <v>1.081</v>
      </c>
      <c r="DU109">
        <v>1013</v>
      </c>
      <c r="DV109" t="s">
        <v>234</v>
      </c>
      <c r="DW109" t="s">
        <v>234</v>
      </c>
      <c r="DX109">
        <v>1</v>
      </c>
      <c r="EE109">
        <v>44065427</v>
      </c>
      <c r="EF109">
        <v>40</v>
      </c>
      <c r="EG109" t="s">
        <v>172</v>
      </c>
      <c r="EH109">
        <v>0</v>
      </c>
      <c r="EI109" t="s">
        <v>5</v>
      </c>
      <c r="EJ109">
        <v>2</v>
      </c>
      <c r="EK109">
        <v>1608</v>
      </c>
      <c r="EL109" t="s">
        <v>183</v>
      </c>
      <c r="EM109" t="s">
        <v>184</v>
      </c>
      <c r="EO109" t="s">
        <v>5</v>
      </c>
      <c r="EQ109">
        <v>131072</v>
      </c>
      <c r="ER109">
        <v>327.10000000000002</v>
      </c>
      <c r="ES109">
        <v>61.32</v>
      </c>
      <c r="ET109">
        <v>53.54</v>
      </c>
      <c r="EU109">
        <v>4.71</v>
      </c>
      <c r="EV109">
        <v>212.24</v>
      </c>
      <c r="EW109">
        <v>16.14</v>
      </c>
      <c r="EX109">
        <v>0</v>
      </c>
      <c r="EY109">
        <v>0</v>
      </c>
      <c r="FQ109">
        <v>0</v>
      </c>
      <c r="FR109">
        <f t="shared" si="102"/>
        <v>0</v>
      </c>
      <c r="FS109">
        <v>0</v>
      </c>
      <c r="FX109">
        <v>112</v>
      </c>
      <c r="FY109">
        <v>70</v>
      </c>
      <c r="GA109" t="s">
        <v>5</v>
      </c>
      <c r="GD109">
        <v>0</v>
      </c>
      <c r="GF109">
        <v>729831188</v>
      </c>
      <c r="GG109">
        <v>2</v>
      </c>
      <c r="GH109">
        <v>1</v>
      </c>
      <c r="GI109">
        <v>2</v>
      </c>
      <c r="GJ109">
        <v>0</v>
      </c>
      <c r="GK109">
        <f>ROUND(R109*(R12)/100,2)</f>
        <v>0</v>
      </c>
      <c r="GL109">
        <f t="shared" si="103"/>
        <v>0</v>
      </c>
      <c r="GM109">
        <f t="shared" si="104"/>
        <v>0</v>
      </c>
      <c r="GN109">
        <f t="shared" si="105"/>
        <v>0</v>
      </c>
      <c r="GO109">
        <f t="shared" si="106"/>
        <v>0</v>
      </c>
      <c r="GP109">
        <f t="shared" si="107"/>
        <v>0</v>
      </c>
      <c r="GR109">
        <v>0</v>
      </c>
      <c r="GS109">
        <v>0</v>
      </c>
      <c r="GT109">
        <v>0</v>
      </c>
      <c r="GU109" t="s">
        <v>5</v>
      </c>
      <c r="GV109">
        <f t="shared" si="108"/>
        <v>0</v>
      </c>
      <c r="GW109">
        <v>1</v>
      </c>
      <c r="GX109">
        <f t="shared" si="109"/>
        <v>0</v>
      </c>
      <c r="HA109">
        <v>0</v>
      </c>
      <c r="HB109">
        <v>0</v>
      </c>
      <c r="HC109">
        <f t="shared" si="110"/>
        <v>0</v>
      </c>
      <c r="IK109">
        <v>0</v>
      </c>
    </row>
    <row r="110" spans="1:245" x14ac:dyDescent="0.2">
      <c r="A110">
        <v>17</v>
      </c>
      <c r="B110">
        <v>1</v>
      </c>
      <c r="C110">
        <f>ROW(SmtRes!A40)</f>
        <v>40</v>
      </c>
      <c r="D110">
        <f>ROW(EtalonRes!A50)</f>
        <v>50</v>
      </c>
      <c r="E110" t="s">
        <v>236</v>
      </c>
      <c r="F110" t="s">
        <v>232</v>
      </c>
      <c r="G110" t="s">
        <v>233</v>
      </c>
      <c r="H110" t="s">
        <v>234</v>
      </c>
      <c r="I110">
        <v>18</v>
      </c>
      <c r="J110">
        <v>0</v>
      </c>
      <c r="O110">
        <f t="shared" si="71"/>
        <v>133507.60999999999</v>
      </c>
      <c r="P110">
        <f t="shared" si="72"/>
        <v>5916.15</v>
      </c>
      <c r="Q110">
        <f t="shared" si="111"/>
        <v>9301.5</v>
      </c>
      <c r="R110">
        <f t="shared" si="74"/>
        <v>2625.18</v>
      </c>
      <c r="S110">
        <f t="shared" si="75"/>
        <v>118289.96</v>
      </c>
      <c r="T110">
        <f t="shared" si="76"/>
        <v>0</v>
      </c>
      <c r="U110">
        <f t="shared" si="77"/>
        <v>419.76072719999985</v>
      </c>
      <c r="V110">
        <f t="shared" si="78"/>
        <v>0</v>
      </c>
      <c r="W110">
        <f t="shared" si="79"/>
        <v>0</v>
      </c>
      <c r="X110">
        <f t="shared" si="80"/>
        <v>106460.96</v>
      </c>
      <c r="Y110">
        <f t="shared" si="81"/>
        <v>50864.68</v>
      </c>
      <c r="AA110">
        <v>44175501</v>
      </c>
      <c r="AB110">
        <f t="shared" si="82"/>
        <v>428.09640000000002</v>
      </c>
      <c r="AC110">
        <f t="shared" si="83"/>
        <v>61.32</v>
      </c>
      <c r="AD110">
        <f t="shared" si="112"/>
        <v>73.885199999999998</v>
      </c>
      <c r="AE110">
        <f t="shared" si="113"/>
        <v>6.4997999999999996</v>
      </c>
      <c r="AF110">
        <f t="shared" si="113"/>
        <v>292.89120000000003</v>
      </c>
      <c r="AG110">
        <f t="shared" si="87"/>
        <v>0</v>
      </c>
      <c r="AH110">
        <f t="shared" si="114"/>
        <v>22.273199999999996</v>
      </c>
      <c r="AI110">
        <f t="shared" si="114"/>
        <v>0</v>
      </c>
      <c r="AJ110">
        <f t="shared" si="90"/>
        <v>0</v>
      </c>
      <c r="AK110">
        <v>327.10000000000002</v>
      </c>
      <c r="AL110">
        <v>61.32</v>
      </c>
      <c r="AM110">
        <v>53.54</v>
      </c>
      <c r="AN110">
        <v>4.71</v>
      </c>
      <c r="AO110">
        <v>212.24</v>
      </c>
      <c r="AP110">
        <v>0</v>
      </c>
      <c r="AQ110">
        <v>16.14</v>
      </c>
      <c r="AR110">
        <v>0</v>
      </c>
      <c r="AS110">
        <v>0</v>
      </c>
      <c r="AT110">
        <v>90</v>
      </c>
      <c r="AU110">
        <v>43</v>
      </c>
      <c r="AV110">
        <v>1.0469999999999999</v>
      </c>
      <c r="AW110">
        <v>1</v>
      </c>
      <c r="AZ110">
        <v>1</v>
      </c>
      <c r="BA110">
        <v>21.43</v>
      </c>
      <c r="BB110">
        <v>6.68</v>
      </c>
      <c r="BC110">
        <v>5.36</v>
      </c>
      <c r="BD110" t="s">
        <v>5</v>
      </c>
      <c r="BE110" t="s">
        <v>5</v>
      </c>
      <c r="BF110" t="s">
        <v>5</v>
      </c>
      <c r="BG110" t="s">
        <v>5</v>
      </c>
      <c r="BH110">
        <v>0</v>
      </c>
      <c r="BI110">
        <v>2</v>
      </c>
      <c r="BJ110" t="s">
        <v>235</v>
      </c>
      <c r="BM110">
        <v>1608</v>
      </c>
      <c r="BN110">
        <v>0</v>
      </c>
      <c r="BO110" t="s">
        <v>232</v>
      </c>
      <c r="BP110">
        <v>1</v>
      </c>
      <c r="BQ110">
        <v>40</v>
      </c>
      <c r="BR110">
        <v>0</v>
      </c>
      <c r="BS110">
        <v>21.43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5</v>
      </c>
      <c r="BZ110">
        <v>90</v>
      </c>
      <c r="CA110">
        <v>43</v>
      </c>
      <c r="CE110">
        <v>30</v>
      </c>
      <c r="CF110">
        <v>0</v>
      </c>
      <c r="CG110">
        <v>0</v>
      </c>
      <c r="CM110">
        <v>0</v>
      </c>
      <c r="CN110" t="s">
        <v>5</v>
      </c>
      <c r="CO110">
        <v>0</v>
      </c>
      <c r="CP110">
        <f t="shared" si="91"/>
        <v>133507.61000000002</v>
      </c>
      <c r="CQ110">
        <f t="shared" si="92"/>
        <v>328.68</v>
      </c>
      <c r="CR110">
        <f t="shared" si="115"/>
        <v>516.76</v>
      </c>
      <c r="CS110">
        <f t="shared" si="94"/>
        <v>145.94</v>
      </c>
      <c r="CT110">
        <f t="shared" si="95"/>
        <v>6571.72</v>
      </c>
      <c r="CU110">
        <f t="shared" si="96"/>
        <v>0</v>
      </c>
      <c r="CV110">
        <f t="shared" si="97"/>
        <v>23.320040399999993</v>
      </c>
      <c r="CW110">
        <f t="shared" si="98"/>
        <v>0</v>
      </c>
      <c r="CX110">
        <f t="shared" si="99"/>
        <v>0</v>
      </c>
      <c r="CY110">
        <f t="shared" si="100"/>
        <v>106460.96400000001</v>
      </c>
      <c r="CZ110">
        <f t="shared" si="101"/>
        <v>50864.682800000002</v>
      </c>
      <c r="DC110" t="s">
        <v>5</v>
      </c>
      <c r="DD110" t="s">
        <v>5</v>
      </c>
      <c r="DE110" t="s">
        <v>30</v>
      </c>
      <c r="DF110" t="s">
        <v>30</v>
      </c>
      <c r="DG110" t="s">
        <v>30</v>
      </c>
      <c r="DH110" t="s">
        <v>5</v>
      </c>
      <c r="DI110" t="s">
        <v>30</v>
      </c>
      <c r="DJ110" t="s">
        <v>30</v>
      </c>
      <c r="DK110" t="s">
        <v>5</v>
      </c>
      <c r="DL110" t="s">
        <v>5</v>
      </c>
      <c r="DM110" t="s">
        <v>5</v>
      </c>
      <c r="DN110">
        <v>112</v>
      </c>
      <c r="DO110">
        <v>70</v>
      </c>
      <c r="DP110">
        <v>1.0669999999999999</v>
      </c>
      <c r="DQ110">
        <v>1.081</v>
      </c>
      <c r="DU110">
        <v>1013</v>
      </c>
      <c r="DV110" t="s">
        <v>234</v>
      </c>
      <c r="DW110" t="s">
        <v>234</v>
      </c>
      <c r="DX110">
        <v>1</v>
      </c>
      <c r="EE110">
        <v>44065427</v>
      </c>
      <c r="EF110">
        <v>40</v>
      </c>
      <c r="EG110" t="s">
        <v>172</v>
      </c>
      <c r="EH110">
        <v>0</v>
      </c>
      <c r="EI110" t="s">
        <v>5</v>
      </c>
      <c r="EJ110">
        <v>2</v>
      </c>
      <c r="EK110">
        <v>1608</v>
      </c>
      <c r="EL110" t="s">
        <v>183</v>
      </c>
      <c r="EM110" t="s">
        <v>184</v>
      </c>
      <c r="EO110" t="s">
        <v>5</v>
      </c>
      <c r="EQ110">
        <v>131072</v>
      </c>
      <c r="ER110">
        <v>327.10000000000002</v>
      </c>
      <c r="ES110">
        <v>61.32</v>
      </c>
      <c r="ET110">
        <v>53.54</v>
      </c>
      <c r="EU110">
        <v>4.71</v>
      </c>
      <c r="EV110">
        <v>212.24</v>
      </c>
      <c r="EW110">
        <v>16.14</v>
      </c>
      <c r="EX110">
        <v>0</v>
      </c>
      <c r="EY110">
        <v>0</v>
      </c>
      <c r="FQ110">
        <v>0</v>
      </c>
      <c r="FR110">
        <f t="shared" si="102"/>
        <v>0</v>
      </c>
      <c r="FS110">
        <v>0</v>
      </c>
      <c r="FX110">
        <v>112</v>
      </c>
      <c r="FY110">
        <v>70</v>
      </c>
      <c r="GA110" t="s">
        <v>5</v>
      </c>
      <c r="GD110">
        <v>0</v>
      </c>
      <c r="GF110">
        <v>729831188</v>
      </c>
      <c r="GG110">
        <v>2</v>
      </c>
      <c r="GH110">
        <v>1</v>
      </c>
      <c r="GI110">
        <v>2</v>
      </c>
      <c r="GJ110">
        <v>0</v>
      </c>
      <c r="GK110">
        <f>ROUND(R110*(R12)/100,2)</f>
        <v>4121.53</v>
      </c>
      <c r="GL110">
        <f t="shared" si="103"/>
        <v>0</v>
      </c>
      <c r="GM110">
        <f t="shared" si="104"/>
        <v>294954.78000000003</v>
      </c>
      <c r="GN110">
        <f t="shared" si="105"/>
        <v>0</v>
      </c>
      <c r="GO110">
        <f t="shared" si="106"/>
        <v>294954.78000000003</v>
      </c>
      <c r="GP110">
        <f t="shared" si="107"/>
        <v>0</v>
      </c>
      <c r="GR110">
        <v>0</v>
      </c>
      <c r="GS110">
        <v>0</v>
      </c>
      <c r="GT110">
        <v>0</v>
      </c>
      <c r="GU110" t="s">
        <v>5</v>
      </c>
      <c r="GV110">
        <f t="shared" si="108"/>
        <v>0</v>
      </c>
      <c r="GW110">
        <v>1</v>
      </c>
      <c r="GX110">
        <f t="shared" si="109"/>
        <v>0</v>
      </c>
      <c r="HA110">
        <v>0</v>
      </c>
      <c r="HB110">
        <v>0</v>
      </c>
      <c r="HC110">
        <f t="shared" si="110"/>
        <v>0</v>
      </c>
      <c r="IK110">
        <v>0</v>
      </c>
    </row>
    <row r="111" spans="1:245" x14ac:dyDescent="0.2">
      <c r="A111">
        <v>17</v>
      </c>
      <c r="B111">
        <v>1</v>
      </c>
      <c r="E111" t="s">
        <v>237</v>
      </c>
      <c r="F111" t="s">
        <v>238</v>
      </c>
      <c r="G111" t="s">
        <v>239</v>
      </c>
      <c r="H111" t="s">
        <v>240</v>
      </c>
      <c r="I111">
        <v>18</v>
      </c>
      <c r="J111">
        <v>0</v>
      </c>
      <c r="O111">
        <f t="shared" si="71"/>
        <v>142807.07</v>
      </c>
      <c r="P111">
        <f t="shared" si="72"/>
        <v>142807.07</v>
      </c>
      <c r="Q111">
        <f t="shared" si="111"/>
        <v>0</v>
      </c>
      <c r="R111">
        <f t="shared" si="74"/>
        <v>0</v>
      </c>
      <c r="S111">
        <f t="shared" si="75"/>
        <v>0</v>
      </c>
      <c r="T111">
        <f t="shared" si="76"/>
        <v>0</v>
      </c>
      <c r="U111">
        <f t="shared" si="77"/>
        <v>0</v>
      </c>
      <c r="V111">
        <f t="shared" si="78"/>
        <v>0</v>
      </c>
      <c r="W111">
        <f t="shared" si="79"/>
        <v>0</v>
      </c>
      <c r="X111">
        <f t="shared" si="80"/>
        <v>0</v>
      </c>
      <c r="Y111">
        <f t="shared" si="81"/>
        <v>0</v>
      </c>
      <c r="AA111">
        <v>44175501</v>
      </c>
      <c r="AB111">
        <f t="shared" si="82"/>
        <v>1480.173</v>
      </c>
      <c r="AC111">
        <f>ROUND(((ES111*1.02)),6)</f>
        <v>1480.173</v>
      </c>
      <c r="AD111">
        <f t="shared" si="112"/>
        <v>0</v>
      </c>
      <c r="AE111">
        <f t="shared" si="113"/>
        <v>0</v>
      </c>
      <c r="AF111">
        <f t="shared" si="113"/>
        <v>0</v>
      </c>
      <c r="AG111">
        <f t="shared" si="87"/>
        <v>0</v>
      </c>
      <c r="AH111">
        <f t="shared" si="114"/>
        <v>0</v>
      </c>
      <c r="AI111">
        <f t="shared" si="114"/>
        <v>0</v>
      </c>
      <c r="AJ111">
        <f t="shared" si="90"/>
        <v>0</v>
      </c>
      <c r="AK111">
        <v>1451.15</v>
      </c>
      <c r="AL111">
        <v>1451.15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5.36</v>
      </c>
      <c r="BD111" t="s">
        <v>5</v>
      </c>
      <c r="BE111" t="s">
        <v>5</v>
      </c>
      <c r="BF111" t="s">
        <v>5</v>
      </c>
      <c r="BG111" t="s">
        <v>5</v>
      </c>
      <c r="BH111">
        <v>3</v>
      </c>
      <c r="BI111">
        <v>1</v>
      </c>
      <c r="BJ111" t="s">
        <v>5</v>
      </c>
      <c r="BM111">
        <v>400002</v>
      </c>
      <c r="BN111">
        <v>0</v>
      </c>
      <c r="BO111" t="s">
        <v>5</v>
      </c>
      <c r="BP111">
        <v>0</v>
      </c>
      <c r="BQ111">
        <v>202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5</v>
      </c>
      <c r="BZ111">
        <v>0</v>
      </c>
      <c r="CA111">
        <v>0</v>
      </c>
      <c r="CE111">
        <v>30</v>
      </c>
      <c r="CF111">
        <v>0</v>
      </c>
      <c r="CG111">
        <v>0</v>
      </c>
      <c r="CM111">
        <v>0</v>
      </c>
      <c r="CN111" t="s">
        <v>5</v>
      </c>
      <c r="CO111">
        <v>0</v>
      </c>
      <c r="CP111">
        <f t="shared" si="91"/>
        <v>142807.07</v>
      </c>
      <c r="CQ111">
        <f t="shared" si="92"/>
        <v>7933.71</v>
      </c>
      <c r="CR111">
        <f t="shared" si="115"/>
        <v>0</v>
      </c>
      <c r="CS111">
        <f t="shared" si="94"/>
        <v>0</v>
      </c>
      <c r="CT111">
        <f t="shared" si="95"/>
        <v>0</v>
      </c>
      <c r="CU111">
        <f t="shared" si="96"/>
        <v>0</v>
      </c>
      <c r="CV111">
        <f t="shared" si="97"/>
        <v>0</v>
      </c>
      <c r="CW111">
        <f t="shared" si="98"/>
        <v>0</v>
      </c>
      <c r="CX111">
        <f t="shared" si="99"/>
        <v>0</v>
      </c>
      <c r="CY111">
        <f t="shared" si="100"/>
        <v>0</v>
      </c>
      <c r="CZ111">
        <f t="shared" si="101"/>
        <v>0</v>
      </c>
      <c r="DC111" t="s">
        <v>5</v>
      </c>
      <c r="DD111" t="s">
        <v>241</v>
      </c>
      <c r="DE111" t="s">
        <v>30</v>
      </c>
      <c r="DF111" t="s">
        <v>30</v>
      </c>
      <c r="DG111" t="s">
        <v>30</v>
      </c>
      <c r="DH111" t="s">
        <v>5</v>
      </c>
      <c r="DI111" t="s">
        <v>30</v>
      </c>
      <c r="DJ111" t="s">
        <v>30</v>
      </c>
      <c r="DK111" t="s">
        <v>5</v>
      </c>
      <c r="DL111" t="s">
        <v>5</v>
      </c>
      <c r="DM111" t="s">
        <v>5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240</v>
      </c>
      <c r="DW111" t="s">
        <v>240</v>
      </c>
      <c r="DX111">
        <v>1</v>
      </c>
      <c r="EE111">
        <v>44065786</v>
      </c>
      <c r="EF111">
        <v>202</v>
      </c>
      <c r="EG111" t="s">
        <v>242</v>
      </c>
      <c r="EH111">
        <v>0</v>
      </c>
      <c r="EI111" t="s">
        <v>5</v>
      </c>
      <c r="EJ111">
        <v>1</v>
      </c>
      <c r="EK111">
        <v>400002</v>
      </c>
      <c r="EL111" t="s">
        <v>243</v>
      </c>
      <c r="EM111" t="s">
        <v>242</v>
      </c>
      <c r="EO111" t="s">
        <v>5</v>
      </c>
      <c r="EQ111">
        <v>131072</v>
      </c>
      <c r="ER111">
        <v>1451.15</v>
      </c>
      <c r="ES111">
        <v>1451.15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5</v>
      </c>
      <c r="FC111">
        <v>1</v>
      </c>
      <c r="FD111">
        <v>18</v>
      </c>
      <c r="FF111">
        <v>9333.7999999999993</v>
      </c>
      <c r="FQ111">
        <v>0</v>
      </c>
      <c r="FR111">
        <f t="shared" si="102"/>
        <v>0</v>
      </c>
      <c r="FS111">
        <v>0</v>
      </c>
      <c r="FX111">
        <v>0</v>
      </c>
      <c r="FY111">
        <v>0</v>
      </c>
      <c r="GA111" t="s">
        <v>244</v>
      </c>
      <c r="GD111">
        <v>0</v>
      </c>
      <c r="GF111">
        <v>-1841569252</v>
      </c>
      <c r="GG111">
        <v>2</v>
      </c>
      <c r="GH111">
        <v>3</v>
      </c>
      <c r="GI111">
        <v>3</v>
      </c>
      <c r="GJ111">
        <v>0</v>
      </c>
      <c r="GK111">
        <f>ROUND(R111*(R12)/100,2)</f>
        <v>0</v>
      </c>
      <c r="GL111">
        <f t="shared" si="103"/>
        <v>0</v>
      </c>
      <c r="GM111">
        <f t="shared" si="104"/>
        <v>142807.07</v>
      </c>
      <c r="GN111">
        <f t="shared" si="105"/>
        <v>142807.07</v>
      </c>
      <c r="GO111">
        <f t="shared" si="106"/>
        <v>0</v>
      </c>
      <c r="GP111">
        <f t="shared" si="107"/>
        <v>0</v>
      </c>
      <c r="GR111">
        <v>1</v>
      </c>
      <c r="GS111">
        <v>1</v>
      </c>
      <c r="GT111">
        <v>0</v>
      </c>
      <c r="GU111" t="s">
        <v>5</v>
      </c>
      <c r="GV111">
        <f t="shared" si="108"/>
        <v>0</v>
      </c>
      <c r="GW111">
        <v>1</v>
      </c>
      <c r="GX111">
        <f t="shared" si="109"/>
        <v>0</v>
      </c>
      <c r="HA111">
        <v>0</v>
      </c>
      <c r="HB111">
        <v>0</v>
      </c>
      <c r="HC111">
        <f t="shared" si="110"/>
        <v>0</v>
      </c>
      <c r="IK111">
        <v>0</v>
      </c>
    </row>
    <row r="112" spans="1:245" x14ac:dyDescent="0.2">
      <c r="A112">
        <v>17</v>
      </c>
      <c r="B112">
        <v>1</v>
      </c>
      <c r="C112">
        <f>ROW(SmtRes!A41)</f>
        <v>41</v>
      </c>
      <c r="D112">
        <f>ROW(EtalonRes!A52)</f>
        <v>52</v>
      </c>
      <c r="E112" t="s">
        <v>245</v>
      </c>
      <c r="F112" t="s">
        <v>246</v>
      </c>
      <c r="G112" t="s">
        <v>247</v>
      </c>
      <c r="H112" t="s">
        <v>234</v>
      </c>
      <c r="I112">
        <v>0</v>
      </c>
      <c r="J112">
        <v>0</v>
      </c>
      <c r="O112">
        <f t="shared" si="71"/>
        <v>0</v>
      </c>
      <c r="P112">
        <f t="shared" si="72"/>
        <v>0</v>
      </c>
      <c r="Q112">
        <f t="shared" si="111"/>
        <v>0</v>
      </c>
      <c r="R112">
        <f t="shared" si="74"/>
        <v>0</v>
      </c>
      <c r="S112">
        <f t="shared" si="75"/>
        <v>0</v>
      </c>
      <c r="T112">
        <f t="shared" si="76"/>
        <v>0</v>
      </c>
      <c r="U112">
        <f t="shared" si="77"/>
        <v>0</v>
      </c>
      <c r="V112">
        <f t="shared" si="78"/>
        <v>0</v>
      </c>
      <c r="W112">
        <f t="shared" si="79"/>
        <v>0</v>
      </c>
      <c r="X112">
        <f t="shared" si="80"/>
        <v>0</v>
      </c>
      <c r="Y112">
        <f t="shared" si="81"/>
        <v>0</v>
      </c>
      <c r="AA112">
        <v>44175501</v>
      </c>
      <c r="AB112">
        <f t="shared" si="82"/>
        <v>445.81380000000001</v>
      </c>
      <c r="AC112">
        <f t="shared" ref="AC112:AC119" si="116">ROUND((ES112),6)</f>
        <v>55.26</v>
      </c>
      <c r="AD112">
        <f t="shared" si="112"/>
        <v>85.339200000000005</v>
      </c>
      <c r="AE112">
        <f t="shared" si="113"/>
        <v>7.4795999999999996</v>
      </c>
      <c r="AF112">
        <f t="shared" si="113"/>
        <v>305.21460000000002</v>
      </c>
      <c r="AG112">
        <f t="shared" si="87"/>
        <v>0</v>
      </c>
      <c r="AH112">
        <f t="shared" si="114"/>
        <v>23.101199999999995</v>
      </c>
      <c r="AI112">
        <f t="shared" si="114"/>
        <v>0</v>
      </c>
      <c r="AJ112">
        <f t="shared" si="90"/>
        <v>0</v>
      </c>
      <c r="AK112">
        <v>338.27</v>
      </c>
      <c r="AL112">
        <v>55.26</v>
      </c>
      <c r="AM112">
        <v>61.84</v>
      </c>
      <c r="AN112">
        <v>5.42</v>
      </c>
      <c r="AO112">
        <v>221.17</v>
      </c>
      <c r="AP112">
        <v>0</v>
      </c>
      <c r="AQ112">
        <v>16.739999999999998</v>
      </c>
      <c r="AR112">
        <v>0</v>
      </c>
      <c r="AS112">
        <v>0</v>
      </c>
      <c r="AT112">
        <v>90</v>
      </c>
      <c r="AU112">
        <v>43</v>
      </c>
      <c r="AV112">
        <v>1.0469999999999999</v>
      </c>
      <c r="AW112">
        <v>1</v>
      </c>
      <c r="AZ112">
        <v>1</v>
      </c>
      <c r="BA112">
        <v>21.43</v>
      </c>
      <c r="BB112">
        <v>6.68</v>
      </c>
      <c r="BC112">
        <v>5.36</v>
      </c>
      <c r="BD112" t="s">
        <v>5</v>
      </c>
      <c r="BE112" t="s">
        <v>5</v>
      </c>
      <c r="BF112" t="s">
        <v>5</v>
      </c>
      <c r="BG112" t="s">
        <v>5</v>
      </c>
      <c r="BH112">
        <v>0</v>
      </c>
      <c r="BI112">
        <v>2</v>
      </c>
      <c r="BJ112" t="s">
        <v>248</v>
      </c>
      <c r="BM112">
        <v>1608</v>
      </c>
      <c r="BN112">
        <v>0</v>
      </c>
      <c r="BO112" t="s">
        <v>246</v>
      </c>
      <c r="BP112">
        <v>1</v>
      </c>
      <c r="BQ112">
        <v>40</v>
      </c>
      <c r="BR112">
        <v>0</v>
      </c>
      <c r="BS112">
        <v>21.43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5</v>
      </c>
      <c r="BZ112">
        <v>90</v>
      </c>
      <c r="CA112">
        <v>43</v>
      </c>
      <c r="CE112">
        <v>30</v>
      </c>
      <c r="CF112">
        <v>0</v>
      </c>
      <c r="CG112">
        <v>0</v>
      </c>
      <c r="CM112">
        <v>0</v>
      </c>
      <c r="CN112" t="s">
        <v>5</v>
      </c>
      <c r="CO112">
        <v>0</v>
      </c>
      <c r="CP112">
        <f t="shared" si="91"/>
        <v>0</v>
      </c>
      <c r="CQ112">
        <f t="shared" si="92"/>
        <v>296.19</v>
      </c>
      <c r="CR112">
        <f t="shared" si="115"/>
        <v>596.86</v>
      </c>
      <c r="CS112">
        <f t="shared" si="94"/>
        <v>167.8</v>
      </c>
      <c r="CT112">
        <f t="shared" si="95"/>
        <v>6848.17</v>
      </c>
      <c r="CU112">
        <f t="shared" si="96"/>
        <v>0</v>
      </c>
      <c r="CV112">
        <f t="shared" si="97"/>
        <v>24.186956399999993</v>
      </c>
      <c r="CW112">
        <f t="shared" si="98"/>
        <v>0</v>
      </c>
      <c r="CX112">
        <f t="shared" si="99"/>
        <v>0</v>
      </c>
      <c r="CY112">
        <f t="shared" si="100"/>
        <v>0</v>
      </c>
      <c r="CZ112">
        <f t="shared" si="101"/>
        <v>0</v>
      </c>
      <c r="DC112" t="s">
        <v>5</v>
      </c>
      <c r="DD112" t="s">
        <v>5</v>
      </c>
      <c r="DE112" t="s">
        <v>30</v>
      </c>
      <c r="DF112" t="s">
        <v>30</v>
      </c>
      <c r="DG112" t="s">
        <v>30</v>
      </c>
      <c r="DH112" t="s">
        <v>5</v>
      </c>
      <c r="DI112" t="s">
        <v>30</v>
      </c>
      <c r="DJ112" t="s">
        <v>30</v>
      </c>
      <c r="DK112" t="s">
        <v>5</v>
      </c>
      <c r="DL112" t="s">
        <v>5</v>
      </c>
      <c r="DM112" t="s">
        <v>5</v>
      </c>
      <c r="DN112">
        <v>112</v>
      </c>
      <c r="DO112">
        <v>70</v>
      </c>
      <c r="DP112">
        <v>1.0669999999999999</v>
      </c>
      <c r="DQ112">
        <v>1.081</v>
      </c>
      <c r="DU112">
        <v>1013</v>
      </c>
      <c r="DV112" t="s">
        <v>234</v>
      </c>
      <c r="DW112" t="s">
        <v>234</v>
      </c>
      <c r="DX112">
        <v>1</v>
      </c>
      <c r="EE112">
        <v>44065427</v>
      </c>
      <c r="EF112">
        <v>40</v>
      </c>
      <c r="EG112" t="s">
        <v>172</v>
      </c>
      <c r="EH112">
        <v>0</v>
      </c>
      <c r="EI112" t="s">
        <v>5</v>
      </c>
      <c r="EJ112">
        <v>2</v>
      </c>
      <c r="EK112">
        <v>1608</v>
      </c>
      <c r="EL112" t="s">
        <v>183</v>
      </c>
      <c r="EM112" t="s">
        <v>184</v>
      </c>
      <c r="EO112" t="s">
        <v>5</v>
      </c>
      <c r="EQ112">
        <v>131072</v>
      </c>
      <c r="ER112">
        <v>338.27</v>
      </c>
      <c r="ES112">
        <v>55.26</v>
      </c>
      <c r="ET112">
        <v>61.84</v>
      </c>
      <c r="EU112">
        <v>5.42</v>
      </c>
      <c r="EV112">
        <v>221.17</v>
      </c>
      <c r="EW112">
        <v>16.739999999999998</v>
      </c>
      <c r="EX112">
        <v>0</v>
      </c>
      <c r="EY112">
        <v>0</v>
      </c>
      <c r="FQ112">
        <v>0</v>
      </c>
      <c r="FR112">
        <f t="shared" si="102"/>
        <v>0</v>
      </c>
      <c r="FS112">
        <v>0</v>
      </c>
      <c r="FX112">
        <v>112</v>
      </c>
      <c r="FY112">
        <v>70</v>
      </c>
      <c r="GA112" t="s">
        <v>5</v>
      </c>
      <c r="GD112">
        <v>0</v>
      </c>
      <c r="GF112">
        <v>-1011425500</v>
      </c>
      <c r="GG112">
        <v>2</v>
      </c>
      <c r="GH112">
        <v>1</v>
      </c>
      <c r="GI112">
        <v>2</v>
      </c>
      <c r="GJ112">
        <v>0</v>
      </c>
      <c r="GK112">
        <f>ROUND(R112*(R12)/100,2)</f>
        <v>0</v>
      </c>
      <c r="GL112">
        <f t="shared" si="103"/>
        <v>0</v>
      </c>
      <c r="GM112">
        <f t="shared" si="104"/>
        <v>0</v>
      </c>
      <c r="GN112">
        <f t="shared" si="105"/>
        <v>0</v>
      </c>
      <c r="GO112">
        <f t="shared" si="106"/>
        <v>0</v>
      </c>
      <c r="GP112">
        <f t="shared" si="107"/>
        <v>0</v>
      </c>
      <c r="GR112">
        <v>0</v>
      </c>
      <c r="GS112">
        <v>0</v>
      </c>
      <c r="GT112">
        <v>0</v>
      </c>
      <c r="GU112" t="s">
        <v>5</v>
      </c>
      <c r="GV112">
        <f t="shared" si="108"/>
        <v>0</v>
      </c>
      <c r="GW112">
        <v>1</v>
      </c>
      <c r="GX112">
        <f t="shared" si="109"/>
        <v>0</v>
      </c>
      <c r="HA112">
        <v>0</v>
      </c>
      <c r="HB112">
        <v>0</v>
      </c>
      <c r="HC112">
        <f t="shared" si="110"/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ROW(SmtRes!A42)</f>
        <v>42</v>
      </c>
      <c r="D113">
        <f>ROW(EtalonRes!A54)</f>
        <v>54</v>
      </c>
      <c r="E113" t="s">
        <v>249</v>
      </c>
      <c r="F113" t="s">
        <v>246</v>
      </c>
      <c r="G113" t="s">
        <v>247</v>
      </c>
      <c r="H113" t="s">
        <v>234</v>
      </c>
      <c r="I113">
        <v>12</v>
      </c>
      <c r="J113">
        <v>0</v>
      </c>
      <c r="O113">
        <f t="shared" si="71"/>
        <v>92894.67</v>
      </c>
      <c r="P113">
        <f t="shared" si="72"/>
        <v>3554.32</v>
      </c>
      <c r="Q113">
        <f t="shared" si="111"/>
        <v>7162.3</v>
      </c>
      <c r="R113">
        <f t="shared" si="74"/>
        <v>2013.78</v>
      </c>
      <c r="S113">
        <f t="shared" si="75"/>
        <v>82178.05</v>
      </c>
      <c r="T113">
        <f t="shared" si="76"/>
        <v>0</v>
      </c>
      <c r="U113">
        <f t="shared" si="77"/>
        <v>290.24347679999994</v>
      </c>
      <c r="V113">
        <f t="shared" si="78"/>
        <v>0</v>
      </c>
      <c r="W113">
        <f t="shared" si="79"/>
        <v>0</v>
      </c>
      <c r="X113">
        <f t="shared" si="80"/>
        <v>73960.25</v>
      </c>
      <c r="Y113">
        <f t="shared" si="81"/>
        <v>35336.559999999998</v>
      </c>
      <c r="AA113">
        <v>44175501</v>
      </c>
      <c r="AB113">
        <f t="shared" si="82"/>
        <v>445.81380000000001</v>
      </c>
      <c r="AC113">
        <f t="shared" si="116"/>
        <v>55.26</v>
      </c>
      <c r="AD113">
        <f t="shared" si="112"/>
        <v>85.339200000000005</v>
      </c>
      <c r="AE113">
        <f t="shared" si="113"/>
        <v>7.4795999999999996</v>
      </c>
      <c r="AF113">
        <f t="shared" si="113"/>
        <v>305.21460000000002</v>
      </c>
      <c r="AG113">
        <f t="shared" si="87"/>
        <v>0</v>
      </c>
      <c r="AH113">
        <f t="shared" si="114"/>
        <v>23.101199999999995</v>
      </c>
      <c r="AI113">
        <f t="shared" si="114"/>
        <v>0</v>
      </c>
      <c r="AJ113">
        <f t="shared" si="90"/>
        <v>0</v>
      </c>
      <c r="AK113">
        <v>338.27</v>
      </c>
      <c r="AL113">
        <v>55.26</v>
      </c>
      <c r="AM113">
        <v>61.84</v>
      </c>
      <c r="AN113">
        <v>5.42</v>
      </c>
      <c r="AO113">
        <v>221.17</v>
      </c>
      <c r="AP113">
        <v>0</v>
      </c>
      <c r="AQ113">
        <v>16.739999999999998</v>
      </c>
      <c r="AR113">
        <v>0</v>
      </c>
      <c r="AS113">
        <v>0</v>
      </c>
      <c r="AT113">
        <v>90</v>
      </c>
      <c r="AU113">
        <v>43</v>
      </c>
      <c r="AV113">
        <v>1.0469999999999999</v>
      </c>
      <c r="AW113">
        <v>1</v>
      </c>
      <c r="AZ113">
        <v>1</v>
      </c>
      <c r="BA113">
        <v>21.43</v>
      </c>
      <c r="BB113">
        <v>6.68</v>
      </c>
      <c r="BC113">
        <v>5.36</v>
      </c>
      <c r="BD113" t="s">
        <v>5</v>
      </c>
      <c r="BE113" t="s">
        <v>5</v>
      </c>
      <c r="BF113" t="s">
        <v>5</v>
      </c>
      <c r="BG113" t="s">
        <v>5</v>
      </c>
      <c r="BH113">
        <v>0</v>
      </c>
      <c r="BI113">
        <v>2</v>
      </c>
      <c r="BJ113" t="s">
        <v>248</v>
      </c>
      <c r="BM113">
        <v>1608</v>
      </c>
      <c r="BN113">
        <v>0</v>
      </c>
      <c r="BO113" t="s">
        <v>246</v>
      </c>
      <c r="BP113">
        <v>1</v>
      </c>
      <c r="BQ113">
        <v>40</v>
      </c>
      <c r="BR113">
        <v>0</v>
      </c>
      <c r="BS113">
        <v>21.43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5</v>
      </c>
      <c r="BZ113">
        <v>90</v>
      </c>
      <c r="CA113">
        <v>43</v>
      </c>
      <c r="CE113">
        <v>30</v>
      </c>
      <c r="CF113">
        <v>0</v>
      </c>
      <c r="CG113">
        <v>0</v>
      </c>
      <c r="CM113">
        <v>0</v>
      </c>
      <c r="CN113" t="s">
        <v>5</v>
      </c>
      <c r="CO113">
        <v>0</v>
      </c>
      <c r="CP113">
        <f t="shared" si="91"/>
        <v>92894.67</v>
      </c>
      <c r="CQ113">
        <f t="shared" si="92"/>
        <v>296.19</v>
      </c>
      <c r="CR113">
        <f t="shared" si="115"/>
        <v>596.86</v>
      </c>
      <c r="CS113">
        <f t="shared" si="94"/>
        <v>167.8</v>
      </c>
      <c r="CT113">
        <f t="shared" si="95"/>
        <v>6848.17</v>
      </c>
      <c r="CU113">
        <f t="shared" si="96"/>
        <v>0</v>
      </c>
      <c r="CV113">
        <f t="shared" si="97"/>
        <v>24.186956399999993</v>
      </c>
      <c r="CW113">
        <f t="shared" si="98"/>
        <v>0</v>
      </c>
      <c r="CX113">
        <f t="shared" si="99"/>
        <v>0</v>
      </c>
      <c r="CY113">
        <f t="shared" si="100"/>
        <v>73960.24500000001</v>
      </c>
      <c r="CZ113">
        <f t="shared" si="101"/>
        <v>35336.561500000003</v>
      </c>
      <c r="DC113" t="s">
        <v>5</v>
      </c>
      <c r="DD113" t="s">
        <v>5</v>
      </c>
      <c r="DE113" t="s">
        <v>30</v>
      </c>
      <c r="DF113" t="s">
        <v>30</v>
      </c>
      <c r="DG113" t="s">
        <v>30</v>
      </c>
      <c r="DH113" t="s">
        <v>5</v>
      </c>
      <c r="DI113" t="s">
        <v>30</v>
      </c>
      <c r="DJ113" t="s">
        <v>30</v>
      </c>
      <c r="DK113" t="s">
        <v>5</v>
      </c>
      <c r="DL113" t="s">
        <v>5</v>
      </c>
      <c r="DM113" t="s">
        <v>5</v>
      </c>
      <c r="DN113">
        <v>112</v>
      </c>
      <c r="DO113">
        <v>70</v>
      </c>
      <c r="DP113">
        <v>1.0669999999999999</v>
      </c>
      <c r="DQ113">
        <v>1.081</v>
      </c>
      <c r="DU113">
        <v>1013</v>
      </c>
      <c r="DV113" t="s">
        <v>234</v>
      </c>
      <c r="DW113" t="s">
        <v>234</v>
      </c>
      <c r="DX113">
        <v>1</v>
      </c>
      <c r="EE113">
        <v>44065427</v>
      </c>
      <c r="EF113">
        <v>40</v>
      </c>
      <c r="EG113" t="s">
        <v>172</v>
      </c>
      <c r="EH113">
        <v>0</v>
      </c>
      <c r="EI113" t="s">
        <v>5</v>
      </c>
      <c r="EJ113">
        <v>2</v>
      </c>
      <c r="EK113">
        <v>1608</v>
      </c>
      <c r="EL113" t="s">
        <v>183</v>
      </c>
      <c r="EM113" t="s">
        <v>184</v>
      </c>
      <c r="EO113" t="s">
        <v>5</v>
      </c>
      <c r="EQ113">
        <v>131072</v>
      </c>
      <c r="ER113">
        <v>338.27</v>
      </c>
      <c r="ES113">
        <v>55.26</v>
      </c>
      <c r="ET113">
        <v>61.84</v>
      </c>
      <c r="EU113">
        <v>5.42</v>
      </c>
      <c r="EV113">
        <v>221.17</v>
      </c>
      <c r="EW113">
        <v>16.739999999999998</v>
      </c>
      <c r="EX113">
        <v>0</v>
      </c>
      <c r="EY113">
        <v>0</v>
      </c>
      <c r="FQ113">
        <v>0</v>
      </c>
      <c r="FR113">
        <f t="shared" si="102"/>
        <v>0</v>
      </c>
      <c r="FS113">
        <v>0</v>
      </c>
      <c r="FX113">
        <v>112</v>
      </c>
      <c r="FY113">
        <v>70</v>
      </c>
      <c r="GA113" t="s">
        <v>5</v>
      </c>
      <c r="GD113">
        <v>0</v>
      </c>
      <c r="GF113">
        <v>-1011425500</v>
      </c>
      <c r="GG113">
        <v>2</v>
      </c>
      <c r="GH113">
        <v>1</v>
      </c>
      <c r="GI113">
        <v>2</v>
      </c>
      <c r="GJ113">
        <v>0</v>
      </c>
      <c r="GK113">
        <f>ROUND(R113*(R12)/100,2)</f>
        <v>3161.63</v>
      </c>
      <c r="GL113">
        <f t="shared" si="103"/>
        <v>0</v>
      </c>
      <c r="GM113">
        <f t="shared" si="104"/>
        <v>205353.11</v>
      </c>
      <c r="GN113">
        <f t="shared" si="105"/>
        <v>0</v>
      </c>
      <c r="GO113">
        <f t="shared" si="106"/>
        <v>205353.11</v>
      </c>
      <c r="GP113">
        <f t="shared" si="107"/>
        <v>0</v>
      </c>
      <c r="GR113">
        <v>0</v>
      </c>
      <c r="GS113">
        <v>0</v>
      </c>
      <c r="GT113">
        <v>0</v>
      </c>
      <c r="GU113" t="s">
        <v>5</v>
      </c>
      <c r="GV113">
        <f t="shared" si="108"/>
        <v>0</v>
      </c>
      <c r="GW113">
        <v>1</v>
      </c>
      <c r="GX113">
        <f t="shared" si="109"/>
        <v>0</v>
      </c>
      <c r="HA113">
        <v>0</v>
      </c>
      <c r="HB113">
        <v>0</v>
      </c>
      <c r="HC113">
        <f t="shared" si="110"/>
        <v>0</v>
      </c>
      <c r="IK113">
        <v>0</v>
      </c>
    </row>
    <row r="114" spans="1:245" x14ac:dyDescent="0.2">
      <c r="A114">
        <v>17</v>
      </c>
      <c r="B114">
        <v>1</v>
      </c>
      <c r="E114" t="s">
        <v>250</v>
      </c>
      <c r="F114" t="s">
        <v>251</v>
      </c>
      <c r="G114" t="s">
        <v>252</v>
      </c>
      <c r="H114" t="s">
        <v>80</v>
      </c>
      <c r="I114">
        <v>12</v>
      </c>
      <c r="J114">
        <v>0</v>
      </c>
      <c r="O114">
        <f t="shared" si="71"/>
        <v>95637.38</v>
      </c>
      <c r="P114">
        <f t="shared" si="72"/>
        <v>95637.38</v>
      </c>
      <c r="Q114">
        <f t="shared" si="111"/>
        <v>0</v>
      </c>
      <c r="R114">
        <f t="shared" si="74"/>
        <v>0</v>
      </c>
      <c r="S114">
        <f t="shared" si="75"/>
        <v>0</v>
      </c>
      <c r="T114">
        <f t="shared" si="76"/>
        <v>0</v>
      </c>
      <c r="U114">
        <f t="shared" si="77"/>
        <v>0</v>
      </c>
      <c r="V114">
        <f t="shared" si="78"/>
        <v>0</v>
      </c>
      <c r="W114">
        <f t="shared" si="79"/>
        <v>0</v>
      </c>
      <c r="X114">
        <f t="shared" si="80"/>
        <v>0</v>
      </c>
      <c r="Y114">
        <f t="shared" si="81"/>
        <v>0</v>
      </c>
      <c r="AA114">
        <v>44175501</v>
      </c>
      <c r="AB114">
        <f t="shared" si="82"/>
        <v>2757.71</v>
      </c>
      <c r="AC114">
        <f t="shared" si="116"/>
        <v>2757.71</v>
      </c>
      <c r="AD114">
        <f t="shared" si="112"/>
        <v>0</v>
      </c>
      <c r="AE114">
        <f t="shared" si="113"/>
        <v>0</v>
      </c>
      <c r="AF114">
        <f t="shared" si="113"/>
        <v>0</v>
      </c>
      <c r="AG114">
        <f t="shared" si="87"/>
        <v>0</v>
      </c>
      <c r="AH114">
        <f t="shared" si="114"/>
        <v>0</v>
      </c>
      <c r="AI114">
        <f t="shared" si="114"/>
        <v>0</v>
      </c>
      <c r="AJ114">
        <f t="shared" si="90"/>
        <v>0</v>
      </c>
      <c r="AK114">
        <v>2757.71</v>
      </c>
      <c r="AL114">
        <v>2757.71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2.89</v>
      </c>
      <c r="BD114" t="s">
        <v>5</v>
      </c>
      <c r="BE114" t="s">
        <v>5</v>
      </c>
      <c r="BF114" t="s">
        <v>5</v>
      </c>
      <c r="BG114" t="s">
        <v>5</v>
      </c>
      <c r="BH114">
        <v>3</v>
      </c>
      <c r="BI114">
        <v>2</v>
      </c>
      <c r="BJ114" t="s">
        <v>253</v>
      </c>
      <c r="BM114">
        <v>1618</v>
      </c>
      <c r="BN114">
        <v>0</v>
      </c>
      <c r="BO114" t="s">
        <v>251</v>
      </c>
      <c r="BP114">
        <v>1</v>
      </c>
      <c r="BQ114">
        <v>201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5</v>
      </c>
      <c r="BZ114">
        <v>0</v>
      </c>
      <c r="CA114">
        <v>0</v>
      </c>
      <c r="CE114">
        <v>30</v>
      </c>
      <c r="CF114">
        <v>0</v>
      </c>
      <c r="CG114">
        <v>0</v>
      </c>
      <c r="CM114">
        <v>0</v>
      </c>
      <c r="CN114" t="s">
        <v>5</v>
      </c>
      <c r="CO114">
        <v>0</v>
      </c>
      <c r="CP114">
        <f t="shared" si="91"/>
        <v>95637.38</v>
      </c>
      <c r="CQ114">
        <f t="shared" si="92"/>
        <v>7969.78</v>
      </c>
      <c r="CR114">
        <f t="shared" si="115"/>
        <v>0</v>
      </c>
      <c r="CS114">
        <f t="shared" si="94"/>
        <v>0</v>
      </c>
      <c r="CT114">
        <f t="shared" si="95"/>
        <v>0</v>
      </c>
      <c r="CU114">
        <f t="shared" si="96"/>
        <v>0</v>
      </c>
      <c r="CV114">
        <f t="shared" si="97"/>
        <v>0</v>
      </c>
      <c r="CW114">
        <f t="shared" si="98"/>
        <v>0</v>
      </c>
      <c r="CX114">
        <f t="shared" si="99"/>
        <v>0</v>
      </c>
      <c r="CY114">
        <f t="shared" si="100"/>
        <v>0</v>
      </c>
      <c r="CZ114">
        <f t="shared" si="101"/>
        <v>0</v>
      </c>
      <c r="DC114" t="s">
        <v>5</v>
      </c>
      <c r="DD114" t="s">
        <v>5</v>
      </c>
      <c r="DE114" t="s">
        <v>30</v>
      </c>
      <c r="DF114" t="s">
        <v>30</v>
      </c>
      <c r="DG114" t="s">
        <v>30</v>
      </c>
      <c r="DH114" t="s">
        <v>5</v>
      </c>
      <c r="DI114" t="s">
        <v>30</v>
      </c>
      <c r="DJ114" t="s">
        <v>30</v>
      </c>
      <c r="DK114" t="s">
        <v>5</v>
      </c>
      <c r="DL114" t="s">
        <v>5</v>
      </c>
      <c r="DM114" t="s">
        <v>5</v>
      </c>
      <c r="DN114">
        <v>0</v>
      </c>
      <c r="DO114">
        <v>0</v>
      </c>
      <c r="DP114">
        <v>1</v>
      </c>
      <c r="DQ114">
        <v>1</v>
      </c>
      <c r="DU114">
        <v>1010</v>
      </c>
      <c r="DV114" t="s">
        <v>80</v>
      </c>
      <c r="DW114" t="s">
        <v>80</v>
      </c>
      <c r="DX114">
        <v>1</v>
      </c>
      <c r="EE114">
        <v>44065437</v>
      </c>
      <c r="EF114">
        <v>201</v>
      </c>
      <c r="EG114" t="s">
        <v>201</v>
      </c>
      <c r="EH114">
        <v>0</v>
      </c>
      <c r="EI114" t="s">
        <v>5</v>
      </c>
      <c r="EJ114">
        <v>2</v>
      </c>
      <c r="EK114">
        <v>1618</v>
      </c>
      <c r="EL114" t="s">
        <v>202</v>
      </c>
      <c r="EM114" t="s">
        <v>203</v>
      </c>
      <c r="EO114" t="s">
        <v>5</v>
      </c>
      <c r="EQ114">
        <v>131072</v>
      </c>
      <c r="ER114">
        <v>2757.71</v>
      </c>
      <c r="ES114">
        <v>2757.71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102"/>
        <v>0</v>
      </c>
      <c r="FS114">
        <v>0</v>
      </c>
      <c r="FX114">
        <v>0</v>
      </c>
      <c r="FY114">
        <v>0</v>
      </c>
      <c r="GA114" t="s">
        <v>5</v>
      </c>
      <c r="GD114">
        <v>0</v>
      </c>
      <c r="GF114">
        <v>-822160522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si="103"/>
        <v>0</v>
      </c>
      <c r="GM114">
        <f t="shared" si="104"/>
        <v>95637.38</v>
      </c>
      <c r="GN114">
        <f t="shared" si="105"/>
        <v>0</v>
      </c>
      <c r="GO114">
        <f t="shared" si="106"/>
        <v>95637.38</v>
      </c>
      <c r="GP114">
        <f t="shared" si="107"/>
        <v>0</v>
      </c>
      <c r="GR114">
        <v>0</v>
      </c>
      <c r="GS114">
        <v>0</v>
      </c>
      <c r="GT114">
        <v>0</v>
      </c>
      <c r="GU114" t="s">
        <v>5</v>
      </c>
      <c r="GV114">
        <f t="shared" si="108"/>
        <v>0</v>
      </c>
      <c r="GW114">
        <v>1</v>
      </c>
      <c r="GX114">
        <f t="shared" si="109"/>
        <v>0</v>
      </c>
      <c r="HA114">
        <v>0</v>
      </c>
      <c r="HB114">
        <v>0</v>
      </c>
      <c r="HC114">
        <f t="shared" si="110"/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ROW(SmtRes!A43)</f>
        <v>43</v>
      </c>
      <c r="D115">
        <f>ROW(EtalonRes!A55)</f>
        <v>55</v>
      </c>
      <c r="E115" t="s">
        <v>254</v>
      </c>
      <c r="F115" t="s">
        <v>255</v>
      </c>
      <c r="G115" t="s">
        <v>256</v>
      </c>
      <c r="H115" t="s">
        <v>257</v>
      </c>
      <c r="I115">
        <f>ROUND((I113)/100,9)</f>
        <v>0.12</v>
      </c>
      <c r="J115">
        <v>0</v>
      </c>
      <c r="O115">
        <f t="shared" si="71"/>
        <v>2703.56</v>
      </c>
      <c r="P115">
        <f t="shared" si="72"/>
        <v>4.88</v>
      </c>
      <c r="Q115">
        <f>(ROUND((ROUND((((ET115*1.15*1.2))*AV115*I115),2)*BB115),2)+ROUND((ROUND(((AE115-((EU115*1.15*1.2)))*AV115*I115),2)*BS115),2))</f>
        <v>0</v>
      </c>
      <c r="R115">
        <f t="shared" si="74"/>
        <v>0</v>
      </c>
      <c r="S115">
        <f t="shared" si="75"/>
        <v>2698.68</v>
      </c>
      <c r="T115">
        <f t="shared" si="76"/>
        <v>0</v>
      </c>
      <c r="U115">
        <f t="shared" si="77"/>
        <v>10.212982559999997</v>
      </c>
      <c r="V115">
        <f t="shared" si="78"/>
        <v>0</v>
      </c>
      <c r="W115">
        <f t="shared" si="79"/>
        <v>0</v>
      </c>
      <c r="X115">
        <f t="shared" si="80"/>
        <v>2428.81</v>
      </c>
      <c r="Y115">
        <f t="shared" si="81"/>
        <v>1160.43</v>
      </c>
      <c r="AA115">
        <v>44175501</v>
      </c>
      <c r="AB115">
        <f t="shared" si="82"/>
        <v>990.4846</v>
      </c>
      <c r="AC115">
        <f t="shared" si="116"/>
        <v>7</v>
      </c>
      <c r="AD115">
        <f>ROUND(((((ET115*1.15*1.2))-((EU115*1.15*1.2)))+AE115),6)</f>
        <v>0</v>
      </c>
      <c r="AE115">
        <f>ROUND(((EU115*1.15*1.2)),6)</f>
        <v>0</v>
      </c>
      <c r="AF115">
        <f>ROUND(((EV115*1.15*1.2)),6)</f>
        <v>983.4846</v>
      </c>
      <c r="AG115">
        <f t="shared" si="87"/>
        <v>0</v>
      </c>
      <c r="AH115">
        <f>((EW115*1.15*1.2))</f>
        <v>79.763999999999982</v>
      </c>
      <c r="AI115">
        <f>((EX115*1.15*1.2))</f>
        <v>0</v>
      </c>
      <c r="AJ115">
        <f t="shared" si="90"/>
        <v>0</v>
      </c>
      <c r="AK115">
        <v>719.67</v>
      </c>
      <c r="AL115">
        <v>7</v>
      </c>
      <c r="AM115">
        <v>0</v>
      </c>
      <c r="AN115">
        <v>0</v>
      </c>
      <c r="AO115">
        <v>712.67</v>
      </c>
      <c r="AP115">
        <v>0</v>
      </c>
      <c r="AQ115">
        <v>57.8</v>
      </c>
      <c r="AR115">
        <v>0</v>
      </c>
      <c r="AS115">
        <v>0</v>
      </c>
      <c r="AT115">
        <v>90</v>
      </c>
      <c r="AU115">
        <v>43</v>
      </c>
      <c r="AV115">
        <v>1.0669999999999999</v>
      </c>
      <c r="AW115">
        <v>1.081</v>
      </c>
      <c r="AZ115">
        <v>1</v>
      </c>
      <c r="BA115">
        <v>21.43</v>
      </c>
      <c r="BB115">
        <v>1</v>
      </c>
      <c r="BC115">
        <v>5.36</v>
      </c>
      <c r="BD115" t="s">
        <v>5</v>
      </c>
      <c r="BE115" t="s">
        <v>5</v>
      </c>
      <c r="BF115" t="s">
        <v>5</v>
      </c>
      <c r="BG115" t="s">
        <v>5</v>
      </c>
      <c r="BH115">
        <v>0</v>
      </c>
      <c r="BI115">
        <v>2</v>
      </c>
      <c r="BJ115" t="s">
        <v>258</v>
      </c>
      <c r="BM115">
        <v>318</v>
      </c>
      <c r="BN115">
        <v>0</v>
      </c>
      <c r="BO115" t="s">
        <v>255</v>
      </c>
      <c r="BP115">
        <v>1</v>
      </c>
      <c r="BQ115">
        <v>40</v>
      </c>
      <c r="BR115">
        <v>0</v>
      </c>
      <c r="BS115">
        <v>21.43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5</v>
      </c>
      <c r="BZ115">
        <v>90</v>
      </c>
      <c r="CA115">
        <v>43</v>
      </c>
      <c r="CE115">
        <v>30</v>
      </c>
      <c r="CF115">
        <v>0</v>
      </c>
      <c r="CG115">
        <v>0</v>
      </c>
      <c r="CM115">
        <v>0</v>
      </c>
      <c r="CN115" t="s">
        <v>5</v>
      </c>
      <c r="CO115">
        <v>0</v>
      </c>
      <c r="CP115">
        <f t="shared" si="91"/>
        <v>2703.56</v>
      </c>
      <c r="CQ115">
        <f t="shared" si="92"/>
        <v>40.58</v>
      </c>
      <c r="CR115">
        <f>(ROUND((ROUND((((ET115*1.15*1.2))*AV115*1),2)*BB115),2)+ROUND((ROUND(((AE115-((EU115*1.15*1.2)))*AV115*1),2)*BS115),2))</f>
        <v>0</v>
      </c>
      <c r="CS115">
        <f t="shared" si="94"/>
        <v>0</v>
      </c>
      <c r="CT115">
        <f t="shared" si="95"/>
        <v>22488.21</v>
      </c>
      <c r="CU115">
        <f t="shared" si="96"/>
        <v>0</v>
      </c>
      <c r="CV115">
        <f t="shared" si="97"/>
        <v>85.10818799999997</v>
      </c>
      <c r="CW115">
        <f t="shared" si="98"/>
        <v>0</v>
      </c>
      <c r="CX115">
        <f t="shared" si="99"/>
        <v>0</v>
      </c>
      <c r="CY115">
        <f t="shared" si="100"/>
        <v>2428.8119999999999</v>
      </c>
      <c r="CZ115">
        <f t="shared" si="101"/>
        <v>1160.4323999999999</v>
      </c>
      <c r="DC115" t="s">
        <v>5</v>
      </c>
      <c r="DD115" t="s">
        <v>5</v>
      </c>
      <c r="DE115" t="s">
        <v>259</v>
      </c>
      <c r="DF115" t="s">
        <v>259</v>
      </c>
      <c r="DG115" t="s">
        <v>259</v>
      </c>
      <c r="DH115" t="s">
        <v>5</v>
      </c>
      <c r="DI115" t="s">
        <v>259</v>
      </c>
      <c r="DJ115" t="s">
        <v>259</v>
      </c>
      <c r="DK115" t="s">
        <v>5</v>
      </c>
      <c r="DL115" t="s">
        <v>5</v>
      </c>
      <c r="DM115" t="s">
        <v>5</v>
      </c>
      <c r="DN115">
        <v>112</v>
      </c>
      <c r="DO115">
        <v>70</v>
      </c>
      <c r="DP115">
        <v>1.0669999999999999</v>
      </c>
      <c r="DQ115">
        <v>1.081</v>
      </c>
      <c r="DU115">
        <v>1010</v>
      </c>
      <c r="DV115" t="s">
        <v>257</v>
      </c>
      <c r="DW115" t="s">
        <v>257</v>
      </c>
      <c r="DX115">
        <v>100</v>
      </c>
      <c r="EE115">
        <v>44064137</v>
      </c>
      <c r="EF115">
        <v>40</v>
      </c>
      <c r="EG115" t="s">
        <v>172</v>
      </c>
      <c r="EH115">
        <v>0</v>
      </c>
      <c r="EI115" t="s">
        <v>5</v>
      </c>
      <c r="EJ115">
        <v>2</v>
      </c>
      <c r="EK115">
        <v>318</v>
      </c>
      <c r="EL115" t="s">
        <v>173</v>
      </c>
      <c r="EM115" t="s">
        <v>174</v>
      </c>
      <c r="EO115" t="s">
        <v>5</v>
      </c>
      <c r="EQ115">
        <v>0</v>
      </c>
      <c r="ER115">
        <v>719.67</v>
      </c>
      <c r="ES115">
        <v>7</v>
      </c>
      <c r="ET115">
        <v>0</v>
      </c>
      <c r="EU115">
        <v>0</v>
      </c>
      <c r="EV115">
        <v>712.67</v>
      </c>
      <c r="EW115">
        <v>57.8</v>
      </c>
      <c r="EX115">
        <v>0</v>
      </c>
      <c r="EY115">
        <v>0</v>
      </c>
      <c r="FQ115">
        <v>0</v>
      </c>
      <c r="FR115">
        <f t="shared" si="102"/>
        <v>0</v>
      </c>
      <c r="FS115">
        <v>0</v>
      </c>
      <c r="FX115">
        <v>112</v>
      </c>
      <c r="FY115">
        <v>70</v>
      </c>
      <c r="GA115" t="s">
        <v>5</v>
      </c>
      <c r="GD115">
        <v>0</v>
      </c>
      <c r="GF115">
        <v>-1182023723</v>
      </c>
      <c r="GG115">
        <v>2</v>
      </c>
      <c r="GH115">
        <v>1</v>
      </c>
      <c r="GI115">
        <v>2</v>
      </c>
      <c r="GJ115">
        <v>0</v>
      </c>
      <c r="GK115">
        <f>ROUND(R115*(R12)/100,2)</f>
        <v>0</v>
      </c>
      <c r="GL115">
        <f t="shared" si="103"/>
        <v>0</v>
      </c>
      <c r="GM115">
        <f t="shared" si="104"/>
        <v>6292.8</v>
      </c>
      <c r="GN115">
        <f t="shared" si="105"/>
        <v>0</v>
      </c>
      <c r="GO115">
        <f t="shared" si="106"/>
        <v>6292.8</v>
      </c>
      <c r="GP115">
        <f t="shared" si="107"/>
        <v>0</v>
      </c>
      <c r="GR115">
        <v>0</v>
      </c>
      <c r="GS115">
        <v>3</v>
      </c>
      <c r="GT115">
        <v>0</v>
      </c>
      <c r="GU115" t="s">
        <v>5</v>
      </c>
      <c r="GV115">
        <f t="shared" si="108"/>
        <v>0</v>
      </c>
      <c r="GW115">
        <v>1</v>
      </c>
      <c r="GX115">
        <f t="shared" si="109"/>
        <v>0</v>
      </c>
      <c r="HA115">
        <v>0</v>
      </c>
      <c r="HB115">
        <v>0</v>
      </c>
      <c r="HC115">
        <f t="shared" si="110"/>
        <v>0</v>
      </c>
      <c r="IK115">
        <v>0</v>
      </c>
    </row>
    <row r="116" spans="1:245" x14ac:dyDescent="0.2">
      <c r="A116">
        <v>17</v>
      </c>
      <c r="B116">
        <v>1</v>
      </c>
      <c r="C116">
        <f>ROW(SmtRes!A44)</f>
        <v>44</v>
      </c>
      <c r="D116">
        <f>ROW(EtalonRes!A58)</f>
        <v>58</v>
      </c>
      <c r="E116" t="s">
        <v>260</v>
      </c>
      <c r="F116" t="s">
        <v>261</v>
      </c>
      <c r="G116" t="s">
        <v>262</v>
      </c>
      <c r="H116" t="s">
        <v>263</v>
      </c>
      <c r="I116">
        <v>0</v>
      </c>
      <c r="J116">
        <v>0</v>
      </c>
      <c r="O116">
        <f t="shared" si="71"/>
        <v>0</v>
      </c>
      <c r="P116">
        <f t="shared" si="72"/>
        <v>0</v>
      </c>
      <c r="Q116">
        <f>(ROUND((ROUND((((ET116*1.2*1.15))*AV116*I116),2)*BB116),2)+ROUND((ROUND(((AE116-((EU116*1.2*1.15)))*AV116*I116),2)*BS116),2))</f>
        <v>0</v>
      </c>
      <c r="R116">
        <f t="shared" si="74"/>
        <v>0</v>
      </c>
      <c r="S116">
        <f t="shared" si="75"/>
        <v>0</v>
      </c>
      <c r="T116">
        <f t="shared" si="76"/>
        <v>0</v>
      </c>
      <c r="U116">
        <f t="shared" si="77"/>
        <v>0</v>
      </c>
      <c r="V116">
        <f t="shared" si="78"/>
        <v>0</v>
      </c>
      <c r="W116">
        <f t="shared" si="79"/>
        <v>0</v>
      </c>
      <c r="X116">
        <f t="shared" si="80"/>
        <v>0</v>
      </c>
      <c r="Y116">
        <f t="shared" si="81"/>
        <v>0</v>
      </c>
      <c r="AA116">
        <v>44175501</v>
      </c>
      <c r="AB116">
        <f t="shared" si="82"/>
        <v>3404.5672</v>
      </c>
      <c r="AC116">
        <f t="shared" si="116"/>
        <v>1056.58</v>
      </c>
      <c r="AD116">
        <f>ROUND(((((ET116*1.2*1.15))-((EU116*1.2*1.15)))+AE116),6)</f>
        <v>16.4358</v>
      </c>
      <c r="AE116">
        <f t="shared" ref="AE116:AF118" si="117">ROUND(((EU116*1.2*1.15)),6)</f>
        <v>3.8778000000000001</v>
      </c>
      <c r="AF116">
        <f t="shared" si="117"/>
        <v>2331.5513999999998</v>
      </c>
      <c r="AG116">
        <f t="shared" si="87"/>
        <v>0</v>
      </c>
      <c r="AH116">
        <f t="shared" ref="AH116:AI118" si="118">((EW116*1.2*1.15))</f>
        <v>172.05840000000001</v>
      </c>
      <c r="AI116">
        <f t="shared" si="118"/>
        <v>0</v>
      </c>
      <c r="AJ116">
        <f t="shared" si="90"/>
        <v>0</v>
      </c>
      <c r="AK116">
        <v>2758.02</v>
      </c>
      <c r="AL116">
        <v>1056.58</v>
      </c>
      <c r="AM116">
        <v>11.91</v>
      </c>
      <c r="AN116">
        <v>2.81</v>
      </c>
      <c r="AO116">
        <v>1689.53</v>
      </c>
      <c r="AP116">
        <v>0</v>
      </c>
      <c r="AQ116">
        <v>124.68</v>
      </c>
      <c r="AR116">
        <v>0</v>
      </c>
      <c r="AS116">
        <v>0</v>
      </c>
      <c r="AT116">
        <v>90</v>
      </c>
      <c r="AU116">
        <v>43</v>
      </c>
      <c r="AV116">
        <v>1.0469999999999999</v>
      </c>
      <c r="AW116">
        <v>1</v>
      </c>
      <c r="AZ116">
        <v>1</v>
      </c>
      <c r="BA116">
        <v>21.43</v>
      </c>
      <c r="BB116">
        <v>9.07</v>
      </c>
      <c r="BC116">
        <v>5.36</v>
      </c>
      <c r="BD116" t="s">
        <v>5</v>
      </c>
      <c r="BE116" t="s">
        <v>5</v>
      </c>
      <c r="BF116" t="s">
        <v>5</v>
      </c>
      <c r="BG116" t="s">
        <v>5</v>
      </c>
      <c r="BH116">
        <v>0</v>
      </c>
      <c r="BI116">
        <v>2</v>
      </c>
      <c r="BJ116" t="s">
        <v>264</v>
      </c>
      <c r="BM116">
        <v>1608</v>
      </c>
      <c r="BN116">
        <v>0</v>
      </c>
      <c r="BO116" t="s">
        <v>261</v>
      </c>
      <c r="BP116">
        <v>1</v>
      </c>
      <c r="BQ116">
        <v>40</v>
      </c>
      <c r="BR116">
        <v>0</v>
      </c>
      <c r="BS116">
        <v>21.43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5</v>
      </c>
      <c r="BZ116">
        <v>90</v>
      </c>
      <c r="CA116">
        <v>43</v>
      </c>
      <c r="CE116">
        <v>30</v>
      </c>
      <c r="CF116">
        <v>0</v>
      </c>
      <c r="CG116">
        <v>0</v>
      </c>
      <c r="CM116">
        <v>0</v>
      </c>
      <c r="CN116" t="s">
        <v>5</v>
      </c>
      <c r="CO116">
        <v>0</v>
      </c>
      <c r="CP116">
        <f t="shared" si="91"/>
        <v>0</v>
      </c>
      <c r="CQ116">
        <f t="shared" si="92"/>
        <v>5663.27</v>
      </c>
      <c r="CR116">
        <f>(ROUND((ROUND((((ET116*1.2*1.15))*AV116*1),2)*BB116),2)+ROUND((ROUND(((AE116-((EU116*1.2*1.15)))*AV116*1),2)*BS116),2))</f>
        <v>156.09</v>
      </c>
      <c r="CS116">
        <f t="shared" si="94"/>
        <v>87.01</v>
      </c>
      <c r="CT116">
        <f t="shared" si="95"/>
        <v>52313.42</v>
      </c>
      <c r="CU116">
        <f t="shared" si="96"/>
        <v>0</v>
      </c>
      <c r="CV116">
        <f t="shared" si="97"/>
        <v>180.1451448</v>
      </c>
      <c r="CW116">
        <f t="shared" si="98"/>
        <v>0</v>
      </c>
      <c r="CX116">
        <f t="shared" si="99"/>
        <v>0</v>
      </c>
      <c r="CY116">
        <f t="shared" si="100"/>
        <v>0</v>
      </c>
      <c r="CZ116">
        <f t="shared" si="101"/>
        <v>0</v>
      </c>
      <c r="DC116" t="s">
        <v>5</v>
      </c>
      <c r="DD116" t="s">
        <v>5</v>
      </c>
      <c r="DE116" t="s">
        <v>30</v>
      </c>
      <c r="DF116" t="s">
        <v>30</v>
      </c>
      <c r="DG116" t="s">
        <v>30</v>
      </c>
      <c r="DH116" t="s">
        <v>5</v>
      </c>
      <c r="DI116" t="s">
        <v>30</v>
      </c>
      <c r="DJ116" t="s">
        <v>30</v>
      </c>
      <c r="DK116" t="s">
        <v>5</v>
      </c>
      <c r="DL116" t="s">
        <v>5</v>
      </c>
      <c r="DM116" t="s">
        <v>5</v>
      </c>
      <c r="DN116">
        <v>112</v>
      </c>
      <c r="DO116">
        <v>70</v>
      </c>
      <c r="DP116">
        <v>1.0669999999999999</v>
      </c>
      <c r="DQ116">
        <v>1.081</v>
      </c>
      <c r="DU116">
        <v>1013</v>
      </c>
      <c r="DV116" t="s">
        <v>263</v>
      </c>
      <c r="DW116" t="s">
        <v>263</v>
      </c>
      <c r="DX116">
        <v>1</v>
      </c>
      <c r="EE116">
        <v>44065427</v>
      </c>
      <c r="EF116">
        <v>40</v>
      </c>
      <c r="EG116" t="s">
        <v>172</v>
      </c>
      <c r="EH116">
        <v>0</v>
      </c>
      <c r="EI116" t="s">
        <v>5</v>
      </c>
      <c r="EJ116">
        <v>2</v>
      </c>
      <c r="EK116">
        <v>1608</v>
      </c>
      <c r="EL116" t="s">
        <v>183</v>
      </c>
      <c r="EM116" t="s">
        <v>184</v>
      </c>
      <c r="EO116" t="s">
        <v>5</v>
      </c>
      <c r="EQ116">
        <v>131072</v>
      </c>
      <c r="ER116">
        <v>2758.02</v>
      </c>
      <c r="ES116">
        <v>1056.58</v>
      </c>
      <c r="ET116">
        <v>11.91</v>
      </c>
      <c r="EU116">
        <v>2.81</v>
      </c>
      <c r="EV116">
        <v>1689.53</v>
      </c>
      <c r="EW116">
        <v>124.68</v>
      </c>
      <c r="EX116">
        <v>0</v>
      </c>
      <c r="EY116">
        <v>0</v>
      </c>
      <c r="FQ116">
        <v>0</v>
      </c>
      <c r="FR116">
        <f t="shared" si="102"/>
        <v>0</v>
      </c>
      <c r="FS116">
        <v>0</v>
      </c>
      <c r="FX116">
        <v>112</v>
      </c>
      <c r="FY116">
        <v>70</v>
      </c>
      <c r="GA116" t="s">
        <v>5</v>
      </c>
      <c r="GD116">
        <v>0</v>
      </c>
      <c r="GF116">
        <v>-1013346958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103"/>
        <v>0</v>
      </c>
      <c r="GM116">
        <f t="shared" si="104"/>
        <v>0</v>
      </c>
      <c r="GN116">
        <f t="shared" si="105"/>
        <v>0</v>
      </c>
      <c r="GO116">
        <f t="shared" si="106"/>
        <v>0</v>
      </c>
      <c r="GP116">
        <f t="shared" si="107"/>
        <v>0</v>
      </c>
      <c r="GR116">
        <v>0</v>
      </c>
      <c r="GS116">
        <v>0</v>
      </c>
      <c r="GT116">
        <v>0</v>
      </c>
      <c r="GU116" t="s">
        <v>5</v>
      </c>
      <c r="GV116">
        <f t="shared" si="108"/>
        <v>0</v>
      </c>
      <c r="GW116">
        <v>1</v>
      </c>
      <c r="GX116">
        <f t="shared" si="109"/>
        <v>0</v>
      </c>
      <c r="HA116">
        <v>0</v>
      </c>
      <c r="HB116">
        <v>0</v>
      </c>
      <c r="HC116">
        <f t="shared" si="110"/>
        <v>0</v>
      </c>
      <c r="IK116">
        <v>0</v>
      </c>
    </row>
    <row r="117" spans="1:245" x14ac:dyDescent="0.2">
      <c r="A117">
        <v>17</v>
      </c>
      <c r="B117">
        <v>1</v>
      </c>
      <c r="E117" t="s">
        <v>265</v>
      </c>
      <c r="F117" t="s">
        <v>266</v>
      </c>
      <c r="G117" t="s">
        <v>267</v>
      </c>
      <c r="H117" t="s">
        <v>268</v>
      </c>
      <c r="I117">
        <f>ROUND(I116/3*100,9)</f>
        <v>0</v>
      </c>
      <c r="J117">
        <v>0</v>
      </c>
      <c r="O117">
        <f t="shared" si="71"/>
        <v>0</v>
      </c>
      <c r="P117">
        <f t="shared" si="72"/>
        <v>0</v>
      </c>
      <c r="Q117">
        <f>(ROUND((ROUND((((ET117*1.2*1.15))*AV117*I117),2)*BB117),2)+ROUND((ROUND(((AE117-((EU117*1.2*1.15)))*AV117*I117),2)*BS117),2))</f>
        <v>0</v>
      </c>
      <c r="R117">
        <f t="shared" si="74"/>
        <v>0</v>
      </c>
      <c r="S117">
        <f t="shared" si="75"/>
        <v>0</v>
      </c>
      <c r="T117">
        <f t="shared" si="76"/>
        <v>0</v>
      </c>
      <c r="U117">
        <f t="shared" si="77"/>
        <v>0</v>
      </c>
      <c r="V117">
        <f t="shared" si="78"/>
        <v>0</v>
      </c>
      <c r="W117">
        <f t="shared" si="79"/>
        <v>0</v>
      </c>
      <c r="X117">
        <f t="shared" si="80"/>
        <v>0</v>
      </c>
      <c r="Y117">
        <f t="shared" si="81"/>
        <v>0</v>
      </c>
      <c r="AA117">
        <v>44175501</v>
      </c>
      <c r="AB117">
        <f t="shared" si="82"/>
        <v>5982.6</v>
      </c>
      <c r="AC117">
        <f t="shared" si="116"/>
        <v>5982.6</v>
      </c>
      <c r="AD117">
        <f>ROUND(((((ET117*1.2*1.15))-((EU117*1.2*1.15)))+AE117),6)</f>
        <v>0</v>
      </c>
      <c r="AE117">
        <f t="shared" si="117"/>
        <v>0</v>
      </c>
      <c r="AF117">
        <f t="shared" si="117"/>
        <v>0</v>
      </c>
      <c r="AG117">
        <f t="shared" si="87"/>
        <v>0</v>
      </c>
      <c r="AH117">
        <f t="shared" si="118"/>
        <v>0</v>
      </c>
      <c r="AI117">
        <f t="shared" si="118"/>
        <v>0</v>
      </c>
      <c r="AJ117">
        <f t="shared" si="90"/>
        <v>0</v>
      </c>
      <c r="AK117">
        <v>5982.6</v>
      </c>
      <c r="AL117">
        <v>5982.6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2.78</v>
      </c>
      <c r="BD117" t="s">
        <v>5</v>
      </c>
      <c r="BE117" t="s">
        <v>5</v>
      </c>
      <c r="BF117" t="s">
        <v>5</v>
      </c>
      <c r="BG117" t="s">
        <v>5</v>
      </c>
      <c r="BH117">
        <v>3</v>
      </c>
      <c r="BI117">
        <v>2</v>
      </c>
      <c r="BJ117" t="s">
        <v>269</v>
      </c>
      <c r="BM117">
        <v>1618</v>
      </c>
      <c r="BN117">
        <v>0</v>
      </c>
      <c r="BO117" t="s">
        <v>266</v>
      </c>
      <c r="BP117">
        <v>1</v>
      </c>
      <c r="BQ117">
        <v>201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5</v>
      </c>
      <c r="BZ117">
        <v>0</v>
      </c>
      <c r="CA117">
        <v>0</v>
      </c>
      <c r="CE117">
        <v>30</v>
      </c>
      <c r="CF117">
        <v>0</v>
      </c>
      <c r="CG117">
        <v>0</v>
      </c>
      <c r="CM117">
        <v>0</v>
      </c>
      <c r="CN117" t="s">
        <v>5</v>
      </c>
      <c r="CO117">
        <v>0</v>
      </c>
      <c r="CP117">
        <f t="shared" si="91"/>
        <v>0</v>
      </c>
      <c r="CQ117">
        <f t="shared" si="92"/>
        <v>16631.63</v>
      </c>
      <c r="CR117">
        <f>(ROUND((ROUND((((ET117*1.2*1.15))*AV117*1),2)*BB117),2)+ROUND((ROUND(((AE117-((EU117*1.2*1.15)))*AV117*1),2)*BS117),2))</f>
        <v>0</v>
      </c>
      <c r="CS117">
        <f t="shared" si="94"/>
        <v>0</v>
      </c>
      <c r="CT117">
        <f t="shared" si="95"/>
        <v>0</v>
      </c>
      <c r="CU117">
        <f t="shared" si="96"/>
        <v>0</v>
      </c>
      <c r="CV117">
        <f t="shared" si="97"/>
        <v>0</v>
      </c>
      <c r="CW117">
        <f t="shared" si="98"/>
        <v>0</v>
      </c>
      <c r="CX117">
        <f t="shared" si="99"/>
        <v>0</v>
      </c>
      <c r="CY117">
        <f t="shared" si="100"/>
        <v>0</v>
      </c>
      <c r="CZ117">
        <f t="shared" si="101"/>
        <v>0</v>
      </c>
      <c r="DC117" t="s">
        <v>5</v>
      </c>
      <c r="DD117" t="s">
        <v>5</v>
      </c>
      <c r="DE117" t="s">
        <v>30</v>
      </c>
      <c r="DF117" t="s">
        <v>30</v>
      </c>
      <c r="DG117" t="s">
        <v>30</v>
      </c>
      <c r="DH117" t="s">
        <v>5</v>
      </c>
      <c r="DI117" t="s">
        <v>30</v>
      </c>
      <c r="DJ117" t="s">
        <v>30</v>
      </c>
      <c r="DK117" t="s">
        <v>5</v>
      </c>
      <c r="DL117" t="s">
        <v>5</v>
      </c>
      <c r="DM117" t="s">
        <v>5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268</v>
      </c>
      <c r="DW117" t="s">
        <v>268</v>
      </c>
      <c r="DX117">
        <v>1</v>
      </c>
      <c r="EE117">
        <v>44065437</v>
      </c>
      <c r="EF117">
        <v>201</v>
      </c>
      <c r="EG117" t="s">
        <v>201</v>
      </c>
      <c r="EH117">
        <v>0</v>
      </c>
      <c r="EI117" t="s">
        <v>5</v>
      </c>
      <c r="EJ117">
        <v>2</v>
      </c>
      <c r="EK117">
        <v>1618</v>
      </c>
      <c r="EL117" t="s">
        <v>202</v>
      </c>
      <c r="EM117" t="s">
        <v>203</v>
      </c>
      <c r="EO117" t="s">
        <v>5</v>
      </c>
      <c r="EQ117">
        <v>131072</v>
      </c>
      <c r="ER117">
        <v>5982.6</v>
      </c>
      <c r="ES117">
        <v>5982.6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102"/>
        <v>0</v>
      </c>
      <c r="FS117">
        <v>0</v>
      </c>
      <c r="FX117">
        <v>0</v>
      </c>
      <c r="FY117">
        <v>0</v>
      </c>
      <c r="GA117" t="s">
        <v>5</v>
      </c>
      <c r="GD117">
        <v>0</v>
      </c>
      <c r="GF117">
        <v>151988484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103"/>
        <v>0</v>
      </c>
      <c r="GM117">
        <f t="shared" si="104"/>
        <v>0</v>
      </c>
      <c r="GN117">
        <f t="shared" si="105"/>
        <v>0</v>
      </c>
      <c r="GO117">
        <f t="shared" si="106"/>
        <v>0</v>
      </c>
      <c r="GP117">
        <f t="shared" si="107"/>
        <v>0</v>
      </c>
      <c r="GR117">
        <v>0</v>
      </c>
      <c r="GS117">
        <v>0</v>
      </c>
      <c r="GT117">
        <v>0</v>
      </c>
      <c r="GU117" t="s">
        <v>5</v>
      </c>
      <c r="GV117">
        <f t="shared" si="108"/>
        <v>0</v>
      </c>
      <c r="GW117">
        <v>1</v>
      </c>
      <c r="GX117">
        <f t="shared" si="109"/>
        <v>0</v>
      </c>
      <c r="HA117">
        <v>0</v>
      </c>
      <c r="HB117">
        <v>0</v>
      </c>
      <c r="HC117">
        <f t="shared" si="110"/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ROW(SmtRes!A46)</f>
        <v>46</v>
      </c>
      <c r="D118">
        <f>ROW(EtalonRes!A60)</f>
        <v>60</v>
      </c>
      <c r="E118" t="s">
        <v>270</v>
      </c>
      <c r="F118" t="s">
        <v>271</v>
      </c>
      <c r="G118" t="s">
        <v>272</v>
      </c>
      <c r="H118" t="s">
        <v>273</v>
      </c>
      <c r="I118">
        <f>ROUND(60/100,9)</f>
        <v>0.6</v>
      </c>
      <c r="J118">
        <v>0</v>
      </c>
      <c r="O118">
        <f t="shared" si="71"/>
        <v>45676.959999999999</v>
      </c>
      <c r="P118">
        <f t="shared" si="72"/>
        <v>1670.55</v>
      </c>
      <c r="Q118">
        <f>(ROUND((ROUND((((ET118*1.2*1.15))*AV118*I118),2)*BB118),2)+ROUND((ROUND(((AE118-((EU118*1.2*1.15)))*AV118*I118),2)*BS118),2))</f>
        <v>4129.47</v>
      </c>
      <c r="R118">
        <f t="shared" si="74"/>
        <v>1152.08</v>
      </c>
      <c r="S118">
        <f t="shared" si="75"/>
        <v>39876.94</v>
      </c>
      <c r="T118">
        <f t="shared" si="76"/>
        <v>0</v>
      </c>
      <c r="U118">
        <f t="shared" si="77"/>
        <v>135.14353523999998</v>
      </c>
      <c r="V118">
        <f t="shared" si="78"/>
        <v>0</v>
      </c>
      <c r="W118">
        <f t="shared" si="79"/>
        <v>0</v>
      </c>
      <c r="X118">
        <f t="shared" si="80"/>
        <v>35889.25</v>
      </c>
      <c r="Y118">
        <f t="shared" si="81"/>
        <v>17147.080000000002</v>
      </c>
      <c r="AA118">
        <v>44175501</v>
      </c>
      <c r="AB118">
        <f t="shared" si="82"/>
        <v>4468.5684000000001</v>
      </c>
      <c r="AC118">
        <f t="shared" si="116"/>
        <v>519.45000000000005</v>
      </c>
      <c r="AD118">
        <f>ROUND(((((ET118*1.2*1.15))-((EU118*1.2*1.15)))+AE118),6)</f>
        <v>987.00360000000001</v>
      </c>
      <c r="AE118">
        <f t="shared" si="117"/>
        <v>85.573800000000006</v>
      </c>
      <c r="AF118">
        <f t="shared" si="117"/>
        <v>2962.1147999999998</v>
      </c>
      <c r="AG118">
        <f t="shared" si="87"/>
        <v>0</v>
      </c>
      <c r="AH118">
        <f t="shared" si="118"/>
        <v>215.12819999999996</v>
      </c>
      <c r="AI118">
        <f t="shared" si="118"/>
        <v>0</v>
      </c>
      <c r="AJ118">
        <f t="shared" si="90"/>
        <v>0</v>
      </c>
      <c r="AK118">
        <v>3381.13</v>
      </c>
      <c r="AL118">
        <v>519.45000000000005</v>
      </c>
      <c r="AM118">
        <v>715.22</v>
      </c>
      <c r="AN118">
        <v>62.01</v>
      </c>
      <c r="AO118">
        <v>2146.46</v>
      </c>
      <c r="AP118">
        <v>0</v>
      </c>
      <c r="AQ118">
        <v>155.88999999999999</v>
      </c>
      <c r="AR118">
        <v>0</v>
      </c>
      <c r="AS118">
        <v>0</v>
      </c>
      <c r="AT118">
        <v>90</v>
      </c>
      <c r="AU118">
        <v>43</v>
      </c>
      <c r="AV118">
        <v>1.0469999999999999</v>
      </c>
      <c r="AW118">
        <v>1</v>
      </c>
      <c r="AZ118">
        <v>1</v>
      </c>
      <c r="BA118">
        <v>21.43</v>
      </c>
      <c r="BB118">
        <v>6.66</v>
      </c>
      <c r="BC118">
        <v>5.36</v>
      </c>
      <c r="BD118" t="s">
        <v>5</v>
      </c>
      <c r="BE118" t="s">
        <v>5</v>
      </c>
      <c r="BF118" t="s">
        <v>5</v>
      </c>
      <c r="BG118" t="s">
        <v>5</v>
      </c>
      <c r="BH118">
        <v>0</v>
      </c>
      <c r="BI118">
        <v>2</v>
      </c>
      <c r="BJ118" t="s">
        <v>274</v>
      </c>
      <c r="BM118">
        <v>1608</v>
      </c>
      <c r="BN118">
        <v>0</v>
      </c>
      <c r="BO118" t="s">
        <v>271</v>
      </c>
      <c r="BP118">
        <v>1</v>
      </c>
      <c r="BQ118">
        <v>40</v>
      </c>
      <c r="BR118">
        <v>0</v>
      </c>
      <c r="BS118">
        <v>21.43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5</v>
      </c>
      <c r="BZ118">
        <v>90</v>
      </c>
      <c r="CA118">
        <v>43</v>
      </c>
      <c r="CE118">
        <v>30</v>
      </c>
      <c r="CF118">
        <v>0</v>
      </c>
      <c r="CG118">
        <v>0</v>
      </c>
      <c r="CM118">
        <v>0</v>
      </c>
      <c r="CN118" t="s">
        <v>5</v>
      </c>
      <c r="CO118">
        <v>0</v>
      </c>
      <c r="CP118">
        <f t="shared" si="91"/>
        <v>45676.960000000006</v>
      </c>
      <c r="CQ118">
        <f t="shared" si="92"/>
        <v>2784.25</v>
      </c>
      <c r="CR118">
        <f>(ROUND((ROUND((((ET118*1.2*1.15))*AV118*1),2)*BB118),2)+ROUND((ROUND(((AE118-((EU118*1.2*1.15)))*AV118*1),2)*BS118),2))</f>
        <v>6882.38</v>
      </c>
      <c r="CS118">
        <f t="shared" si="94"/>
        <v>1920.13</v>
      </c>
      <c r="CT118">
        <f t="shared" si="95"/>
        <v>66461.5</v>
      </c>
      <c r="CU118">
        <f t="shared" si="96"/>
        <v>0</v>
      </c>
      <c r="CV118">
        <f t="shared" si="97"/>
        <v>225.23922539999995</v>
      </c>
      <c r="CW118">
        <f t="shared" si="98"/>
        <v>0</v>
      </c>
      <c r="CX118">
        <f t="shared" si="99"/>
        <v>0</v>
      </c>
      <c r="CY118">
        <f t="shared" si="100"/>
        <v>35889.246000000006</v>
      </c>
      <c r="CZ118">
        <f t="shared" si="101"/>
        <v>17147.084200000001</v>
      </c>
      <c r="DC118" t="s">
        <v>5</v>
      </c>
      <c r="DD118" t="s">
        <v>5</v>
      </c>
      <c r="DE118" t="s">
        <v>30</v>
      </c>
      <c r="DF118" t="s">
        <v>30</v>
      </c>
      <c r="DG118" t="s">
        <v>30</v>
      </c>
      <c r="DH118" t="s">
        <v>5</v>
      </c>
      <c r="DI118" t="s">
        <v>30</v>
      </c>
      <c r="DJ118" t="s">
        <v>30</v>
      </c>
      <c r="DK118" t="s">
        <v>5</v>
      </c>
      <c r="DL118" t="s">
        <v>5</v>
      </c>
      <c r="DM118" t="s">
        <v>5</v>
      </c>
      <c r="DN118">
        <v>112</v>
      </c>
      <c r="DO118">
        <v>70</v>
      </c>
      <c r="DP118">
        <v>1.0669999999999999</v>
      </c>
      <c r="DQ118">
        <v>1.081</v>
      </c>
      <c r="DU118">
        <v>1013</v>
      </c>
      <c r="DV118" t="s">
        <v>273</v>
      </c>
      <c r="DW118" t="s">
        <v>273</v>
      </c>
      <c r="DX118">
        <v>1</v>
      </c>
      <c r="EE118">
        <v>44065427</v>
      </c>
      <c r="EF118">
        <v>40</v>
      </c>
      <c r="EG118" t="s">
        <v>172</v>
      </c>
      <c r="EH118">
        <v>0</v>
      </c>
      <c r="EI118" t="s">
        <v>5</v>
      </c>
      <c r="EJ118">
        <v>2</v>
      </c>
      <c r="EK118">
        <v>1608</v>
      </c>
      <c r="EL118" t="s">
        <v>183</v>
      </c>
      <c r="EM118" t="s">
        <v>184</v>
      </c>
      <c r="EO118" t="s">
        <v>5</v>
      </c>
      <c r="EQ118">
        <v>131072</v>
      </c>
      <c r="ER118">
        <v>3381.13</v>
      </c>
      <c r="ES118">
        <v>519.45000000000005</v>
      </c>
      <c r="ET118">
        <v>715.22</v>
      </c>
      <c r="EU118">
        <v>62.01</v>
      </c>
      <c r="EV118">
        <v>2146.46</v>
      </c>
      <c r="EW118">
        <v>155.88999999999999</v>
      </c>
      <c r="EX118">
        <v>0</v>
      </c>
      <c r="EY118">
        <v>0</v>
      </c>
      <c r="FQ118">
        <v>0</v>
      </c>
      <c r="FR118">
        <f t="shared" si="102"/>
        <v>0</v>
      </c>
      <c r="FS118">
        <v>0</v>
      </c>
      <c r="FX118">
        <v>112</v>
      </c>
      <c r="FY118">
        <v>70</v>
      </c>
      <c r="GA118" t="s">
        <v>5</v>
      </c>
      <c r="GD118">
        <v>0</v>
      </c>
      <c r="GF118">
        <v>1031233031</v>
      </c>
      <c r="GG118">
        <v>2</v>
      </c>
      <c r="GH118">
        <v>1</v>
      </c>
      <c r="GI118">
        <v>2</v>
      </c>
      <c r="GJ118">
        <v>0</v>
      </c>
      <c r="GK118">
        <f>ROUND(R118*(R12)/100,2)</f>
        <v>1808.77</v>
      </c>
      <c r="GL118">
        <f t="shared" si="103"/>
        <v>0</v>
      </c>
      <c r="GM118">
        <f t="shared" si="104"/>
        <v>100522.06</v>
      </c>
      <c r="GN118">
        <f t="shared" si="105"/>
        <v>0</v>
      </c>
      <c r="GO118">
        <f t="shared" si="106"/>
        <v>100522.06</v>
      </c>
      <c r="GP118">
        <f t="shared" si="107"/>
        <v>0</v>
      </c>
      <c r="GR118">
        <v>0</v>
      </c>
      <c r="GS118">
        <v>0</v>
      </c>
      <c r="GT118">
        <v>0</v>
      </c>
      <c r="GU118" t="s">
        <v>5</v>
      </c>
      <c r="GV118">
        <f t="shared" si="108"/>
        <v>0</v>
      </c>
      <c r="GW118">
        <v>1</v>
      </c>
      <c r="GX118">
        <f t="shared" si="109"/>
        <v>0</v>
      </c>
      <c r="HA118">
        <v>0</v>
      </c>
      <c r="HB118">
        <v>0</v>
      </c>
      <c r="HC118">
        <f t="shared" si="110"/>
        <v>0</v>
      </c>
      <c r="IK118">
        <v>0</v>
      </c>
    </row>
    <row r="119" spans="1:245" x14ac:dyDescent="0.2">
      <c r="A119">
        <v>18</v>
      </c>
      <c r="B119">
        <v>1</v>
      </c>
      <c r="C119">
        <v>46</v>
      </c>
      <c r="E119" t="s">
        <v>275</v>
      </c>
      <c r="F119" t="s">
        <v>276</v>
      </c>
      <c r="G119" t="s">
        <v>277</v>
      </c>
      <c r="H119" t="s">
        <v>278</v>
      </c>
      <c r="I119">
        <f>I118*J119</f>
        <v>60</v>
      </c>
      <c r="J119">
        <v>100</v>
      </c>
      <c r="O119">
        <f t="shared" si="71"/>
        <v>19080.849999999999</v>
      </c>
      <c r="P119">
        <f t="shared" si="72"/>
        <v>19080.849999999999</v>
      </c>
      <c r="Q119">
        <f>(ROUND((ROUND(((ET119)*AV119*I119),2)*BB119),2)+ROUND((ROUND(((AE119-(EU119))*AV119*I119),2)*BS119),2))</f>
        <v>0</v>
      </c>
      <c r="R119">
        <f t="shared" si="74"/>
        <v>0</v>
      </c>
      <c r="S119">
        <f t="shared" si="75"/>
        <v>0</v>
      </c>
      <c r="T119">
        <f t="shared" si="76"/>
        <v>0</v>
      </c>
      <c r="U119">
        <f t="shared" si="77"/>
        <v>0</v>
      </c>
      <c r="V119">
        <f t="shared" si="78"/>
        <v>0</v>
      </c>
      <c r="W119">
        <f t="shared" si="79"/>
        <v>0</v>
      </c>
      <c r="X119">
        <f t="shared" si="80"/>
        <v>0</v>
      </c>
      <c r="Y119">
        <f t="shared" si="81"/>
        <v>0</v>
      </c>
      <c r="AA119">
        <v>44175501</v>
      </c>
      <c r="AB119">
        <f t="shared" si="82"/>
        <v>153.63</v>
      </c>
      <c r="AC119">
        <f t="shared" si="116"/>
        <v>153.63</v>
      </c>
      <c r="AD119">
        <f>ROUND((((ET119)-(EU119))+AE119),6)</f>
        <v>0</v>
      </c>
      <c r="AE119">
        <f>ROUND((EU119),6)</f>
        <v>0</v>
      </c>
      <c r="AF119">
        <f>ROUND((EV119),6)</f>
        <v>0</v>
      </c>
      <c r="AG119">
        <f t="shared" si="87"/>
        <v>0</v>
      </c>
      <c r="AH119">
        <f>(EW119)</f>
        <v>0</v>
      </c>
      <c r="AI119">
        <f>(EX119)</f>
        <v>0</v>
      </c>
      <c r="AJ119">
        <f t="shared" si="90"/>
        <v>0</v>
      </c>
      <c r="AK119">
        <v>153.63</v>
      </c>
      <c r="AL119">
        <v>153.63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2.0699999999999998</v>
      </c>
      <c r="BD119" t="s">
        <v>5</v>
      </c>
      <c r="BE119" t="s">
        <v>5</v>
      </c>
      <c r="BF119" t="s">
        <v>5</v>
      </c>
      <c r="BG119" t="s">
        <v>5</v>
      </c>
      <c r="BH119">
        <v>3</v>
      </c>
      <c r="BI119">
        <v>2</v>
      </c>
      <c r="BJ119" t="s">
        <v>279</v>
      </c>
      <c r="BM119">
        <v>1608</v>
      </c>
      <c r="BN119">
        <v>0</v>
      </c>
      <c r="BO119" t="s">
        <v>276</v>
      </c>
      <c r="BP119">
        <v>1</v>
      </c>
      <c r="BQ119">
        <v>40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5</v>
      </c>
      <c r="BZ119">
        <v>0</v>
      </c>
      <c r="CA119">
        <v>0</v>
      </c>
      <c r="CE119">
        <v>30</v>
      </c>
      <c r="CF119">
        <v>0</v>
      </c>
      <c r="CG119">
        <v>0</v>
      </c>
      <c r="CM119">
        <v>0</v>
      </c>
      <c r="CN119" t="s">
        <v>5</v>
      </c>
      <c r="CO119">
        <v>0</v>
      </c>
      <c r="CP119">
        <f t="shared" si="91"/>
        <v>19080.849999999999</v>
      </c>
      <c r="CQ119">
        <f t="shared" si="92"/>
        <v>318.01</v>
      </c>
      <c r="CR119">
        <f>(ROUND((ROUND(((ET119)*AV119*1),2)*BB119),2)+ROUND((ROUND(((AE119-(EU119))*AV119*1),2)*BS119),2))</f>
        <v>0</v>
      </c>
      <c r="CS119">
        <f t="shared" si="94"/>
        <v>0</v>
      </c>
      <c r="CT119">
        <f t="shared" si="95"/>
        <v>0</v>
      </c>
      <c r="CU119">
        <f t="shared" si="96"/>
        <v>0</v>
      </c>
      <c r="CV119">
        <f t="shared" si="97"/>
        <v>0</v>
      </c>
      <c r="CW119">
        <f t="shared" si="98"/>
        <v>0</v>
      </c>
      <c r="CX119">
        <f t="shared" si="99"/>
        <v>0</v>
      </c>
      <c r="CY119">
        <f t="shared" si="100"/>
        <v>0</v>
      </c>
      <c r="CZ119">
        <f t="shared" si="101"/>
        <v>0</v>
      </c>
      <c r="DC119" t="s">
        <v>5</v>
      </c>
      <c r="DD119" t="s">
        <v>5</v>
      </c>
      <c r="DE119" t="s">
        <v>5</v>
      </c>
      <c r="DF119" t="s">
        <v>5</v>
      </c>
      <c r="DG119" t="s">
        <v>5</v>
      </c>
      <c r="DH119" t="s">
        <v>5</v>
      </c>
      <c r="DI119" t="s">
        <v>5</v>
      </c>
      <c r="DJ119" t="s">
        <v>5</v>
      </c>
      <c r="DK119" t="s">
        <v>5</v>
      </c>
      <c r="DL119" t="s">
        <v>5</v>
      </c>
      <c r="DM119" t="s">
        <v>5</v>
      </c>
      <c r="DN119">
        <v>112</v>
      </c>
      <c r="DO119">
        <v>70</v>
      </c>
      <c r="DP119">
        <v>1.0669999999999999</v>
      </c>
      <c r="DQ119">
        <v>1.081</v>
      </c>
      <c r="DU119">
        <v>1013</v>
      </c>
      <c r="DV119" t="s">
        <v>278</v>
      </c>
      <c r="DW119" t="s">
        <v>278</v>
      </c>
      <c r="DX119">
        <v>1</v>
      </c>
      <c r="EE119">
        <v>44065427</v>
      </c>
      <c r="EF119">
        <v>40</v>
      </c>
      <c r="EG119" t="s">
        <v>172</v>
      </c>
      <c r="EH119">
        <v>0</v>
      </c>
      <c r="EI119" t="s">
        <v>5</v>
      </c>
      <c r="EJ119">
        <v>2</v>
      </c>
      <c r="EK119">
        <v>1608</v>
      </c>
      <c r="EL119" t="s">
        <v>183</v>
      </c>
      <c r="EM119" t="s">
        <v>184</v>
      </c>
      <c r="EO119" t="s">
        <v>5</v>
      </c>
      <c r="EQ119">
        <v>0</v>
      </c>
      <c r="ER119">
        <v>153.63</v>
      </c>
      <c r="ES119">
        <v>153.63</v>
      </c>
      <c r="ET119">
        <v>0</v>
      </c>
      <c r="EU119">
        <v>0</v>
      </c>
      <c r="EV119">
        <v>0</v>
      </c>
      <c r="EW119">
        <v>0</v>
      </c>
      <c r="EX119">
        <v>0</v>
      </c>
      <c r="FQ119">
        <v>0</v>
      </c>
      <c r="FR119">
        <f t="shared" si="102"/>
        <v>0</v>
      </c>
      <c r="FS119">
        <v>0</v>
      </c>
      <c r="FX119">
        <v>112</v>
      </c>
      <c r="FY119">
        <v>70</v>
      </c>
      <c r="GA119" t="s">
        <v>5</v>
      </c>
      <c r="GD119">
        <v>0</v>
      </c>
      <c r="GF119">
        <v>-2023689584</v>
      </c>
      <c r="GG119">
        <v>2</v>
      </c>
      <c r="GH119">
        <v>1</v>
      </c>
      <c r="GI119">
        <v>2</v>
      </c>
      <c r="GJ119">
        <v>0</v>
      </c>
      <c r="GK119">
        <f>ROUND(R119*(R12)/100,2)</f>
        <v>0</v>
      </c>
      <c r="GL119">
        <f t="shared" si="103"/>
        <v>0</v>
      </c>
      <c r="GM119">
        <f t="shared" si="104"/>
        <v>19080.849999999999</v>
      </c>
      <c r="GN119">
        <f t="shared" si="105"/>
        <v>0</v>
      </c>
      <c r="GO119">
        <f t="shared" si="106"/>
        <v>19080.849999999999</v>
      </c>
      <c r="GP119">
        <f t="shared" si="107"/>
        <v>0</v>
      </c>
      <c r="GR119">
        <v>0</v>
      </c>
      <c r="GS119">
        <v>0</v>
      </c>
      <c r="GT119">
        <v>0</v>
      </c>
      <c r="GU119" t="s">
        <v>5</v>
      </c>
      <c r="GV119">
        <f t="shared" si="108"/>
        <v>0</v>
      </c>
      <c r="GW119">
        <v>1</v>
      </c>
      <c r="GX119">
        <f t="shared" si="109"/>
        <v>0</v>
      </c>
      <c r="HA119">
        <v>0</v>
      </c>
      <c r="HB119">
        <v>0</v>
      </c>
      <c r="HC119">
        <f t="shared" si="110"/>
        <v>0</v>
      </c>
      <c r="IK119">
        <v>0</v>
      </c>
    </row>
    <row r="121" spans="1:245" x14ac:dyDescent="0.2">
      <c r="A121" s="2">
        <v>51</v>
      </c>
      <c r="B121" s="2">
        <f>B79</f>
        <v>1</v>
      </c>
      <c r="C121" s="2">
        <f>A79</f>
        <v>4</v>
      </c>
      <c r="D121" s="2">
        <f>ROW(A79)</f>
        <v>79</v>
      </c>
      <c r="E121" s="2"/>
      <c r="F121" s="2" t="str">
        <f>IF(F79&lt;&gt;"",F79,"")</f>
        <v>Новый раздел</v>
      </c>
      <c r="G121" s="2" t="str">
        <f>IF(G79&lt;&gt;"",G79,"")</f>
        <v>Прокладка кабеля в земле. Монтажные работы.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119">ROUND(AB121,2)</f>
        <v>5253268.28</v>
      </c>
      <c r="P121" s="2">
        <f t="shared" si="119"/>
        <v>4562266.2699999996</v>
      </c>
      <c r="Q121" s="2">
        <f t="shared" si="119"/>
        <v>101451.14</v>
      </c>
      <c r="R121" s="2">
        <f t="shared" si="119"/>
        <v>48943.56</v>
      </c>
      <c r="S121" s="2">
        <f t="shared" si="119"/>
        <v>589550.87</v>
      </c>
      <c r="T121" s="2">
        <f t="shared" si="119"/>
        <v>0</v>
      </c>
      <c r="U121" s="2">
        <f>AH121</f>
        <v>2167.9024617136797</v>
      </c>
      <c r="V121" s="2">
        <f>AI121</f>
        <v>0</v>
      </c>
      <c r="W121" s="2">
        <f>ROUND(AJ121,2)</f>
        <v>0</v>
      </c>
      <c r="X121" s="2">
        <f>ROUND(AK121,2)</f>
        <v>530595.79</v>
      </c>
      <c r="Y121" s="2">
        <f>ROUND(AL121,2)</f>
        <v>253506.85</v>
      </c>
      <c r="Z121" s="2"/>
      <c r="AA121" s="2"/>
      <c r="AB121" s="2">
        <f>ROUND(SUMIF(AA83:AA119,"=44175501",O83:O119),2)</f>
        <v>5253268.28</v>
      </c>
      <c r="AC121" s="2">
        <f>ROUND(SUMIF(AA83:AA119,"=44175501",P83:P119),2)</f>
        <v>4562266.2699999996</v>
      </c>
      <c r="AD121" s="2">
        <f>ROUND(SUMIF(AA83:AA119,"=44175501",Q83:Q119),2)</f>
        <v>101451.14</v>
      </c>
      <c r="AE121" s="2">
        <f>ROUND(SUMIF(AA83:AA119,"=44175501",R83:R119),2)</f>
        <v>48943.56</v>
      </c>
      <c r="AF121" s="2">
        <f>ROUND(SUMIF(AA83:AA119,"=44175501",S83:S119),2)</f>
        <v>589550.87</v>
      </c>
      <c r="AG121" s="2">
        <f>ROUND(SUMIF(AA83:AA119,"=44175501",T83:T119),2)</f>
        <v>0</v>
      </c>
      <c r="AH121" s="2">
        <f>SUMIF(AA83:AA119,"=44175501",U83:U119)</f>
        <v>2167.9024617136797</v>
      </c>
      <c r="AI121" s="2">
        <f>SUMIF(AA83:AA119,"=44175501",V83:V119)</f>
        <v>0</v>
      </c>
      <c r="AJ121" s="2">
        <f>ROUND(SUMIF(AA83:AA119,"=44175501",W83:W119),2)</f>
        <v>0</v>
      </c>
      <c r="AK121" s="2">
        <f>ROUND(SUMIF(AA83:AA119,"=44175501",X83:X119),2)</f>
        <v>530595.79</v>
      </c>
      <c r="AL121" s="2">
        <f>ROUND(SUMIF(AA83:AA119,"=44175501",Y83:Y119),2)</f>
        <v>253506.85</v>
      </c>
      <c r="AM121" s="2"/>
      <c r="AN121" s="2"/>
      <c r="AO121" s="2">
        <f t="shared" ref="AO121:BD121" si="120">ROUND(BX121,2)</f>
        <v>0</v>
      </c>
      <c r="AP121" s="2">
        <f t="shared" si="120"/>
        <v>0</v>
      </c>
      <c r="AQ121" s="2">
        <f t="shared" si="120"/>
        <v>0</v>
      </c>
      <c r="AR121" s="2">
        <f t="shared" si="120"/>
        <v>6114212.2999999998</v>
      </c>
      <c r="AS121" s="2">
        <f t="shared" si="120"/>
        <v>149449</v>
      </c>
      <c r="AT121" s="2">
        <f t="shared" si="120"/>
        <v>5964763.2999999998</v>
      </c>
      <c r="AU121" s="2">
        <f t="shared" si="120"/>
        <v>0</v>
      </c>
      <c r="AV121" s="2">
        <f t="shared" si="120"/>
        <v>4562266.2699999996</v>
      </c>
      <c r="AW121" s="2">
        <f t="shared" si="120"/>
        <v>4562266.2699999996</v>
      </c>
      <c r="AX121" s="2">
        <f t="shared" si="120"/>
        <v>0</v>
      </c>
      <c r="AY121" s="2">
        <f t="shared" si="120"/>
        <v>4562266.2699999996</v>
      </c>
      <c r="AZ121" s="2">
        <f t="shared" si="120"/>
        <v>0</v>
      </c>
      <c r="BA121" s="2">
        <f t="shared" si="120"/>
        <v>0</v>
      </c>
      <c r="BB121" s="2">
        <f t="shared" si="120"/>
        <v>0</v>
      </c>
      <c r="BC121" s="2">
        <f t="shared" si="120"/>
        <v>0</v>
      </c>
      <c r="BD121" s="2">
        <f t="shared" si="120"/>
        <v>0</v>
      </c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>
        <f>ROUND(SUMIF(AA83:AA119,"=44175501",FQ83:FQ119),2)</f>
        <v>0</v>
      </c>
      <c r="BY121" s="2">
        <f>ROUND(SUMIF(AA83:AA119,"=44175501",FR83:FR119),2)</f>
        <v>0</v>
      </c>
      <c r="BZ121" s="2">
        <f>ROUND(SUMIF(AA83:AA119,"=44175501",GL83:GL119),2)</f>
        <v>0</v>
      </c>
      <c r="CA121" s="2">
        <f>ROUND(SUMIF(AA83:AA119,"=44175501",GM83:GM119),2)</f>
        <v>6114212.2999999998</v>
      </c>
      <c r="CB121" s="2">
        <f>ROUND(SUMIF(AA83:AA119,"=44175501",GN83:GN119),2)</f>
        <v>149449</v>
      </c>
      <c r="CC121" s="2">
        <f>ROUND(SUMIF(AA83:AA119,"=44175501",GO83:GO119),2)</f>
        <v>5964763.2999999998</v>
      </c>
      <c r="CD121" s="2">
        <f>ROUND(SUMIF(AA83:AA119,"=44175501",GP83:GP119),2)</f>
        <v>0</v>
      </c>
      <c r="CE121" s="2">
        <f>AC121-BX121</f>
        <v>4562266.2699999996</v>
      </c>
      <c r="CF121" s="2">
        <f>AC121-BY121</f>
        <v>4562266.2699999996</v>
      </c>
      <c r="CG121" s="2">
        <f>BX121-BZ121</f>
        <v>0</v>
      </c>
      <c r="CH121" s="2">
        <f>AC121-BX121-BY121+BZ121</f>
        <v>4562266.2699999996</v>
      </c>
      <c r="CI121" s="2">
        <f>BY121-BZ121</f>
        <v>0</v>
      </c>
      <c r="CJ121" s="2">
        <f>ROUND(SUMIF(AA83:AA119,"=44175501",GX83:GX119),2)</f>
        <v>0</v>
      </c>
      <c r="CK121" s="2">
        <f>ROUND(SUMIF(AA83:AA119,"=44175501",GY83:GY119),2)</f>
        <v>0</v>
      </c>
      <c r="CL121" s="2">
        <f>ROUND(SUMIF(AA83:AA119,"=44175501",GZ83:GZ119),2)</f>
        <v>0</v>
      </c>
      <c r="CM121" s="2">
        <f>ROUND(SUMIF(AA83:AA119,"=44175501",HD83:HD119),2)</f>
        <v>0</v>
      </c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5253268.28</v>
      </c>
      <c r="G123" s="4" t="s">
        <v>110</v>
      </c>
      <c r="H123" s="4" t="s">
        <v>111</v>
      </c>
      <c r="I123" s="4"/>
      <c r="J123" s="4"/>
      <c r="K123" s="4">
        <v>201</v>
      </c>
      <c r="L123" s="4">
        <v>1</v>
      </c>
      <c r="M123" s="4">
        <v>3</v>
      </c>
      <c r="N123" s="4" t="s">
        <v>5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202</v>
      </c>
      <c r="F124" s="4">
        <f>ROUND(Source!P121,O124)</f>
        <v>4562266.2699999996</v>
      </c>
      <c r="G124" s="4" t="s">
        <v>112</v>
      </c>
      <c r="H124" s="4" t="s">
        <v>113</v>
      </c>
      <c r="I124" s="4"/>
      <c r="J124" s="4"/>
      <c r="K124" s="4">
        <v>202</v>
      </c>
      <c r="L124" s="4">
        <v>2</v>
      </c>
      <c r="M124" s="4">
        <v>3</v>
      </c>
      <c r="N124" s="4" t="s">
        <v>5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222</v>
      </c>
      <c r="F125" s="4">
        <f>ROUND(Source!AO121,O125)</f>
        <v>0</v>
      </c>
      <c r="G125" s="4" t="s">
        <v>114</v>
      </c>
      <c r="H125" s="4" t="s">
        <v>115</v>
      </c>
      <c r="I125" s="4"/>
      <c r="J125" s="4"/>
      <c r="K125" s="4">
        <v>222</v>
      </c>
      <c r="L125" s="4">
        <v>3</v>
      </c>
      <c r="M125" s="4">
        <v>3</v>
      </c>
      <c r="N125" s="4" t="s">
        <v>5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4562266.2699999996</v>
      </c>
      <c r="G126" s="4" t="s">
        <v>116</v>
      </c>
      <c r="H126" s="4" t="s">
        <v>117</v>
      </c>
      <c r="I126" s="4"/>
      <c r="J126" s="4"/>
      <c r="K126" s="4">
        <v>225</v>
      </c>
      <c r="L126" s="4">
        <v>4</v>
      </c>
      <c r="M126" s="4">
        <v>3</v>
      </c>
      <c r="N126" s="4" t="s">
        <v>5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4562266.2699999996</v>
      </c>
      <c r="G127" s="4" t="s">
        <v>118</v>
      </c>
      <c r="H127" s="4" t="s">
        <v>119</v>
      </c>
      <c r="I127" s="4"/>
      <c r="J127" s="4"/>
      <c r="K127" s="4">
        <v>226</v>
      </c>
      <c r="L127" s="4">
        <v>5</v>
      </c>
      <c r="M127" s="4">
        <v>3</v>
      </c>
      <c r="N127" s="4" t="s">
        <v>5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227</v>
      </c>
      <c r="F128" s="4">
        <f>ROUND(Source!AX121,O128)</f>
        <v>0</v>
      </c>
      <c r="G128" s="4" t="s">
        <v>120</v>
      </c>
      <c r="H128" s="4" t="s">
        <v>121</v>
      </c>
      <c r="I128" s="4"/>
      <c r="J128" s="4"/>
      <c r="K128" s="4">
        <v>227</v>
      </c>
      <c r="L128" s="4">
        <v>6</v>
      </c>
      <c r="M128" s="4">
        <v>3</v>
      </c>
      <c r="N128" s="4" t="s">
        <v>5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4562266.2699999996</v>
      </c>
      <c r="G129" s="4" t="s">
        <v>122</v>
      </c>
      <c r="H129" s="4" t="s">
        <v>123</v>
      </c>
      <c r="I129" s="4"/>
      <c r="J129" s="4"/>
      <c r="K129" s="4">
        <v>228</v>
      </c>
      <c r="L129" s="4">
        <v>7</v>
      </c>
      <c r="M129" s="4">
        <v>3</v>
      </c>
      <c r="N129" s="4" t="s">
        <v>5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124</v>
      </c>
      <c r="H130" s="4" t="s">
        <v>125</v>
      </c>
      <c r="I130" s="4"/>
      <c r="J130" s="4"/>
      <c r="K130" s="4">
        <v>216</v>
      </c>
      <c r="L130" s="4">
        <v>8</v>
      </c>
      <c r="M130" s="4">
        <v>3</v>
      </c>
      <c r="N130" s="4" t="s">
        <v>5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126</v>
      </c>
      <c r="H131" s="4" t="s">
        <v>127</v>
      </c>
      <c r="I131" s="4"/>
      <c r="J131" s="4"/>
      <c r="K131" s="4">
        <v>223</v>
      </c>
      <c r="L131" s="4">
        <v>9</v>
      </c>
      <c r="M131" s="4">
        <v>3</v>
      </c>
      <c r="N131" s="4" t="s">
        <v>5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128</v>
      </c>
      <c r="H132" s="4" t="s">
        <v>129</v>
      </c>
      <c r="I132" s="4"/>
      <c r="J132" s="4"/>
      <c r="K132" s="4">
        <v>229</v>
      </c>
      <c r="L132" s="4">
        <v>10</v>
      </c>
      <c r="M132" s="4">
        <v>3</v>
      </c>
      <c r="N132" s="4" t="s">
        <v>5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203</v>
      </c>
      <c r="F133" s="4">
        <f>ROUND(Source!Q121,O133)</f>
        <v>101451.14</v>
      </c>
      <c r="G133" s="4" t="s">
        <v>130</v>
      </c>
      <c r="H133" s="4" t="s">
        <v>131</v>
      </c>
      <c r="I133" s="4"/>
      <c r="J133" s="4"/>
      <c r="K133" s="4">
        <v>203</v>
      </c>
      <c r="L133" s="4">
        <v>11</v>
      </c>
      <c r="M133" s="4">
        <v>3</v>
      </c>
      <c r="N133" s="4" t="s">
        <v>5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132</v>
      </c>
      <c r="H134" s="4" t="s">
        <v>133</v>
      </c>
      <c r="I134" s="4"/>
      <c r="J134" s="4"/>
      <c r="K134" s="4">
        <v>231</v>
      </c>
      <c r="L134" s="4">
        <v>12</v>
      </c>
      <c r="M134" s="4">
        <v>3</v>
      </c>
      <c r="N134" s="4" t="s">
        <v>5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204</v>
      </c>
      <c r="F135" s="4">
        <f>ROUND(Source!R121,O135)</f>
        <v>48943.56</v>
      </c>
      <c r="G135" s="4" t="s">
        <v>134</v>
      </c>
      <c r="H135" s="4" t="s">
        <v>135</v>
      </c>
      <c r="I135" s="4"/>
      <c r="J135" s="4"/>
      <c r="K135" s="4">
        <v>204</v>
      </c>
      <c r="L135" s="4">
        <v>13</v>
      </c>
      <c r="M135" s="4">
        <v>3</v>
      </c>
      <c r="N135" s="4" t="s">
        <v>5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205</v>
      </c>
      <c r="F136" s="4">
        <f>ROUND(Source!S121,O136)</f>
        <v>589550.87</v>
      </c>
      <c r="G136" s="4" t="s">
        <v>136</v>
      </c>
      <c r="H136" s="4" t="s">
        <v>137</v>
      </c>
      <c r="I136" s="4"/>
      <c r="J136" s="4"/>
      <c r="K136" s="4">
        <v>205</v>
      </c>
      <c r="L136" s="4">
        <v>14</v>
      </c>
      <c r="M136" s="4">
        <v>3</v>
      </c>
      <c r="N136" s="4" t="s">
        <v>5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138</v>
      </c>
      <c r="H137" s="4" t="s">
        <v>139</v>
      </c>
      <c r="I137" s="4"/>
      <c r="J137" s="4"/>
      <c r="K137" s="4">
        <v>232</v>
      </c>
      <c r="L137" s="4">
        <v>15</v>
      </c>
      <c r="M137" s="4">
        <v>3</v>
      </c>
      <c r="N137" s="4" t="s">
        <v>5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149449</v>
      </c>
      <c r="G138" s="4" t="s">
        <v>140</v>
      </c>
      <c r="H138" s="4" t="s">
        <v>141</v>
      </c>
      <c r="I138" s="4"/>
      <c r="J138" s="4"/>
      <c r="K138" s="4">
        <v>214</v>
      </c>
      <c r="L138" s="4">
        <v>16</v>
      </c>
      <c r="M138" s="4">
        <v>3</v>
      </c>
      <c r="N138" s="4" t="s">
        <v>5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5964763.2999999998</v>
      </c>
      <c r="G139" s="4" t="s">
        <v>142</v>
      </c>
      <c r="H139" s="4" t="s">
        <v>143</v>
      </c>
      <c r="I139" s="4"/>
      <c r="J139" s="4"/>
      <c r="K139" s="4">
        <v>215</v>
      </c>
      <c r="L139" s="4">
        <v>17</v>
      </c>
      <c r="M139" s="4">
        <v>3</v>
      </c>
      <c r="N139" s="4" t="s">
        <v>5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0</v>
      </c>
      <c r="G140" s="4" t="s">
        <v>144</v>
      </c>
      <c r="H140" s="4" t="s">
        <v>145</v>
      </c>
      <c r="I140" s="4"/>
      <c r="J140" s="4"/>
      <c r="K140" s="4">
        <v>217</v>
      </c>
      <c r="L140" s="4">
        <v>18</v>
      </c>
      <c r="M140" s="4">
        <v>3</v>
      </c>
      <c r="N140" s="4" t="s">
        <v>5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146</v>
      </c>
      <c r="H141" s="4" t="s">
        <v>147</v>
      </c>
      <c r="I141" s="4"/>
      <c r="J141" s="4"/>
      <c r="K141" s="4">
        <v>230</v>
      </c>
      <c r="L141" s="4">
        <v>19</v>
      </c>
      <c r="M141" s="4">
        <v>3</v>
      </c>
      <c r="N141" s="4" t="s">
        <v>5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148</v>
      </c>
      <c r="H142" s="4" t="s">
        <v>149</v>
      </c>
      <c r="I142" s="4"/>
      <c r="J142" s="4"/>
      <c r="K142" s="4">
        <v>206</v>
      </c>
      <c r="L142" s="4">
        <v>20</v>
      </c>
      <c r="M142" s="4">
        <v>3</v>
      </c>
      <c r="N142" s="4" t="s">
        <v>5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2167.9024617136797</v>
      </c>
      <c r="G143" s="4" t="s">
        <v>150</v>
      </c>
      <c r="H143" s="4" t="s">
        <v>151</v>
      </c>
      <c r="I143" s="4"/>
      <c r="J143" s="4"/>
      <c r="K143" s="4">
        <v>207</v>
      </c>
      <c r="L143" s="4">
        <v>21</v>
      </c>
      <c r="M143" s="4">
        <v>3</v>
      </c>
      <c r="N143" s="4" t="s">
        <v>5</v>
      </c>
      <c r="O143" s="4">
        <v>-1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0</v>
      </c>
      <c r="G144" s="4" t="s">
        <v>152</v>
      </c>
      <c r="H144" s="4" t="s">
        <v>153</v>
      </c>
      <c r="I144" s="4"/>
      <c r="J144" s="4"/>
      <c r="K144" s="4">
        <v>208</v>
      </c>
      <c r="L144" s="4">
        <v>22</v>
      </c>
      <c r="M144" s="4">
        <v>3</v>
      </c>
      <c r="N144" s="4" t="s">
        <v>5</v>
      </c>
      <c r="O144" s="4">
        <v>-1</v>
      </c>
      <c r="P144" s="4"/>
      <c r="Q144" s="4"/>
      <c r="R144" s="4"/>
      <c r="S144" s="4"/>
      <c r="T144" s="4"/>
      <c r="U144" s="4"/>
      <c r="V144" s="4"/>
      <c r="W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154</v>
      </c>
      <c r="H145" s="4" t="s">
        <v>155</v>
      </c>
      <c r="I145" s="4"/>
      <c r="J145" s="4"/>
      <c r="K145" s="4">
        <v>209</v>
      </c>
      <c r="L145" s="4">
        <v>23</v>
      </c>
      <c r="M145" s="4">
        <v>3</v>
      </c>
      <c r="N145" s="4" t="s">
        <v>5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233</v>
      </c>
      <c r="F146" s="4">
        <f>ROUND(Source!BD121,O146)</f>
        <v>0</v>
      </c>
      <c r="G146" s="4" t="s">
        <v>156</v>
      </c>
      <c r="H146" s="4" t="s">
        <v>157</v>
      </c>
      <c r="I146" s="4"/>
      <c r="J146" s="4"/>
      <c r="K146" s="4">
        <v>233</v>
      </c>
      <c r="L146" s="4">
        <v>24</v>
      </c>
      <c r="M146" s="4">
        <v>3</v>
      </c>
      <c r="N146" s="4" t="s">
        <v>5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210</v>
      </c>
      <c r="F147" s="4">
        <f>ROUND(Source!X121,O147)</f>
        <v>530595.79</v>
      </c>
      <c r="G147" s="4" t="s">
        <v>158</v>
      </c>
      <c r="H147" s="4" t="s">
        <v>159</v>
      </c>
      <c r="I147" s="4"/>
      <c r="J147" s="4"/>
      <c r="K147" s="4">
        <v>210</v>
      </c>
      <c r="L147" s="4">
        <v>25</v>
      </c>
      <c r="M147" s="4">
        <v>3</v>
      </c>
      <c r="N147" s="4" t="s">
        <v>5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211</v>
      </c>
      <c r="F148" s="4">
        <f>ROUND(Source!Y121,O148)</f>
        <v>253506.85</v>
      </c>
      <c r="G148" s="4" t="s">
        <v>160</v>
      </c>
      <c r="H148" s="4" t="s">
        <v>161</v>
      </c>
      <c r="I148" s="4"/>
      <c r="J148" s="4"/>
      <c r="K148" s="4">
        <v>211</v>
      </c>
      <c r="L148" s="4">
        <v>26</v>
      </c>
      <c r="M148" s="4">
        <v>3</v>
      </c>
      <c r="N148" s="4" t="s">
        <v>5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224</v>
      </c>
      <c r="F149" s="4">
        <f>ROUND(Source!AR121,O149)</f>
        <v>6114212.2999999998</v>
      </c>
      <c r="G149" s="4" t="s">
        <v>162</v>
      </c>
      <c r="H149" s="4" t="s">
        <v>163</v>
      </c>
      <c r="I149" s="4"/>
      <c r="J149" s="4"/>
      <c r="K149" s="4">
        <v>224</v>
      </c>
      <c r="L149" s="4">
        <v>27</v>
      </c>
      <c r="M149" s="4">
        <v>3</v>
      </c>
      <c r="N149" s="4" t="s">
        <v>5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45" x14ac:dyDescent="0.2">
      <c r="A150" s="4">
        <v>50</v>
      </c>
      <c r="B150" s="4">
        <v>1</v>
      </c>
      <c r="C150" s="4">
        <v>0</v>
      </c>
      <c r="D150" s="4">
        <v>2</v>
      </c>
      <c r="E150" s="4">
        <v>0</v>
      </c>
      <c r="F150" s="4">
        <f>ROUND(F149,O150)</f>
        <v>6114212.2999999998</v>
      </c>
      <c r="G150" s="4" t="s">
        <v>164</v>
      </c>
      <c r="H150" s="4" t="s">
        <v>165</v>
      </c>
      <c r="I150" s="4"/>
      <c r="J150" s="4"/>
      <c r="K150" s="4">
        <v>212</v>
      </c>
      <c r="L150" s="4">
        <v>28</v>
      </c>
      <c r="M150" s="4">
        <v>0</v>
      </c>
      <c r="N150" s="4" t="s">
        <v>5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2" spans="1:245" x14ac:dyDescent="0.2">
      <c r="A152" s="1">
        <v>4</v>
      </c>
      <c r="B152" s="1">
        <v>1</v>
      </c>
      <c r="C152" s="1"/>
      <c r="D152" s="1">
        <f>ROW(A161)</f>
        <v>161</v>
      </c>
      <c r="E152" s="1"/>
      <c r="F152" s="1" t="s">
        <v>22</v>
      </c>
      <c r="G152" s="1" t="s">
        <v>280</v>
      </c>
      <c r="H152" s="1" t="s">
        <v>5</v>
      </c>
      <c r="I152" s="1">
        <v>0</v>
      </c>
      <c r="J152" s="1"/>
      <c r="K152" s="1">
        <v>0</v>
      </c>
      <c r="L152" s="1"/>
      <c r="M152" s="1"/>
      <c r="N152" s="1"/>
      <c r="O152" s="1"/>
      <c r="P152" s="1"/>
      <c r="Q152" s="1"/>
      <c r="R152" s="1"/>
      <c r="S152" s="1"/>
      <c r="T152" s="1"/>
      <c r="U152" s="1" t="s">
        <v>5</v>
      </c>
      <c r="V152" s="1">
        <v>0</v>
      </c>
      <c r="W152" s="1"/>
      <c r="X152" s="1"/>
      <c r="Y152" s="1"/>
      <c r="Z152" s="1"/>
      <c r="AA152" s="1"/>
      <c r="AB152" s="1" t="s">
        <v>5</v>
      </c>
      <c r="AC152" s="1" t="s">
        <v>5</v>
      </c>
      <c r="AD152" s="1" t="s">
        <v>5</v>
      </c>
      <c r="AE152" s="1" t="s">
        <v>5</v>
      </c>
      <c r="AF152" s="1" t="s">
        <v>5</v>
      </c>
      <c r="AG152" s="1" t="s">
        <v>5</v>
      </c>
      <c r="AH152" s="1"/>
      <c r="AI152" s="1"/>
      <c r="AJ152" s="1"/>
      <c r="AK152" s="1"/>
      <c r="AL152" s="1"/>
      <c r="AM152" s="1"/>
      <c r="AN152" s="1"/>
      <c r="AO152" s="1"/>
      <c r="AP152" s="1" t="s">
        <v>5</v>
      </c>
      <c r="AQ152" s="1" t="s">
        <v>5</v>
      </c>
      <c r="AR152" s="1" t="s">
        <v>5</v>
      </c>
      <c r="AS152" s="1"/>
      <c r="AT152" s="1"/>
      <c r="AU152" s="1"/>
      <c r="AV152" s="1"/>
      <c r="AW152" s="1"/>
      <c r="AX152" s="1"/>
      <c r="AY152" s="1"/>
      <c r="AZ152" s="1" t="s">
        <v>5</v>
      </c>
      <c r="BA152" s="1"/>
      <c r="BB152" s="1" t="s">
        <v>5</v>
      </c>
      <c r="BC152" s="1" t="s">
        <v>5</v>
      </c>
      <c r="BD152" s="1" t="s">
        <v>5</v>
      </c>
      <c r="BE152" s="1" t="s">
        <v>5</v>
      </c>
      <c r="BF152" s="1" t="s">
        <v>5</v>
      </c>
      <c r="BG152" s="1" t="s">
        <v>5</v>
      </c>
      <c r="BH152" s="1" t="s">
        <v>5</v>
      </c>
      <c r="BI152" s="1" t="s">
        <v>5</v>
      </c>
      <c r="BJ152" s="1" t="s">
        <v>5</v>
      </c>
      <c r="BK152" s="1" t="s">
        <v>5</v>
      </c>
      <c r="BL152" s="1" t="s">
        <v>5</v>
      </c>
      <c r="BM152" s="1" t="s">
        <v>5</v>
      </c>
      <c r="BN152" s="1" t="s">
        <v>5</v>
      </c>
      <c r="BO152" s="1" t="s">
        <v>5</v>
      </c>
      <c r="BP152" s="1" t="s">
        <v>5</v>
      </c>
      <c r="BQ152" s="1"/>
      <c r="BR152" s="1"/>
      <c r="BS152" s="1"/>
      <c r="BT152" s="1"/>
      <c r="BU152" s="1"/>
      <c r="BV152" s="1"/>
      <c r="BW152" s="1"/>
      <c r="BX152" s="1">
        <v>0</v>
      </c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>
        <v>0</v>
      </c>
    </row>
    <row r="154" spans="1:245" x14ac:dyDescent="0.2">
      <c r="A154" s="2">
        <v>52</v>
      </c>
      <c r="B154" s="2">
        <f t="shared" ref="B154:G154" si="121">B161</f>
        <v>1</v>
      </c>
      <c r="C154" s="2">
        <f t="shared" si="121"/>
        <v>4</v>
      </c>
      <c r="D154" s="2">
        <f t="shared" si="121"/>
        <v>152</v>
      </c>
      <c r="E154" s="2">
        <f t="shared" si="121"/>
        <v>0</v>
      </c>
      <c r="F154" s="2" t="str">
        <f t="shared" si="121"/>
        <v>Новый раздел</v>
      </c>
      <c r="G154" s="2" t="str">
        <f t="shared" si="121"/>
        <v>Прочие работы</v>
      </c>
      <c r="H154" s="2"/>
      <c r="I154" s="2"/>
      <c r="J154" s="2"/>
      <c r="K154" s="2"/>
      <c r="L154" s="2"/>
      <c r="M154" s="2"/>
      <c r="N154" s="2"/>
      <c r="O154" s="2">
        <f t="shared" ref="O154:AT154" si="122">O161</f>
        <v>44335.54</v>
      </c>
      <c r="P154" s="2">
        <f t="shared" si="122"/>
        <v>0</v>
      </c>
      <c r="Q154" s="2">
        <f t="shared" si="122"/>
        <v>44335.54</v>
      </c>
      <c r="R154" s="2">
        <f t="shared" si="122"/>
        <v>0</v>
      </c>
      <c r="S154" s="2">
        <f t="shared" si="122"/>
        <v>0</v>
      </c>
      <c r="T154" s="2">
        <f t="shared" si="122"/>
        <v>0</v>
      </c>
      <c r="U154" s="2">
        <f t="shared" si="122"/>
        <v>0</v>
      </c>
      <c r="V154" s="2">
        <f t="shared" si="122"/>
        <v>0</v>
      </c>
      <c r="W154" s="2">
        <f t="shared" si="122"/>
        <v>0</v>
      </c>
      <c r="X154" s="2">
        <f t="shared" si="122"/>
        <v>0</v>
      </c>
      <c r="Y154" s="2">
        <f t="shared" si="122"/>
        <v>0</v>
      </c>
      <c r="Z154" s="2">
        <f t="shared" si="122"/>
        <v>0</v>
      </c>
      <c r="AA154" s="2">
        <f t="shared" si="122"/>
        <v>0</v>
      </c>
      <c r="AB154" s="2">
        <f t="shared" si="122"/>
        <v>44335.54</v>
      </c>
      <c r="AC154" s="2">
        <f t="shared" si="122"/>
        <v>0</v>
      </c>
      <c r="AD154" s="2">
        <f t="shared" si="122"/>
        <v>44335.54</v>
      </c>
      <c r="AE154" s="2">
        <f t="shared" si="122"/>
        <v>0</v>
      </c>
      <c r="AF154" s="2">
        <f t="shared" si="122"/>
        <v>0</v>
      </c>
      <c r="AG154" s="2">
        <f t="shared" si="122"/>
        <v>0</v>
      </c>
      <c r="AH154" s="2">
        <f t="shared" si="122"/>
        <v>0</v>
      </c>
      <c r="AI154" s="2">
        <f t="shared" si="122"/>
        <v>0</v>
      </c>
      <c r="AJ154" s="2">
        <f t="shared" si="122"/>
        <v>0</v>
      </c>
      <c r="AK154" s="2">
        <f t="shared" si="122"/>
        <v>0</v>
      </c>
      <c r="AL154" s="2">
        <f t="shared" si="122"/>
        <v>0</v>
      </c>
      <c r="AM154" s="2">
        <f t="shared" si="122"/>
        <v>0</v>
      </c>
      <c r="AN154" s="2">
        <f t="shared" si="122"/>
        <v>0</v>
      </c>
      <c r="AO154" s="2">
        <f t="shared" si="122"/>
        <v>0</v>
      </c>
      <c r="AP154" s="2">
        <f t="shared" si="122"/>
        <v>0</v>
      </c>
      <c r="AQ154" s="2">
        <f t="shared" si="122"/>
        <v>0</v>
      </c>
      <c r="AR154" s="2">
        <f t="shared" si="122"/>
        <v>44335.54</v>
      </c>
      <c r="AS154" s="2">
        <f t="shared" si="122"/>
        <v>0</v>
      </c>
      <c r="AT154" s="2">
        <f t="shared" si="122"/>
        <v>0</v>
      </c>
      <c r="AU154" s="2">
        <f t="shared" ref="AU154:BZ154" si="123">AU161</f>
        <v>44335.54</v>
      </c>
      <c r="AV154" s="2">
        <f t="shared" si="123"/>
        <v>0</v>
      </c>
      <c r="AW154" s="2">
        <f t="shared" si="123"/>
        <v>0</v>
      </c>
      <c r="AX154" s="2">
        <f t="shared" si="123"/>
        <v>0</v>
      </c>
      <c r="AY154" s="2">
        <f t="shared" si="123"/>
        <v>0</v>
      </c>
      <c r="AZ154" s="2">
        <f t="shared" si="123"/>
        <v>0</v>
      </c>
      <c r="BA154" s="2">
        <f t="shared" si="123"/>
        <v>0</v>
      </c>
      <c r="BB154" s="2">
        <f t="shared" si="123"/>
        <v>0</v>
      </c>
      <c r="BC154" s="2">
        <f t="shared" si="123"/>
        <v>0</v>
      </c>
      <c r="BD154" s="2">
        <f t="shared" si="123"/>
        <v>0</v>
      </c>
      <c r="BE154" s="2">
        <f t="shared" si="123"/>
        <v>0</v>
      </c>
      <c r="BF154" s="2">
        <f t="shared" si="123"/>
        <v>0</v>
      </c>
      <c r="BG154" s="2">
        <f t="shared" si="123"/>
        <v>0</v>
      </c>
      <c r="BH154" s="2">
        <f t="shared" si="123"/>
        <v>0</v>
      </c>
      <c r="BI154" s="2">
        <f t="shared" si="123"/>
        <v>0</v>
      </c>
      <c r="BJ154" s="2">
        <f t="shared" si="123"/>
        <v>0</v>
      </c>
      <c r="BK154" s="2">
        <f t="shared" si="123"/>
        <v>0</v>
      </c>
      <c r="BL154" s="2">
        <f t="shared" si="123"/>
        <v>0</v>
      </c>
      <c r="BM154" s="2">
        <f t="shared" si="123"/>
        <v>0</v>
      </c>
      <c r="BN154" s="2">
        <f t="shared" si="123"/>
        <v>0</v>
      </c>
      <c r="BO154" s="2">
        <f t="shared" si="123"/>
        <v>0</v>
      </c>
      <c r="BP154" s="2">
        <f t="shared" si="123"/>
        <v>0</v>
      </c>
      <c r="BQ154" s="2">
        <f t="shared" si="123"/>
        <v>0</v>
      </c>
      <c r="BR154" s="2">
        <f t="shared" si="123"/>
        <v>0</v>
      </c>
      <c r="BS154" s="2">
        <f t="shared" si="123"/>
        <v>0</v>
      </c>
      <c r="BT154" s="2">
        <f t="shared" si="123"/>
        <v>0</v>
      </c>
      <c r="BU154" s="2">
        <f t="shared" si="123"/>
        <v>0</v>
      </c>
      <c r="BV154" s="2">
        <f t="shared" si="123"/>
        <v>0</v>
      </c>
      <c r="BW154" s="2">
        <f t="shared" si="123"/>
        <v>0</v>
      </c>
      <c r="BX154" s="2">
        <f t="shared" si="123"/>
        <v>0</v>
      </c>
      <c r="BY154" s="2">
        <f t="shared" si="123"/>
        <v>0</v>
      </c>
      <c r="BZ154" s="2">
        <f t="shared" si="123"/>
        <v>0</v>
      </c>
      <c r="CA154" s="2">
        <f t="shared" ref="CA154:DF154" si="124">CA161</f>
        <v>44335.54</v>
      </c>
      <c r="CB154" s="2">
        <f t="shared" si="124"/>
        <v>0</v>
      </c>
      <c r="CC154" s="2">
        <f t="shared" si="124"/>
        <v>0</v>
      </c>
      <c r="CD154" s="2">
        <f t="shared" si="124"/>
        <v>44335.54</v>
      </c>
      <c r="CE154" s="2">
        <f t="shared" si="124"/>
        <v>0</v>
      </c>
      <c r="CF154" s="2">
        <f t="shared" si="124"/>
        <v>0</v>
      </c>
      <c r="CG154" s="2">
        <f t="shared" si="124"/>
        <v>0</v>
      </c>
      <c r="CH154" s="2">
        <f t="shared" si="124"/>
        <v>0</v>
      </c>
      <c r="CI154" s="2">
        <f t="shared" si="124"/>
        <v>0</v>
      </c>
      <c r="CJ154" s="2">
        <f t="shared" si="124"/>
        <v>0</v>
      </c>
      <c r="CK154" s="2">
        <f t="shared" si="124"/>
        <v>0</v>
      </c>
      <c r="CL154" s="2">
        <f t="shared" si="124"/>
        <v>0</v>
      </c>
      <c r="CM154" s="2">
        <f t="shared" si="124"/>
        <v>0</v>
      </c>
      <c r="CN154" s="2">
        <f t="shared" si="124"/>
        <v>0</v>
      </c>
      <c r="CO154" s="2">
        <f t="shared" si="124"/>
        <v>0</v>
      </c>
      <c r="CP154" s="2">
        <f t="shared" si="124"/>
        <v>0</v>
      </c>
      <c r="CQ154" s="2">
        <f t="shared" si="124"/>
        <v>0</v>
      </c>
      <c r="CR154" s="2">
        <f t="shared" si="124"/>
        <v>0</v>
      </c>
      <c r="CS154" s="2">
        <f t="shared" si="124"/>
        <v>0</v>
      </c>
      <c r="CT154" s="2">
        <f t="shared" si="124"/>
        <v>0</v>
      </c>
      <c r="CU154" s="2">
        <f t="shared" si="124"/>
        <v>0</v>
      </c>
      <c r="CV154" s="2">
        <f t="shared" si="124"/>
        <v>0</v>
      </c>
      <c r="CW154" s="2">
        <f t="shared" si="124"/>
        <v>0</v>
      </c>
      <c r="CX154" s="2">
        <f t="shared" si="124"/>
        <v>0</v>
      </c>
      <c r="CY154" s="2">
        <f t="shared" si="124"/>
        <v>0</v>
      </c>
      <c r="CZ154" s="2">
        <f t="shared" si="124"/>
        <v>0</v>
      </c>
      <c r="DA154" s="2">
        <f t="shared" si="124"/>
        <v>0</v>
      </c>
      <c r="DB154" s="2">
        <f t="shared" si="124"/>
        <v>0</v>
      </c>
      <c r="DC154" s="2">
        <f t="shared" si="124"/>
        <v>0</v>
      </c>
      <c r="DD154" s="2">
        <f t="shared" si="124"/>
        <v>0</v>
      </c>
      <c r="DE154" s="2">
        <f t="shared" si="124"/>
        <v>0</v>
      </c>
      <c r="DF154" s="2">
        <f t="shared" si="124"/>
        <v>0</v>
      </c>
      <c r="DG154" s="3">
        <f t="shared" ref="DG154:EL154" si="125">DG161</f>
        <v>0</v>
      </c>
      <c r="DH154" s="3">
        <f t="shared" si="125"/>
        <v>0</v>
      </c>
      <c r="DI154" s="3">
        <f t="shared" si="125"/>
        <v>0</v>
      </c>
      <c r="DJ154" s="3">
        <f t="shared" si="125"/>
        <v>0</v>
      </c>
      <c r="DK154" s="3">
        <f t="shared" si="125"/>
        <v>0</v>
      </c>
      <c r="DL154" s="3">
        <f t="shared" si="125"/>
        <v>0</v>
      </c>
      <c r="DM154" s="3">
        <f t="shared" si="125"/>
        <v>0</v>
      </c>
      <c r="DN154" s="3">
        <f t="shared" si="125"/>
        <v>0</v>
      </c>
      <c r="DO154" s="3">
        <f t="shared" si="125"/>
        <v>0</v>
      </c>
      <c r="DP154" s="3">
        <f t="shared" si="125"/>
        <v>0</v>
      </c>
      <c r="DQ154" s="3">
        <f t="shared" si="125"/>
        <v>0</v>
      </c>
      <c r="DR154" s="3">
        <f t="shared" si="125"/>
        <v>0</v>
      </c>
      <c r="DS154" s="3">
        <f t="shared" si="125"/>
        <v>0</v>
      </c>
      <c r="DT154" s="3">
        <f t="shared" si="125"/>
        <v>0</v>
      </c>
      <c r="DU154" s="3">
        <f t="shared" si="125"/>
        <v>0</v>
      </c>
      <c r="DV154" s="3">
        <f t="shared" si="125"/>
        <v>0</v>
      </c>
      <c r="DW154" s="3">
        <f t="shared" si="125"/>
        <v>0</v>
      </c>
      <c r="DX154" s="3">
        <f t="shared" si="125"/>
        <v>0</v>
      </c>
      <c r="DY154" s="3">
        <f t="shared" si="125"/>
        <v>0</v>
      </c>
      <c r="DZ154" s="3">
        <f t="shared" si="125"/>
        <v>0</v>
      </c>
      <c r="EA154" s="3">
        <f t="shared" si="125"/>
        <v>0</v>
      </c>
      <c r="EB154" s="3">
        <f t="shared" si="125"/>
        <v>0</v>
      </c>
      <c r="EC154" s="3">
        <f t="shared" si="125"/>
        <v>0</v>
      </c>
      <c r="ED154" s="3">
        <f t="shared" si="125"/>
        <v>0</v>
      </c>
      <c r="EE154" s="3">
        <f t="shared" si="125"/>
        <v>0</v>
      </c>
      <c r="EF154" s="3">
        <f t="shared" si="125"/>
        <v>0</v>
      </c>
      <c r="EG154" s="3">
        <f t="shared" si="125"/>
        <v>0</v>
      </c>
      <c r="EH154" s="3">
        <f t="shared" si="125"/>
        <v>0</v>
      </c>
      <c r="EI154" s="3">
        <f t="shared" si="125"/>
        <v>0</v>
      </c>
      <c r="EJ154" s="3">
        <f t="shared" si="125"/>
        <v>0</v>
      </c>
      <c r="EK154" s="3">
        <f t="shared" si="125"/>
        <v>0</v>
      </c>
      <c r="EL154" s="3">
        <f t="shared" si="125"/>
        <v>0</v>
      </c>
      <c r="EM154" s="3">
        <f t="shared" ref="EM154:FR154" si="126">EM161</f>
        <v>0</v>
      </c>
      <c r="EN154" s="3">
        <f t="shared" si="126"/>
        <v>0</v>
      </c>
      <c r="EO154" s="3">
        <f t="shared" si="126"/>
        <v>0</v>
      </c>
      <c r="EP154" s="3">
        <f t="shared" si="126"/>
        <v>0</v>
      </c>
      <c r="EQ154" s="3">
        <f t="shared" si="126"/>
        <v>0</v>
      </c>
      <c r="ER154" s="3">
        <f t="shared" si="126"/>
        <v>0</v>
      </c>
      <c r="ES154" s="3">
        <f t="shared" si="126"/>
        <v>0</v>
      </c>
      <c r="ET154" s="3">
        <f t="shared" si="126"/>
        <v>0</v>
      </c>
      <c r="EU154" s="3">
        <f t="shared" si="126"/>
        <v>0</v>
      </c>
      <c r="EV154" s="3">
        <f t="shared" si="126"/>
        <v>0</v>
      </c>
      <c r="EW154" s="3">
        <f t="shared" si="126"/>
        <v>0</v>
      </c>
      <c r="EX154" s="3">
        <f t="shared" si="126"/>
        <v>0</v>
      </c>
      <c r="EY154" s="3">
        <f t="shared" si="126"/>
        <v>0</v>
      </c>
      <c r="EZ154" s="3">
        <f t="shared" si="126"/>
        <v>0</v>
      </c>
      <c r="FA154" s="3">
        <f t="shared" si="126"/>
        <v>0</v>
      </c>
      <c r="FB154" s="3">
        <f t="shared" si="126"/>
        <v>0</v>
      </c>
      <c r="FC154" s="3">
        <f t="shared" si="126"/>
        <v>0</v>
      </c>
      <c r="FD154" s="3">
        <f t="shared" si="126"/>
        <v>0</v>
      </c>
      <c r="FE154" s="3">
        <f t="shared" si="126"/>
        <v>0</v>
      </c>
      <c r="FF154" s="3">
        <f t="shared" si="126"/>
        <v>0</v>
      </c>
      <c r="FG154" s="3">
        <f t="shared" si="126"/>
        <v>0</v>
      </c>
      <c r="FH154" s="3">
        <f t="shared" si="126"/>
        <v>0</v>
      </c>
      <c r="FI154" s="3">
        <f t="shared" si="126"/>
        <v>0</v>
      </c>
      <c r="FJ154" s="3">
        <f t="shared" si="126"/>
        <v>0</v>
      </c>
      <c r="FK154" s="3">
        <f t="shared" si="126"/>
        <v>0</v>
      </c>
      <c r="FL154" s="3">
        <f t="shared" si="126"/>
        <v>0</v>
      </c>
      <c r="FM154" s="3">
        <f t="shared" si="126"/>
        <v>0</v>
      </c>
      <c r="FN154" s="3">
        <f t="shared" si="126"/>
        <v>0</v>
      </c>
      <c r="FO154" s="3">
        <f t="shared" si="126"/>
        <v>0</v>
      </c>
      <c r="FP154" s="3">
        <f t="shared" si="126"/>
        <v>0</v>
      </c>
      <c r="FQ154" s="3">
        <f t="shared" si="126"/>
        <v>0</v>
      </c>
      <c r="FR154" s="3">
        <f t="shared" si="126"/>
        <v>0</v>
      </c>
      <c r="FS154" s="3">
        <f t="shared" ref="FS154:GX154" si="127">FS161</f>
        <v>0</v>
      </c>
      <c r="FT154" s="3">
        <f t="shared" si="127"/>
        <v>0</v>
      </c>
      <c r="FU154" s="3">
        <f t="shared" si="127"/>
        <v>0</v>
      </c>
      <c r="FV154" s="3">
        <f t="shared" si="127"/>
        <v>0</v>
      </c>
      <c r="FW154" s="3">
        <f t="shared" si="127"/>
        <v>0</v>
      </c>
      <c r="FX154" s="3">
        <f t="shared" si="127"/>
        <v>0</v>
      </c>
      <c r="FY154" s="3">
        <f t="shared" si="127"/>
        <v>0</v>
      </c>
      <c r="FZ154" s="3">
        <f t="shared" si="127"/>
        <v>0</v>
      </c>
      <c r="GA154" s="3">
        <f t="shared" si="127"/>
        <v>0</v>
      </c>
      <c r="GB154" s="3">
        <f t="shared" si="127"/>
        <v>0</v>
      </c>
      <c r="GC154" s="3">
        <f t="shared" si="127"/>
        <v>0</v>
      </c>
      <c r="GD154" s="3">
        <f t="shared" si="127"/>
        <v>0</v>
      </c>
      <c r="GE154" s="3">
        <f t="shared" si="127"/>
        <v>0</v>
      </c>
      <c r="GF154" s="3">
        <f t="shared" si="127"/>
        <v>0</v>
      </c>
      <c r="GG154" s="3">
        <f t="shared" si="127"/>
        <v>0</v>
      </c>
      <c r="GH154" s="3">
        <f t="shared" si="127"/>
        <v>0</v>
      </c>
      <c r="GI154" s="3">
        <f t="shared" si="127"/>
        <v>0</v>
      </c>
      <c r="GJ154" s="3">
        <f t="shared" si="127"/>
        <v>0</v>
      </c>
      <c r="GK154" s="3">
        <f t="shared" si="127"/>
        <v>0</v>
      </c>
      <c r="GL154" s="3">
        <f t="shared" si="127"/>
        <v>0</v>
      </c>
      <c r="GM154" s="3">
        <f t="shared" si="127"/>
        <v>0</v>
      </c>
      <c r="GN154" s="3">
        <f t="shared" si="127"/>
        <v>0</v>
      </c>
      <c r="GO154" s="3">
        <f t="shared" si="127"/>
        <v>0</v>
      </c>
      <c r="GP154" s="3">
        <f t="shared" si="127"/>
        <v>0</v>
      </c>
      <c r="GQ154" s="3">
        <f t="shared" si="127"/>
        <v>0</v>
      </c>
      <c r="GR154" s="3">
        <f t="shared" si="127"/>
        <v>0</v>
      </c>
      <c r="GS154" s="3">
        <f t="shared" si="127"/>
        <v>0</v>
      </c>
      <c r="GT154" s="3">
        <f t="shared" si="127"/>
        <v>0</v>
      </c>
      <c r="GU154" s="3">
        <f t="shared" si="127"/>
        <v>0</v>
      </c>
      <c r="GV154" s="3">
        <f t="shared" si="127"/>
        <v>0</v>
      </c>
      <c r="GW154" s="3">
        <f t="shared" si="127"/>
        <v>0</v>
      </c>
      <c r="GX154" s="3">
        <f t="shared" si="127"/>
        <v>0</v>
      </c>
    </row>
    <row r="156" spans="1:245" x14ac:dyDescent="0.2">
      <c r="A156">
        <v>17</v>
      </c>
      <c r="B156">
        <v>1</v>
      </c>
      <c r="C156">
        <f>ROW(SmtRes!A47)</f>
        <v>47</v>
      </c>
      <c r="D156">
        <f>ROW(EtalonRes!A61)</f>
        <v>61</v>
      </c>
      <c r="E156" t="s">
        <v>167</v>
      </c>
      <c r="F156" t="s">
        <v>281</v>
      </c>
      <c r="G156" t="s">
        <v>282</v>
      </c>
      <c r="H156" t="s">
        <v>283</v>
      </c>
      <c r="I156">
        <v>0</v>
      </c>
      <c r="J156">
        <v>0</v>
      </c>
      <c r="O156">
        <f>ROUND(CP156,2)</f>
        <v>0</v>
      </c>
      <c r="P156">
        <f>ROUND((ROUND((AC156*AW156*I156),2)*BC156),2)</f>
        <v>0</v>
      </c>
      <c r="Q156">
        <f>(ROUND((ROUND(((ET156)*AV156*I156),2)*BB156),2)+ROUND((ROUND(((AE156-(EU156))*AV156*I156),2)*BS156),2))</f>
        <v>0</v>
      </c>
      <c r="R156">
        <f>ROUND((ROUND((AE156*AV156*I156),2)*BS156),2)</f>
        <v>0</v>
      </c>
      <c r="S156">
        <f>ROUND((ROUND((AF156*AV156*I156),2)*BA156),2)</f>
        <v>0</v>
      </c>
      <c r="T156">
        <f>ROUND(CU156*I156,2)</f>
        <v>0</v>
      </c>
      <c r="U156">
        <f>CV156*I156</f>
        <v>0</v>
      </c>
      <c r="V156">
        <f>CW156*I156</f>
        <v>0</v>
      </c>
      <c r="W156">
        <f>ROUND(CX156*I156,2)</f>
        <v>0</v>
      </c>
      <c r="X156">
        <f t="shared" ref="X156:Y159" si="128">ROUND(CY156,2)</f>
        <v>0</v>
      </c>
      <c r="Y156">
        <f t="shared" si="128"/>
        <v>0</v>
      </c>
      <c r="AA156">
        <v>44175501</v>
      </c>
      <c r="AB156">
        <f>ROUND((AC156+AD156+AF156),6)</f>
        <v>28.91</v>
      </c>
      <c r="AC156">
        <f>ROUND((ES156),6)</f>
        <v>0</v>
      </c>
      <c r="AD156">
        <f>ROUND((((ET156)-(EU156))+AE156),6)</f>
        <v>28.91</v>
      </c>
      <c r="AE156">
        <f t="shared" ref="AE156:AF159" si="129">ROUND((EU156),6)</f>
        <v>0</v>
      </c>
      <c r="AF156">
        <f t="shared" si="129"/>
        <v>0</v>
      </c>
      <c r="AG156">
        <f>ROUND((AP156),6)</f>
        <v>0</v>
      </c>
      <c r="AH156">
        <f t="shared" ref="AH156:AI159" si="130">(EW156)</f>
        <v>0</v>
      </c>
      <c r="AI156">
        <f t="shared" si="130"/>
        <v>0</v>
      </c>
      <c r="AJ156">
        <f>(AS156)</f>
        <v>0</v>
      </c>
      <c r="AK156">
        <v>28.91</v>
      </c>
      <c r="AL156">
        <v>0</v>
      </c>
      <c r="AM156">
        <v>28.91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21.43</v>
      </c>
      <c r="BB156">
        <v>7.99</v>
      </c>
      <c r="BC156">
        <v>1</v>
      </c>
      <c r="BD156" t="s">
        <v>5</v>
      </c>
      <c r="BE156" t="s">
        <v>5</v>
      </c>
      <c r="BF156" t="s">
        <v>5</v>
      </c>
      <c r="BG156" t="s">
        <v>5</v>
      </c>
      <c r="BH156">
        <v>0</v>
      </c>
      <c r="BI156">
        <v>4</v>
      </c>
      <c r="BJ156" t="s">
        <v>284</v>
      </c>
      <c r="BM156">
        <v>1110</v>
      </c>
      <c r="BN156">
        <v>0</v>
      </c>
      <c r="BO156" t="s">
        <v>281</v>
      </c>
      <c r="BP156">
        <v>1</v>
      </c>
      <c r="BQ156">
        <v>150</v>
      </c>
      <c r="BR156">
        <v>0</v>
      </c>
      <c r="BS156">
        <v>21.43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5</v>
      </c>
      <c r="BZ156">
        <v>0</v>
      </c>
      <c r="CA156">
        <v>0</v>
      </c>
      <c r="CE156">
        <v>30</v>
      </c>
      <c r="CF156">
        <v>0</v>
      </c>
      <c r="CG156">
        <v>0</v>
      </c>
      <c r="CM156">
        <v>0</v>
      </c>
      <c r="CN156" t="s">
        <v>5</v>
      </c>
      <c r="CO156">
        <v>0</v>
      </c>
      <c r="CP156">
        <f>(P156+Q156+S156)</f>
        <v>0</v>
      </c>
      <c r="CQ156">
        <f>ROUND((ROUND((AC156*AW156*1),2)*BC156),2)</f>
        <v>0</v>
      </c>
      <c r="CR156">
        <f>(ROUND((ROUND(((ET156)*AV156*1),2)*BB156),2)+ROUND((ROUND(((AE156-(EU156))*AV156*1),2)*BS156),2))</f>
        <v>230.99</v>
      </c>
      <c r="CS156">
        <f>ROUND((ROUND((AE156*AV156*1),2)*BS156),2)</f>
        <v>0</v>
      </c>
      <c r="CT156">
        <f>ROUND((ROUND((AF156*AV156*1),2)*BA156),2)</f>
        <v>0</v>
      </c>
      <c r="CU156">
        <f>AG156</f>
        <v>0</v>
      </c>
      <c r="CV156">
        <f>(AH156*AV156)</f>
        <v>0</v>
      </c>
      <c r="CW156">
        <f t="shared" ref="CW156:CX159" si="131">AI156</f>
        <v>0</v>
      </c>
      <c r="CX156">
        <f t="shared" si="131"/>
        <v>0</v>
      </c>
      <c r="CY156">
        <f>S156*(BZ156/100)</f>
        <v>0</v>
      </c>
      <c r="CZ156">
        <f>S156*(CA156/100)</f>
        <v>0</v>
      </c>
      <c r="DC156" t="s">
        <v>5</v>
      </c>
      <c r="DD156" t="s">
        <v>5</v>
      </c>
      <c r="DE156" t="s">
        <v>5</v>
      </c>
      <c r="DF156" t="s">
        <v>5</v>
      </c>
      <c r="DG156" t="s">
        <v>5</v>
      </c>
      <c r="DH156" t="s">
        <v>5</v>
      </c>
      <c r="DI156" t="s">
        <v>5</v>
      </c>
      <c r="DJ156" t="s">
        <v>5</v>
      </c>
      <c r="DK156" t="s">
        <v>5</v>
      </c>
      <c r="DL156" t="s">
        <v>5</v>
      </c>
      <c r="DM156" t="s">
        <v>5</v>
      </c>
      <c r="DN156">
        <v>0</v>
      </c>
      <c r="DO156">
        <v>0</v>
      </c>
      <c r="DP156">
        <v>1</v>
      </c>
      <c r="DQ156">
        <v>1</v>
      </c>
      <c r="DU156">
        <v>1013</v>
      </c>
      <c r="DV156" t="s">
        <v>283</v>
      </c>
      <c r="DW156" t="s">
        <v>283</v>
      </c>
      <c r="DX156">
        <v>1</v>
      </c>
      <c r="EE156">
        <v>44064929</v>
      </c>
      <c r="EF156">
        <v>150</v>
      </c>
      <c r="EG156" t="s">
        <v>285</v>
      </c>
      <c r="EH156">
        <v>0</v>
      </c>
      <c r="EI156" t="s">
        <v>5</v>
      </c>
      <c r="EJ156">
        <v>4</v>
      </c>
      <c r="EK156">
        <v>1110</v>
      </c>
      <c r="EL156" t="s">
        <v>286</v>
      </c>
      <c r="EM156" t="s">
        <v>287</v>
      </c>
      <c r="EO156" t="s">
        <v>5</v>
      </c>
      <c r="EQ156">
        <v>131072</v>
      </c>
      <c r="ER156">
        <v>28.91</v>
      </c>
      <c r="ES156">
        <v>0</v>
      </c>
      <c r="ET156">
        <v>28.91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>ROUND(IF(AND(BH156=3,BI156=3),P156,0),2)</f>
        <v>0</v>
      </c>
      <c r="FS156">
        <v>0</v>
      </c>
      <c r="FX156">
        <v>0</v>
      </c>
      <c r="FY156">
        <v>0</v>
      </c>
      <c r="GA156" t="s">
        <v>5</v>
      </c>
      <c r="GD156">
        <v>1</v>
      </c>
      <c r="GF156">
        <v>1906284442</v>
      </c>
      <c r="GG156">
        <v>2</v>
      </c>
      <c r="GH156">
        <v>1</v>
      </c>
      <c r="GI156">
        <v>2</v>
      </c>
      <c r="GJ156">
        <v>0</v>
      </c>
      <c r="GK156">
        <v>0</v>
      </c>
      <c r="GL156">
        <f>ROUND(IF(AND(BH156=3,BI156=3,FS156&lt;&gt;0),P156,0),2)</f>
        <v>0</v>
      </c>
      <c r="GM156">
        <f>ROUND(O156+X156+Y156,2)+GX156</f>
        <v>0</v>
      </c>
      <c r="GN156">
        <f>IF(OR(BI156=0,BI156=1),ROUND(O156+X156+Y156,2),0)</f>
        <v>0</v>
      </c>
      <c r="GO156">
        <f>IF(BI156=2,ROUND(O156+X156+Y156,2),0)</f>
        <v>0</v>
      </c>
      <c r="GP156">
        <f>IF(BI156=4,ROUND(O156+X156+Y156,2)+GX156,0)</f>
        <v>0</v>
      </c>
      <c r="GR156">
        <v>0</v>
      </c>
      <c r="GS156">
        <v>0</v>
      </c>
      <c r="GT156">
        <v>0</v>
      </c>
      <c r="GU156" t="s">
        <v>5</v>
      </c>
      <c r="GV156">
        <f>ROUND((GT156),6)</f>
        <v>0</v>
      </c>
      <c r="GW156">
        <v>1</v>
      </c>
      <c r="GX156">
        <f>ROUND(HC156*I156,2)</f>
        <v>0</v>
      </c>
      <c r="HA156">
        <v>0</v>
      </c>
      <c r="HB156">
        <v>0</v>
      </c>
      <c r="HC156">
        <f>GV156*GW156</f>
        <v>0</v>
      </c>
      <c r="IK156">
        <v>0</v>
      </c>
    </row>
    <row r="157" spans="1:245" x14ac:dyDescent="0.2">
      <c r="A157">
        <v>17</v>
      </c>
      <c r="B157">
        <v>1</v>
      </c>
      <c r="D157">
        <f>ROW(EtalonRes!A62)</f>
        <v>62</v>
      </c>
      <c r="E157" t="s">
        <v>25</v>
      </c>
      <c r="F157" t="s">
        <v>288</v>
      </c>
      <c r="G157" t="s">
        <v>289</v>
      </c>
      <c r="H157" t="s">
        <v>283</v>
      </c>
      <c r="I157">
        <f>ROUND(I156,9)</f>
        <v>0</v>
      </c>
      <c r="J157">
        <v>0</v>
      </c>
      <c r="O157">
        <f>ROUND(CP157,2)</f>
        <v>0</v>
      </c>
      <c r="P157">
        <f>ROUND((ROUND((AC157*AW157*I157),2)*BC157),2)</f>
        <v>0</v>
      </c>
      <c r="Q157">
        <f>(ROUND((ROUND(((ET157)*AV157*I157),2)*BB157),2)+ROUND((ROUND(((AE157-(EU157))*AV157*I157),2)*BS157),2))</f>
        <v>0</v>
      </c>
      <c r="R157">
        <f>ROUND((ROUND((AE157*AV157*I157),2)*BS157),2)</f>
        <v>0</v>
      </c>
      <c r="S157">
        <f>ROUND((ROUND((AF157*AV157*I157),2)*BA157),2)</f>
        <v>0</v>
      </c>
      <c r="T157">
        <f>ROUND(CU157*I157,2)</f>
        <v>0</v>
      </c>
      <c r="U157">
        <f>CV157*I157</f>
        <v>0</v>
      </c>
      <c r="V157">
        <f>CW157*I157</f>
        <v>0</v>
      </c>
      <c r="W157">
        <f>ROUND(CX157*I157,2)</f>
        <v>0</v>
      </c>
      <c r="X157">
        <f t="shared" si="128"/>
        <v>0</v>
      </c>
      <c r="Y157">
        <f t="shared" si="128"/>
        <v>0</v>
      </c>
      <c r="AA157">
        <v>44175501</v>
      </c>
      <c r="AB157">
        <f>ROUND((AC157+AD157+AF157),6)</f>
        <v>101</v>
      </c>
      <c r="AC157">
        <f>ROUND((ES157),6)</f>
        <v>0</v>
      </c>
      <c r="AD157">
        <f>ROUND((((ET157)-(EU157))+AE157),6)</f>
        <v>101</v>
      </c>
      <c r="AE157">
        <f t="shared" si="129"/>
        <v>0</v>
      </c>
      <c r="AF157">
        <f t="shared" si="129"/>
        <v>0</v>
      </c>
      <c r="AG157">
        <f>ROUND((AP157),6)</f>
        <v>0</v>
      </c>
      <c r="AH157">
        <f t="shared" si="130"/>
        <v>0</v>
      </c>
      <c r="AI157">
        <f t="shared" si="130"/>
        <v>0</v>
      </c>
      <c r="AJ157">
        <f>(AS157)</f>
        <v>0</v>
      </c>
      <c r="AK157">
        <v>101</v>
      </c>
      <c r="AL157">
        <v>0</v>
      </c>
      <c r="AM157">
        <v>101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21.43</v>
      </c>
      <c r="BB157">
        <v>2.14</v>
      </c>
      <c r="BC157">
        <v>1</v>
      </c>
      <c r="BD157" t="s">
        <v>5</v>
      </c>
      <c r="BE157" t="s">
        <v>5</v>
      </c>
      <c r="BF157" t="s">
        <v>5</v>
      </c>
      <c r="BG157" t="s">
        <v>5</v>
      </c>
      <c r="BH157">
        <v>0</v>
      </c>
      <c r="BI157">
        <v>4</v>
      </c>
      <c r="BJ157" t="s">
        <v>290</v>
      </c>
      <c r="BM157">
        <v>1110</v>
      </c>
      <c r="BN157">
        <v>0</v>
      </c>
      <c r="BO157" t="s">
        <v>288</v>
      </c>
      <c r="BP157">
        <v>1</v>
      </c>
      <c r="BQ157">
        <v>150</v>
      </c>
      <c r="BR157">
        <v>0</v>
      </c>
      <c r="BS157">
        <v>21.43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5</v>
      </c>
      <c r="BZ157">
        <v>0</v>
      </c>
      <c r="CA157">
        <v>0</v>
      </c>
      <c r="CE157">
        <v>30</v>
      </c>
      <c r="CF157">
        <v>0</v>
      </c>
      <c r="CG157">
        <v>0</v>
      </c>
      <c r="CM157">
        <v>0</v>
      </c>
      <c r="CN157" t="s">
        <v>5</v>
      </c>
      <c r="CO157">
        <v>0</v>
      </c>
      <c r="CP157">
        <f>(P157+Q157+S157)</f>
        <v>0</v>
      </c>
      <c r="CQ157">
        <f>ROUND((ROUND((AC157*AW157*1),2)*BC157),2)</f>
        <v>0</v>
      </c>
      <c r="CR157">
        <f>(ROUND((ROUND(((ET157)*AV157*1),2)*BB157),2)+ROUND((ROUND(((AE157-(EU157))*AV157*1),2)*BS157),2))</f>
        <v>216.14</v>
      </c>
      <c r="CS157">
        <f>ROUND((ROUND((AE157*AV157*1),2)*BS157),2)</f>
        <v>0</v>
      </c>
      <c r="CT157">
        <f>ROUND((ROUND((AF157*AV157*1),2)*BA157),2)</f>
        <v>0</v>
      </c>
      <c r="CU157">
        <f>AG157</f>
        <v>0</v>
      </c>
      <c r="CV157">
        <f>(AH157*AV157)</f>
        <v>0</v>
      </c>
      <c r="CW157">
        <f t="shared" si="131"/>
        <v>0</v>
      </c>
      <c r="CX157">
        <f t="shared" si="131"/>
        <v>0</v>
      </c>
      <c r="CY157">
        <f>S157*(BZ157/100)</f>
        <v>0</v>
      </c>
      <c r="CZ157">
        <f>S157*(CA157/100)</f>
        <v>0</v>
      </c>
      <c r="DC157" t="s">
        <v>5</v>
      </c>
      <c r="DD157" t="s">
        <v>5</v>
      </c>
      <c r="DE157" t="s">
        <v>5</v>
      </c>
      <c r="DF157" t="s">
        <v>5</v>
      </c>
      <c r="DG157" t="s">
        <v>5</v>
      </c>
      <c r="DH157" t="s">
        <v>5</v>
      </c>
      <c r="DI157" t="s">
        <v>5</v>
      </c>
      <c r="DJ157" t="s">
        <v>5</v>
      </c>
      <c r="DK157" t="s">
        <v>5</v>
      </c>
      <c r="DL157" t="s">
        <v>5</v>
      </c>
      <c r="DM157" t="s">
        <v>5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283</v>
      </c>
      <c r="DW157" t="s">
        <v>283</v>
      </c>
      <c r="DX157">
        <v>1</v>
      </c>
      <c r="EE157">
        <v>44064929</v>
      </c>
      <c r="EF157">
        <v>150</v>
      </c>
      <c r="EG157" t="s">
        <v>285</v>
      </c>
      <c r="EH157">
        <v>0</v>
      </c>
      <c r="EI157" t="s">
        <v>5</v>
      </c>
      <c r="EJ157">
        <v>4</v>
      </c>
      <c r="EK157">
        <v>1110</v>
      </c>
      <c r="EL157" t="s">
        <v>286</v>
      </c>
      <c r="EM157" t="s">
        <v>287</v>
      </c>
      <c r="EO157" t="s">
        <v>5</v>
      </c>
      <c r="EQ157">
        <v>131072</v>
      </c>
      <c r="ER157">
        <v>101</v>
      </c>
      <c r="ES157">
        <v>0</v>
      </c>
      <c r="ET157">
        <v>101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>ROUND(IF(AND(BH157=3,BI157=3),P157,0),2)</f>
        <v>0</v>
      </c>
      <c r="FS157">
        <v>0</v>
      </c>
      <c r="FX157">
        <v>0</v>
      </c>
      <c r="FY157">
        <v>0</v>
      </c>
      <c r="GA157" t="s">
        <v>5</v>
      </c>
      <c r="GD157">
        <v>1</v>
      </c>
      <c r="GF157">
        <v>1935715050</v>
      </c>
      <c r="GG157">
        <v>2</v>
      </c>
      <c r="GH157">
        <v>1</v>
      </c>
      <c r="GI157">
        <v>2</v>
      </c>
      <c r="GJ157">
        <v>0</v>
      </c>
      <c r="GK157">
        <v>0</v>
      </c>
      <c r="GL157">
        <f>ROUND(IF(AND(BH157=3,BI157=3,FS157&lt;&gt;0),P157,0),2)</f>
        <v>0</v>
      </c>
      <c r="GM157">
        <f>ROUND(O157+X157+Y157,2)+GX157</f>
        <v>0</v>
      </c>
      <c r="GN157">
        <f>IF(OR(BI157=0,BI157=1),ROUND(O157+X157+Y157,2),0)</f>
        <v>0</v>
      </c>
      <c r="GO157">
        <f>IF(BI157=2,ROUND(O157+X157+Y157,2),0)</f>
        <v>0</v>
      </c>
      <c r="GP157">
        <f>IF(BI157=4,ROUND(O157+X157+Y157,2)+GX157,0)</f>
        <v>0</v>
      </c>
      <c r="GR157">
        <v>0</v>
      </c>
      <c r="GS157">
        <v>0</v>
      </c>
      <c r="GT157">
        <v>0</v>
      </c>
      <c r="GU157" t="s">
        <v>5</v>
      </c>
      <c r="GV157">
        <f>ROUND((GT157),6)</f>
        <v>0</v>
      </c>
      <c r="GW157">
        <v>1</v>
      </c>
      <c r="GX157">
        <f>ROUND(HC157*I157,2)</f>
        <v>0</v>
      </c>
      <c r="HA157">
        <v>0</v>
      </c>
      <c r="HB157">
        <v>0</v>
      </c>
      <c r="HC157">
        <f>GV157*GW157</f>
        <v>0</v>
      </c>
      <c r="IK157">
        <v>0</v>
      </c>
    </row>
    <row r="158" spans="1:245" x14ac:dyDescent="0.2">
      <c r="A158">
        <v>17</v>
      </c>
      <c r="B158">
        <v>1</v>
      </c>
      <c r="C158">
        <f>ROW(SmtRes!A48)</f>
        <v>48</v>
      </c>
      <c r="D158">
        <f>ROW(EtalonRes!A63)</f>
        <v>63</v>
      </c>
      <c r="E158" t="s">
        <v>175</v>
      </c>
      <c r="F158" t="s">
        <v>291</v>
      </c>
      <c r="G158" t="s">
        <v>292</v>
      </c>
      <c r="H158" t="s">
        <v>293</v>
      </c>
      <c r="I158">
        <f>ROUND(I32*100,9)</f>
        <v>62.57</v>
      </c>
      <c r="J158">
        <v>0</v>
      </c>
      <c r="O158">
        <f>ROUND(CP158,2)</f>
        <v>30345.87</v>
      </c>
      <c r="P158">
        <f>ROUND((ROUND((AC158*AW158*I158),2)*BC158),2)</f>
        <v>0</v>
      </c>
      <c r="Q158">
        <f>(ROUND((ROUND(((ET158)*AV158*I158),2)*BB158),2)+ROUND((ROUND(((AE158-(EU158))*AV158*I158),2)*BS158),2))</f>
        <v>30345.87</v>
      </c>
      <c r="R158">
        <f>ROUND((ROUND((AE158*AV158*I158),2)*BS158),2)</f>
        <v>0</v>
      </c>
      <c r="S158">
        <f>ROUND((ROUND((AF158*AV158*I158),2)*BA158),2)</f>
        <v>0</v>
      </c>
      <c r="T158">
        <f>ROUND(CU158*I158,2)</f>
        <v>0</v>
      </c>
      <c r="U158">
        <f>CV158*I158</f>
        <v>0</v>
      </c>
      <c r="V158">
        <f>CW158*I158</f>
        <v>0</v>
      </c>
      <c r="W158">
        <f>ROUND(CX158*I158,2)</f>
        <v>0</v>
      </c>
      <c r="X158">
        <f t="shared" si="128"/>
        <v>0</v>
      </c>
      <c r="Y158">
        <f t="shared" si="128"/>
        <v>0</v>
      </c>
      <c r="AA158">
        <v>44175501</v>
      </c>
      <c r="AB158">
        <f>ROUND((AC158+AD158+AF158),6)</f>
        <v>55.05</v>
      </c>
      <c r="AC158">
        <f>ROUND((ES158),6)</f>
        <v>0</v>
      </c>
      <c r="AD158">
        <f>ROUND((((ET158)-(EU158))+AE158),6)</f>
        <v>55.05</v>
      </c>
      <c r="AE158">
        <f t="shared" si="129"/>
        <v>0</v>
      </c>
      <c r="AF158">
        <f t="shared" si="129"/>
        <v>0</v>
      </c>
      <c r="AG158">
        <f>ROUND((AP158),6)</f>
        <v>0</v>
      </c>
      <c r="AH158">
        <f t="shared" si="130"/>
        <v>0</v>
      </c>
      <c r="AI158">
        <f t="shared" si="130"/>
        <v>0</v>
      </c>
      <c r="AJ158">
        <f>(AS158)</f>
        <v>0</v>
      </c>
      <c r="AK158">
        <v>55.05</v>
      </c>
      <c r="AL158">
        <v>0</v>
      </c>
      <c r="AM158">
        <v>55.05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1</v>
      </c>
      <c r="AW158">
        <v>1</v>
      </c>
      <c r="AZ158">
        <v>1</v>
      </c>
      <c r="BA158">
        <v>21.43</v>
      </c>
      <c r="BB158">
        <v>8.81</v>
      </c>
      <c r="BC158">
        <v>1</v>
      </c>
      <c r="BD158" t="s">
        <v>5</v>
      </c>
      <c r="BE158" t="s">
        <v>5</v>
      </c>
      <c r="BF158" t="s">
        <v>5</v>
      </c>
      <c r="BG158" t="s">
        <v>5</v>
      </c>
      <c r="BH158">
        <v>0</v>
      </c>
      <c r="BI158">
        <v>4</v>
      </c>
      <c r="BJ158" t="s">
        <v>294</v>
      </c>
      <c r="BM158">
        <v>1110</v>
      </c>
      <c r="BN158">
        <v>0</v>
      </c>
      <c r="BO158" t="s">
        <v>291</v>
      </c>
      <c r="BP158">
        <v>1</v>
      </c>
      <c r="BQ158">
        <v>150</v>
      </c>
      <c r="BR158">
        <v>0</v>
      </c>
      <c r="BS158">
        <v>21.43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5</v>
      </c>
      <c r="BZ158">
        <v>0</v>
      </c>
      <c r="CA158">
        <v>0</v>
      </c>
      <c r="CE158">
        <v>30</v>
      </c>
      <c r="CF158">
        <v>0</v>
      </c>
      <c r="CG158">
        <v>0</v>
      </c>
      <c r="CM158">
        <v>0</v>
      </c>
      <c r="CN158" t="s">
        <v>5</v>
      </c>
      <c r="CO158">
        <v>0</v>
      </c>
      <c r="CP158">
        <f>(P158+Q158+S158)</f>
        <v>30345.87</v>
      </c>
      <c r="CQ158">
        <f>ROUND((ROUND((AC158*AW158*1),2)*BC158),2)</f>
        <v>0</v>
      </c>
      <c r="CR158">
        <f>(ROUND((ROUND(((ET158)*AV158*1),2)*BB158),2)+ROUND((ROUND(((AE158-(EU158))*AV158*1),2)*BS158),2))</f>
        <v>484.99</v>
      </c>
      <c r="CS158">
        <f>ROUND((ROUND((AE158*AV158*1),2)*BS158),2)</f>
        <v>0</v>
      </c>
      <c r="CT158">
        <f>ROUND((ROUND((AF158*AV158*1),2)*BA158),2)</f>
        <v>0</v>
      </c>
      <c r="CU158">
        <f>AG158</f>
        <v>0</v>
      </c>
      <c r="CV158">
        <f>(AH158*AV158)</f>
        <v>0</v>
      </c>
      <c r="CW158">
        <f t="shared" si="131"/>
        <v>0</v>
      </c>
      <c r="CX158">
        <f t="shared" si="131"/>
        <v>0</v>
      </c>
      <c r="CY158">
        <f>S158*(BZ158/100)</f>
        <v>0</v>
      </c>
      <c r="CZ158">
        <f>S158*(CA158/100)</f>
        <v>0</v>
      </c>
      <c r="DC158" t="s">
        <v>5</v>
      </c>
      <c r="DD158" t="s">
        <v>5</v>
      </c>
      <c r="DE158" t="s">
        <v>5</v>
      </c>
      <c r="DF158" t="s">
        <v>5</v>
      </c>
      <c r="DG158" t="s">
        <v>5</v>
      </c>
      <c r="DH158" t="s">
        <v>5</v>
      </c>
      <c r="DI158" t="s">
        <v>5</v>
      </c>
      <c r="DJ158" t="s">
        <v>5</v>
      </c>
      <c r="DK158" t="s">
        <v>5</v>
      </c>
      <c r="DL158" t="s">
        <v>5</v>
      </c>
      <c r="DM158" t="s">
        <v>5</v>
      </c>
      <c r="DN158">
        <v>0</v>
      </c>
      <c r="DO158">
        <v>0</v>
      </c>
      <c r="DP158">
        <v>1</v>
      </c>
      <c r="DQ158">
        <v>1</v>
      </c>
      <c r="DU158">
        <v>1013</v>
      </c>
      <c r="DV158" t="s">
        <v>293</v>
      </c>
      <c r="DW158" t="s">
        <v>293</v>
      </c>
      <c r="DX158">
        <v>1</v>
      </c>
      <c r="EE158">
        <v>44064929</v>
      </c>
      <c r="EF158">
        <v>150</v>
      </c>
      <c r="EG158" t="s">
        <v>285</v>
      </c>
      <c r="EH158">
        <v>0</v>
      </c>
      <c r="EI158" t="s">
        <v>5</v>
      </c>
      <c r="EJ158">
        <v>4</v>
      </c>
      <c r="EK158">
        <v>1110</v>
      </c>
      <c r="EL158" t="s">
        <v>286</v>
      </c>
      <c r="EM158" t="s">
        <v>287</v>
      </c>
      <c r="EO158" t="s">
        <v>5</v>
      </c>
      <c r="EQ158">
        <v>131072</v>
      </c>
      <c r="ER158">
        <v>55.05</v>
      </c>
      <c r="ES158">
        <v>0</v>
      </c>
      <c r="ET158">
        <v>55.05</v>
      </c>
      <c r="EU158">
        <v>0</v>
      </c>
      <c r="EV158">
        <v>0</v>
      </c>
      <c r="EW158">
        <v>0</v>
      </c>
      <c r="EX158">
        <v>0</v>
      </c>
      <c r="EY158">
        <v>0</v>
      </c>
      <c r="FQ158">
        <v>0</v>
      </c>
      <c r="FR158">
        <f>ROUND(IF(AND(BH158=3,BI158=3),P158,0),2)</f>
        <v>0</v>
      </c>
      <c r="FS158">
        <v>0</v>
      </c>
      <c r="FX158">
        <v>0</v>
      </c>
      <c r="FY158">
        <v>0</v>
      </c>
      <c r="GA158" t="s">
        <v>5</v>
      </c>
      <c r="GD158">
        <v>1</v>
      </c>
      <c r="GF158">
        <v>983114572</v>
      </c>
      <c r="GG158">
        <v>2</v>
      </c>
      <c r="GH158">
        <v>1</v>
      </c>
      <c r="GI158">
        <v>2</v>
      </c>
      <c r="GJ158">
        <v>0</v>
      </c>
      <c r="GK158">
        <v>0</v>
      </c>
      <c r="GL158">
        <f>ROUND(IF(AND(BH158=3,BI158=3,FS158&lt;&gt;0),P158,0),2)</f>
        <v>0</v>
      </c>
      <c r="GM158">
        <f>ROUND(O158+X158+Y158,2)+GX158</f>
        <v>30345.87</v>
      </c>
      <c r="GN158">
        <f>IF(OR(BI158=0,BI158=1),ROUND(O158+X158+Y158,2),0)</f>
        <v>0</v>
      </c>
      <c r="GO158">
        <f>IF(BI158=2,ROUND(O158+X158+Y158,2),0)</f>
        <v>0</v>
      </c>
      <c r="GP158">
        <f>IF(BI158=4,ROUND(O158+X158+Y158,2)+GX158,0)</f>
        <v>30345.87</v>
      </c>
      <c r="GR158">
        <v>0</v>
      </c>
      <c r="GS158">
        <v>0</v>
      </c>
      <c r="GT158">
        <v>0</v>
      </c>
      <c r="GU158" t="s">
        <v>5</v>
      </c>
      <c r="GV158">
        <f>ROUND((GT158),6)</f>
        <v>0</v>
      </c>
      <c r="GW158">
        <v>1</v>
      </c>
      <c r="GX158">
        <f>ROUND(HC158*I158,2)</f>
        <v>0</v>
      </c>
      <c r="HA158">
        <v>0</v>
      </c>
      <c r="HB158">
        <v>0</v>
      </c>
      <c r="HC158">
        <f>GV158*GW158</f>
        <v>0</v>
      </c>
      <c r="IK158">
        <v>0</v>
      </c>
    </row>
    <row r="159" spans="1:245" x14ac:dyDescent="0.2">
      <c r="A159">
        <v>17</v>
      </c>
      <c r="B159">
        <v>1</v>
      </c>
      <c r="D159">
        <f>ROW(EtalonRes!A64)</f>
        <v>64</v>
      </c>
      <c r="E159" t="s">
        <v>19</v>
      </c>
      <c r="F159" t="s">
        <v>295</v>
      </c>
      <c r="G159" t="s">
        <v>296</v>
      </c>
      <c r="H159" t="s">
        <v>283</v>
      </c>
      <c r="I159">
        <f>ROUND(I158*1.8,9)</f>
        <v>112.626</v>
      </c>
      <c r="J159">
        <v>0</v>
      </c>
      <c r="O159">
        <f>ROUND(CP159,2)</f>
        <v>13989.67</v>
      </c>
      <c r="P159">
        <f>ROUND((ROUND((AC159*AW159*I159),2)*BC159),2)</f>
        <v>0</v>
      </c>
      <c r="Q159">
        <f>(ROUND((ROUND(((ET159)*AV159*I159),2)*BB159),2)+ROUND((ROUND(((AE159-(EU159))*AV159*I159),2)*BS159),2))</f>
        <v>13989.67</v>
      </c>
      <c r="R159">
        <f>ROUND((ROUND((AE159*AV159*I159),2)*BS159),2)</f>
        <v>0</v>
      </c>
      <c r="S159">
        <f>ROUND((ROUND((AF159*AV159*I159),2)*BA159),2)</f>
        <v>0</v>
      </c>
      <c r="T159">
        <f>ROUND(CU159*I159,2)</f>
        <v>0</v>
      </c>
      <c r="U159">
        <f>CV159*I159</f>
        <v>0</v>
      </c>
      <c r="V159">
        <f>CW159*I159</f>
        <v>0</v>
      </c>
      <c r="W159">
        <f>ROUND(CX159*I159,2)</f>
        <v>0</v>
      </c>
      <c r="X159">
        <f t="shared" si="128"/>
        <v>0</v>
      </c>
      <c r="Y159">
        <f t="shared" si="128"/>
        <v>0</v>
      </c>
      <c r="AA159">
        <v>44175501</v>
      </c>
      <c r="AB159">
        <f>ROUND((AC159+AD159+AF159),6)</f>
        <v>43.28</v>
      </c>
      <c r="AC159">
        <f>ROUND((ES159),6)</f>
        <v>0</v>
      </c>
      <c r="AD159">
        <f>ROUND((((ET159)-(EU159))+AE159),6)</f>
        <v>43.28</v>
      </c>
      <c r="AE159">
        <f t="shared" si="129"/>
        <v>0</v>
      </c>
      <c r="AF159">
        <f t="shared" si="129"/>
        <v>0</v>
      </c>
      <c r="AG159">
        <f>ROUND((AP159),6)</f>
        <v>0</v>
      </c>
      <c r="AH159">
        <f t="shared" si="130"/>
        <v>0</v>
      </c>
      <c r="AI159">
        <f t="shared" si="130"/>
        <v>0</v>
      </c>
      <c r="AJ159">
        <f>(AS159)</f>
        <v>0</v>
      </c>
      <c r="AK159">
        <v>43.28</v>
      </c>
      <c r="AL159">
        <v>0</v>
      </c>
      <c r="AM159">
        <v>43.28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1</v>
      </c>
      <c r="AW159">
        <v>1</v>
      </c>
      <c r="AZ159">
        <v>1</v>
      </c>
      <c r="BA159">
        <v>21.43</v>
      </c>
      <c r="BB159">
        <v>2.87</v>
      </c>
      <c r="BC159">
        <v>1</v>
      </c>
      <c r="BD159" t="s">
        <v>5</v>
      </c>
      <c r="BE159" t="s">
        <v>5</v>
      </c>
      <c r="BF159" t="s">
        <v>5</v>
      </c>
      <c r="BG159" t="s">
        <v>5</v>
      </c>
      <c r="BH159">
        <v>0</v>
      </c>
      <c r="BI159">
        <v>4</v>
      </c>
      <c r="BJ159" t="s">
        <v>297</v>
      </c>
      <c r="BM159">
        <v>1110</v>
      </c>
      <c r="BN159">
        <v>0</v>
      </c>
      <c r="BO159" t="s">
        <v>295</v>
      </c>
      <c r="BP159">
        <v>1</v>
      </c>
      <c r="BQ159">
        <v>150</v>
      </c>
      <c r="BR159">
        <v>0</v>
      </c>
      <c r="BS159">
        <v>21.43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5</v>
      </c>
      <c r="BZ159">
        <v>0</v>
      </c>
      <c r="CA159">
        <v>0</v>
      </c>
      <c r="CE159">
        <v>30</v>
      </c>
      <c r="CF159">
        <v>0</v>
      </c>
      <c r="CG159">
        <v>0</v>
      </c>
      <c r="CM159">
        <v>0</v>
      </c>
      <c r="CN159" t="s">
        <v>5</v>
      </c>
      <c r="CO159">
        <v>0</v>
      </c>
      <c r="CP159">
        <f>(P159+Q159+S159)</f>
        <v>13989.67</v>
      </c>
      <c r="CQ159">
        <f>ROUND((ROUND((AC159*AW159*1),2)*BC159),2)</f>
        <v>0</v>
      </c>
      <c r="CR159">
        <f>(ROUND((ROUND(((ET159)*AV159*1),2)*BB159),2)+ROUND((ROUND(((AE159-(EU159))*AV159*1),2)*BS159),2))</f>
        <v>124.21</v>
      </c>
      <c r="CS159">
        <f>ROUND((ROUND((AE159*AV159*1),2)*BS159),2)</f>
        <v>0</v>
      </c>
      <c r="CT159">
        <f>ROUND((ROUND((AF159*AV159*1),2)*BA159),2)</f>
        <v>0</v>
      </c>
      <c r="CU159">
        <f>AG159</f>
        <v>0</v>
      </c>
      <c r="CV159">
        <f>(AH159*AV159)</f>
        <v>0</v>
      </c>
      <c r="CW159">
        <f t="shared" si="131"/>
        <v>0</v>
      </c>
      <c r="CX159">
        <f t="shared" si="131"/>
        <v>0</v>
      </c>
      <c r="CY159">
        <f>S159*(BZ159/100)</f>
        <v>0</v>
      </c>
      <c r="CZ159">
        <f>S159*(CA159/100)</f>
        <v>0</v>
      </c>
      <c r="DC159" t="s">
        <v>5</v>
      </c>
      <c r="DD159" t="s">
        <v>5</v>
      </c>
      <c r="DE159" t="s">
        <v>5</v>
      </c>
      <c r="DF159" t="s">
        <v>5</v>
      </c>
      <c r="DG159" t="s">
        <v>5</v>
      </c>
      <c r="DH159" t="s">
        <v>5</v>
      </c>
      <c r="DI159" t="s">
        <v>5</v>
      </c>
      <c r="DJ159" t="s">
        <v>5</v>
      </c>
      <c r="DK159" t="s">
        <v>5</v>
      </c>
      <c r="DL159" t="s">
        <v>5</v>
      </c>
      <c r="DM159" t="s">
        <v>5</v>
      </c>
      <c r="DN159">
        <v>0</v>
      </c>
      <c r="DO159">
        <v>0</v>
      </c>
      <c r="DP159">
        <v>1</v>
      </c>
      <c r="DQ159">
        <v>1</v>
      </c>
      <c r="DU159">
        <v>1013</v>
      </c>
      <c r="DV159" t="s">
        <v>283</v>
      </c>
      <c r="DW159" t="s">
        <v>283</v>
      </c>
      <c r="DX159">
        <v>1</v>
      </c>
      <c r="EE159">
        <v>44064929</v>
      </c>
      <c r="EF159">
        <v>150</v>
      </c>
      <c r="EG159" t="s">
        <v>285</v>
      </c>
      <c r="EH159">
        <v>0</v>
      </c>
      <c r="EI159" t="s">
        <v>5</v>
      </c>
      <c r="EJ159">
        <v>4</v>
      </c>
      <c r="EK159">
        <v>1110</v>
      </c>
      <c r="EL159" t="s">
        <v>286</v>
      </c>
      <c r="EM159" t="s">
        <v>287</v>
      </c>
      <c r="EO159" t="s">
        <v>5</v>
      </c>
      <c r="EQ159">
        <v>131072</v>
      </c>
      <c r="ER159">
        <v>43.28</v>
      </c>
      <c r="ES159">
        <v>0</v>
      </c>
      <c r="ET159">
        <v>43.28</v>
      </c>
      <c r="EU159">
        <v>0</v>
      </c>
      <c r="EV159">
        <v>0</v>
      </c>
      <c r="EW159">
        <v>0</v>
      </c>
      <c r="EX159">
        <v>0</v>
      </c>
      <c r="EY159">
        <v>0</v>
      </c>
      <c r="FQ159">
        <v>0</v>
      </c>
      <c r="FR159">
        <f>ROUND(IF(AND(BH159=3,BI159=3),P159,0),2)</f>
        <v>0</v>
      </c>
      <c r="FS159">
        <v>0</v>
      </c>
      <c r="FX159">
        <v>0</v>
      </c>
      <c r="FY159">
        <v>0</v>
      </c>
      <c r="GA159" t="s">
        <v>5</v>
      </c>
      <c r="GD159">
        <v>1</v>
      </c>
      <c r="GF159">
        <v>-1830155644</v>
      </c>
      <c r="GG159">
        <v>2</v>
      </c>
      <c r="GH159">
        <v>1</v>
      </c>
      <c r="GI159">
        <v>2</v>
      </c>
      <c r="GJ159">
        <v>0</v>
      </c>
      <c r="GK159">
        <v>0</v>
      </c>
      <c r="GL159">
        <f>ROUND(IF(AND(BH159=3,BI159=3,FS159&lt;&gt;0),P159,0),2)</f>
        <v>0</v>
      </c>
      <c r="GM159">
        <f>ROUND(O159+X159+Y159,2)+GX159</f>
        <v>13989.67</v>
      </c>
      <c r="GN159">
        <f>IF(OR(BI159=0,BI159=1),ROUND(O159+X159+Y159,2),0)</f>
        <v>0</v>
      </c>
      <c r="GO159">
        <f>IF(BI159=2,ROUND(O159+X159+Y159,2),0)</f>
        <v>0</v>
      </c>
      <c r="GP159">
        <f>IF(BI159=4,ROUND(O159+X159+Y159,2)+GX159,0)</f>
        <v>13989.67</v>
      </c>
      <c r="GR159">
        <v>0</v>
      </c>
      <c r="GS159">
        <v>0</v>
      </c>
      <c r="GT159">
        <v>0</v>
      </c>
      <c r="GU159" t="s">
        <v>5</v>
      </c>
      <c r="GV159">
        <f>ROUND((GT159),6)</f>
        <v>0</v>
      </c>
      <c r="GW159">
        <v>1</v>
      </c>
      <c r="GX159">
        <f>ROUND(HC159*I159,2)</f>
        <v>0</v>
      </c>
      <c r="HA159">
        <v>0</v>
      </c>
      <c r="HB159">
        <v>0</v>
      </c>
      <c r="HC159">
        <f>GV159*GW159</f>
        <v>0</v>
      </c>
      <c r="IK159">
        <v>0</v>
      </c>
    </row>
    <row r="161" spans="1:206" x14ac:dyDescent="0.2">
      <c r="A161" s="2">
        <v>51</v>
      </c>
      <c r="B161" s="2">
        <f>B152</f>
        <v>1</v>
      </c>
      <c r="C161" s="2">
        <f>A152</f>
        <v>4</v>
      </c>
      <c r="D161" s="2">
        <f>ROW(A152)</f>
        <v>152</v>
      </c>
      <c r="E161" s="2"/>
      <c r="F161" s="2" t="str">
        <f>IF(F152&lt;&gt;"",F152,"")</f>
        <v>Новый раздел</v>
      </c>
      <c r="G161" s="2" t="str">
        <f>IF(G152&lt;&gt;"",G152,"")</f>
        <v>Прочие работы</v>
      </c>
      <c r="H161" s="2">
        <v>0</v>
      </c>
      <c r="I161" s="2"/>
      <c r="J161" s="2"/>
      <c r="K161" s="2"/>
      <c r="L161" s="2"/>
      <c r="M161" s="2"/>
      <c r="N161" s="2"/>
      <c r="O161" s="2">
        <f t="shared" ref="O161:T161" si="132">ROUND(AB161,2)</f>
        <v>44335.54</v>
      </c>
      <c r="P161" s="2">
        <f t="shared" si="132"/>
        <v>0</v>
      </c>
      <c r="Q161" s="2">
        <f t="shared" si="132"/>
        <v>44335.54</v>
      </c>
      <c r="R161" s="2">
        <f t="shared" si="132"/>
        <v>0</v>
      </c>
      <c r="S161" s="2">
        <f t="shared" si="132"/>
        <v>0</v>
      </c>
      <c r="T161" s="2">
        <f t="shared" si="132"/>
        <v>0</v>
      </c>
      <c r="U161" s="2">
        <f>AH161</f>
        <v>0</v>
      </c>
      <c r="V161" s="2">
        <f>AI161</f>
        <v>0</v>
      </c>
      <c r="W161" s="2">
        <f>ROUND(AJ161,2)</f>
        <v>0</v>
      </c>
      <c r="X161" s="2">
        <f>ROUND(AK161,2)</f>
        <v>0</v>
      </c>
      <c r="Y161" s="2">
        <f>ROUND(AL161,2)</f>
        <v>0</v>
      </c>
      <c r="Z161" s="2"/>
      <c r="AA161" s="2"/>
      <c r="AB161" s="2">
        <f>ROUND(SUMIF(AA156:AA159,"=44175501",O156:O159),2)</f>
        <v>44335.54</v>
      </c>
      <c r="AC161" s="2">
        <f>ROUND(SUMIF(AA156:AA159,"=44175501",P156:P159),2)</f>
        <v>0</v>
      </c>
      <c r="AD161" s="2">
        <f>ROUND(SUMIF(AA156:AA159,"=44175501",Q156:Q159),2)</f>
        <v>44335.54</v>
      </c>
      <c r="AE161" s="2">
        <f>ROUND(SUMIF(AA156:AA159,"=44175501",R156:R159),2)</f>
        <v>0</v>
      </c>
      <c r="AF161" s="2">
        <f>ROUND(SUMIF(AA156:AA159,"=44175501",S156:S159),2)</f>
        <v>0</v>
      </c>
      <c r="AG161" s="2">
        <f>ROUND(SUMIF(AA156:AA159,"=44175501",T156:T159),2)</f>
        <v>0</v>
      </c>
      <c r="AH161" s="2">
        <f>SUMIF(AA156:AA159,"=44175501",U156:U159)</f>
        <v>0</v>
      </c>
      <c r="AI161" s="2">
        <f>SUMIF(AA156:AA159,"=44175501",V156:V159)</f>
        <v>0</v>
      </c>
      <c r="AJ161" s="2">
        <f>ROUND(SUMIF(AA156:AA159,"=44175501",W156:W159),2)</f>
        <v>0</v>
      </c>
      <c r="AK161" s="2">
        <f>ROUND(SUMIF(AA156:AA159,"=44175501",X156:X159),2)</f>
        <v>0</v>
      </c>
      <c r="AL161" s="2">
        <f>ROUND(SUMIF(AA156:AA159,"=44175501",Y156:Y159),2)</f>
        <v>0</v>
      </c>
      <c r="AM161" s="2"/>
      <c r="AN161" s="2"/>
      <c r="AO161" s="2">
        <f t="shared" ref="AO161:BD161" si="133">ROUND(BX161,2)</f>
        <v>0</v>
      </c>
      <c r="AP161" s="2">
        <f t="shared" si="133"/>
        <v>0</v>
      </c>
      <c r="AQ161" s="2">
        <f t="shared" si="133"/>
        <v>0</v>
      </c>
      <c r="AR161" s="2">
        <f t="shared" si="133"/>
        <v>44335.54</v>
      </c>
      <c r="AS161" s="2">
        <f t="shared" si="133"/>
        <v>0</v>
      </c>
      <c r="AT161" s="2">
        <f t="shared" si="133"/>
        <v>0</v>
      </c>
      <c r="AU161" s="2">
        <f t="shared" si="133"/>
        <v>44335.54</v>
      </c>
      <c r="AV161" s="2">
        <f t="shared" si="133"/>
        <v>0</v>
      </c>
      <c r="AW161" s="2">
        <f t="shared" si="133"/>
        <v>0</v>
      </c>
      <c r="AX161" s="2">
        <f t="shared" si="133"/>
        <v>0</v>
      </c>
      <c r="AY161" s="2">
        <f t="shared" si="133"/>
        <v>0</v>
      </c>
      <c r="AZ161" s="2">
        <f t="shared" si="133"/>
        <v>0</v>
      </c>
      <c r="BA161" s="2">
        <f t="shared" si="133"/>
        <v>0</v>
      </c>
      <c r="BB161" s="2">
        <f t="shared" si="133"/>
        <v>0</v>
      </c>
      <c r="BC161" s="2">
        <f t="shared" si="133"/>
        <v>0</v>
      </c>
      <c r="BD161" s="2">
        <f t="shared" si="133"/>
        <v>0</v>
      </c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>
        <f>ROUND(SUMIF(AA156:AA159,"=44175501",FQ156:FQ159),2)</f>
        <v>0</v>
      </c>
      <c r="BY161" s="2">
        <f>ROUND(SUMIF(AA156:AA159,"=44175501",FR156:FR159),2)</f>
        <v>0</v>
      </c>
      <c r="BZ161" s="2">
        <f>ROUND(SUMIF(AA156:AA159,"=44175501",GL156:GL159),2)</f>
        <v>0</v>
      </c>
      <c r="CA161" s="2">
        <f>ROUND(SUMIF(AA156:AA159,"=44175501",GM156:GM159),2)</f>
        <v>44335.54</v>
      </c>
      <c r="CB161" s="2">
        <f>ROUND(SUMIF(AA156:AA159,"=44175501",GN156:GN159),2)</f>
        <v>0</v>
      </c>
      <c r="CC161" s="2">
        <f>ROUND(SUMIF(AA156:AA159,"=44175501",GO156:GO159),2)</f>
        <v>0</v>
      </c>
      <c r="CD161" s="2">
        <f>ROUND(SUMIF(AA156:AA159,"=44175501",GP156:GP159),2)</f>
        <v>44335.54</v>
      </c>
      <c r="CE161" s="2">
        <f>AC161-BX161</f>
        <v>0</v>
      </c>
      <c r="CF161" s="2">
        <f>AC161-BY161</f>
        <v>0</v>
      </c>
      <c r="CG161" s="2">
        <f>BX161-BZ161</f>
        <v>0</v>
      </c>
      <c r="CH161" s="2">
        <f>AC161-BX161-BY161+BZ161</f>
        <v>0</v>
      </c>
      <c r="CI161" s="2">
        <f>BY161-BZ161</f>
        <v>0</v>
      </c>
      <c r="CJ161" s="2">
        <f>ROUND(SUMIF(AA156:AA159,"=44175501",GX156:GX159),2)</f>
        <v>0</v>
      </c>
      <c r="CK161" s="2">
        <f>ROUND(SUMIF(AA156:AA159,"=44175501",GY156:GY159),2)</f>
        <v>0</v>
      </c>
      <c r="CL161" s="2">
        <f>ROUND(SUMIF(AA156:AA159,"=44175501",GZ156:GZ159),2)</f>
        <v>0</v>
      </c>
      <c r="CM161" s="2">
        <f>ROUND(SUMIF(AA156:AA159,"=44175501",HD156:HD159),2)</f>
        <v>0</v>
      </c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>
        <v>0</v>
      </c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201</v>
      </c>
      <c r="F163" s="4">
        <f>ROUND(Source!O161,O163)</f>
        <v>44335.54</v>
      </c>
      <c r="G163" s="4" t="s">
        <v>110</v>
      </c>
      <c r="H163" s="4" t="s">
        <v>111</v>
      </c>
      <c r="I163" s="4"/>
      <c r="J163" s="4"/>
      <c r="K163" s="4">
        <v>201</v>
      </c>
      <c r="L163" s="4">
        <v>1</v>
      </c>
      <c r="M163" s="4">
        <v>3</v>
      </c>
      <c r="N163" s="4" t="s">
        <v>5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202</v>
      </c>
      <c r="F164" s="4">
        <f>ROUND(Source!P161,O164)</f>
        <v>0</v>
      </c>
      <c r="G164" s="4" t="s">
        <v>112</v>
      </c>
      <c r="H164" s="4" t="s">
        <v>113</v>
      </c>
      <c r="I164" s="4"/>
      <c r="J164" s="4"/>
      <c r="K164" s="4">
        <v>202</v>
      </c>
      <c r="L164" s="4">
        <v>2</v>
      </c>
      <c r="M164" s="4">
        <v>3</v>
      </c>
      <c r="N164" s="4" t="s">
        <v>5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222</v>
      </c>
      <c r="F165" s="4">
        <f>ROUND(Source!AO161,O165)</f>
        <v>0</v>
      </c>
      <c r="G165" s="4" t="s">
        <v>114</v>
      </c>
      <c r="H165" s="4" t="s">
        <v>115</v>
      </c>
      <c r="I165" s="4"/>
      <c r="J165" s="4"/>
      <c r="K165" s="4">
        <v>222</v>
      </c>
      <c r="L165" s="4">
        <v>3</v>
      </c>
      <c r="M165" s="4">
        <v>3</v>
      </c>
      <c r="N165" s="4" t="s">
        <v>5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225</v>
      </c>
      <c r="F166" s="4">
        <f>ROUND(Source!AV161,O166)</f>
        <v>0</v>
      </c>
      <c r="G166" s="4" t="s">
        <v>116</v>
      </c>
      <c r="H166" s="4" t="s">
        <v>117</v>
      </c>
      <c r="I166" s="4"/>
      <c r="J166" s="4"/>
      <c r="K166" s="4">
        <v>225</v>
      </c>
      <c r="L166" s="4">
        <v>4</v>
      </c>
      <c r="M166" s="4">
        <v>3</v>
      </c>
      <c r="N166" s="4" t="s">
        <v>5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226</v>
      </c>
      <c r="F167" s="4">
        <f>ROUND(Source!AW161,O167)</f>
        <v>0</v>
      </c>
      <c r="G167" s="4" t="s">
        <v>118</v>
      </c>
      <c r="H167" s="4" t="s">
        <v>119</v>
      </c>
      <c r="I167" s="4"/>
      <c r="J167" s="4"/>
      <c r="K167" s="4">
        <v>226</v>
      </c>
      <c r="L167" s="4">
        <v>5</v>
      </c>
      <c r="M167" s="4">
        <v>3</v>
      </c>
      <c r="N167" s="4" t="s">
        <v>5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227</v>
      </c>
      <c r="F168" s="4">
        <f>ROUND(Source!AX161,O168)</f>
        <v>0</v>
      </c>
      <c r="G168" s="4" t="s">
        <v>120</v>
      </c>
      <c r="H168" s="4" t="s">
        <v>121</v>
      </c>
      <c r="I168" s="4"/>
      <c r="J168" s="4"/>
      <c r="K168" s="4">
        <v>227</v>
      </c>
      <c r="L168" s="4">
        <v>6</v>
      </c>
      <c r="M168" s="4">
        <v>3</v>
      </c>
      <c r="N168" s="4" t="s">
        <v>5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228</v>
      </c>
      <c r="F169" s="4">
        <f>ROUND(Source!AY161,O169)</f>
        <v>0</v>
      </c>
      <c r="G169" s="4" t="s">
        <v>122</v>
      </c>
      <c r="H169" s="4" t="s">
        <v>123</v>
      </c>
      <c r="I169" s="4"/>
      <c r="J169" s="4"/>
      <c r="K169" s="4">
        <v>228</v>
      </c>
      <c r="L169" s="4">
        <v>7</v>
      </c>
      <c r="M169" s="4">
        <v>3</v>
      </c>
      <c r="N169" s="4" t="s">
        <v>5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216</v>
      </c>
      <c r="F170" s="4">
        <f>ROUND(Source!AP161,O170)</f>
        <v>0</v>
      </c>
      <c r="G170" s="4" t="s">
        <v>124</v>
      </c>
      <c r="H170" s="4" t="s">
        <v>125</v>
      </c>
      <c r="I170" s="4"/>
      <c r="J170" s="4"/>
      <c r="K170" s="4">
        <v>216</v>
      </c>
      <c r="L170" s="4">
        <v>8</v>
      </c>
      <c r="M170" s="4">
        <v>3</v>
      </c>
      <c r="N170" s="4" t="s">
        <v>5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223</v>
      </c>
      <c r="F171" s="4">
        <f>ROUND(Source!AQ161,O171)</f>
        <v>0</v>
      </c>
      <c r="G171" s="4" t="s">
        <v>126</v>
      </c>
      <c r="H171" s="4" t="s">
        <v>127</v>
      </c>
      <c r="I171" s="4"/>
      <c r="J171" s="4"/>
      <c r="K171" s="4">
        <v>223</v>
      </c>
      <c r="L171" s="4">
        <v>9</v>
      </c>
      <c r="M171" s="4">
        <v>3</v>
      </c>
      <c r="N171" s="4" t="s">
        <v>5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229</v>
      </c>
      <c r="F172" s="4">
        <f>ROUND(Source!AZ161,O172)</f>
        <v>0</v>
      </c>
      <c r="G172" s="4" t="s">
        <v>128</v>
      </c>
      <c r="H172" s="4" t="s">
        <v>129</v>
      </c>
      <c r="I172" s="4"/>
      <c r="J172" s="4"/>
      <c r="K172" s="4">
        <v>229</v>
      </c>
      <c r="L172" s="4">
        <v>10</v>
      </c>
      <c r="M172" s="4">
        <v>3</v>
      </c>
      <c r="N172" s="4" t="s">
        <v>5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203</v>
      </c>
      <c r="F173" s="4">
        <f>ROUND(Source!Q161,O173)</f>
        <v>44335.54</v>
      </c>
      <c r="G173" s="4" t="s">
        <v>130</v>
      </c>
      <c r="H173" s="4" t="s">
        <v>131</v>
      </c>
      <c r="I173" s="4"/>
      <c r="J173" s="4"/>
      <c r="K173" s="4">
        <v>203</v>
      </c>
      <c r="L173" s="4">
        <v>11</v>
      </c>
      <c r="M173" s="4">
        <v>3</v>
      </c>
      <c r="N173" s="4" t="s">
        <v>5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231</v>
      </c>
      <c r="F174" s="4">
        <f>ROUND(Source!BB161,O174)</f>
        <v>0</v>
      </c>
      <c r="G174" s="4" t="s">
        <v>132</v>
      </c>
      <c r="H174" s="4" t="s">
        <v>133</v>
      </c>
      <c r="I174" s="4"/>
      <c r="J174" s="4"/>
      <c r="K174" s="4">
        <v>231</v>
      </c>
      <c r="L174" s="4">
        <v>12</v>
      </c>
      <c r="M174" s="4">
        <v>3</v>
      </c>
      <c r="N174" s="4" t="s">
        <v>5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204</v>
      </c>
      <c r="F175" s="4">
        <f>ROUND(Source!R161,O175)</f>
        <v>0</v>
      </c>
      <c r="G175" s="4" t="s">
        <v>134</v>
      </c>
      <c r="H175" s="4" t="s">
        <v>135</v>
      </c>
      <c r="I175" s="4"/>
      <c r="J175" s="4"/>
      <c r="K175" s="4">
        <v>204</v>
      </c>
      <c r="L175" s="4">
        <v>13</v>
      </c>
      <c r="M175" s="4">
        <v>3</v>
      </c>
      <c r="N175" s="4" t="s">
        <v>5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205</v>
      </c>
      <c r="F176" s="4">
        <f>ROUND(Source!S161,O176)</f>
        <v>0</v>
      </c>
      <c r="G176" s="4" t="s">
        <v>136</v>
      </c>
      <c r="H176" s="4" t="s">
        <v>137</v>
      </c>
      <c r="I176" s="4"/>
      <c r="J176" s="4"/>
      <c r="K176" s="4">
        <v>205</v>
      </c>
      <c r="L176" s="4">
        <v>14</v>
      </c>
      <c r="M176" s="4">
        <v>3</v>
      </c>
      <c r="N176" s="4" t="s">
        <v>5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88" x14ac:dyDescent="0.2">
      <c r="A177" s="4">
        <v>50</v>
      </c>
      <c r="B177" s="4">
        <v>0</v>
      </c>
      <c r="C177" s="4">
        <v>0</v>
      </c>
      <c r="D177" s="4">
        <v>1</v>
      </c>
      <c r="E177" s="4">
        <v>232</v>
      </c>
      <c r="F177" s="4">
        <f>ROUND(Source!BC161,O177)</f>
        <v>0</v>
      </c>
      <c r="G177" s="4" t="s">
        <v>138</v>
      </c>
      <c r="H177" s="4" t="s">
        <v>139</v>
      </c>
      <c r="I177" s="4"/>
      <c r="J177" s="4"/>
      <c r="K177" s="4">
        <v>232</v>
      </c>
      <c r="L177" s="4">
        <v>15</v>
      </c>
      <c r="M177" s="4">
        <v>3</v>
      </c>
      <c r="N177" s="4" t="s">
        <v>5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88" x14ac:dyDescent="0.2">
      <c r="A178" s="4">
        <v>50</v>
      </c>
      <c r="B178" s="4">
        <v>0</v>
      </c>
      <c r="C178" s="4">
        <v>0</v>
      </c>
      <c r="D178" s="4">
        <v>1</v>
      </c>
      <c r="E178" s="4">
        <v>214</v>
      </c>
      <c r="F178" s="4">
        <f>ROUND(Source!AS161,O178)</f>
        <v>0</v>
      </c>
      <c r="G178" s="4" t="s">
        <v>140</v>
      </c>
      <c r="H178" s="4" t="s">
        <v>141</v>
      </c>
      <c r="I178" s="4"/>
      <c r="J178" s="4"/>
      <c r="K178" s="4">
        <v>214</v>
      </c>
      <c r="L178" s="4">
        <v>16</v>
      </c>
      <c r="M178" s="4">
        <v>3</v>
      </c>
      <c r="N178" s="4" t="s">
        <v>5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88" x14ac:dyDescent="0.2">
      <c r="A179" s="4">
        <v>50</v>
      </c>
      <c r="B179" s="4">
        <v>0</v>
      </c>
      <c r="C179" s="4">
        <v>0</v>
      </c>
      <c r="D179" s="4">
        <v>1</v>
      </c>
      <c r="E179" s="4">
        <v>215</v>
      </c>
      <c r="F179" s="4">
        <f>ROUND(Source!AT161,O179)</f>
        <v>0</v>
      </c>
      <c r="G179" s="4" t="s">
        <v>142</v>
      </c>
      <c r="H179" s="4" t="s">
        <v>143</v>
      </c>
      <c r="I179" s="4"/>
      <c r="J179" s="4"/>
      <c r="K179" s="4">
        <v>215</v>
      </c>
      <c r="L179" s="4">
        <v>17</v>
      </c>
      <c r="M179" s="4">
        <v>3</v>
      </c>
      <c r="N179" s="4" t="s">
        <v>5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88" x14ac:dyDescent="0.2">
      <c r="A180" s="4">
        <v>50</v>
      </c>
      <c r="B180" s="4">
        <v>0</v>
      </c>
      <c r="C180" s="4">
        <v>0</v>
      </c>
      <c r="D180" s="4">
        <v>1</v>
      </c>
      <c r="E180" s="4">
        <v>217</v>
      </c>
      <c r="F180" s="4">
        <f>ROUND(Source!AU161,O180)</f>
        <v>44335.54</v>
      </c>
      <c r="G180" s="4" t="s">
        <v>144</v>
      </c>
      <c r="H180" s="4" t="s">
        <v>145</v>
      </c>
      <c r="I180" s="4"/>
      <c r="J180" s="4"/>
      <c r="K180" s="4">
        <v>217</v>
      </c>
      <c r="L180" s="4">
        <v>18</v>
      </c>
      <c r="M180" s="4">
        <v>3</v>
      </c>
      <c r="N180" s="4" t="s">
        <v>5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88" x14ac:dyDescent="0.2">
      <c r="A181" s="4">
        <v>50</v>
      </c>
      <c r="B181" s="4">
        <v>0</v>
      </c>
      <c r="C181" s="4">
        <v>0</v>
      </c>
      <c r="D181" s="4">
        <v>1</v>
      </c>
      <c r="E181" s="4">
        <v>230</v>
      </c>
      <c r="F181" s="4">
        <f>ROUND(Source!BA161,O181)</f>
        <v>0</v>
      </c>
      <c r="G181" s="4" t="s">
        <v>146</v>
      </c>
      <c r="H181" s="4" t="s">
        <v>147</v>
      </c>
      <c r="I181" s="4"/>
      <c r="J181" s="4"/>
      <c r="K181" s="4">
        <v>230</v>
      </c>
      <c r="L181" s="4">
        <v>19</v>
      </c>
      <c r="M181" s="4">
        <v>3</v>
      </c>
      <c r="N181" s="4" t="s">
        <v>5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88" x14ac:dyDescent="0.2">
      <c r="A182" s="4">
        <v>50</v>
      </c>
      <c r="B182" s="4">
        <v>0</v>
      </c>
      <c r="C182" s="4">
        <v>0</v>
      </c>
      <c r="D182" s="4">
        <v>1</v>
      </c>
      <c r="E182" s="4">
        <v>206</v>
      </c>
      <c r="F182" s="4">
        <f>ROUND(Source!T161,O182)</f>
        <v>0</v>
      </c>
      <c r="G182" s="4" t="s">
        <v>148</v>
      </c>
      <c r="H182" s="4" t="s">
        <v>149</v>
      </c>
      <c r="I182" s="4"/>
      <c r="J182" s="4"/>
      <c r="K182" s="4">
        <v>206</v>
      </c>
      <c r="L182" s="4">
        <v>20</v>
      </c>
      <c r="M182" s="4">
        <v>3</v>
      </c>
      <c r="N182" s="4" t="s">
        <v>5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88" x14ac:dyDescent="0.2">
      <c r="A183" s="4">
        <v>50</v>
      </c>
      <c r="B183" s="4">
        <v>0</v>
      </c>
      <c r="C183" s="4">
        <v>0</v>
      </c>
      <c r="D183" s="4">
        <v>1</v>
      </c>
      <c r="E183" s="4">
        <v>207</v>
      </c>
      <c r="F183" s="4">
        <f>Source!U161</f>
        <v>0</v>
      </c>
      <c r="G183" s="4" t="s">
        <v>150</v>
      </c>
      <c r="H183" s="4" t="s">
        <v>151</v>
      </c>
      <c r="I183" s="4"/>
      <c r="J183" s="4"/>
      <c r="K183" s="4">
        <v>207</v>
      </c>
      <c r="L183" s="4">
        <v>21</v>
      </c>
      <c r="M183" s="4">
        <v>3</v>
      </c>
      <c r="N183" s="4" t="s">
        <v>5</v>
      </c>
      <c r="O183" s="4">
        <v>-1</v>
      </c>
      <c r="P183" s="4"/>
      <c r="Q183" s="4"/>
      <c r="R183" s="4"/>
      <c r="S183" s="4"/>
      <c r="T183" s="4"/>
      <c r="U183" s="4"/>
      <c r="V183" s="4"/>
      <c r="W183" s="4"/>
    </row>
    <row r="184" spans="1:88" x14ac:dyDescent="0.2">
      <c r="A184" s="4">
        <v>50</v>
      </c>
      <c r="B184" s="4">
        <v>0</v>
      </c>
      <c r="C184" s="4">
        <v>0</v>
      </c>
      <c r="D184" s="4">
        <v>1</v>
      </c>
      <c r="E184" s="4">
        <v>208</v>
      </c>
      <c r="F184" s="4">
        <f>Source!V161</f>
        <v>0</v>
      </c>
      <c r="G184" s="4" t="s">
        <v>152</v>
      </c>
      <c r="H184" s="4" t="s">
        <v>153</v>
      </c>
      <c r="I184" s="4"/>
      <c r="J184" s="4"/>
      <c r="K184" s="4">
        <v>208</v>
      </c>
      <c r="L184" s="4">
        <v>22</v>
      </c>
      <c r="M184" s="4">
        <v>3</v>
      </c>
      <c r="N184" s="4" t="s">
        <v>5</v>
      </c>
      <c r="O184" s="4">
        <v>-1</v>
      </c>
      <c r="P184" s="4"/>
      <c r="Q184" s="4"/>
      <c r="R184" s="4"/>
      <c r="S184" s="4"/>
      <c r="T184" s="4"/>
      <c r="U184" s="4"/>
      <c r="V184" s="4"/>
      <c r="W184" s="4"/>
    </row>
    <row r="185" spans="1:88" x14ac:dyDescent="0.2">
      <c r="A185" s="4">
        <v>50</v>
      </c>
      <c r="B185" s="4">
        <v>0</v>
      </c>
      <c r="C185" s="4">
        <v>0</v>
      </c>
      <c r="D185" s="4">
        <v>1</v>
      </c>
      <c r="E185" s="4">
        <v>209</v>
      </c>
      <c r="F185" s="4">
        <f>ROUND(Source!W161,O185)</f>
        <v>0</v>
      </c>
      <c r="G185" s="4" t="s">
        <v>154</v>
      </c>
      <c r="H185" s="4" t="s">
        <v>155</v>
      </c>
      <c r="I185" s="4"/>
      <c r="J185" s="4"/>
      <c r="K185" s="4">
        <v>209</v>
      </c>
      <c r="L185" s="4">
        <v>23</v>
      </c>
      <c r="M185" s="4">
        <v>3</v>
      </c>
      <c r="N185" s="4" t="s">
        <v>5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88" x14ac:dyDescent="0.2">
      <c r="A186" s="4">
        <v>50</v>
      </c>
      <c r="B186" s="4">
        <v>0</v>
      </c>
      <c r="C186" s="4">
        <v>0</v>
      </c>
      <c r="D186" s="4">
        <v>1</v>
      </c>
      <c r="E186" s="4">
        <v>233</v>
      </c>
      <c r="F186" s="4">
        <f>ROUND(Source!BD161,O186)</f>
        <v>0</v>
      </c>
      <c r="G186" s="4" t="s">
        <v>156</v>
      </c>
      <c r="H186" s="4" t="s">
        <v>157</v>
      </c>
      <c r="I186" s="4"/>
      <c r="J186" s="4"/>
      <c r="K186" s="4">
        <v>233</v>
      </c>
      <c r="L186" s="4">
        <v>24</v>
      </c>
      <c r="M186" s="4">
        <v>3</v>
      </c>
      <c r="N186" s="4" t="s">
        <v>5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88" x14ac:dyDescent="0.2">
      <c r="A187" s="4">
        <v>50</v>
      </c>
      <c r="B187" s="4">
        <v>0</v>
      </c>
      <c r="C187" s="4">
        <v>0</v>
      </c>
      <c r="D187" s="4">
        <v>1</v>
      </c>
      <c r="E187" s="4">
        <v>210</v>
      </c>
      <c r="F187" s="4">
        <f>ROUND(Source!X161,O187)</f>
        <v>0</v>
      </c>
      <c r="G187" s="4" t="s">
        <v>158</v>
      </c>
      <c r="H187" s="4" t="s">
        <v>159</v>
      </c>
      <c r="I187" s="4"/>
      <c r="J187" s="4"/>
      <c r="K187" s="4">
        <v>210</v>
      </c>
      <c r="L187" s="4">
        <v>25</v>
      </c>
      <c r="M187" s="4">
        <v>3</v>
      </c>
      <c r="N187" s="4" t="s">
        <v>5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88" x14ac:dyDescent="0.2">
      <c r="A188" s="4">
        <v>50</v>
      </c>
      <c r="B188" s="4">
        <v>0</v>
      </c>
      <c r="C188" s="4">
        <v>0</v>
      </c>
      <c r="D188" s="4">
        <v>1</v>
      </c>
      <c r="E188" s="4">
        <v>211</v>
      </c>
      <c r="F188" s="4">
        <f>ROUND(Source!Y161,O188)</f>
        <v>0</v>
      </c>
      <c r="G188" s="4" t="s">
        <v>160</v>
      </c>
      <c r="H188" s="4" t="s">
        <v>161</v>
      </c>
      <c r="I188" s="4"/>
      <c r="J188" s="4"/>
      <c r="K188" s="4">
        <v>211</v>
      </c>
      <c r="L188" s="4">
        <v>26</v>
      </c>
      <c r="M188" s="4">
        <v>3</v>
      </c>
      <c r="N188" s="4" t="s">
        <v>5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88" x14ac:dyDescent="0.2">
      <c r="A189" s="4">
        <v>50</v>
      </c>
      <c r="B189" s="4">
        <v>0</v>
      </c>
      <c r="C189" s="4">
        <v>0</v>
      </c>
      <c r="D189" s="4">
        <v>1</v>
      </c>
      <c r="E189" s="4">
        <v>224</v>
      </c>
      <c r="F189" s="4">
        <f>ROUND(Source!AR161,O189)</f>
        <v>44335.54</v>
      </c>
      <c r="G189" s="4" t="s">
        <v>162</v>
      </c>
      <c r="H189" s="4" t="s">
        <v>163</v>
      </c>
      <c r="I189" s="4"/>
      <c r="J189" s="4"/>
      <c r="K189" s="4">
        <v>224</v>
      </c>
      <c r="L189" s="4">
        <v>27</v>
      </c>
      <c r="M189" s="4">
        <v>3</v>
      </c>
      <c r="N189" s="4" t="s">
        <v>5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88" x14ac:dyDescent="0.2">
      <c r="A190" s="4">
        <v>50</v>
      </c>
      <c r="B190" s="4">
        <v>1</v>
      </c>
      <c r="C190" s="4">
        <v>0</v>
      </c>
      <c r="D190" s="4">
        <v>2</v>
      </c>
      <c r="E190" s="4">
        <v>0</v>
      </c>
      <c r="F190" s="4">
        <f>ROUND(F189,O190)</f>
        <v>44335.54</v>
      </c>
      <c r="G190" s="4" t="s">
        <v>164</v>
      </c>
      <c r="H190" s="4" t="s">
        <v>165</v>
      </c>
      <c r="I190" s="4"/>
      <c r="J190" s="4"/>
      <c r="K190" s="4">
        <v>212</v>
      </c>
      <c r="L190" s="4">
        <v>28</v>
      </c>
      <c r="M190" s="4">
        <v>0</v>
      </c>
      <c r="N190" s="4" t="s">
        <v>5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2" spans="1:88" x14ac:dyDescent="0.2">
      <c r="A192" s="1">
        <v>4</v>
      </c>
      <c r="B192" s="1">
        <v>1</v>
      </c>
      <c r="C192" s="1"/>
      <c r="D192" s="1">
        <f>ROW(A201)</f>
        <v>201</v>
      </c>
      <c r="E192" s="1"/>
      <c r="F192" s="1" t="s">
        <v>22</v>
      </c>
      <c r="G192" s="1" t="s">
        <v>298</v>
      </c>
      <c r="H192" s="1" t="s">
        <v>5</v>
      </c>
      <c r="I192" s="1">
        <v>0</v>
      </c>
      <c r="J192" s="1"/>
      <c r="K192" s="1">
        <v>0</v>
      </c>
      <c r="L192" s="1"/>
      <c r="M192" s="1"/>
      <c r="N192" s="1"/>
      <c r="O192" s="1"/>
      <c r="P192" s="1"/>
      <c r="Q192" s="1"/>
      <c r="R192" s="1"/>
      <c r="S192" s="1"/>
      <c r="T192" s="1"/>
      <c r="U192" s="1" t="s">
        <v>5</v>
      </c>
      <c r="V192" s="1">
        <v>0</v>
      </c>
      <c r="W192" s="1"/>
      <c r="X192" s="1"/>
      <c r="Y192" s="1"/>
      <c r="Z192" s="1"/>
      <c r="AA192" s="1"/>
      <c r="AB192" s="1" t="s">
        <v>5</v>
      </c>
      <c r="AC192" s="1" t="s">
        <v>5</v>
      </c>
      <c r="AD192" s="1" t="s">
        <v>5</v>
      </c>
      <c r="AE192" s="1" t="s">
        <v>5</v>
      </c>
      <c r="AF192" s="1" t="s">
        <v>5</v>
      </c>
      <c r="AG192" s="1" t="s">
        <v>5</v>
      </c>
      <c r="AH192" s="1"/>
      <c r="AI192" s="1"/>
      <c r="AJ192" s="1"/>
      <c r="AK192" s="1"/>
      <c r="AL192" s="1"/>
      <c r="AM192" s="1"/>
      <c r="AN192" s="1"/>
      <c r="AO192" s="1"/>
      <c r="AP192" s="1" t="s">
        <v>5</v>
      </c>
      <c r="AQ192" s="1" t="s">
        <v>5</v>
      </c>
      <c r="AR192" s="1" t="s">
        <v>5</v>
      </c>
      <c r="AS192" s="1"/>
      <c r="AT192" s="1"/>
      <c r="AU192" s="1"/>
      <c r="AV192" s="1"/>
      <c r="AW192" s="1"/>
      <c r="AX192" s="1"/>
      <c r="AY192" s="1"/>
      <c r="AZ192" s="1" t="s">
        <v>5</v>
      </c>
      <c r="BA192" s="1"/>
      <c r="BB192" s="1" t="s">
        <v>5</v>
      </c>
      <c r="BC192" s="1" t="s">
        <v>5</v>
      </c>
      <c r="BD192" s="1" t="s">
        <v>5</v>
      </c>
      <c r="BE192" s="1" t="s">
        <v>5</v>
      </c>
      <c r="BF192" s="1" t="s">
        <v>5</v>
      </c>
      <c r="BG192" s="1" t="s">
        <v>5</v>
      </c>
      <c r="BH192" s="1" t="s">
        <v>5</v>
      </c>
      <c r="BI192" s="1" t="s">
        <v>5</v>
      </c>
      <c r="BJ192" s="1" t="s">
        <v>5</v>
      </c>
      <c r="BK192" s="1" t="s">
        <v>5</v>
      </c>
      <c r="BL192" s="1" t="s">
        <v>5</v>
      </c>
      <c r="BM192" s="1" t="s">
        <v>5</v>
      </c>
      <c r="BN192" s="1" t="s">
        <v>5</v>
      </c>
      <c r="BO192" s="1" t="s">
        <v>5</v>
      </c>
      <c r="BP192" s="1" t="s">
        <v>5</v>
      </c>
      <c r="BQ192" s="1"/>
      <c r="BR192" s="1"/>
      <c r="BS192" s="1"/>
      <c r="BT192" s="1"/>
      <c r="BU192" s="1"/>
      <c r="BV192" s="1"/>
      <c r="BW192" s="1"/>
      <c r="BX192" s="1">
        <v>0</v>
      </c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>
        <v>0</v>
      </c>
    </row>
    <row r="194" spans="1:245" x14ac:dyDescent="0.2">
      <c r="A194" s="2">
        <v>52</v>
      </c>
      <c r="B194" s="2">
        <f t="shared" ref="B194:G194" si="134">B201</f>
        <v>1</v>
      </c>
      <c r="C194" s="2">
        <f t="shared" si="134"/>
        <v>4</v>
      </c>
      <c r="D194" s="2">
        <f t="shared" si="134"/>
        <v>192</v>
      </c>
      <c r="E194" s="2">
        <f t="shared" si="134"/>
        <v>0</v>
      </c>
      <c r="F194" s="2" t="str">
        <f t="shared" si="134"/>
        <v>Новый раздел</v>
      </c>
      <c r="G194" s="2" t="str">
        <f t="shared" si="134"/>
        <v>Пусконаладочные работы</v>
      </c>
      <c r="H194" s="2"/>
      <c r="I194" s="2"/>
      <c r="J194" s="2"/>
      <c r="K194" s="2"/>
      <c r="L194" s="2"/>
      <c r="M194" s="2"/>
      <c r="N194" s="2"/>
      <c r="O194" s="2">
        <f t="shared" ref="O194:AT194" si="135">O201</f>
        <v>684867.49</v>
      </c>
      <c r="P194" s="2">
        <f t="shared" si="135"/>
        <v>0</v>
      </c>
      <c r="Q194" s="2">
        <f t="shared" si="135"/>
        <v>41143.94</v>
      </c>
      <c r="R194" s="2">
        <f t="shared" si="135"/>
        <v>16282.51</v>
      </c>
      <c r="S194" s="2">
        <f t="shared" si="135"/>
        <v>643723.55000000005</v>
      </c>
      <c r="T194" s="2">
        <f t="shared" si="135"/>
        <v>0</v>
      </c>
      <c r="U194" s="2">
        <f t="shared" si="135"/>
        <v>1888.146</v>
      </c>
      <c r="V194" s="2">
        <f t="shared" si="135"/>
        <v>0</v>
      </c>
      <c r="W194" s="2">
        <f t="shared" si="135"/>
        <v>0</v>
      </c>
      <c r="X194" s="2">
        <f t="shared" si="135"/>
        <v>437732.01</v>
      </c>
      <c r="Y194" s="2">
        <f t="shared" si="135"/>
        <v>263926.65000000002</v>
      </c>
      <c r="Z194" s="2">
        <f t="shared" si="135"/>
        <v>0</v>
      </c>
      <c r="AA194" s="2">
        <f t="shared" si="135"/>
        <v>0</v>
      </c>
      <c r="AB194" s="2">
        <f t="shared" si="135"/>
        <v>684867.49</v>
      </c>
      <c r="AC194" s="2">
        <f t="shared" si="135"/>
        <v>0</v>
      </c>
      <c r="AD194" s="2">
        <f t="shared" si="135"/>
        <v>41143.94</v>
      </c>
      <c r="AE194" s="2">
        <f t="shared" si="135"/>
        <v>16282.51</v>
      </c>
      <c r="AF194" s="2">
        <f t="shared" si="135"/>
        <v>643723.55000000005</v>
      </c>
      <c r="AG194" s="2">
        <f t="shared" si="135"/>
        <v>0</v>
      </c>
      <c r="AH194" s="2">
        <f t="shared" si="135"/>
        <v>1888.146</v>
      </c>
      <c r="AI194" s="2">
        <f t="shared" si="135"/>
        <v>0</v>
      </c>
      <c r="AJ194" s="2">
        <f t="shared" si="135"/>
        <v>0</v>
      </c>
      <c r="AK194" s="2">
        <f t="shared" si="135"/>
        <v>437732.01</v>
      </c>
      <c r="AL194" s="2">
        <f t="shared" si="135"/>
        <v>263926.65000000002</v>
      </c>
      <c r="AM194" s="2">
        <f t="shared" si="135"/>
        <v>0</v>
      </c>
      <c r="AN194" s="2">
        <f t="shared" si="135"/>
        <v>0</v>
      </c>
      <c r="AO194" s="2">
        <f t="shared" si="135"/>
        <v>0</v>
      </c>
      <c r="AP194" s="2">
        <f t="shared" si="135"/>
        <v>0</v>
      </c>
      <c r="AQ194" s="2">
        <f t="shared" si="135"/>
        <v>0</v>
      </c>
      <c r="AR194" s="2">
        <f t="shared" si="135"/>
        <v>1412089.69</v>
      </c>
      <c r="AS194" s="2">
        <f t="shared" si="135"/>
        <v>66707.48</v>
      </c>
      <c r="AT194" s="2">
        <f t="shared" si="135"/>
        <v>0</v>
      </c>
      <c r="AU194" s="2">
        <f t="shared" ref="AU194:BZ194" si="136">AU201</f>
        <v>1345382.21</v>
      </c>
      <c r="AV194" s="2">
        <f t="shared" si="136"/>
        <v>0</v>
      </c>
      <c r="AW194" s="2">
        <f t="shared" si="136"/>
        <v>0</v>
      </c>
      <c r="AX194" s="2">
        <f t="shared" si="136"/>
        <v>0</v>
      </c>
      <c r="AY194" s="2">
        <f t="shared" si="136"/>
        <v>0</v>
      </c>
      <c r="AZ194" s="2">
        <f t="shared" si="136"/>
        <v>0</v>
      </c>
      <c r="BA194" s="2">
        <f t="shared" si="136"/>
        <v>0</v>
      </c>
      <c r="BB194" s="2">
        <f t="shared" si="136"/>
        <v>0</v>
      </c>
      <c r="BC194" s="2">
        <f t="shared" si="136"/>
        <v>0</v>
      </c>
      <c r="BD194" s="2">
        <f t="shared" si="136"/>
        <v>0</v>
      </c>
      <c r="BE194" s="2">
        <f t="shared" si="136"/>
        <v>0</v>
      </c>
      <c r="BF194" s="2">
        <f t="shared" si="136"/>
        <v>0</v>
      </c>
      <c r="BG194" s="2">
        <f t="shared" si="136"/>
        <v>0</v>
      </c>
      <c r="BH194" s="2">
        <f t="shared" si="136"/>
        <v>0</v>
      </c>
      <c r="BI194" s="2">
        <f t="shared" si="136"/>
        <v>0</v>
      </c>
      <c r="BJ194" s="2">
        <f t="shared" si="136"/>
        <v>0</v>
      </c>
      <c r="BK194" s="2">
        <f t="shared" si="136"/>
        <v>0</v>
      </c>
      <c r="BL194" s="2">
        <f t="shared" si="136"/>
        <v>0</v>
      </c>
      <c r="BM194" s="2">
        <f t="shared" si="136"/>
        <v>0</v>
      </c>
      <c r="BN194" s="2">
        <f t="shared" si="136"/>
        <v>0</v>
      </c>
      <c r="BO194" s="2">
        <f t="shared" si="136"/>
        <v>0</v>
      </c>
      <c r="BP194" s="2">
        <f t="shared" si="136"/>
        <v>0</v>
      </c>
      <c r="BQ194" s="2">
        <f t="shared" si="136"/>
        <v>0</v>
      </c>
      <c r="BR194" s="2">
        <f t="shared" si="136"/>
        <v>0</v>
      </c>
      <c r="BS194" s="2">
        <f t="shared" si="136"/>
        <v>0</v>
      </c>
      <c r="BT194" s="2">
        <f t="shared" si="136"/>
        <v>0</v>
      </c>
      <c r="BU194" s="2">
        <f t="shared" si="136"/>
        <v>0</v>
      </c>
      <c r="BV194" s="2">
        <f t="shared" si="136"/>
        <v>0</v>
      </c>
      <c r="BW194" s="2">
        <f t="shared" si="136"/>
        <v>0</v>
      </c>
      <c r="BX194" s="2">
        <f t="shared" si="136"/>
        <v>0</v>
      </c>
      <c r="BY194" s="2">
        <f t="shared" si="136"/>
        <v>0</v>
      </c>
      <c r="BZ194" s="2">
        <f t="shared" si="136"/>
        <v>0</v>
      </c>
      <c r="CA194" s="2">
        <f t="shared" ref="CA194:DF194" si="137">CA201</f>
        <v>1412089.69</v>
      </c>
      <c r="CB194" s="2">
        <f t="shared" si="137"/>
        <v>66707.48</v>
      </c>
      <c r="CC194" s="2">
        <f t="shared" si="137"/>
        <v>0</v>
      </c>
      <c r="CD194" s="2">
        <f t="shared" si="137"/>
        <v>1345382.21</v>
      </c>
      <c r="CE194" s="2">
        <f t="shared" si="137"/>
        <v>0</v>
      </c>
      <c r="CF194" s="2">
        <f t="shared" si="137"/>
        <v>0</v>
      </c>
      <c r="CG194" s="2">
        <f t="shared" si="137"/>
        <v>0</v>
      </c>
      <c r="CH194" s="2">
        <f t="shared" si="137"/>
        <v>0</v>
      </c>
      <c r="CI194" s="2">
        <f t="shared" si="137"/>
        <v>0</v>
      </c>
      <c r="CJ194" s="2">
        <f t="shared" si="137"/>
        <v>0</v>
      </c>
      <c r="CK194" s="2">
        <f t="shared" si="137"/>
        <v>0</v>
      </c>
      <c r="CL194" s="2">
        <f t="shared" si="137"/>
        <v>0</v>
      </c>
      <c r="CM194" s="2">
        <f t="shared" si="137"/>
        <v>0</v>
      </c>
      <c r="CN194" s="2">
        <f t="shared" si="137"/>
        <v>0</v>
      </c>
      <c r="CO194" s="2">
        <f t="shared" si="137"/>
        <v>0</v>
      </c>
      <c r="CP194" s="2">
        <f t="shared" si="137"/>
        <v>0</v>
      </c>
      <c r="CQ194" s="2">
        <f t="shared" si="137"/>
        <v>0</v>
      </c>
      <c r="CR194" s="2">
        <f t="shared" si="137"/>
        <v>0</v>
      </c>
      <c r="CS194" s="2">
        <f t="shared" si="137"/>
        <v>0</v>
      </c>
      <c r="CT194" s="2">
        <f t="shared" si="137"/>
        <v>0</v>
      </c>
      <c r="CU194" s="2">
        <f t="shared" si="137"/>
        <v>0</v>
      </c>
      <c r="CV194" s="2">
        <f t="shared" si="137"/>
        <v>0</v>
      </c>
      <c r="CW194" s="2">
        <f t="shared" si="137"/>
        <v>0</v>
      </c>
      <c r="CX194" s="2">
        <f t="shared" si="137"/>
        <v>0</v>
      </c>
      <c r="CY194" s="2">
        <f t="shared" si="137"/>
        <v>0</v>
      </c>
      <c r="CZ194" s="2">
        <f t="shared" si="137"/>
        <v>0</v>
      </c>
      <c r="DA194" s="2">
        <f t="shared" si="137"/>
        <v>0</v>
      </c>
      <c r="DB194" s="2">
        <f t="shared" si="137"/>
        <v>0</v>
      </c>
      <c r="DC194" s="2">
        <f t="shared" si="137"/>
        <v>0</v>
      </c>
      <c r="DD194" s="2">
        <f t="shared" si="137"/>
        <v>0</v>
      </c>
      <c r="DE194" s="2">
        <f t="shared" si="137"/>
        <v>0</v>
      </c>
      <c r="DF194" s="2">
        <f t="shared" si="137"/>
        <v>0</v>
      </c>
      <c r="DG194" s="3">
        <f t="shared" ref="DG194:EL194" si="138">DG201</f>
        <v>0</v>
      </c>
      <c r="DH194" s="3">
        <f t="shared" si="138"/>
        <v>0</v>
      </c>
      <c r="DI194" s="3">
        <f t="shared" si="138"/>
        <v>0</v>
      </c>
      <c r="DJ194" s="3">
        <f t="shared" si="138"/>
        <v>0</v>
      </c>
      <c r="DK194" s="3">
        <f t="shared" si="138"/>
        <v>0</v>
      </c>
      <c r="DL194" s="3">
        <f t="shared" si="138"/>
        <v>0</v>
      </c>
      <c r="DM194" s="3">
        <f t="shared" si="138"/>
        <v>0</v>
      </c>
      <c r="DN194" s="3">
        <f t="shared" si="138"/>
        <v>0</v>
      </c>
      <c r="DO194" s="3">
        <f t="shared" si="138"/>
        <v>0</v>
      </c>
      <c r="DP194" s="3">
        <f t="shared" si="138"/>
        <v>0</v>
      </c>
      <c r="DQ194" s="3">
        <f t="shared" si="138"/>
        <v>0</v>
      </c>
      <c r="DR194" s="3">
        <f t="shared" si="138"/>
        <v>0</v>
      </c>
      <c r="DS194" s="3">
        <f t="shared" si="138"/>
        <v>0</v>
      </c>
      <c r="DT194" s="3">
        <f t="shared" si="138"/>
        <v>0</v>
      </c>
      <c r="DU194" s="3">
        <f t="shared" si="138"/>
        <v>0</v>
      </c>
      <c r="DV194" s="3">
        <f t="shared" si="138"/>
        <v>0</v>
      </c>
      <c r="DW194" s="3">
        <f t="shared" si="138"/>
        <v>0</v>
      </c>
      <c r="DX194" s="3">
        <f t="shared" si="138"/>
        <v>0</v>
      </c>
      <c r="DY194" s="3">
        <f t="shared" si="138"/>
        <v>0</v>
      </c>
      <c r="DZ194" s="3">
        <f t="shared" si="138"/>
        <v>0</v>
      </c>
      <c r="EA194" s="3">
        <f t="shared" si="138"/>
        <v>0</v>
      </c>
      <c r="EB194" s="3">
        <f t="shared" si="138"/>
        <v>0</v>
      </c>
      <c r="EC194" s="3">
        <f t="shared" si="138"/>
        <v>0</v>
      </c>
      <c r="ED194" s="3">
        <f t="shared" si="138"/>
        <v>0</v>
      </c>
      <c r="EE194" s="3">
        <f t="shared" si="138"/>
        <v>0</v>
      </c>
      <c r="EF194" s="3">
        <f t="shared" si="138"/>
        <v>0</v>
      </c>
      <c r="EG194" s="3">
        <f t="shared" si="138"/>
        <v>0</v>
      </c>
      <c r="EH194" s="3">
        <f t="shared" si="138"/>
        <v>0</v>
      </c>
      <c r="EI194" s="3">
        <f t="shared" si="138"/>
        <v>0</v>
      </c>
      <c r="EJ194" s="3">
        <f t="shared" si="138"/>
        <v>0</v>
      </c>
      <c r="EK194" s="3">
        <f t="shared" si="138"/>
        <v>0</v>
      </c>
      <c r="EL194" s="3">
        <f t="shared" si="138"/>
        <v>0</v>
      </c>
      <c r="EM194" s="3">
        <f t="shared" ref="EM194:FR194" si="139">EM201</f>
        <v>0</v>
      </c>
      <c r="EN194" s="3">
        <f t="shared" si="139"/>
        <v>0</v>
      </c>
      <c r="EO194" s="3">
        <f t="shared" si="139"/>
        <v>0</v>
      </c>
      <c r="EP194" s="3">
        <f t="shared" si="139"/>
        <v>0</v>
      </c>
      <c r="EQ194" s="3">
        <f t="shared" si="139"/>
        <v>0</v>
      </c>
      <c r="ER194" s="3">
        <f t="shared" si="139"/>
        <v>0</v>
      </c>
      <c r="ES194" s="3">
        <f t="shared" si="139"/>
        <v>0</v>
      </c>
      <c r="ET194" s="3">
        <f t="shared" si="139"/>
        <v>0</v>
      </c>
      <c r="EU194" s="3">
        <f t="shared" si="139"/>
        <v>0</v>
      </c>
      <c r="EV194" s="3">
        <f t="shared" si="139"/>
        <v>0</v>
      </c>
      <c r="EW194" s="3">
        <f t="shared" si="139"/>
        <v>0</v>
      </c>
      <c r="EX194" s="3">
        <f t="shared" si="139"/>
        <v>0</v>
      </c>
      <c r="EY194" s="3">
        <f t="shared" si="139"/>
        <v>0</v>
      </c>
      <c r="EZ194" s="3">
        <f t="shared" si="139"/>
        <v>0</v>
      </c>
      <c r="FA194" s="3">
        <f t="shared" si="139"/>
        <v>0</v>
      </c>
      <c r="FB194" s="3">
        <f t="shared" si="139"/>
        <v>0</v>
      </c>
      <c r="FC194" s="3">
        <f t="shared" si="139"/>
        <v>0</v>
      </c>
      <c r="FD194" s="3">
        <f t="shared" si="139"/>
        <v>0</v>
      </c>
      <c r="FE194" s="3">
        <f t="shared" si="139"/>
        <v>0</v>
      </c>
      <c r="FF194" s="3">
        <f t="shared" si="139"/>
        <v>0</v>
      </c>
      <c r="FG194" s="3">
        <f t="shared" si="139"/>
        <v>0</v>
      </c>
      <c r="FH194" s="3">
        <f t="shared" si="139"/>
        <v>0</v>
      </c>
      <c r="FI194" s="3">
        <f t="shared" si="139"/>
        <v>0</v>
      </c>
      <c r="FJ194" s="3">
        <f t="shared" si="139"/>
        <v>0</v>
      </c>
      <c r="FK194" s="3">
        <f t="shared" si="139"/>
        <v>0</v>
      </c>
      <c r="FL194" s="3">
        <f t="shared" si="139"/>
        <v>0</v>
      </c>
      <c r="FM194" s="3">
        <f t="shared" si="139"/>
        <v>0</v>
      </c>
      <c r="FN194" s="3">
        <f t="shared" si="139"/>
        <v>0</v>
      </c>
      <c r="FO194" s="3">
        <f t="shared" si="139"/>
        <v>0</v>
      </c>
      <c r="FP194" s="3">
        <f t="shared" si="139"/>
        <v>0</v>
      </c>
      <c r="FQ194" s="3">
        <f t="shared" si="139"/>
        <v>0</v>
      </c>
      <c r="FR194" s="3">
        <f t="shared" si="139"/>
        <v>0</v>
      </c>
      <c r="FS194" s="3">
        <f t="shared" ref="FS194:GX194" si="140">FS201</f>
        <v>0</v>
      </c>
      <c r="FT194" s="3">
        <f t="shared" si="140"/>
        <v>0</v>
      </c>
      <c r="FU194" s="3">
        <f t="shared" si="140"/>
        <v>0</v>
      </c>
      <c r="FV194" s="3">
        <f t="shared" si="140"/>
        <v>0</v>
      </c>
      <c r="FW194" s="3">
        <f t="shared" si="140"/>
        <v>0</v>
      </c>
      <c r="FX194" s="3">
        <f t="shared" si="140"/>
        <v>0</v>
      </c>
      <c r="FY194" s="3">
        <f t="shared" si="140"/>
        <v>0</v>
      </c>
      <c r="FZ194" s="3">
        <f t="shared" si="140"/>
        <v>0</v>
      </c>
      <c r="GA194" s="3">
        <f t="shared" si="140"/>
        <v>0</v>
      </c>
      <c r="GB194" s="3">
        <f t="shared" si="140"/>
        <v>0</v>
      </c>
      <c r="GC194" s="3">
        <f t="shared" si="140"/>
        <v>0</v>
      </c>
      <c r="GD194" s="3">
        <f t="shared" si="140"/>
        <v>0</v>
      </c>
      <c r="GE194" s="3">
        <f t="shared" si="140"/>
        <v>0</v>
      </c>
      <c r="GF194" s="3">
        <f t="shared" si="140"/>
        <v>0</v>
      </c>
      <c r="GG194" s="3">
        <f t="shared" si="140"/>
        <v>0</v>
      </c>
      <c r="GH194" s="3">
        <f t="shared" si="140"/>
        <v>0</v>
      </c>
      <c r="GI194" s="3">
        <f t="shared" si="140"/>
        <v>0</v>
      </c>
      <c r="GJ194" s="3">
        <f t="shared" si="140"/>
        <v>0</v>
      </c>
      <c r="GK194" s="3">
        <f t="shared" si="140"/>
        <v>0</v>
      </c>
      <c r="GL194" s="3">
        <f t="shared" si="140"/>
        <v>0</v>
      </c>
      <c r="GM194" s="3">
        <f t="shared" si="140"/>
        <v>0</v>
      </c>
      <c r="GN194" s="3">
        <f t="shared" si="140"/>
        <v>0</v>
      </c>
      <c r="GO194" s="3">
        <f t="shared" si="140"/>
        <v>0</v>
      </c>
      <c r="GP194" s="3">
        <f t="shared" si="140"/>
        <v>0</v>
      </c>
      <c r="GQ194" s="3">
        <f t="shared" si="140"/>
        <v>0</v>
      </c>
      <c r="GR194" s="3">
        <f t="shared" si="140"/>
        <v>0</v>
      </c>
      <c r="GS194" s="3">
        <f t="shared" si="140"/>
        <v>0</v>
      </c>
      <c r="GT194" s="3">
        <f t="shared" si="140"/>
        <v>0</v>
      </c>
      <c r="GU194" s="3">
        <f t="shared" si="140"/>
        <v>0</v>
      </c>
      <c r="GV194" s="3">
        <f t="shared" si="140"/>
        <v>0</v>
      </c>
      <c r="GW194" s="3">
        <f t="shared" si="140"/>
        <v>0</v>
      </c>
      <c r="GX194" s="3">
        <f t="shared" si="140"/>
        <v>0</v>
      </c>
    </row>
    <row r="196" spans="1:245" x14ac:dyDescent="0.2">
      <c r="A196">
        <v>17</v>
      </c>
      <c r="B196">
        <v>1</v>
      </c>
      <c r="C196">
        <f>ROW(SmtRes!A49)</f>
        <v>49</v>
      </c>
      <c r="D196">
        <f>ROW(EtalonRes!A65)</f>
        <v>65</v>
      </c>
      <c r="E196" t="s">
        <v>167</v>
      </c>
      <c r="F196" t="s">
        <v>299</v>
      </c>
      <c r="G196" t="s">
        <v>300</v>
      </c>
      <c r="H196" t="s">
        <v>301</v>
      </c>
      <c r="I196">
        <v>2</v>
      </c>
      <c r="J196">
        <v>0</v>
      </c>
      <c r="O196">
        <f>ROUND(CP196,2)</f>
        <v>63915.83</v>
      </c>
      <c r="P196">
        <f>ROUND((ROUND((AC196*AW196*I196),2)*BC196),2)</f>
        <v>0</v>
      </c>
      <c r="Q196">
        <f>(ROUND((ROUND(((ET196)*AV196*I196),2)*BB196),2)+ROUND((ROUND(((AE196-(EU196))*AV196*I196),2)*BS196),2))</f>
        <v>0</v>
      </c>
      <c r="R196">
        <f>ROUND((ROUND((AE196*AV196*I196),2)*BS196),2)</f>
        <v>0</v>
      </c>
      <c r="S196">
        <f>ROUND((ROUND((AF196*AV196*I196),2)*BA196),2)</f>
        <v>63915.83</v>
      </c>
      <c r="T196">
        <f>ROUND(CU196*I196,2)</f>
        <v>0</v>
      </c>
      <c r="U196">
        <f>CV196*I196</f>
        <v>187.20000000000002</v>
      </c>
      <c r="V196">
        <f>CW196*I196</f>
        <v>0</v>
      </c>
      <c r="W196">
        <f>ROUND(CX196*I196,2)</f>
        <v>0</v>
      </c>
      <c r="X196">
        <f t="shared" ref="X196:Y199" si="141">ROUND(CY196,2)</f>
        <v>43462.76</v>
      </c>
      <c r="Y196">
        <f t="shared" si="141"/>
        <v>26205.49</v>
      </c>
      <c r="AA196">
        <v>44175501</v>
      </c>
      <c r="AB196">
        <f>ROUND((AC196+AD196+AF196),6)</f>
        <v>1491.269</v>
      </c>
      <c r="AC196">
        <f>ROUND((ES196),6)</f>
        <v>0</v>
      </c>
      <c r="AD196">
        <f>ROUND((((ET196)-(EU196))+AE196),6)</f>
        <v>0</v>
      </c>
      <c r="AE196">
        <f>ROUND((EU196),6)</f>
        <v>0</v>
      </c>
      <c r="AF196">
        <f>ROUND(((EV196*1.3)),6)</f>
        <v>1491.269</v>
      </c>
      <c r="AG196">
        <f>ROUND((AP196),6)</f>
        <v>0</v>
      </c>
      <c r="AH196">
        <f>((EW196*1.3))</f>
        <v>93.600000000000009</v>
      </c>
      <c r="AI196">
        <f>(EX196)</f>
        <v>0</v>
      </c>
      <c r="AJ196">
        <f>(AS196)</f>
        <v>0</v>
      </c>
      <c r="AK196">
        <v>1147.1300000000001</v>
      </c>
      <c r="AL196">
        <v>0</v>
      </c>
      <c r="AM196">
        <v>0</v>
      </c>
      <c r="AN196">
        <v>0</v>
      </c>
      <c r="AO196">
        <v>1147.1300000000001</v>
      </c>
      <c r="AP196">
        <v>0</v>
      </c>
      <c r="AQ196">
        <v>72</v>
      </c>
      <c r="AR196">
        <v>0</v>
      </c>
      <c r="AS196">
        <v>0</v>
      </c>
      <c r="AT196">
        <v>68</v>
      </c>
      <c r="AU196">
        <v>41</v>
      </c>
      <c r="AV196">
        <v>1</v>
      </c>
      <c r="AW196">
        <v>1</v>
      </c>
      <c r="AZ196">
        <v>1</v>
      </c>
      <c r="BA196">
        <v>21.43</v>
      </c>
      <c r="BB196">
        <v>1</v>
      </c>
      <c r="BC196">
        <v>1</v>
      </c>
      <c r="BD196" t="s">
        <v>5</v>
      </c>
      <c r="BE196" t="s">
        <v>5</v>
      </c>
      <c r="BF196" t="s">
        <v>5</v>
      </c>
      <c r="BG196" t="s">
        <v>5</v>
      </c>
      <c r="BH196">
        <v>0</v>
      </c>
      <c r="BI196">
        <v>4</v>
      </c>
      <c r="BJ196" t="s">
        <v>302</v>
      </c>
      <c r="BM196">
        <v>388</v>
      </c>
      <c r="BN196">
        <v>0</v>
      </c>
      <c r="BO196" t="s">
        <v>5</v>
      </c>
      <c r="BP196">
        <v>0</v>
      </c>
      <c r="BQ196">
        <v>50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5</v>
      </c>
      <c r="BZ196">
        <v>68</v>
      </c>
      <c r="CA196">
        <v>41</v>
      </c>
      <c r="CE196">
        <v>30</v>
      </c>
      <c r="CF196">
        <v>0</v>
      </c>
      <c r="CG196">
        <v>0</v>
      </c>
      <c r="CM196">
        <v>0</v>
      </c>
      <c r="CN196" t="s">
        <v>303</v>
      </c>
      <c r="CO196">
        <v>0</v>
      </c>
      <c r="CP196">
        <f>(P196+Q196+S196)</f>
        <v>63915.83</v>
      </c>
      <c r="CQ196">
        <f>ROUND((ROUND((AC196*AW196*1),2)*BC196),2)</f>
        <v>0</v>
      </c>
      <c r="CR196">
        <f>(ROUND((ROUND(((ET196)*AV196*1),2)*BB196),2)+ROUND((ROUND(((AE196-(EU196))*AV196*1),2)*BS196),2))</f>
        <v>0</v>
      </c>
      <c r="CS196">
        <f>ROUND((ROUND((AE196*AV196*1),2)*BS196),2)</f>
        <v>0</v>
      </c>
      <c r="CT196">
        <f>ROUND((ROUND((AF196*AV196*1),2)*BA196),2)</f>
        <v>31957.919999999998</v>
      </c>
      <c r="CU196">
        <f>AG196</f>
        <v>0</v>
      </c>
      <c r="CV196">
        <f>(AH196*AV196)</f>
        <v>93.600000000000009</v>
      </c>
      <c r="CW196">
        <f t="shared" ref="CW196:CX199" si="142">AI196</f>
        <v>0</v>
      </c>
      <c r="CX196">
        <f t="shared" si="142"/>
        <v>0</v>
      </c>
      <c r="CY196">
        <f>S196*(BZ196/100)</f>
        <v>43462.764400000007</v>
      </c>
      <c r="CZ196">
        <f>S196*(CA196/100)</f>
        <v>26205.490299999998</v>
      </c>
      <c r="DC196" t="s">
        <v>5</v>
      </c>
      <c r="DD196" t="s">
        <v>5</v>
      </c>
      <c r="DE196" t="s">
        <v>5</v>
      </c>
      <c r="DF196" t="s">
        <v>5</v>
      </c>
      <c r="DG196" t="s">
        <v>304</v>
      </c>
      <c r="DH196" t="s">
        <v>5</v>
      </c>
      <c r="DI196" t="s">
        <v>304</v>
      </c>
      <c r="DJ196" t="s">
        <v>5</v>
      </c>
      <c r="DK196" t="s">
        <v>5</v>
      </c>
      <c r="DL196" t="s">
        <v>5</v>
      </c>
      <c r="DM196" t="s">
        <v>5</v>
      </c>
      <c r="DN196">
        <v>75</v>
      </c>
      <c r="DO196">
        <v>70</v>
      </c>
      <c r="DP196">
        <v>1</v>
      </c>
      <c r="DQ196">
        <v>1</v>
      </c>
      <c r="DU196">
        <v>1013</v>
      </c>
      <c r="DV196" t="s">
        <v>301</v>
      </c>
      <c r="DW196" t="s">
        <v>301</v>
      </c>
      <c r="DX196">
        <v>1</v>
      </c>
      <c r="EE196">
        <v>44064207</v>
      </c>
      <c r="EF196">
        <v>50</v>
      </c>
      <c r="EG196" t="s">
        <v>298</v>
      </c>
      <c r="EH196">
        <v>0</v>
      </c>
      <c r="EI196" t="s">
        <v>5</v>
      </c>
      <c r="EJ196">
        <v>4</v>
      </c>
      <c r="EK196">
        <v>388</v>
      </c>
      <c r="EL196" t="s">
        <v>305</v>
      </c>
      <c r="EM196" t="s">
        <v>306</v>
      </c>
      <c r="EO196" t="s">
        <v>307</v>
      </c>
      <c r="EQ196">
        <v>0</v>
      </c>
      <c r="ER196">
        <v>1147.1300000000001</v>
      </c>
      <c r="ES196">
        <v>0</v>
      </c>
      <c r="ET196">
        <v>0</v>
      </c>
      <c r="EU196">
        <v>0</v>
      </c>
      <c r="EV196">
        <v>1147.1300000000001</v>
      </c>
      <c r="EW196">
        <v>72</v>
      </c>
      <c r="EX196">
        <v>0</v>
      </c>
      <c r="EY196">
        <v>0</v>
      </c>
      <c r="FQ196">
        <v>0</v>
      </c>
      <c r="FR196">
        <f>ROUND(IF(AND(BH196=3,BI196=3),P196,0),2)</f>
        <v>0</v>
      </c>
      <c r="FS196">
        <v>0</v>
      </c>
      <c r="FX196">
        <v>75</v>
      </c>
      <c r="FY196">
        <v>70</v>
      </c>
      <c r="GA196" t="s">
        <v>5</v>
      </c>
      <c r="GD196">
        <v>0</v>
      </c>
      <c r="GF196">
        <v>-1321707055</v>
      </c>
      <c r="GG196">
        <v>2</v>
      </c>
      <c r="GH196">
        <v>1</v>
      </c>
      <c r="GI196">
        <v>2</v>
      </c>
      <c r="GJ196">
        <v>0</v>
      </c>
      <c r="GK196">
        <f>ROUND(R196*(R12)/100,2)</f>
        <v>0</v>
      </c>
      <c r="GL196">
        <f>ROUND(IF(AND(BH196=3,BI196=3,FS196&lt;&gt;0),P196,0),2)</f>
        <v>0</v>
      </c>
      <c r="GM196">
        <f>ROUND(O196+X196+Y196+GK196,2)+GX196</f>
        <v>133584.07999999999</v>
      </c>
      <c r="GN196">
        <f>IF(OR(BI196=0,BI196=1),ROUND(O196+X196+Y196+GK196,2),0)</f>
        <v>0</v>
      </c>
      <c r="GO196">
        <f>IF(BI196=2,ROUND(O196+X196+Y196+GK196,2),0)</f>
        <v>0</v>
      </c>
      <c r="GP196">
        <f>IF(BI196=4,ROUND(O196+X196+Y196+GK196,2)+GX196,0)</f>
        <v>133584.07999999999</v>
      </c>
      <c r="GR196">
        <v>0</v>
      </c>
      <c r="GS196">
        <v>3</v>
      </c>
      <c r="GT196">
        <v>0</v>
      </c>
      <c r="GU196" t="s">
        <v>5</v>
      </c>
      <c r="GV196">
        <f>ROUND((GT196),6)</f>
        <v>0</v>
      </c>
      <c r="GW196">
        <v>1</v>
      </c>
      <c r="GX196">
        <f>ROUND(HC196*I196,2)</f>
        <v>0</v>
      </c>
      <c r="HA196">
        <v>0</v>
      </c>
      <c r="HB196">
        <v>0</v>
      </c>
      <c r="HC196">
        <f>GV196*GW196</f>
        <v>0</v>
      </c>
      <c r="IK196">
        <v>0</v>
      </c>
    </row>
    <row r="197" spans="1:245" x14ac:dyDescent="0.2">
      <c r="A197">
        <v>17</v>
      </c>
      <c r="B197">
        <v>1</v>
      </c>
      <c r="C197">
        <f>ROW(SmtRes!A50)</f>
        <v>50</v>
      </c>
      <c r="D197">
        <f>ROW(EtalonRes!A66)</f>
        <v>66</v>
      </c>
      <c r="E197" t="s">
        <v>25</v>
      </c>
      <c r="F197" t="s">
        <v>308</v>
      </c>
      <c r="G197" t="s">
        <v>309</v>
      </c>
      <c r="H197" t="s">
        <v>310</v>
      </c>
      <c r="I197">
        <v>2</v>
      </c>
      <c r="J197">
        <v>0</v>
      </c>
      <c r="O197">
        <f>ROUND(CP197,2)</f>
        <v>7230.05</v>
      </c>
      <c r="P197">
        <f>ROUND((ROUND((AC197*AW197*I197),2)*BC197),2)</f>
        <v>0</v>
      </c>
      <c r="Q197">
        <f>(ROUND((ROUND(((ET197)*AV197*I197),2)*BB197),2)+ROUND((ROUND(((AE197-(EU197))*AV197*I197),2)*BS197),2))</f>
        <v>0</v>
      </c>
      <c r="R197">
        <f>ROUND((ROUND((AE197*AV197*I197),2)*BS197),2)</f>
        <v>0</v>
      </c>
      <c r="S197">
        <f>ROUND((ROUND((AF197*AV197*I197),2)*BA197),2)</f>
        <v>7230.05</v>
      </c>
      <c r="T197">
        <f>ROUND(CU197*I197,2)</f>
        <v>0</v>
      </c>
      <c r="U197">
        <f>CV197*I197</f>
        <v>23.946000000000002</v>
      </c>
      <c r="V197">
        <f>CW197*I197</f>
        <v>0</v>
      </c>
      <c r="W197">
        <f>ROUND(CX197*I197,2)</f>
        <v>0</v>
      </c>
      <c r="X197">
        <f t="shared" si="141"/>
        <v>4916.43</v>
      </c>
      <c r="Y197">
        <f t="shared" si="141"/>
        <v>2964.32</v>
      </c>
      <c r="AA197">
        <v>44175501</v>
      </c>
      <c r="AB197">
        <f>ROUND((AC197+AD197+AF197),6)</f>
        <v>168.68799999999999</v>
      </c>
      <c r="AC197">
        <f>ROUND((ES197),6)</f>
        <v>0</v>
      </c>
      <c r="AD197">
        <f>ROUND((((ET197)-(EU197))+AE197),6)</f>
        <v>0</v>
      </c>
      <c r="AE197">
        <f>ROUND((EU197),6)</f>
        <v>0</v>
      </c>
      <c r="AF197">
        <f>ROUND(((EV197*1.3)),6)</f>
        <v>168.68799999999999</v>
      </c>
      <c r="AG197">
        <f>ROUND((AP197),6)</f>
        <v>0</v>
      </c>
      <c r="AH197">
        <f>((EW197*1.3))</f>
        <v>11.973000000000001</v>
      </c>
      <c r="AI197">
        <f>(EX197)</f>
        <v>0</v>
      </c>
      <c r="AJ197">
        <f>(AS197)</f>
        <v>0</v>
      </c>
      <c r="AK197">
        <v>129.76</v>
      </c>
      <c r="AL197">
        <v>0</v>
      </c>
      <c r="AM197">
        <v>0</v>
      </c>
      <c r="AN197">
        <v>0</v>
      </c>
      <c r="AO197">
        <v>129.76</v>
      </c>
      <c r="AP197">
        <v>0</v>
      </c>
      <c r="AQ197">
        <v>9.2100000000000009</v>
      </c>
      <c r="AR197">
        <v>0</v>
      </c>
      <c r="AS197">
        <v>0</v>
      </c>
      <c r="AT197">
        <v>68</v>
      </c>
      <c r="AU197">
        <v>41</v>
      </c>
      <c r="AV197">
        <v>1</v>
      </c>
      <c r="AW197">
        <v>1</v>
      </c>
      <c r="AZ197">
        <v>1</v>
      </c>
      <c r="BA197">
        <v>21.43</v>
      </c>
      <c r="BB197">
        <v>1</v>
      </c>
      <c r="BC197">
        <v>1</v>
      </c>
      <c r="BD197" t="s">
        <v>5</v>
      </c>
      <c r="BE197" t="s">
        <v>5</v>
      </c>
      <c r="BF197" t="s">
        <v>5</v>
      </c>
      <c r="BG197" t="s">
        <v>5</v>
      </c>
      <c r="BH197">
        <v>0</v>
      </c>
      <c r="BI197">
        <v>4</v>
      </c>
      <c r="BJ197" t="s">
        <v>311</v>
      </c>
      <c r="BM197">
        <v>388</v>
      </c>
      <c r="BN197">
        <v>0</v>
      </c>
      <c r="BO197" t="s">
        <v>5</v>
      </c>
      <c r="BP197">
        <v>0</v>
      </c>
      <c r="BQ197">
        <v>50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5</v>
      </c>
      <c r="BZ197">
        <v>68</v>
      </c>
      <c r="CA197">
        <v>41</v>
      </c>
      <c r="CE197">
        <v>30</v>
      </c>
      <c r="CF197">
        <v>0</v>
      </c>
      <c r="CG197">
        <v>0</v>
      </c>
      <c r="CM197">
        <v>0</v>
      </c>
      <c r="CN197" t="s">
        <v>303</v>
      </c>
      <c r="CO197">
        <v>0</v>
      </c>
      <c r="CP197">
        <f>(P197+Q197+S197)</f>
        <v>7230.05</v>
      </c>
      <c r="CQ197">
        <f>ROUND((ROUND((AC197*AW197*1),2)*BC197),2)</f>
        <v>0</v>
      </c>
      <c r="CR197">
        <f>(ROUND((ROUND(((ET197)*AV197*1),2)*BB197),2)+ROUND((ROUND(((AE197-(EU197))*AV197*1),2)*BS197),2))</f>
        <v>0</v>
      </c>
      <c r="CS197">
        <f>ROUND((ROUND((AE197*AV197*1),2)*BS197),2)</f>
        <v>0</v>
      </c>
      <c r="CT197">
        <f>ROUND((ROUND((AF197*AV197*1),2)*BA197),2)</f>
        <v>3615.03</v>
      </c>
      <c r="CU197">
        <f>AG197</f>
        <v>0</v>
      </c>
      <c r="CV197">
        <f>(AH197*AV197)</f>
        <v>11.973000000000001</v>
      </c>
      <c r="CW197">
        <f t="shared" si="142"/>
        <v>0</v>
      </c>
      <c r="CX197">
        <f t="shared" si="142"/>
        <v>0</v>
      </c>
      <c r="CY197">
        <f>S197*(BZ197/100)</f>
        <v>4916.4340000000002</v>
      </c>
      <c r="CZ197">
        <f>S197*(CA197/100)</f>
        <v>2964.3204999999998</v>
      </c>
      <c r="DC197" t="s">
        <v>5</v>
      </c>
      <c r="DD197" t="s">
        <v>5</v>
      </c>
      <c r="DE197" t="s">
        <v>5</v>
      </c>
      <c r="DF197" t="s">
        <v>5</v>
      </c>
      <c r="DG197" t="s">
        <v>304</v>
      </c>
      <c r="DH197" t="s">
        <v>5</v>
      </c>
      <c r="DI197" t="s">
        <v>304</v>
      </c>
      <c r="DJ197" t="s">
        <v>5</v>
      </c>
      <c r="DK197" t="s">
        <v>5</v>
      </c>
      <c r="DL197" t="s">
        <v>5</v>
      </c>
      <c r="DM197" t="s">
        <v>5</v>
      </c>
      <c r="DN197">
        <v>75</v>
      </c>
      <c r="DO197">
        <v>70</v>
      </c>
      <c r="DP197">
        <v>1</v>
      </c>
      <c r="DQ197">
        <v>1</v>
      </c>
      <c r="DU197">
        <v>1013</v>
      </c>
      <c r="DV197" t="s">
        <v>310</v>
      </c>
      <c r="DW197" t="s">
        <v>310</v>
      </c>
      <c r="DX197">
        <v>1</v>
      </c>
      <c r="EE197">
        <v>44064207</v>
      </c>
      <c r="EF197">
        <v>50</v>
      </c>
      <c r="EG197" t="s">
        <v>298</v>
      </c>
      <c r="EH197">
        <v>0</v>
      </c>
      <c r="EI197" t="s">
        <v>5</v>
      </c>
      <c r="EJ197">
        <v>4</v>
      </c>
      <c r="EK197">
        <v>388</v>
      </c>
      <c r="EL197" t="s">
        <v>305</v>
      </c>
      <c r="EM197" t="s">
        <v>306</v>
      </c>
      <c r="EO197" t="s">
        <v>307</v>
      </c>
      <c r="EQ197">
        <v>0</v>
      </c>
      <c r="ER197">
        <v>129.76</v>
      </c>
      <c r="ES197">
        <v>0</v>
      </c>
      <c r="ET197">
        <v>0</v>
      </c>
      <c r="EU197">
        <v>0</v>
      </c>
      <c r="EV197">
        <v>129.76</v>
      </c>
      <c r="EW197">
        <v>9.2100000000000009</v>
      </c>
      <c r="EX197">
        <v>0</v>
      </c>
      <c r="EY197">
        <v>0</v>
      </c>
      <c r="FQ197">
        <v>0</v>
      </c>
      <c r="FR197">
        <f>ROUND(IF(AND(BH197=3,BI197=3),P197,0),2)</f>
        <v>0</v>
      </c>
      <c r="FS197">
        <v>0</v>
      </c>
      <c r="FX197">
        <v>75</v>
      </c>
      <c r="FY197">
        <v>70</v>
      </c>
      <c r="GA197" t="s">
        <v>5</v>
      </c>
      <c r="GD197">
        <v>0</v>
      </c>
      <c r="GF197">
        <v>333708879</v>
      </c>
      <c r="GG197">
        <v>2</v>
      </c>
      <c r="GH197">
        <v>1</v>
      </c>
      <c r="GI197">
        <v>2</v>
      </c>
      <c r="GJ197">
        <v>0</v>
      </c>
      <c r="GK197">
        <f>ROUND(R197*(R12)/100,2)</f>
        <v>0</v>
      </c>
      <c r="GL197">
        <f>ROUND(IF(AND(BH197=3,BI197=3,FS197&lt;&gt;0),P197,0),2)</f>
        <v>0</v>
      </c>
      <c r="GM197">
        <f>ROUND(O197+X197+Y197+GK197,2)+GX197</f>
        <v>15110.8</v>
      </c>
      <c r="GN197">
        <f>IF(OR(BI197=0,BI197=1),ROUND(O197+X197+Y197+GK197,2),0)</f>
        <v>0</v>
      </c>
      <c r="GO197">
        <f>IF(BI197=2,ROUND(O197+X197+Y197+GK197,2),0)</f>
        <v>0</v>
      </c>
      <c r="GP197">
        <f>IF(BI197=4,ROUND(O197+X197+Y197+GK197,2)+GX197,0)</f>
        <v>15110.8</v>
      </c>
      <c r="GR197">
        <v>0</v>
      </c>
      <c r="GS197">
        <v>0</v>
      </c>
      <c r="GT197">
        <v>0</v>
      </c>
      <c r="GU197" t="s">
        <v>5</v>
      </c>
      <c r="GV197">
        <f>ROUND((GT197),6)</f>
        <v>0</v>
      </c>
      <c r="GW197">
        <v>1</v>
      </c>
      <c r="GX197">
        <f>ROUND(HC197*I197,2)</f>
        <v>0</v>
      </c>
      <c r="HA197">
        <v>0</v>
      </c>
      <c r="HB197">
        <v>0</v>
      </c>
      <c r="HC197">
        <f>GV197*GW197</f>
        <v>0</v>
      </c>
      <c r="IK197">
        <v>0</v>
      </c>
    </row>
    <row r="198" spans="1:245" x14ac:dyDescent="0.2">
      <c r="A198">
        <v>17</v>
      </c>
      <c r="B198">
        <v>1</v>
      </c>
      <c r="C198">
        <f>ROW(SmtRes!A51)</f>
        <v>51</v>
      </c>
      <c r="D198">
        <f>ROW(EtalonRes!A67)</f>
        <v>67</v>
      </c>
      <c r="E198" t="s">
        <v>175</v>
      </c>
      <c r="F198" t="s">
        <v>312</v>
      </c>
      <c r="G198" t="s">
        <v>313</v>
      </c>
      <c r="H198" t="s">
        <v>301</v>
      </c>
      <c r="I198">
        <v>39</v>
      </c>
      <c r="J198">
        <v>0</v>
      </c>
      <c r="O198">
        <f>ROUND(CP198,2)</f>
        <v>572577.67000000004</v>
      </c>
      <c r="P198">
        <f>ROUND((ROUND((AC198*AW198*I198),2)*BC198),2)</f>
        <v>0</v>
      </c>
      <c r="Q198">
        <f>(ROUND((ROUND(((ET198)*AV198*I198),2)*BB198),2)+ROUND((ROUND(((AE198-(EU198))*AV198*I198),2)*BS198),2))</f>
        <v>0</v>
      </c>
      <c r="R198">
        <f>ROUND((ROUND((AE198*AV198*I198),2)*BS198),2)</f>
        <v>0</v>
      </c>
      <c r="S198">
        <f>ROUND((ROUND((AF198*AV198*I198),2)*BA198),2)</f>
        <v>572577.67000000004</v>
      </c>
      <c r="T198">
        <f>ROUND(CU198*I198,2)</f>
        <v>0</v>
      </c>
      <c r="U198">
        <f>CV198*I198</f>
        <v>1677</v>
      </c>
      <c r="V198">
        <f>CW198*I198</f>
        <v>0</v>
      </c>
      <c r="W198">
        <f>ROUND(CX198*I198,2)</f>
        <v>0</v>
      </c>
      <c r="X198">
        <f t="shared" si="141"/>
        <v>389352.82</v>
      </c>
      <c r="Y198">
        <f t="shared" si="141"/>
        <v>234756.84</v>
      </c>
      <c r="AA198">
        <v>44175501</v>
      </c>
      <c r="AB198">
        <f>ROUND((AC198+AD198+AF198),6)</f>
        <v>685.09</v>
      </c>
      <c r="AC198">
        <f>ROUND((ES198),6)</f>
        <v>0</v>
      </c>
      <c r="AD198">
        <f>ROUND((((ET198)-(EU198))+AE198),6)</f>
        <v>0</v>
      </c>
      <c r="AE198">
        <f>ROUND((EU198),6)</f>
        <v>0</v>
      </c>
      <c r="AF198">
        <f>ROUND((EV198),6)</f>
        <v>685.09</v>
      </c>
      <c r="AG198">
        <f>ROUND((AP198),6)</f>
        <v>0</v>
      </c>
      <c r="AH198">
        <f>(EW198)</f>
        <v>43</v>
      </c>
      <c r="AI198">
        <f>(EX198)</f>
        <v>0</v>
      </c>
      <c r="AJ198">
        <f>(AS198)</f>
        <v>0</v>
      </c>
      <c r="AK198">
        <v>685.09</v>
      </c>
      <c r="AL198">
        <v>0</v>
      </c>
      <c r="AM198">
        <v>0</v>
      </c>
      <c r="AN198">
        <v>0</v>
      </c>
      <c r="AO198">
        <v>685.09</v>
      </c>
      <c r="AP198">
        <v>0</v>
      </c>
      <c r="AQ198">
        <v>43</v>
      </c>
      <c r="AR198">
        <v>0</v>
      </c>
      <c r="AS198">
        <v>0</v>
      </c>
      <c r="AT198">
        <v>68</v>
      </c>
      <c r="AU198">
        <v>41</v>
      </c>
      <c r="AV198">
        <v>1</v>
      </c>
      <c r="AW198">
        <v>1</v>
      </c>
      <c r="AZ198">
        <v>1</v>
      </c>
      <c r="BA198">
        <v>21.43</v>
      </c>
      <c r="BB198">
        <v>1</v>
      </c>
      <c r="BC198">
        <v>1</v>
      </c>
      <c r="BD198" t="s">
        <v>5</v>
      </c>
      <c r="BE198" t="s">
        <v>5</v>
      </c>
      <c r="BF198" t="s">
        <v>5</v>
      </c>
      <c r="BG198" t="s">
        <v>5</v>
      </c>
      <c r="BH198">
        <v>0</v>
      </c>
      <c r="BI198">
        <v>4</v>
      </c>
      <c r="BJ198" t="s">
        <v>314</v>
      </c>
      <c r="BM198">
        <v>388</v>
      </c>
      <c r="BN198">
        <v>0</v>
      </c>
      <c r="BO198" t="s">
        <v>5</v>
      </c>
      <c r="BP198">
        <v>0</v>
      </c>
      <c r="BQ198">
        <v>50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5</v>
      </c>
      <c r="BZ198">
        <v>68</v>
      </c>
      <c r="CA198">
        <v>41</v>
      </c>
      <c r="CE198">
        <v>30</v>
      </c>
      <c r="CF198">
        <v>0</v>
      </c>
      <c r="CG198">
        <v>0</v>
      </c>
      <c r="CM198">
        <v>0</v>
      </c>
      <c r="CN198" t="s">
        <v>5</v>
      </c>
      <c r="CO198">
        <v>0</v>
      </c>
      <c r="CP198">
        <f>(P198+Q198+S198)</f>
        <v>572577.67000000004</v>
      </c>
      <c r="CQ198">
        <f>ROUND((ROUND((AC198*AW198*1),2)*BC198),2)</f>
        <v>0</v>
      </c>
      <c r="CR198">
        <f>(ROUND((ROUND(((ET198)*AV198*1),2)*BB198),2)+ROUND((ROUND(((AE198-(EU198))*AV198*1),2)*BS198),2))</f>
        <v>0</v>
      </c>
      <c r="CS198">
        <f>ROUND((ROUND((AE198*AV198*1),2)*BS198),2)</f>
        <v>0</v>
      </c>
      <c r="CT198">
        <f>ROUND((ROUND((AF198*AV198*1),2)*BA198),2)</f>
        <v>14681.48</v>
      </c>
      <c r="CU198">
        <f>AG198</f>
        <v>0</v>
      </c>
      <c r="CV198">
        <f>(AH198*AV198)</f>
        <v>43</v>
      </c>
      <c r="CW198">
        <f t="shared" si="142"/>
        <v>0</v>
      </c>
      <c r="CX198">
        <f t="shared" si="142"/>
        <v>0</v>
      </c>
      <c r="CY198">
        <f>S198*(BZ198/100)</f>
        <v>389352.81560000003</v>
      </c>
      <c r="CZ198">
        <f>S198*(CA198/100)</f>
        <v>234756.84470000002</v>
      </c>
      <c r="DC198" t="s">
        <v>5</v>
      </c>
      <c r="DD198" t="s">
        <v>5</v>
      </c>
      <c r="DE198" t="s">
        <v>5</v>
      </c>
      <c r="DF198" t="s">
        <v>5</v>
      </c>
      <c r="DG198" t="s">
        <v>5</v>
      </c>
      <c r="DH198" t="s">
        <v>5</v>
      </c>
      <c r="DI198" t="s">
        <v>5</v>
      </c>
      <c r="DJ198" t="s">
        <v>5</v>
      </c>
      <c r="DK198" t="s">
        <v>5</v>
      </c>
      <c r="DL198" t="s">
        <v>5</v>
      </c>
      <c r="DM198" t="s">
        <v>5</v>
      </c>
      <c r="DN198">
        <v>75</v>
      </c>
      <c r="DO198">
        <v>70</v>
      </c>
      <c r="DP198">
        <v>1</v>
      </c>
      <c r="DQ198">
        <v>1</v>
      </c>
      <c r="DU198">
        <v>1013</v>
      </c>
      <c r="DV198" t="s">
        <v>301</v>
      </c>
      <c r="DW198" t="s">
        <v>301</v>
      </c>
      <c r="DX198">
        <v>1</v>
      </c>
      <c r="EE198">
        <v>44064207</v>
      </c>
      <c r="EF198">
        <v>50</v>
      </c>
      <c r="EG198" t="s">
        <v>298</v>
      </c>
      <c r="EH198">
        <v>0</v>
      </c>
      <c r="EI198" t="s">
        <v>5</v>
      </c>
      <c r="EJ198">
        <v>4</v>
      </c>
      <c r="EK198">
        <v>388</v>
      </c>
      <c r="EL198" t="s">
        <v>305</v>
      </c>
      <c r="EM198" t="s">
        <v>306</v>
      </c>
      <c r="EO198" t="s">
        <v>5</v>
      </c>
      <c r="EQ198">
        <v>0</v>
      </c>
      <c r="ER198">
        <v>685.09</v>
      </c>
      <c r="ES198">
        <v>0</v>
      </c>
      <c r="ET198">
        <v>0</v>
      </c>
      <c r="EU198">
        <v>0</v>
      </c>
      <c r="EV198">
        <v>685.09</v>
      </c>
      <c r="EW198">
        <v>43</v>
      </c>
      <c r="EX198">
        <v>0</v>
      </c>
      <c r="EY198">
        <v>0</v>
      </c>
      <c r="FQ198">
        <v>0</v>
      </c>
      <c r="FR198">
        <f>ROUND(IF(AND(BH198=3,BI198=3),P198,0),2)</f>
        <v>0</v>
      </c>
      <c r="FS198">
        <v>0</v>
      </c>
      <c r="FX198">
        <v>75</v>
      </c>
      <c r="FY198">
        <v>70</v>
      </c>
      <c r="GA198" t="s">
        <v>5</v>
      </c>
      <c r="GD198">
        <v>0</v>
      </c>
      <c r="GF198">
        <v>452341622</v>
      </c>
      <c r="GG198">
        <v>2</v>
      </c>
      <c r="GH198">
        <v>1</v>
      </c>
      <c r="GI198">
        <v>2</v>
      </c>
      <c r="GJ198">
        <v>0</v>
      </c>
      <c r="GK198">
        <f>ROUND(R198*(R12)/100,2)</f>
        <v>0</v>
      </c>
      <c r="GL198">
        <f>ROUND(IF(AND(BH198=3,BI198=3,FS198&lt;&gt;0),P198,0),2)</f>
        <v>0</v>
      </c>
      <c r="GM198">
        <f>ROUND(O198+X198+Y198+GK198,2)+GX198</f>
        <v>1196687.33</v>
      </c>
      <c r="GN198">
        <f>IF(OR(BI198=0,BI198=1),ROUND(O198+X198+Y198+GK198,2),0)</f>
        <v>0</v>
      </c>
      <c r="GO198">
        <f>IF(BI198=2,ROUND(O198+X198+Y198+GK198,2),0)</f>
        <v>0</v>
      </c>
      <c r="GP198">
        <f>IF(BI198=4,ROUND(O198+X198+Y198+GK198,2)+GX198,0)</f>
        <v>1196687.33</v>
      </c>
      <c r="GR198">
        <v>0</v>
      </c>
      <c r="GS198">
        <v>3</v>
      </c>
      <c r="GT198">
        <v>0</v>
      </c>
      <c r="GU198" t="s">
        <v>5</v>
      </c>
      <c r="GV198">
        <f>ROUND((GT198),6)</f>
        <v>0</v>
      </c>
      <c r="GW198">
        <v>1</v>
      </c>
      <c r="GX198">
        <f>ROUND(HC198*I198,2)</f>
        <v>0</v>
      </c>
      <c r="HA198">
        <v>0</v>
      </c>
      <c r="HB198">
        <v>0</v>
      </c>
      <c r="HC198">
        <f>GV198*GW198</f>
        <v>0</v>
      </c>
      <c r="IK198">
        <v>0</v>
      </c>
    </row>
    <row r="199" spans="1:245" x14ac:dyDescent="0.2">
      <c r="A199">
        <v>17</v>
      </c>
      <c r="B199">
        <v>1</v>
      </c>
      <c r="E199" t="s">
        <v>19</v>
      </c>
      <c r="F199" t="s">
        <v>315</v>
      </c>
      <c r="G199" t="s">
        <v>316</v>
      </c>
      <c r="H199" t="s">
        <v>317</v>
      </c>
      <c r="I199">
        <f>ROUND((I196*2+I197*0.4)*6.82,9)</f>
        <v>32.735999999999997</v>
      </c>
      <c r="J199">
        <v>0</v>
      </c>
      <c r="O199">
        <f>ROUND(CP199,2)</f>
        <v>41143.94</v>
      </c>
      <c r="P199">
        <f>ROUND((ROUND((AC199*AW199*I199),2)*BC199),2)</f>
        <v>0</v>
      </c>
      <c r="Q199">
        <f>(ROUND((ROUND(((ET199)*AV199*I199),2)*BB199),2)+ROUND((ROUND(((AE199-(EU199))*AV199*I199),2)*BS199),2))</f>
        <v>41143.94</v>
      </c>
      <c r="R199">
        <f>ROUND((ROUND((AE199*AV199*I199),2)*BS199),2)</f>
        <v>16282.51</v>
      </c>
      <c r="S199">
        <f>ROUND((ROUND((AF199*AV199*I199),2)*BA199),2)</f>
        <v>0</v>
      </c>
      <c r="T199">
        <f>ROUND(CU199*I199,2)</f>
        <v>0</v>
      </c>
      <c r="U199">
        <f>CV199*I199</f>
        <v>0</v>
      </c>
      <c r="V199">
        <f>CW199*I199</f>
        <v>0</v>
      </c>
      <c r="W199">
        <f>ROUND(CX199*I199,2)</f>
        <v>0</v>
      </c>
      <c r="X199">
        <f t="shared" si="141"/>
        <v>0</v>
      </c>
      <c r="Y199">
        <f t="shared" si="141"/>
        <v>0</v>
      </c>
      <c r="AA199">
        <v>44175501</v>
      </c>
      <c r="AB199">
        <f>ROUND((AC199+AD199+AF199),6)</f>
        <v>128.38</v>
      </c>
      <c r="AC199">
        <f>ROUND((ES199),6)</f>
        <v>0</v>
      </c>
      <c r="AD199">
        <f>ROUND((((ET199)-(EU199))+AE199),6)</f>
        <v>128.38</v>
      </c>
      <c r="AE199">
        <f>ROUND((EU199),6)</f>
        <v>23.21</v>
      </c>
      <c r="AF199">
        <f>ROUND((EV199),6)</f>
        <v>0</v>
      </c>
      <c r="AG199">
        <f>ROUND((AP199),6)</f>
        <v>0</v>
      </c>
      <c r="AH199">
        <f>(EW199)</f>
        <v>0</v>
      </c>
      <c r="AI199">
        <f>(EX199)</f>
        <v>0</v>
      </c>
      <c r="AJ199">
        <f>(AS199)</f>
        <v>0</v>
      </c>
      <c r="AK199">
        <v>128.38</v>
      </c>
      <c r="AL199">
        <v>0</v>
      </c>
      <c r="AM199">
        <v>128.38</v>
      </c>
      <c r="AN199">
        <v>23.21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1</v>
      </c>
      <c r="AW199">
        <v>1</v>
      </c>
      <c r="AZ199">
        <v>1</v>
      </c>
      <c r="BA199">
        <v>1</v>
      </c>
      <c r="BB199">
        <v>9.7899999999999991</v>
      </c>
      <c r="BC199">
        <v>1</v>
      </c>
      <c r="BD199" t="s">
        <v>5</v>
      </c>
      <c r="BE199" t="s">
        <v>5</v>
      </c>
      <c r="BF199" t="s">
        <v>5</v>
      </c>
      <c r="BG199" t="s">
        <v>5</v>
      </c>
      <c r="BH199">
        <v>2</v>
      </c>
      <c r="BI199">
        <v>1</v>
      </c>
      <c r="BJ199" t="s">
        <v>318</v>
      </c>
      <c r="BM199">
        <v>400001</v>
      </c>
      <c r="BN199">
        <v>0</v>
      </c>
      <c r="BO199" t="s">
        <v>315</v>
      </c>
      <c r="BP199">
        <v>1</v>
      </c>
      <c r="BQ199">
        <v>190</v>
      </c>
      <c r="BR199">
        <v>0</v>
      </c>
      <c r="BS199">
        <v>21.43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5</v>
      </c>
      <c r="BZ199">
        <v>0</v>
      </c>
      <c r="CA199">
        <v>0</v>
      </c>
      <c r="CE199">
        <v>30</v>
      </c>
      <c r="CF199">
        <v>0</v>
      </c>
      <c r="CG199">
        <v>0</v>
      </c>
      <c r="CM199">
        <v>0</v>
      </c>
      <c r="CN199" t="s">
        <v>5</v>
      </c>
      <c r="CO199">
        <v>0</v>
      </c>
      <c r="CP199">
        <f>(P199+Q199+S199)</f>
        <v>41143.94</v>
      </c>
      <c r="CQ199">
        <f>ROUND((ROUND((AC199*AW199*1),2)*BC199),2)</f>
        <v>0</v>
      </c>
      <c r="CR199">
        <f>(ROUND((ROUND(((ET199)*AV199*1),2)*BB199),2)+ROUND((ROUND(((AE199-(EU199))*AV199*1),2)*BS199),2))</f>
        <v>1256.8399999999999</v>
      </c>
      <c r="CS199">
        <f>ROUND((ROUND((AE199*AV199*1),2)*BS199),2)</f>
        <v>497.39</v>
      </c>
      <c r="CT199">
        <f>ROUND((ROUND((AF199*AV199*1),2)*BA199),2)</f>
        <v>0</v>
      </c>
      <c r="CU199">
        <f>AG199</f>
        <v>0</v>
      </c>
      <c r="CV199">
        <f>(AH199*AV199)</f>
        <v>0</v>
      </c>
      <c r="CW199">
        <f t="shared" si="142"/>
        <v>0</v>
      </c>
      <c r="CX199">
        <f t="shared" si="142"/>
        <v>0</v>
      </c>
      <c r="CY199">
        <f>S199*(BZ199/100)</f>
        <v>0</v>
      </c>
      <c r="CZ199">
        <f>S199*(CA199/100)</f>
        <v>0</v>
      </c>
      <c r="DC199" t="s">
        <v>5</v>
      </c>
      <c r="DD199" t="s">
        <v>5</v>
      </c>
      <c r="DE199" t="s">
        <v>5</v>
      </c>
      <c r="DF199" t="s">
        <v>5</v>
      </c>
      <c r="DG199" t="s">
        <v>5</v>
      </c>
      <c r="DH199" t="s">
        <v>5</v>
      </c>
      <c r="DI199" t="s">
        <v>5</v>
      </c>
      <c r="DJ199" t="s">
        <v>5</v>
      </c>
      <c r="DK199" t="s">
        <v>5</v>
      </c>
      <c r="DL199" t="s">
        <v>5</v>
      </c>
      <c r="DM199" t="s">
        <v>5</v>
      </c>
      <c r="DN199">
        <v>0</v>
      </c>
      <c r="DO199">
        <v>0</v>
      </c>
      <c r="DP199">
        <v>1</v>
      </c>
      <c r="DQ199">
        <v>1</v>
      </c>
      <c r="DU199">
        <v>1011</v>
      </c>
      <c r="DV199" t="s">
        <v>317</v>
      </c>
      <c r="DW199" t="s">
        <v>317</v>
      </c>
      <c r="DX199">
        <v>1</v>
      </c>
      <c r="EE199">
        <v>44065632</v>
      </c>
      <c r="EF199">
        <v>190</v>
      </c>
      <c r="EG199" t="s">
        <v>319</v>
      </c>
      <c r="EH199">
        <v>0</v>
      </c>
      <c r="EI199" t="s">
        <v>5</v>
      </c>
      <c r="EJ199">
        <v>1</v>
      </c>
      <c r="EK199">
        <v>400001</v>
      </c>
      <c r="EL199" t="s">
        <v>320</v>
      </c>
      <c r="EM199" t="s">
        <v>321</v>
      </c>
      <c r="EO199" t="s">
        <v>5</v>
      </c>
      <c r="EQ199">
        <v>0</v>
      </c>
      <c r="ER199">
        <v>128.38</v>
      </c>
      <c r="ES199">
        <v>0</v>
      </c>
      <c r="ET199">
        <v>128.38</v>
      </c>
      <c r="EU199">
        <v>23.21</v>
      </c>
      <c r="EV199">
        <v>0</v>
      </c>
      <c r="EW199">
        <v>0</v>
      </c>
      <c r="EX199">
        <v>0</v>
      </c>
      <c r="EY199">
        <v>0</v>
      </c>
      <c r="FQ199">
        <v>0</v>
      </c>
      <c r="FR199">
        <f>ROUND(IF(AND(BH199=3,BI199=3),P199,0),2)</f>
        <v>0</v>
      </c>
      <c r="FS199">
        <v>0</v>
      </c>
      <c r="FX199">
        <v>0</v>
      </c>
      <c r="FY199">
        <v>0</v>
      </c>
      <c r="GA199" t="s">
        <v>5</v>
      </c>
      <c r="GD199">
        <v>0</v>
      </c>
      <c r="GF199">
        <v>565014804</v>
      </c>
      <c r="GG199">
        <v>2</v>
      </c>
      <c r="GH199">
        <v>1</v>
      </c>
      <c r="GI199">
        <v>2</v>
      </c>
      <c r="GJ199">
        <v>0</v>
      </c>
      <c r="GK199">
        <f>ROUND(R199*(R12)/100,2)</f>
        <v>25563.54</v>
      </c>
      <c r="GL199">
        <f>ROUND(IF(AND(BH199=3,BI199=3,FS199&lt;&gt;0),P199,0),2)</f>
        <v>0</v>
      </c>
      <c r="GM199">
        <f>ROUND(O199+X199+Y199+GK199,2)+GX199</f>
        <v>66707.48</v>
      </c>
      <c r="GN199">
        <f>IF(OR(BI199=0,BI199=1),ROUND(O199+X199+Y199+GK199,2),0)</f>
        <v>66707.48</v>
      </c>
      <c r="GO199">
        <f>IF(BI199=2,ROUND(O199+X199+Y199+GK199,2),0)</f>
        <v>0</v>
      </c>
      <c r="GP199">
        <f>IF(BI199=4,ROUND(O199+X199+Y199+GK199,2)+GX199,0)</f>
        <v>0</v>
      </c>
      <c r="GR199">
        <v>0</v>
      </c>
      <c r="GS199">
        <v>0</v>
      </c>
      <c r="GT199">
        <v>0</v>
      </c>
      <c r="GU199" t="s">
        <v>5</v>
      </c>
      <c r="GV199">
        <f>ROUND((GT199),6)</f>
        <v>0</v>
      </c>
      <c r="GW199">
        <v>1</v>
      </c>
      <c r="GX199">
        <f>ROUND(HC199*I199,2)</f>
        <v>0</v>
      </c>
      <c r="HA199">
        <v>0</v>
      </c>
      <c r="HB199">
        <v>0</v>
      </c>
      <c r="HC199">
        <f>GV199*GW199</f>
        <v>0</v>
      </c>
      <c r="IK199">
        <v>0</v>
      </c>
    </row>
    <row r="201" spans="1:245" x14ac:dyDescent="0.2">
      <c r="A201" s="2">
        <v>51</v>
      </c>
      <c r="B201" s="2">
        <f>B192</f>
        <v>1</v>
      </c>
      <c r="C201" s="2">
        <f>A192</f>
        <v>4</v>
      </c>
      <c r="D201" s="2">
        <f>ROW(A192)</f>
        <v>192</v>
      </c>
      <c r="E201" s="2"/>
      <c r="F201" s="2" t="str">
        <f>IF(F192&lt;&gt;"",F192,"")</f>
        <v>Новый раздел</v>
      </c>
      <c r="G201" s="2" t="str">
        <f>IF(G192&lt;&gt;"",G192,"")</f>
        <v>Пусконаладочные работы</v>
      </c>
      <c r="H201" s="2">
        <v>0</v>
      </c>
      <c r="I201" s="2"/>
      <c r="J201" s="2"/>
      <c r="K201" s="2"/>
      <c r="L201" s="2"/>
      <c r="M201" s="2"/>
      <c r="N201" s="2"/>
      <c r="O201" s="2">
        <f t="shared" ref="O201:T201" si="143">ROUND(AB201,2)</f>
        <v>684867.49</v>
      </c>
      <c r="P201" s="2">
        <f t="shared" si="143"/>
        <v>0</v>
      </c>
      <c r="Q201" s="2">
        <f t="shared" si="143"/>
        <v>41143.94</v>
      </c>
      <c r="R201" s="2">
        <f t="shared" si="143"/>
        <v>16282.51</v>
      </c>
      <c r="S201" s="2">
        <f t="shared" si="143"/>
        <v>643723.55000000005</v>
      </c>
      <c r="T201" s="2">
        <f t="shared" si="143"/>
        <v>0</v>
      </c>
      <c r="U201" s="2">
        <f>AH201</f>
        <v>1888.146</v>
      </c>
      <c r="V201" s="2">
        <f>AI201</f>
        <v>0</v>
      </c>
      <c r="W201" s="2">
        <f>ROUND(AJ201,2)</f>
        <v>0</v>
      </c>
      <c r="X201" s="2">
        <f>ROUND(AK201,2)</f>
        <v>437732.01</v>
      </c>
      <c r="Y201" s="2">
        <f>ROUND(AL201,2)</f>
        <v>263926.65000000002</v>
      </c>
      <c r="Z201" s="2"/>
      <c r="AA201" s="2"/>
      <c r="AB201" s="2">
        <f>ROUND(SUMIF(AA196:AA199,"=44175501",O196:O199),2)</f>
        <v>684867.49</v>
      </c>
      <c r="AC201" s="2">
        <f>ROUND(SUMIF(AA196:AA199,"=44175501",P196:P199),2)</f>
        <v>0</v>
      </c>
      <c r="AD201" s="2">
        <f>ROUND(SUMIF(AA196:AA199,"=44175501",Q196:Q199),2)</f>
        <v>41143.94</v>
      </c>
      <c r="AE201" s="2">
        <f>ROUND(SUMIF(AA196:AA199,"=44175501",R196:R199),2)</f>
        <v>16282.51</v>
      </c>
      <c r="AF201" s="2">
        <f>ROUND(SUMIF(AA196:AA199,"=44175501",S196:S199),2)</f>
        <v>643723.55000000005</v>
      </c>
      <c r="AG201" s="2">
        <f>ROUND(SUMIF(AA196:AA199,"=44175501",T196:T199),2)</f>
        <v>0</v>
      </c>
      <c r="AH201" s="2">
        <f>SUMIF(AA196:AA199,"=44175501",U196:U199)</f>
        <v>1888.146</v>
      </c>
      <c r="AI201" s="2">
        <f>SUMIF(AA196:AA199,"=44175501",V196:V199)</f>
        <v>0</v>
      </c>
      <c r="AJ201" s="2">
        <f>ROUND(SUMIF(AA196:AA199,"=44175501",W196:W199),2)</f>
        <v>0</v>
      </c>
      <c r="AK201" s="2">
        <f>ROUND(SUMIF(AA196:AA199,"=44175501",X196:X199),2)</f>
        <v>437732.01</v>
      </c>
      <c r="AL201" s="2">
        <f>ROUND(SUMIF(AA196:AA199,"=44175501",Y196:Y199),2)</f>
        <v>263926.65000000002</v>
      </c>
      <c r="AM201" s="2"/>
      <c r="AN201" s="2"/>
      <c r="AO201" s="2">
        <f t="shared" ref="AO201:BD201" si="144">ROUND(BX201,2)</f>
        <v>0</v>
      </c>
      <c r="AP201" s="2">
        <f t="shared" si="144"/>
        <v>0</v>
      </c>
      <c r="AQ201" s="2">
        <f t="shared" si="144"/>
        <v>0</v>
      </c>
      <c r="AR201" s="2">
        <f t="shared" si="144"/>
        <v>1412089.69</v>
      </c>
      <c r="AS201" s="2">
        <f t="shared" si="144"/>
        <v>66707.48</v>
      </c>
      <c r="AT201" s="2">
        <f t="shared" si="144"/>
        <v>0</v>
      </c>
      <c r="AU201" s="2">
        <f t="shared" si="144"/>
        <v>1345382.21</v>
      </c>
      <c r="AV201" s="2">
        <f t="shared" si="144"/>
        <v>0</v>
      </c>
      <c r="AW201" s="2">
        <f t="shared" si="144"/>
        <v>0</v>
      </c>
      <c r="AX201" s="2">
        <f t="shared" si="144"/>
        <v>0</v>
      </c>
      <c r="AY201" s="2">
        <f t="shared" si="144"/>
        <v>0</v>
      </c>
      <c r="AZ201" s="2">
        <f t="shared" si="144"/>
        <v>0</v>
      </c>
      <c r="BA201" s="2">
        <f t="shared" si="144"/>
        <v>0</v>
      </c>
      <c r="BB201" s="2">
        <f t="shared" si="144"/>
        <v>0</v>
      </c>
      <c r="BC201" s="2">
        <f t="shared" si="144"/>
        <v>0</v>
      </c>
      <c r="BD201" s="2">
        <f t="shared" si="144"/>
        <v>0</v>
      </c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>
        <f>ROUND(SUMIF(AA196:AA199,"=44175501",FQ196:FQ199),2)</f>
        <v>0</v>
      </c>
      <c r="BY201" s="2">
        <f>ROUND(SUMIF(AA196:AA199,"=44175501",FR196:FR199),2)</f>
        <v>0</v>
      </c>
      <c r="BZ201" s="2">
        <f>ROUND(SUMIF(AA196:AA199,"=44175501",GL196:GL199),2)</f>
        <v>0</v>
      </c>
      <c r="CA201" s="2">
        <f>ROUND(SUMIF(AA196:AA199,"=44175501",GM196:GM199),2)</f>
        <v>1412089.69</v>
      </c>
      <c r="CB201" s="2">
        <f>ROUND(SUMIF(AA196:AA199,"=44175501",GN196:GN199),2)</f>
        <v>66707.48</v>
      </c>
      <c r="CC201" s="2">
        <f>ROUND(SUMIF(AA196:AA199,"=44175501",GO196:GO199),2)</f>
        <v>0</v>
      </c>
      <c r="CD201" s="2">
        <f>ROUND(SUMIF(AA196:AA199,"=44175501",GP196:GP199),2)</f>
        <v>1345382.21</v>
      </c>
      <c r="CE201" s="2">
        <f>AC201-BX201</f>
        <v>0</v>
      </c>
      <c r="CF201" s="2">
        <f>AC201-BY201</f>
        <v>0</v>
      </c>
      <c r="CG201" s="2">
        <f>BX201-BZ201</f>
        <v>0</v>
      </c>
      <c r="CH201" s="2">
        <f>AC201-BX201-BY201+BZ201</f>
        <v>0</v>
      </c>
      <c r="CI201" s="2">
        <f>BY201-BZ201</f>
        <v>0</v>
      </c>
      <c r="CJ201" s="2">
        <f>ROUND(SUMIF(AA196:AA199,"=44175501",GX196:GX199),2)</f>
        <v>0</v>
      </c>
      <c r="CK201" s="2">
        <f>ROUND(SUMIF(AA196:AA199,"=44175501",GY196:GY199),2)</f>
        <v>0</v>
      </c>
      <c r="CL201" s="2">
        <f>ROUND(SUMIF(AA196:AA199,"=44175501",GZ196:GZ199),2)</f>
        <v>0</v>
      </c>
      <c r="CM201" s="2">
        <f>ROUND(SUMIF(AA196:AA199,"=44175501",HD196:HD199),2)</f>
        <v>0</v>
      </c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>
        <v>0</v>
      </c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201</v>
      </c>
      <c r="F203" s="4">
        <f>ROUND(Source!O201,O203)</f>
        <v>684867.49</v>
      </c>
      <c r="G203" s="4" t="s">
        <v>110</v>
      </c>
      <c r="H203" s="4" t="s">
        <v>111</v>
      </c>
      <c r="I203" s="4"/>
      <c r="J203" s="4"/>
      <c r="K203" s="4">
        <v>201</v>
      </c>
      <c r="L203" s="4">
        <v>1</v>
      </c>
      <c r="M203" s="4">
        <v>3</v>
      </c>
      <c r="N203" s="4" t="s">
        <v>5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202</v>
      </c>
      <c r="F204" s="4">
        <f>ROUND(Source!P201,O204)</f>
        <v>0</v>
      </c>
      <c r="G204" s="4" t="s">
        <v>112</v>
      </c>
      <c r="H204" s="4" t="s">
        <v>113</v>
      </c>
      <c r="I204" s="4"/>
      <c r="J204" s="4"/>
      <c r="K204" s="4">
        <v>202</v>
      </c>
      <c r="L204" s="4">
        <v>2</v>
      </c>
      <c r="M204" s="4">
        <v>3</v>
      </c>
      <c r="N204" s="4" t="s">
        <v>5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222</v>
      </c>
      <c r="F205" s="4">
        <f>ROUND(Source!AO201,O205)</f>
        <v>0</v>
      </c>
      <c r="G205" s="4" t="s">
        <v>114</v>
      </c>
      <c r="H205" s="4" t="s">
        <v>115</v>
      </c>
      <c r="I205" s="4"/>
      <c r="J205" s="4"/>
      <c r="K205" s="4">
        <v>222</v>
      </c>
      <c r="L205" s="4">
        <v>3</v>
      </c>
      <c r="M205" s="4">
        <v>3</v>
      </c>
      <c r="N205" s="4" t="s">
        <v>5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225</v>
      </c>
      <c r="F206" s="4">
        <f>ROUND(Source!AV201,O206)</f>
        <v>0</v>
      </c>
      <c r="G206" s="4" t="s">
        <v>116</v>
      </c>
      <c r="H206" s="4" t="s">
        <v>117</v>
      </c>
      <c r="I206" s="4"/>
      <c r="J206" s="4"/>
      <c r="K206" s="4">
        <v>225</v>
      </c>
      <c r="L206" s="4">
        <v>4</v>
      </c>
      <c r="M206" s="4">
        <v>3</v>
      </c>
      <c r="N206" s="4" t="s">
        <v>5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226</v>
      </c>
      <c r="F207" s="4">
        <f>ROUND(Source!AW201,O207)</f>
        <v>0</v>
      </c>
      <c r="G207" s="4" t="s">
        <v>118</v>
      </c>
      <c r="H207" s="4" t="s">
        <v>119</v>
      </c>
      <c r="I207" s="4"/>
      <c r="J207" s="4"/>
      <c r="K207" s="4">
        <v>226</v>
      </c>
      <c r="L207" s="4">
        <v>5</v>
      </c>
      <c r="M207" s="4">
        <v>3</v>
      </c>
      <c r="N207" s="4" t="s">
        <v>5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227</v>
      </c>
      <c r="F208" s="4">
        <f>ROUND(Source!AX201,O208)</f>
        <v>0</v>
      </c>
      <c r="G208" s="4" t="s">
        <v>120</v>
      </c>
      <c r="H208" s="4" t="s">
        <v>121</v>
      </c>
      <c r="I208" s="4"/>
      <c r="J208" s="4"/>
      <c r="K208" s="4">
        <v>227</v>
      </c>
      <c r="L208" s="4">
        <v>6</v>
      </c>
      <c r="M208" s="4">
        <v>3</v>
      </c>
      <c r="N208" s="4" t="s">
        <v>5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228</v>
      </c>
      <c r="F209" s="4">
        <f>ROUND(Source!AY201,O209)</f>
        <v>0</v>
      </c>
      <c r="G209" s="4" t="s">
        <v>122</v>
      </c>
      <c r="H209" s="4" t="s">
        <v>123</v>
      </c>
      <c r="I209" s="4"/>
      <c r="J209" s="4"/>
      <c r="K209" s="4">
        <v>228</v>
      </c>
      <c r="L209" s="4">
        <v>7</v>
      </c>
      <c r="M209" s="4">
        <v>3</v>
      </c>
      <c r="N209" s="4" t="s">
        <v>5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216</v>
      </c>
      <c r="F210" s="4">
        <f>ROUND(Source!AP201,O210)</f>
        <v>0</v>
      </c>
      <c r="G210" s="4" t="s">
        <v>124</v>
      </c>
      <c r="H210" s="4" t="s">
        <v>125</v>
      </c>
      <c r="I210" s="4"/>
      <c r="J210" s="4"/>
      <c r="K210" s="4">
        <v>216</v>
      </c>
      <c r="L210" s="4">
        <v>8</v>
      </c>
      <c r="M210" s="4">
        <v>3</v>
      </c>
      <c r="N210" s="4" t="s">
        <v>5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223</v>
      </c>
      <c r="F211" s="4">
        <f>ROUND(Source!AQ201,O211)</f>
        <v>0</v>
      </c>
      <c r="G211" s="4" t="s">
        <v>126</v>
      </c>
      <c r="H211" s="4" t="s">
        <v>127</v>
      </c>
      <c r="I211" s="4"/>
      <c r="J211" s="4"/>
      <c r="K211" s="4">
        <v>223</v>
      </c>
      <c r="L211" s="4">
        <v>9</v>
      </c>
      <c r="M211" s="4">
        <v>3</v>
      </c>
      <c r="N211" s="4" t="s">
        <v>5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229</v>
      </c>
      <c r="F212" s="4">
        <f>ROUND(Source!AZ201,O212)</f>
        <v>0</v>
      </c>
      <c r="G212" s="4" t="s">
        <v>128</v>
      </c>
      <c r="H212" s="4" t="s">
        <v>129</v>
      </c>
      <c r="I212" s="4"/>
      <c r="J212" s="4"/>
      <c r="K212" s="4">
        <v>229</v>
      </c>
      <c r="L212" s="4">
        <v>10</v>
      </c>
      <c r="M212" s="4">
        <v>3</v>
      </c>
      <c r="N212" s="4" t="s">
        <v>5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203</v>
      </c>
      <c r="F213" s="4">
        <f>ROUND(Source!Q201,O213)</f>
        <v>41143.94</v>
      </c>
      <c r="G213" s="4" t="s">
        <v>130</v>
      </c>
      <c r="H213" s="4" t="s">
        <v>131</v>
      </c>
      <c r="I213" s="4"/>
      <c r="J213" s="4"/>
      <c r="K213" s="4">
        <v>203</v>
      </c>
      <c r="L213" s="4">
        <v>11</v>
      </c>
      <c r="M213" s="4">
        <v>3</v>
      </c>
      <c r="N213" s="4" t="s">
        <v>5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231</v>
      </c>
      <c r="F214" s="4">
        <f>ROUND(Source!BB201,O214)</f>
        <v>0</v>
      </c>
      <c r="G214" s="4" t="s">
        <v>132</v>
      </c>
      <c r="H214" s="4" t="s">
        <v>133</v>
      </c>
      <c r="I214" s="4"/>
      <c r="J214" s="4"/>
      <c r="K214" s="4">
        <v>231</v>
      </c>
      <c r="L214" s="4">
        <v>12</v>
      </c>
      <c r="M214" s="4">
        <v>3</v>
      </c>
      <c r="N214" s="4" t="s">
        <v>5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204</v>
      </c>
      <c r="F215" s="4">
        <f>ROUND(Source!R201,O215)</f>
        <v>16282.51</v>
      </c>
      <c r="G215" s="4" t="s">
        <v>134</v>
      </c>
      <c r="H215" s="4" t="s">
        <v>135</v>
      </c>
      <c r="I215" s="4"/>
      <c r="J215" s="4"/>
      <c r="K215" s="4">
        <v>204</v>
      </c>
      <c r="L215" s="4">
        <v>13</v>
      </c>
      <c r="M215" s="4">
        <v>3</v>
      </c>
      <c r="N215" s="4" t="s">
        <v>5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205</v>
      </c>
      <c r="F216" s="4">
        <f>ROUND(Source!S201,O216)</f>
        <v>643723.55000000005</v>
      </c>
      <c r="G216" s="4" t="s">
        <v>136</v>
      </c>
      <c r="H216" s="4" t="s">
        <v>137</v>
      </c>
      <c r="I216" s="4"/>
      <c r="J216" s="4"/>
      <c r="K216" s="4">
        <v>205</v>
      </c>
      <c r="L216" s="4">
        <v>14</v>
      </c>
      <c r="M216" s="4">
        <v>3</v>
      </c>
      <c r="N216" s="4" t="s">
        <v>5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232</v>
      </c>
      <c r="F217" s="4">
        <f>ROUND(Source!BC201,O217)</f>
        <v>0</v>
      </c>
      <c r="G217" s="4" t="s">
        <v>138</v>
      </c>
      <c r="H217" s="4" t="s">
        <v>139</v>
      </c>
      <c r="I217" s="4"/>
      <c r="J217" s="4"/>
      <c r="K217" s="4">
        <v>232</v>
      </c>
      <c r="L217" s="4">
        <v>15</v>
      </c>
      <c r="M217" s="4">
        <v>3</v>
      </c>
      <c r="N217" s="4" t="s">
        <v>5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214</v>
      </c>
      <c r="F218" s="4">
        <f>ROUND(Source!AS201,O218)</f>
        <v>66707.48</v>
      </c>
      <c r="G218" s="4" t="s">
        <v>140</v>
      </c>
      <c r="H218" s="4" t="s">
        <v>141</v>
      </c>
      <c r="I218" s="4"/>
      <c r="J218" s="4"/>
      <c r="K218" s="4">
        <v>214</v>
      </c>
      <c r="L218" s="4">
        <v>16</v>
      </c>
      <c r="M218" s="4">
        <v>3</v>
      </c>
      <c r="N218" s="4" t="s">
        <v>5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215</v>
      </c>
      <c r="F219" s="4">
        <f>ROUND(Source!AT201,O219)</f>
        <v>0</v>
      </c>
      <c r="G219" s="4" t="s">
        <v>142</v>
      </c>
      <c r="H219" s="4" t="s">
        <v>143</v>
      </c>
      <c r="I219" s="4"/>
      <c r="J219" s="4"/>
      <c r="K219" s="4">
        <v>215</v>
      </c>
      <c r="L219" s="4">
        <v>17</v>
      </c>
      <c r="M219" s="4">
        <v>3</v>
      </c>
      <c r="N219" s="4" t="s">
        <v>5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217</v>
      </c>
      <c r="F220" s="4">
        <f>ROUND(Source!AU201,O220)</f>
        <v>1345382.21</v>
      </c>
      <c r="G220" s="4" t="s">
        <v>144</v>
      </c>
      <c r="H220" s="4" t="s">
        <v>145</v>
      </c>
      <c r="I220" s="4"/>
      <c r="J220" s="4"/>
      <c r="K220" s="4">
        <v>217</v>
      </c>
      <c r="L220" s="4">
        <v>18</v>
      </c>
      <c r="M220" s="4">
        <v>3</v>
      </c>
      <c r="N220" s="4" t="s">
        <v>5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230</v>
      </c>
      <c r="F221" s="4">
        <f>ROUND(Source!BA201,O221)</f>
        <v>0</v>
      </c>
      <c r="G221" s="4" t="s">
        <v>146</v>
      </c>
      <c r="H221" s="4" t="s">
        <v>147</v>
      </c>
      <c r="I221" s="4"/>
      <c r="J221" s="4"/>
      <c r="K221" s="4">
        <v>230</v>
      </c>
      <c r="L221" s="4">
        <v>19</v>
      </c>
      <c r="M221" s="4">
        <v>3</v>
      </c>
      <c r="N221" s="4" t="s">
        <v>5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206</v>
      </c>
      <c r="F222" s="4">
        <f>ROUND(Source!T201,O222)</f>
        <v>0</v>
      </c>
      <c r="G222" s="4" t="s">
        <v>148</v>
      </c>
      <c r="H222" s="4" t="s">
        <v>149</v>
      </c>
      <c r="I222" s="4"/>
      <c r="J222" s="4"/>
      <c r="K222" s="4">
        <v>206</v>
      </c>
      <c r="L222" s="4">
        <v>20</v>
      </c>
      <c r="M222" s="4">
        <v>3</v>
      </c>
      <c r="N222" s="4" t="s">
        <v>5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207</v>
      </c>
      <c r="F223" s="4">
        <f>Source!U201</f>
        <v>1888.146</v>
      </c>
      <c r="G223" s="4" t="s">
        <v>150</v>
      </c>
      <c r="H223" s="4" t="s">
        <v>151</v>
      </c>
      <c r="I223" s="4"/>
      <c r="J223" s="4"/>
      <c r="K223" s="4">
        <v>207</v>
      </c>
      <c r="L223" s="4">
        <v>21</v>
      </c>
      <c r="M223" s="4">
        <v>3</v>
      </c>
      <c r="N223" s="4" t="s">
        <v>5</v>
      </c>
      <c r="O223" s="4">
        <v>-1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208</v>
      </c>
      <c r="F224" s="4">
        <f>Source!V201</f>
        <v>0</v>
      </c>
      <c r="G224" s="4" t="s">
        <v>152</v>
      </c>
      <c r="H224" s="4" t="s">
        <v>153</v>
      </c>
      <c r="I224" s="4"/>
      <c r="J224" s="4"/>
      <c r="K224" s="4">
        <v>208</v>
      </c>
      <c r="L224" s="4">
        <v>22</v>
      </c>
      <c r="M224" s="4">
        <v>3</v>
      </c>
      <c r="N224" s="4" t="s">
        <v>5</v>
      </c>
      <c r="O224" s="4">
        <v>-1</v>
      </c>
      <c r="P224" s="4"/>
      <c r="Q224" s="4"/>
      <c r="R224" s="4"/>
      <c r="S224" s="4"/>
      <c r="T224" s="4"/>
      <c r="U224" s="4"/>
      <c r="V224" s="4"/>
      <c r="W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209</v>
      </c>
      <c r="F225" s="4">
        <f>ROUND(Source!W201,O225)</f>
        <v>0</v>
      </c>
      <c r="G225" s="4" t="s">
        <v>154</v>
      </c>
      <c r="H225" s="4" t="s">
        <v>155</v>
      </c>
      <c r="I225" s="4"/>
      <c r="J225" s="4"/>
      <c r="K225" s="4">
        <v>209</v>
      </c>
      <c r="L225" s="4">
        <v>23</v>
      </c>
      <c r="M225" s="4">
        <v>3</v>
      </c>
      <c r="N225" s="4" t="s">
        <v>5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233</v>
      </c>
      <c r="F226" s="4">
        <f>ROUND(Source!BD201,O226)</f>
        <v>0</v>
      </c>
      <c r="G226" s="4" t="s">
        <v>156</v>
      </c>
      <c r="H226" s="4" t="s">
        <v>157</v>
      </c>
      <c r="I226" s="4"/>
      <c r="J226" s="4"/>
      <c r="K226" s="4">
        <v>233</v>
      </c>
      <c r="L226" s="4">
        <v>24</v>
      </c>
      <c r="M226" s="4">
        <v>3</v>
      </c>
      <c r="N226" s="4" t="s">
        <v>5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210</v>
      </c>
      <c r="F227" s="4">
        <f>ROUND(Source!X201,O227)</f>
        <v>437732.01</v>
      </c>
      <c r="G227" s="4" t="s">
        <v>158</v>
      </c>
      <c r="H227" s="4" t="s">
        <v>159</v>
      </c>
      <c r="I227" s="4"/>
      <c r="J227" s="4"/>
      <c r="K227" s="4">
        <v>210</v>
      </c>
      <c r="L227" s="4">
        <v>25</v>
      </c>
      <c r="M227" s="4">
        <v>3</v>
      </c>
      <c r="N227" s="4" t="s">
        <v>5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211</v>
      </c>
      <c r="F228" s="4">
        <f>ROUND(Source!Y201,O228)</f>
        <v>263926.65000000002</v>
      </c>
      <c r="G228" s="4" t="s">
        <v>160</v>
      </c>
      <c r="H228" s="4" t="s">
        <v>161</v>
      </c>
      <c r="I228" s="4"/>
      <c r="J228" s="4"/>
      <c r="K228" s="4">
        <v>211</v>
      </c>
      <c r="L228" s="4">
        <v>26</v>
      </c>
      <c r="M228" s="4">
        <v>3</v>
      </c>
      <c r="N228" s="4" t="s">
        <v>5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224</v>
      </c>
      <c r="F229" s="4">
        <f>ROUND(Source!AR201,O229)</f>
        <v>1412089.69</v>
      </c>
      <c r="G229" s="4" t="s">
        <v>162</v>
      </c>
      <c r="H229" s="4" t="s">
        <v>163</v>
      </c>
      <c r="I229" s="4"/>
      <c r="J229" s="4"/>
      <c r="K229" s="4">
        <v>224</v>
      </c>
      <c r="L229" s="4">
        <v>27</v>
      </c>
      <c r="M229" s="4">
        <v>3</v>
      </c>
      <c r="N229" s="4" t="s">
        <v>5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1" spans="1:206" x14ac:dyDescent="0.2">
      <c r="A231" s="2">
        <v>51</v>
      </c>
      <c r="B231" s="2">
        <f>B20</f>
        <v>1</v>
      </c>
      <c r="C231" s="2">
        <f>A20</f>
        <v>3</v>
      </c>
      <c r="D231" s="2">
        <f>ROW(A20)</f>
        <v>20</v>
      </c>
      <c r="E231" s="2"/>
      <c r="F231" s="2">
        <f>IF(F20&lt;&gt;"",F20,"")</f>
        <v>2</v>
      </c>
      <c r="G231" s="2" t="str">
        <f>IF(G20&lt;&gt;"",G20,"")</f>
        <v>Прокладка КЛ-20кВ в земле</v>
      </c>
      <c r="H231" s="2">
        <v>0</v>
      </c>
      <c r="I231" s="2"/>
      <c r="J231" s="2"/>
      <c r="K231" s="2"/>
      <c r="L231" s="2"/>
      <c r="M231" s="2"/>
      <c r="N231" s="2"/>
      <c r="O231" s="2">
        <f t="shared" ref="O231:T231" si="145">ROUND(O47+O121+O161+O201+AB231,2)</f>
        <v>7005681.0199999996</v>
      </c>
      <c r="P231" s="2">
        <f t="shared" si="145"/>
        <v>5199399.3099999996</v>
      </c>
      <c r="Q231" s="2">
        <f t="shared" si="145"/>
        <v>186930.62</v>
      </c>
      <c r="R231" s="2">
        <f t="shared" si="145"/>
        <v>65226.07</v>
      </c>
      <c r="S231" s="2">
        <f t="shared" si="145"/>
        <v>1619351.09</v>
      </c>
      <c r="T231" s="2">
        <f t="shared" si="145"/>
        <v>0</v>
      </c>
      <c r="U231" s="2">
        <f>U47+U121+U161+U201+AH231</f>
        <v>5701.7784195656577</v>
      </c>
      <c r="V231" s="2">
        <f>V47+V121+V161+V201+AI231</f>
        <v>0</v>
      </c>
      <c r="W231" s="2">
        <f>ROUND(W47+W121+W161+W201+AJ231,2)</f>
        <v>0</v>
      </c>
      <c r="X231" s="2">
        <f>ROUND(X47+X121+X161+X201+AK231,2)</f>
        <v>1294866.6100000001</v>
      </c>
      <c r="Y231" s="2">
        <f>ROUND(Y47+Y121+Y161+Y201+AL231,2)</f>
        <v>675724.93</v>
      </c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>
        <f t="shared" ref="AO231:BD231" si="146">ROUND(AO47+AO121+AO161+AO201+BX231,2)</f>
        <v>0</v>
      </c>
      <c r="AP231" s="2">
        <f t="shared" si="146"/>
        <v>0</v>
      </c>
      <c r="AQ231" s="2">
        <f t="shared" si="146"/>
        <v>0</v>
      </c>
      <c r="AR231" s="2">
        <f t="shared" si="146"/>
        <v>9078677.4800000004</v>
      </c>
      <c r="AS231" s="2">
        <f t="shared" si="146"/>
        <v>1724196.43</v>
      </c>
      <c r="AT231" s="2">
        <f t="shared" si="146"/>
        <v>5964763.2999999998</v>
      </c>
      <c r="AU231" s="2">
        <f t="shared" si="146"/>
        <v>1389717.75</v>
      </c>
      <c r="AV231" s="2">
        <f t="shared" si="146"/>
        <v>5199399.3099999996</v>
      </c>
      <c r="AW231" s="2">
        <f t="shared" si="146"/>
        <v>5199399.3099999996</v>
      </c>
      <c r="AX231" s="2">
        <f t="shared" si="146"/>
        <v>0</v>
      </c>
      <c r="AY231" s="2">
        <f t="shared" si="146"/>
        <v>5199399.3099999996</v>
      </c>
      <c r="AZ231" s="2">
        <f t="shared" si="146"/>
        <v>0</v>
      </c>
      <c r="BA231" s="2">
        <f t="shared" si="146"/>
        <v>0</v>
      </c>
      <c r="BB231" s="2">
        <f t="shared" si="146"/>
        <v>0</v>
      </c>
      <c r="BC231" s="2">
        <f t="shared" si="146"/>
        <v>0</v>
      </c>
      <c r="BD231" s="2">
        <f t="shared" si="146"/>
        <v>0</v>
      </c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>
        <v>0</v>
      </c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201</v>
      </c>
      <c r="F233" s="4">
        <f>ROUND(Source!O231,O233)</f>
        <v>7005681.0199999996</v>
      </c>
      <c r="G233" s="4" t="s">
        <v>110</v>
      </c>
      <c r="H233" s="4" t="s">
        <v>111</v>
      </c>
      <c r="I233" s="4"/>
      <c r="J233" s="4"/>
      <c r="K233" s="4">
        <v>201</v>
      </c>
      <c r="L233" s="4">
        <v>1</v>
      </c>
      <c r="M233" s="4">
        <v>3</v>
      </c>
      <c r="N233" s="4" t="s">
        <v>5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202</v>
      </c>
      <c r="F234" s="4">
        <f>ROUND(Source!P231,O234)</f>
        <v>5199399.3099999996</v>
      </c>
      <c r="G234" s="4" t="s">
        <v>112</v>
      </c>
      <c r="H234" s="4" t="s">
        <v>113</v>
      </c>
      <c r="I234" s="4"/>
      <c r="J234" s="4"/>
      <c r="K234" s="4">
        <v>202</v>
      </c>
      <c r="L234" s="4">
        <v>2</v>
      </c>
      <c r="M234" s="4">
        <v>3</v>
      </c>
      <c r="N234" s="4" t="s">
        <v>5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222</v>
      </c>
      <c r="F235" s="4">
        <f>ROUND(Source!AO231,O235)</f>
        <v>0</v>
      </c>
      <c r="G235" s="4" t="s">
        <v>114</v>
      </c>
      <c r="H235" s="4" t="s">
        <v>115</v>
      </c>
      <c r="I235" s="4"/>
      <c r="J235" s="4"/>
      <c r="K235" s="4">
        <v>222</v>
      </c>
      <c r="L235" s="4">
        <v>3</v>
      </c>
      <c r="M235" s="4">
        <v>3</v>
      </c>
      <c r="N235" s="4" t="s">
        <v>5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225</v>
      </c>
      <c r="F236" s="4">
        <f>ROUND(Source!AV231,O236)</f>
        <v>5199399.3099999996</v>
      </c>
      <c r="G236" s="4" t="s">
        <v>116</v>
      </c>
      <c r="H236" s="4" t="s">
        <v>117</v>
      </c>
      <c r="I236" s="4"/>
      <c r="J236" s="4"/>
      <c r="K236" s="4">
        <v>225</v>
      </c>
      <c r="L236" s="4">
        <v>4</v>
      </c>
      <c r="M236" s="4">
        <v>3</v>
      </c>
      <c r="N236" s="4" t="s">
        <v>5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226</v>
      </c>
      <c r="F237" s="4">
        <f>ROUND(Source!AW231,O237)</f>
        <v>5199399.3099999996</v>
      </c>
      <c r="G237" s="4" t="s">
        <v>118</v>
      </c>
      <c r="H237" s="4" t="s">
        <v>119</v>
      </c>
      <c r="I237" s="4"/>
      <c r="J237" s="4"/>
      <c r="K237" s="4">
        <v>226</v>
      </c>
      <c r="L237" s="4">
        <v>5</v>
      </c>
      <c r="M237" s="4">
        <v>3</v>
      </c>
      <c r="N237" s="4" t="s">
        <v>5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227</v>
      </c>
      <c r="F238" s="4">
        <f>ROUND(Source!AX231,O238)</f>
        <v>0</v>
      </c>
      <c r="G238" s="4" t="s">
        <v>120</v>
      </c>
      <c r="H238" s="4" t="s">
        <v>121</v>
      </c>
      <c r="I238" s="4"/>
      <c r="J238" s="4"/>
      <c r="K238" s="4">
        <v>227</v>
      </c>
      <c r="L238" s="4">
        <v>6</v>
      </c>
      <c r="M238" s="4">
        <v>3</v>
      </c>
      <c r="N238" s="4" t="s">
        <v>5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228</v>
      </c>
      <c r="F239" s="4">
        <f>ROUND(Source!AY231,O239)</f>
        <v>5199399.3099999996</v>
      </c>
      <c r="G239" s="4" t="s">
        <v>122</v>
      </c>
      <c r="H239" s="4" t="s">
        <v>123</v>
      </c>
      <c r="I239" s="4"/>
      <c r="J239" s="4"/>
      <c r="K239" s="4">
        <v>228</v>
      </c>
      <c r="L239" s="4">
        <v>7</v>
      </c>
      <c r="M239" s="4">
        <v>3</v>
      </c>
      <c r="N239" s="4" t="s">
        <v>5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216</v>
      </c>
      <c r="F240" s="4">
        <f>ROUND(Source!AP231,O240)</f>
        <v>0</v>
      </c>
      <c r="G240" s="4" t="s">
        <v>124</v>
      </c>
      <c r="H240" s="4" t="s">
        <v>125</v>
      </c>
      <c r="I240" s="4"/>
      <c r="J240" s="4"/>
      <c r="K240" s="4">
        <v>216</v>
      </c>
      <c r="L240" s="4">
        <v>8</v>
      </c>
      <c r="M240" s="4">
        <v>3</v>
      </c>
      <c r="N240" s="4" t="s">
        <v>5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223</v>
      </c>
      <c r="F241" s="4">
        <f>ROUND(Source!AQ231,O241)</f>
        <v>0</v>
      </c>
      <c r="G241" s="4" t="s">
        <v>126</v>
      </c>
      <c r="H241" s="4" t="s">
        <v>127</v>
      </c>
      <c r="I241" s="4"/>
      <c r="J241" s="4"/>
      <c r="K241" s="4">
        <v>223</v>
      </c>
      <c r="L241" s="4">
        <v>9</v>
      </c>
      <c r="M241" s="4">
        <v>3</v>
      </c>
      <c r="N241" s="4" t="s">
        <v>5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229</v>
      </c>
      <c r="F242" s="4">
        <f>ROUND(Source!AZ231,O242)</f>
        <v>0</v>
      </c>
      <c r="G242" s="4" t="s">
        <v>128</v>
      </c>
      <c r="H242" s="4" t="s">
        <v>129</v>
      </c>
      <c r="I242" s="4"/>
      <c r="J242" s="4"/>
      <c r="K242" s="4">
        <v>229</v>
      </c>
      <c r="L242" s="4">
        <v>10</v>
      </c>
      <c r="M242" s="4">
        <v>3</v>
      </c>
      <c r="N242" s="4" t="s">
        <v>5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203</v>
      </c>
      <c r="F243" s="4">
        <f>ROUND(Source!Q231,O243)</f>
        <v>186930.62</v>
      </c>
      <c r="G243" s="4" t="s">
        <v>130</v>
      </c>
      <c r="H243" s="4" t="s">
        <v>131</v>
      </c>
      <c r="I243" s="4"/>
      <c r="J243" s="4"/>
      <c r="K243" s="4">
        <v>203</v>
      </c>
      <c r="L243" s="4">
        <v>11</v>
      </c>
      <c r="M243" s="4">
        <v>3</v>
      </c>
      <c r="N243" s="4" t="s">
        <v>5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231</v>
      </c>
      <c r="F244" s="4">
        <f>ROUND(Source!BB231,O244)</f>
        <v>0</v>
      </c>
      <c r="G244" s="4" t="s">
        <v>132</v>
      </c>
      <c r="H244" s="4" t="s">
        <v>133</v>
      </c>
      <c r="I244" s="4"/>
      <c r="J244" s="4"/>
      <c r="K244" s="4">
        <v>231</v>
      </c>
      <c r="L244" s="4">
        <v>12</v>
      </c>
      <c r="M244" s="4">
        <v>3</v>
      </c>
      <c r="N244" s="4" t="s">
        <v>5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204</v>
      </c>
      <c r="F245" s="4">
        <f>ROUND(Source!R231,O245)</f>
        <v>65226.07</v>
      </c>
      <c r="G245" s="4" t="s">
        <v>134</v>
      </c>
      <c r="H245" s="4" t="s">
        <v>135</v>
      </c>
      <c r="I245" s="4"/>
      <c r="J245" s="4"/>
      <c r="K245" s="4">
        <v>204</v>
      </c>
      <c r="L245" s="4">
        <v>13</v>
      </c>
      <c r="M245" s="4">
        <v>3</v>
      </c>
      <c r="N245" s="4" t="s">
        <v>5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205</v>
      </c>
      <c r="F246" s="4">
        <f>ROUND(Source!S231,O246)</f>
        <v>1619351.09</v>
      </c>
      <c r="G246" s="4" t="s">
        <v>136</v>
      </c>
      <c r="H246" s="4" t="s">
        <v>137</v>
      </c>
      <c r="I246" s="4"/>
      <c r="J246" s="4"/>
      <c r="K246" s="4">
        <v>205</v>
      </c>
      <c r="L246" s="4">
        <v>14</v>
      </c>
      <c r="M246" s="4">
        <v>3</v>
      </c>
      <c r="N246" s="4" t="s">
        <v>5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232</v>
      </c>
      <c r="F247" s="4">
        <f>ROUND(Source!BC231,O247)</f>
        <v>0</v>
      </c>
      <c r="G247" s="4" t="s">
        <v>138</v>
      </c>
      <c r="H247" s="4" t="s">
        <v>139</v>
      </c>
      <c r="I247" s="4"/>
      <c r="J247" s="4"/>
      <c r="K247" s="4">
        <v>232</v>
      </c>
      <c r="L247" s="4">
        <v>15</v>
      </c>
      <c r="M247" s="4">
        <v>3</v>
      </c>
      <c r="N247" s="4" t="s">
        <v>5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214</v>
      </c>
      <c r="F248" s="4">
        <f>ROUND(Source!AS231,O248)</f>
        <v>1724196.43</v>
      </c>
      <c r="G248" s="4" t="s">
        <v>140</v>
      </c>
      <c r="H248" s="4" t="s">
        <v>141</v>
      </c>
      <c r="I248" s="4"/>
      <c r="J248" s="4"/>
      <c r="K248" s="4">
        <v>214</v>
      </c>
      <c r="L248" s="4">
        <v>16</v>
      </c>
      <c r="M248" s="4">
        <v>3</v>
      </c>
      <c r="N248" s="4" t="s">
        <v>5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215</v>
      </c>
      <c r="F249" s="4">
        <f>ROUND(Source!AT231,O249)</f>
        <v>5964763.2999999998</v>
      </c>
      <c r="G249" s="4" t="s">
        <v>142</v>
      </c>
      <c r="H249" s="4" t="s">
        <v>143</v>
      </c>
      <c r="I249" s="4"/>
      <c r="J249" s="4"/>
      <c r="K249" s="4">
        <v>215</v>
      </c>
      <c r="L249" s="4">
        <v>17</v>
      </c>
      <c r="M249" s="4">
        <v>3</v>
      </c>
      <c r="N249" s="4" t="s">
        <v>5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217</v>
      </c>
      <c r="F250" s="4">
        <f>ROUND(Source!AU231,O250)</f>
        <v>1389717.75</v>
      </c>
      <c r="G250" s="4" t="s">
        <v>144</v>
      </c>
      <c r="H250" s="4" t="s">
        <v>145</v>
      </c>
      <c r="I250" s="4"/>
      <c r="J250" s="4"/>
      <c r="K250" s="4">
        <v>217</v>
      </c>
      <c r="L250" s="4">
        <v>18</v>
      </c>
      <c r="M250" s="4">
        <v>3</v>
      </c>
      <c r="N250" s="4" t="s">
        <v>5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230</v>
      </c>
      <c r="F251" s="4">
        <f>ROUND(Source!BA231,O251)</f>
        <v>0</v>
      </c>
      <c r="G251" s="4" t="s">
        <v>146</v>
      </c>
      <c r="H251" s="4" t="s">
        <v>147</v>
      </c>
      <c r="I251" s="4"/>
      <c r="J251" s="4"/>
      <c r="K251" s="4">
        <v>230</v>
      </c>
      <c r="L251" s="4">
        <v>19</v>
      </c>
      <c r="M251" s="4">
        <v>3</v>
      </c>
      <c r="N251" s="4" t="s">
        <v>5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206</v>
      </c>
      <c r="F252" s="4">
        <f>ROUND(Source!T231,O252)</f>
        <v>0</v>
      </c>
      <c r="G252" s="4" t="s">
        <v>148</v>
      </c>
      <c r="H252" s="4" t="s">
        <v>149</v>
      </c>
      <c r="I252" s="4"/>
      <c r="J252" s="4"/>
      <c r="K252" s="4">
        <v>206</v>
      </c>
      <c r="L252" s="4">
        <v>20</v>
      </c>
      <c r="M252" s="4">
        <v>3</v>
      </c>
      <c r="N252" s="4" t="s">
        <v>5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207</v>
      </c>
      <c r="F253" s="4">
        <f>Source!U231</f>
        <v>5701.7784195656577</v>
      </c>
      <c r="G253" s="4" t="s">
        <v>150</v>
      </c>
      <c r="H253" s="4" t="s">
        <v>151</v>
      </c>
      <c r="I253" s="4"/>
      <c r="J253" s="4"/>
      <c r="K253" s="4">
        <v>207</v>
      </c>
      <c r="L253" s="4">
        <v>21</v>
      </c>
      <c r="M253" s="4">
        <v>3</v>
      </c>
      <c r="N253" s="4" t="s">
        <v>5</v>
      </c>
      <c r="O253" s="4">
        <v>-1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208</v>
      </c>
      <c r="F254" s="4">
        <f>Source!V231</f>
        <v>0</v>
      </c>
      <c r="G254" s="4" t="s">
        <v>152</v>
      </c>
      <c r="H254" s="4" t="s">
        <v>153</v>
      </c>
      <c r="I254" s="4"/>
      <c r="J254" s="4"/>
      <c r="K254" s="4">
        <v>208</v>
      </c>
      <c r="L254" s="4">
        <v>22</v>
      </c>
      <c r="M254" s="4">
        <v>3</v>
      </c>
      <c r="N254" s="4" t="s">
        <v>5</v>
      </c>
      <c r="O254" s="4">
        <v>-1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209</v>
      </c>
      <c r="F255" s="4">
        <f>ROUND(Source!W231,O255)</f>
        <v>0</v>
      </c>
      <c r="G255" s="4" t="s">
        <v>154</v>
      </c>
      <c r="H255" s="4" t="s">
        <v>155</v>
      </c>
      <c r="I255" s="4"/>
      <c r="J255" s="4"/>
      <c r="K255" s="4">
        <v>209</v>
      </c>
      <c r="L255" s="4">
        <v>23</v>
      </c>
      <c r="M255" s="4">
        <v>3</v>
      </c>
      <c r="N255" s="4" t="s">
        <v>5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6" spans="1:23" x14ac:dyDescent="0.2">
      <c r="A256" s="4">
        <v>50</v>
      </c>
      <c r="B256" s="4">
        <v>0</v>
      </c>
      <c r="C256" s="4">
        <v>0</v>
      </c>
      <c r="D256" s="4">
        <v>1</v>
      </c>
      <c r="E256" s="4">
        <v>233</v>
      </c>
      <c r="F256" s="4">
        <f>ROUND(Source!BD231,O256)</f>
        <v>0</v>
      </c>
      <c r="G256" s="4" t="s">
        <v>156</v>
      </c>
      <c r="H256" s="4" t="s">
        <v>157</v>
      </c>
      <c r="I256" s="4"/>
      <c r="J256" s="4"/>
      <c r="K256" s="4">
        <v>233</v>
      </c>
      <c r="L256" s="4">
        <v>24</v>
      </c>
      <c r="M256" s="4">
        <v>3</v>
      </c>
      <c r="N256" s="4" t="s">
        <v>5</v>
      </c>
      <c r="O256" s="4">
        <v>2</v>
      </c>
      <c r="P256" s="4"/>
      <c r="Q256" s="4"/>
      <c r="R256" s="4"/>
      <c r="S256" s="4"/>
      <c r="T256" s="4"/>
      <c r="U256" s="4"/>
      <c r="V256" s="4"/>
      <c r="W256" s="4"/>
    </row>
    <row r="257" spans="1:206" x14ac:dyDescent="0.2">
      <c r="A257" s="4">
        <v>50</v>
      </c>
      <c r="B257" s="4">
        <v>0</v>
      </c>
      <c r="C257" s="4">
        <v>0</v>
      </c>
      <c r="D257" s="4">
        <v>1</v>
      </c>
      <c r="E257" s="4">
        <v>210</v>
      </c>
      <c r="F257" s="4">
        <f>ROUND(Source!X231,O257)</f>
        <v>1294866.6100000001</v>
      </c>
      <c r="G257" s="4" t="s">
        <v>158</v>
      </c>
      <c r="H257" s="4" t="s">
        <v>159</v>
      </c>
      <c r="I257" s="4"/>
      <c r="J257" s="4"/>
      <c r="K257" s="4">
        <v>210</v>
      </c>
      <c r="L257" s="4">
        <v>25</v>
      </c>
      <c r="M257" s="4">
        <v>3</v>
      </c>
      <c r="N257" s="4" t="s">
        <v>5</v>
      </c>
      <c r="O257" s="4">
        <v>2</v>
      </c>
      <c r="P257" s="4"/>
      <c r="Q257" s="4"/>
      <c r="R257" s="4"/>
      <c r="S257" s="4"/>
      <c r="T257" s="4"/>
      <c r="U257" s="4"/>
      <c r="V257" s="4"/>
      <c r="W257" s="4"/>
    </row>
    <row r="258" spans="1:206" x14ac:dyDescent="0.2">
      <c r="A258" s="4">
        <v>50</v>
      </c>
      <c r="B258" s="4">
        <v>0</v>
      </c>
      <c r="C258" s="4">
        <v>0</v>
      </c>
      <c r="D258" s="4">
        <v>1</v>
      </c>
      <c r="E258" s="4">
        <v>211</v>
      </c>
      <c r="F258" s="4">
        <f>ROUND(Source!Y231,O258)</f>
        <v>675724.93</v>
      </c>
      <c r="G258" s="4" t="s">
        <v>160</v>
      </c>
      <c r="H258" s="4" t="s">
        <v>161</v>
      </c>
      <c r="I258" s="4"/>
      <c r="J258" s="4"/>
      <c r="K258" s="4">
        <v>211</v>
      </c>
      <c r="L258" s="4">
        <v>26</v>
      </c>
      <c r="M258" s="4">
        <v>3</v>
      </c>
      <c r="N258" s="4" t="s">
        <v>5</v>
      </c>
      <c r="O258" s="4">
        <v>2</v>
      </c>
      <c r="P258" s="4"/>
      <c r="Q258" s="4"/>
      <c r="R258" s="4"/>
      <c r="S258" s="4"/>
      <c r="T258" s="4"/>
      <c r="U258" s="4"/>
      <c r="V258" s="4"/>
      <c r="W258" s="4"/>
    </row>
    <row r="259" spans="1:206" x14ac:dyDescent="0.2">
      <c r="A259" s="4">
        <v>50</v>
      </c>
      <c r="B259" s="4">
        <v>0</v>
      </c>
      <c r="C259" s="4">
        <v>0</v>
      </c>
      <c r="D259" s="4">
        <v>1</v>
      </c>
      <c r="E259" s="4">
        <v>224</v>
      </c>
      <c r="F259" s="4">
        <f>ROUND(Source!AR231,O259)</f>
        <v>9078677.4800000004</v>
      </c>
      <c r="G259" s="4" t="s">
        <v>162</v>
      </c>
      <c r="H259" s="4" t="s">
        <v>163</v>
      </c>
      <c r="I259" s="4"/>
      <c r="J259" s="4"/>
      <c r="K259" s="4">
        <v>224</v>
      </c>
      <c r="L259" s="4">
        <v>27</v>
      </c>
      <c r="M259" s="4">
        <v>3</v>
      </c>
      <c r="N259" s="4" t="s">
        <v>5</v>
      </c>
      <c r="O259" s="4">
        <v>2</v>
      </c>
      <c r="P259" s="4"/>
      <c r="Q259" s="4"/>
      <c r="R259" s="4"/>
      <c r="S259" s="4"/>
      <c r="T259" s="4"/>
      <c r="U259" s="4"/>
      <c r="V259" s="4"/>
      <c r="W259" s="4"/>
    </row>
    <row r="260" spans="1:206" x14ac:dyDescent="0.2">
      <c r="A260" s="4">
        <v>50</v>
      </c>
      <c r="B260" s="4">
        <v>1</v>
      </c>
      <c r="C260" s="4">
        <v>0</v>
      </c>
      <c r="D260" s="4">
        <v>2</v>
      </c>
      <c r="E260" s="4">
        <v>0</v>
      </c>
      <c r="F260" s="4">
        <f>ROUND(F77,O260)</f>
        <v>1508039.95</v>
      </c>
      <c r="G260" s="4" t="s">
        <v>322</v>
      </c>
      <c r="H260" s="4" t="s">
        <v>31</v>
      </c>
      <c r="I260" s="4"/>
      <c r="J260" s="4"/>
      <c r="K260" s="4">
        <v>212</v>
      </c>
      <c r="L260" s="4">
        <v>28</v>
      </c>
      <c r="M260" s="4">
        <v>0</v>
      </c>
      <c r="N260" s="4" t="s">
        <v>5</v>
      </c>
      <c r="O260" s="4">
        <v>2</v>
      </c>
      <c r="P260" s="4"/>
      <c r="Q260" s="4"/>
      <c r="R260" s="4"/>
      <c r="S260" s="4"/>
      <c r="T260" s="4"/>
      <c r="U260" s="4"/>
      <c r="V260" s="4"/>
      <c r="W260" s="4"/>
    </row>
    <row r="261" spans="1:206" x14ac:dyDescent="0.2">
      <c r="A261" s="4">
        <v>50</v>
      </c>
      <c r="B261" s="4">
        <v>1</v>
      </c>
      <c r="C261" s="4">
        <v>0</v>
      </c>
      <c r="D261" s="4">
        <v>2</v>
      </c>
      <c r="E261" s="4">
        <v>0</v>
      </c>
      <c r="F261" s="4">
        <f>ROUND(F150,O261)</f>
        <v>6114212.2999999998</v>
      </c>
      <c r="G261" s="4" t="s">
        <v>323</v>
      </c>
      <c r="H261" s="4" t="s">
        <v>324</v>
      </c>
      <c r="I261" s="4"/>
      <c r="J261" s="4"/>
      <c r="K261" s="4">
        <v>212</v>
      </c>
      <c r="L261" s="4">
        <v>29</v>
      </c>
      <c r="M261" s="4">
        <v>0</v>
      </c>
      <c r="N261" s="4" t="s">
        <v>5</v>
      </c>
      <c r="O261" s="4">
        <v>2</v>
      </c>
      <c r="P261" s="4"/>
      <c r="Q261" s="4"/>
      <c r="R261" s="4"/>
      <c r="S261" s="4"/>
      <c r="T261" s="4"/>
      <c r="U261" s="4"/>
      <c r="V261" s="4"/>
      <c r="W261" s="4"/>
    </row>
    <row r="262" spans="1:206" x14ac:dyDescent="0.2">
      <c r="A262" s="4">
        <v>50</v>
      </c>
      <c r="B262" s="4">
        <v>1</v>
      </c>
      <c r="C262" s="4">
        <v>0</v>
      </c>
      <c r="D262" s="4">
        <v>2</v>
      </c>
      <c r="E262" s="4">
        <v>0</v>
      </c>
      <c r="F262" s="4">
        <f>ROUND((F261+F260)*0.015,O262)</f>
        <v>114333.78</v>
      </c>
      <c r="G262" s="4" t="s">
        <v>325</v>
      </c>
      <c r="H262" s="4" t="s">
        <v>326</v>
      </c>
      <c r="I262" s="4"/>
      <c r="J262" s="4"/>
      <c r="K262" s="4">
        <v>212</v>
      </c>
      <c r="L262" s="4">
        <v>30</v>
      </c>
      <c r="M262" s="4">
        <v>0</v>
      </c>
      <c r="N262" s="4" t="s">
        <v>5</v>
      </c>
      <c r="O262" s="4">
        <v>2</v>
      </c>
      <c r="P262" s="4"/>
      <c r="Q262" s="4"/>
      <c r="R262" s="4"/>
      <c r="S262" s="4"/>
      <c r="T262" s="4"/>
      <c r="U262" s="4"/>
      <c r="V262" s="4"/>
      <c r="W262" s="4"/>
    </row>
    <row r="263" spans="1:206" x14ac:dyDescent="0.2">
      <c r="A263" s="4">
        <v>50</v>
      </c>
      <c r="B263" s="4">
        <v>1</v>
      </c>
      <c r="C263" s="4">
        <v>0</v>
      </c>
      <c r="D263" s="4">
        <v>2</v>
      </c>
      <c r="E263" s="4">
        <v>0</v>
      </c>
      <c r="F263" s="4">
        <f>ROUND(F190,O263)</f>
        <v>44335.54</v>
      </c>
      <c r="G263" s="4" t="s">
        <v>327</v>
      </c>
      <c r="H263" s="4" t="s">
        <v>144</v>
      </c>
      <c r="I263" s="4"/>
      <c r="J263" s="4"/>
      <c r="K263" s="4">
        <v>212</v>
      </c>
      <c r="L263" s="4">
        <v>31</v>
      </c>
      <c r="M263" s="4">
        <v>0</v>
      </c>
      <c r="N263" s="4" t="s">
        <v>5</v>
      </c>
      <c r="O263" s="4">
        <v>2</v>
      </c>
      <c r="P263" s="4"/>
      <c r="Q263" s="4"/>
      <c r="R263" s="4"/>
      <c r="S263" s="4"/>
      <c r="T263" s="4"/>
      <c r="U263" s="4"/>
      <c r="V263" s="4"/>
      <c r="W263" s="4"/>
    </row>
    <row r="264" spans="1:206" x14ac:dyDescent="0.2">
      <c r="A264" s="4">
        <v>50</v>
      </c>
      <c r="B264" s="4">
        <v>1</v>
      </c>
      <c r="C264" s="4">
        <v>0</v>
      </c>
      <c r="D264" s="4">
        <v>2</v>
      </c>
      <c r="E264" s="4">
        <v>0</v>
      </c>
      <c r="F264" s="4">
        <f>ROUND(F229,O264)</f>
        <v>1412089.69</v>
      </c>
      <c r="G264" s="4" t="s">
        <v>328</v>
      </c>
      <c r="H264" s="4" t="s">
        <v>298</v>
      </c>
      <c r="I264" s="4"/>
      <c r="J264" s="4"/>
      <c r="K264" s="4">
        <v>212</v>
      </c>
      <c r="L264" s="4">
        <v>32</v>
      </c>
      <c r="M264" s="4">
        <v>0</v>
      </c>
      <c r="N264" s="4" t="s">
        <v>5</v>
      </c>
      <c r="O264" s="4">
        <v>2</v>
      </c>
      <c r="P264" s="4"/>
      <c r="Q264" s="4"/>
      <c r="R264" s="4"/>
      <c r="S264" s="4"/>
      <c r="T264" s="4"/>
      <c r="U264" s="4"/>
      <c r="V264" s="4"/>
      <c r="W264" s="4"/>
    </row>
    <row r="265" spans="1:206" x14ac:dyDescent="0.2">
      <c r="A265" s="4">
        <v>50</v>
      </c>
      <c r="B265" s="4">
        <v>1</v>
      </c>
      <c r="C265" s="4">
        <v>0</v>
      </c>
      <c r="D265" s="4">
        <v>2</v>
      </c>
      <c r="E265" s="4">
        <v>0</v>
      </c>
      <c r="F265" s="4">
        <f>ROUND(F260+F261+F262+F263+F264,O265)</f>
        <v>9193011.2599999998</v>
      </c>
      <c r="G265" s="4" t="s">
        <v>329</v>
      </c>
      <c r="H265" s="4" t="s">
        <v>330</v>
      </c>
      <c r="I265" s="4"/>
      <c r="J265" s="4"/>
      <c r="K265" s="4">
        <v>212</v>
      </c>
      <c r="L265" s="4">
        <v>33</v>
      </c>
      <c r="M265" s="4">
        <v>0</v>
      </c>
      <c r="N265" s="4" t="s">
        <v>5</v>
      </c>
      <c r="O265" s="4">
        <v>2</v>
      </c>
      <c r="P265" s="4"/>
      <c r="Q265" s="4"/>
      <c r="R265" s="4"/>
      <c r="S265" s="4"/>
      <c r="T265" s="4"/>
      <c r="U265" s="4"/>
      <c r="V265" s="4"/>
      <c r="W265" s="4"/>
    </row>
    <row r="266" spans="1:206" x14ac:dyDescent="0.2">
      <c r="A266" s="4">
        <v>50</v>
      </c>
      <c r="B266" s="4">
        <v>1</v>
      </c>
      <c r="C266" s="4">
        <v>0</v>
      </c>
      <c r="D266" s="4">
        <v>2</v>
      </c>
      <c r="E266" s="4">
        <v>0</v>
      </c>
      <c r="F266" s="4">
        <f>ROUND(F265*0.2,O266)</f>
        <v>1838602.25</v>
      </c>
      <c r="G266" s="4" t="s">
        <v>331</v>
      </c>
      <c r="H266" s="4" t="s">
        <v>332</v>
      </c>
      <c r="I266" s="4"/>
      <c r="J266" s="4"/>
      <c r="K266" s="4">
        <v>212</v>
      </c>
      <c r="L266" s="4">
        <v>34</v>
      </c>
      <c r="M266" s="4">
        <v>0</v>
      </c>
      <c r="N266" s="4" t="s">
        <v>5</v>
      </c>
      <c r="O266" s="4">
        <v>2</v>
      </c>
      <c r="P266" s="4"/>
      <c r="Q266" s="4"/>
      <c r="R266" s="4"/>
      <c r="S266" s="4"/>
      <c r="T266" s="4"/>
      <c r="U266" s="4"/>
      <c r="V266" s="4"/>
      <c r="W266" s="4"/>
    </row>
    <row r="267" spans="1:206" x14ac:dyDescent="0.2">
      <c r="A267" s="4">
        <v>50</v>
      </c>
      <c r="B267" s="4">
        <v>1</v>
      </c>
      <c r="C267" s="4">
        <v>0</v>
      </c>
      <c r="D267" s="4">
        <v>2</v>
      </c>
      <c r="E267" s="4">
        <v>0</v>
      </c>
      <c r="F267" s="4">
        <f>ROUND(F266+F265,O267)</f>
        <v>11031613.51</v>
      </c>
      <c r="G267" s="4" t="s">
        <v>333</v>
      </c>
      <c r="H267" s="4" t="s">
        <v>334</v>
      </c>
      <c r="I267" s="4"/>
      <c r="J267" s="4"/>
      <c r="K267" s="4">
        <v>212</v>
      </c>
      <c r="L267" s="4">
        <v>35</v>
      </c>
      <c r="M267" s="4">
        <v>0</v>
      </c>
      <c r="N267" s="4" t="s">
        <v>5</v>
      </c>
      <c r="O267" s="4">
        <v>2</v>
      </c>
      <c r="P267" s="4"/>
      <c r="Q267" s="4"/>
      <c r="R267" s="4"/>
      <c r="S267" s="4"/>
      <c r="T267" s="4"/>
      <c r="U267" s="4"/>
      <c r="V267" s="4"/>
      <c r="W267" s="4"/>
    </row>
    <row r="269" spans="1:206" x14ac:dyDescent="0.2">
      <c r="A269" s="2">
        <v>51</v>
      </c>
      <c r="B269" s="2">
        <f>B12</f>
        <v>305</v>
      </c>
      <c r="C269" s="2">
        <f>A12</f>
        <v>1</v>
      </c>
      <c r="D269" s="2">
        <f>ROW(A12)</f>
        <v>12</v>
      </c>
      <c r="E269" s="2"/>
      <c r="F269" s="2" t="str">
        <f>IF(F12&lt;&gt;"",F12,"")</f>
        <v>4 КЛ "Строительство РП-1, 2КЛ-10кВ от ПС "Павелецкая" до РП-_(Копия)</v>
      </c>
      <c r="G269" s="2" t="str">
        <f>IF(G12&lt;&gt;"",G12,"")</f>
        <v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269" s="2">
        <v>0</v>
      </c>
      <c r="I269" s="2"/>
      <c r="J269" s="2"/>
      <c r="K269" s="2"/>
      <c r="L269" s="2"/>
      <c r="M269" s="2"/>
      <c r="N269" s="2"/>
      <c r="O269" s="2">
        <f t="shared" ref="O269:T269" si="147">ROUND(O231,2)</f>
        <v>7005681.0199999996</v>
      </c>
      <c r="P269" s="2">
        <f t="shared" si="147"/>
        <v>5199399.3099999996</v>
      </c>
      <c r="Q269" s="2">
        <f t="shared" si="147"/>
        <v>186930.62</v>
      </c>
      <c r="R269" s="2">
        <f t="shared" si="147"/>
        <v>65226.07</v>
      </c>
      <c r="S269" s="2">
        <f t="shared" si="147"/>
        <v>1619351.09</v>
      </c>
      <c r="T269" s="2">
        <f t="shared" si="147"/>
        <v>0</v>
      </c>
      <c r="U269" s="2">
        <f>U231</f>
        <v>5701.7784195656577</v>
      </c>
      <c r="V269" s="2">
        <f>V231</f>
        <v>0</v>
      </c>
      <c r="W269" s="2">
        <f>ROUND(W231,2)</f>
        <v>0</v>
      </c>
      <c r="X269" s="2">
        <f>ROUND(X231,2)</f>
        <v>1294866.6100000001</v>
      </c>
      <c r="Y269" s="2">
        <f>ROUND(Y231,2)</f>
        <v>675724.93</v>
      </c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>
        <f t="shared" ref="AO269:BD269" si="148">ROUND(AO231,2)</f>
        <v>0</v>
      </c>
      <c r="AP269" s="2">
        <f t="shared" si="148"/>
        <v>0</v>
      </c>
      <c r="AQ269" s="2">
        <f t="shared" si="148"/>
        <v>0</v>
      </c>
      <c r="AR269" s="2">
        <f t="shared" si="148"/>
        <v>9078677.4800000004</v>
      </c>
      <c r="AS269" s="2">
        <f t="shared" si="148"/>
        <v>1724196.43</v>
      </c>
      <c r="AT269" s="2">
        <f t="shared" si="148"/>
        <v>5964763.2999999998</v>
      </c>
      <c r="AU269" s="2">
        <f t="shared" si="148"/>
        <v>1389717.75</v>
      </c>
      <c r="AV269" s="2">
        <f t="shared" si="148"/>
        <v>5199399.3099999996</v>
      </c>
      <c r="AW269" s="2">
        <f t="shared" si="148"/>
        <v>5199399.3099999996</v>
      </c>
      <c r="AX269" s="2">
        <f t="shared" si="148"/>
        <v>0</v>
      </c>
      <c r="AY269" s="2">
        <f t="shared" si="148"/>
        <v>5199399.3099999996</v>
      </c>
      <c r="AZ269" s="2">
        <f t="shared" si="148"/>
        <v>0</v>
      </c>
      <c r="BA269" s="2">
        <f t="shared" si="148"/>
        <v>0</v>
      </c>
      <c r="BB269" s="2">
        <f t="shared" si="148"/>
        <v>0</v>
      </c>
      <c r="BC269" s="2">
        <f t="shared" si="148"/>
        <v>0</v>
      </c>
      <c r="BD269" s="2">
        <f t="shared" si="148"/>
        <v>0</v>
      </c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3"/>
      <c r="DH269" s="3"/>
      <c r="DI269" s="3"/>
      <c r="DJ269" s="3"/>
      <c r="DK269" s="3"/>
      <c r="DL269" s="3"/>
      <c r="DM269" s="3"/>
      <c r="DN269" s="3"/>
      <c r="DO269" s="3"/>
      <c r="DP269" s="3"/>
      <c r="DQ269" s="3"/>
      <c r="DR269" s="3"/>
      <c r="DS269" s="3"/>
      <c r="DT269" s="3"/>
      <c r="DU269" s="3"/>
      <c r="DV269" s="3"/>
      <c r="DW269" s="3"/>
      <c r="DX269" s="3"/>
      <c r="DY269" s="3"/>
      <c r="DZ269" s="3"/>
      <c r="EA269" s="3"/>
      <c r="EB269" s="3"/>
      <c r="EC269" s="3"/>
      <c r="ED269" s="3"/>
      <c r="EE269" s="3"/>
      <c r="EF269" s="3"/>
      <c r="EG269" s="3"/>
      <c r="EH269" s="3"/>
      <c r="EI269" s="3"/>
      <c r="EJ269" s="3"/>
      <c r="EK269" s="3"/>
      <c r="EL269" s="3"/>
      <c r="EM269" s="3"/>
      <c r="EN269" s="3"/>
      <c r="EO269" s="3"/>
      <c r="EP269" s="3"/>
      <c r="EQ269" s="3"/>
      <c r="ER269" s="3"/>
      <c r="ES269" s="3"/>
      <c r="ET269" s="3"/>
      <c r="EU269" s="3"/>
      <c r="EV269" s="3"/>
      <c r="EW269" s="3"/>
      <c r="EX269" s="3"/>
      <c r="EY269" s="3"/>
      <c r="EZ269" s="3"/>
      <c r="FA269" s="3"/>
      <c r="FB269" s="3"/>
      <c r="FC269" s="3"/>
      <c r="FD269" s="3"/>
      <c r="FE269" s="3"/>
      <c r="FF269" s="3"/>
      <c r="FG269" s="3"/>
      <c r="FH269" s="3"/>
      <c r="FI269" s="3"/>
      <c r="FJ269" s="3"/>
      <c r="FK269" s="3"/>
      <c r="FL269" s="3"/>
      <c r="FM269" s="3"/>
      <c r="FN269" s="3"/>
      <c r="FO269" s="3"/>
      <c r="FP269" s="3"/>
      <c r="FQ269" s="3"/>
      <c r="FR269" s="3"/>
      <c r="FS269" s="3"/>
      <c r="FT269" s="3"/>
      <c r="FU269" s="3"/>
      <c r="FV269" s="3"/>
      <c r="FW269" s="3"/>
      <c r="FX269" s="3"/>
      <c r="FY269" s="3"/>
      <c r="FZ269" s="3"/>
      <c r="GA269" s="3"/>
      <c r="GB269" s="3"/>
      <c r="GC269" s="3"/>
      <c r="GD269" s="3"/>
      <c r="GE269" s="3"/>
      <c r="GF269" s="3"/>
      <c r="GG269" s="3"/>
      <c r="GH269" s="3"/>
      <c r="GI269" s="3"/>
      <c r="GJ269" s="3"/>
      <c r="GK269" s="3"/>
      <c r="GL269" s="3"/>
      <c r="GM269" s="3"/>
      <c r="GN269" s="3"/>
      <c r="GO269" s="3"/>
      <c r="GP269" s="3"/>
      <c r="GQ269" s="3"/>
      <c r="GR269" s="3"/>
      <c r="GS269" s="3"/>
      <c r="GT269" s="3"/>
      <c r="GU269" s="3"/>
      <c r="GV269" s="3"/>
      <c r="GW269" s="3"/>
      <c r="GX269" s="3">
        <v>0</v>
      </c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201</v>
      </c>
      <c r="F271" s="4">
        <f>ROUND(Source!O269,O271)</f>
        <v>7005681.0199999996</v>
      </c>
      <c r="G271" s="4" t="s">
        <v>110</v>
      </c>
      <c r="H271" s="4" t="s">
        <v>111</v>
      </c>
      <c r="I271" s="4"/>
      <c r="J271" s="4"/>
      <c r="K271" s="4">
        <v>201</v>
      </c>
      <c r="L271" s="4">
        <v>1</v>
      </c>
      <c r="M271" s="4">
        <v>3</v>
      </c>
      <c r="N271" s="4" t="s">
        <v>5</v>
      </c>
      <c r="O271" s="4">
        <v>2</v>
      </c>
      <c r="P271" s="4"/>
      <c r="Q271" s="4"/>
      <c r="R271" s="4"/>
      <c r="S271" s="4"/>
      <c r="T271" s="4"/>
      <c r="U271" s="4"/>
      <c r="V271" s="4"/>
      <c r="W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202</v>
      </c>
      <c r="F272" s="4">
        <f>ROUND(Source!P269,O272)</f>
        <v>5199399.3099999996</v>
      </c>
      <c r="G272" s="4" t="s">
        <v>112</v>
      </c>
      <c r="H272" s="4" t="s">
        <v>113</v>
      </c>
      <c r="I272" s="4"/>
      <c r="J272" s="4"/>
      <c r="K272" s="4">
        <v>202</v>
      </c>
      <c r="L272" s="4">
        <v>2</v>
      </c>
      <c r="M272" s="4">
        <v>3</v>
      </c>
      <c r="N272" s="4" t="s">
        <v>5</v>
      </c>
      <c r="O272" s="4">
        <v>2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1</v>
      </c>
      <c r="E273" s="4">
        <v>222</v>
      </c>
      <c r="F273" s="4">
        <f>ROUND(Source!AO269,O273)</f>
        <v>0</v>
      </c>
      <c r="G273" s="4" t="s">
        <v>114</v>
      </c>
      <c r="H273" s="4" t="s">
        <v>115</v>
      </c>
      <c r="I273" s="4"/>
      <c r="J273" s="4"/>
      <c r="K273" s="4">
        <v>222</v>
      </c>
      <c r="L273" s="4">
        <v>3</v>
      </c>
      <c r="M273" s="4">
        <v>3</v>
      </c>
      <c r="N273" s="4" t="s">
        <v>5</v>
      </c>
      <c r="O273" s="4">
        <v>2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1</v>
      </c>
      <c r="E274" s="4">
        <v>225</v>
      </c>
      <c r="F274" s="4">
        <f>ROUND(Source!AV269,O274)</f>
        <v>5199399.3099999996</v>
      </c>
      <c r="G274" s="4" t="s">
        <v>116</v>
      </c>
      <c r="H274" s="4" t="s">
        <v>117</v>
      </c>
      <c r="I274" s="4"/>
      <c r="J274" s="4"/>
      <c r="K274" s="4">
        <v>225</v>
      </c>
      <c r="L274" s="4">
        <v>4</v>
      </c>
      <c r="M274" s="4">
        <v>3</v>
      </c>
      <c r="N274" s="4" t="s">
        <v>5</v>
      </c>
      <c r="O274" s="4">
        <v>2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1</v>
      </c>
      <c r="E275" s="4">
        <v>226</v>
      </c>
      <c r="F275" s="4">
        <f>ROUND(Source!AW269,O275)</f>
        <v>5199399.3099999996</v>
      </c>
      <c r="G275" s="4" t="s">
        <v>118</v>
      </c>
      <c r="H275" s="4" t="s">
        <v>119</v>
      </c>
      <c r="I275" s="4"/>
      <c r="J275" s="4"/>
      <c r="K275" s="4">
        <v>226</v>
      </c>
      <c r="L275" s="4">
        <v>5</v>
      </c>
      <c r="M275" s="4">
        <v>3</v>
      </c>
      <c r="N275" s="4" t="s">
        <v>5</v>
      </c>
      <c r="O275" s="4">
        <v>2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1</v>
      </c>
      <c r="E276" s="4">
        <v>227</v>
      </c>
      <c r="F276" s="4">
        <f>ROUND(Source!AX269,O276)</f>
        <v>0</v>
      </c>
      <c r="G276" s="4" t="s">
        <v>120</v>
      </c>
      <c r="H276" s="4" t="s">
        <v>121</v>
      </c>
      <c r="I276" s="4"/>
      <c r="J276" s="4"/>
      <c r="K276" s="4">
        <v>227</v>
      </c>
      <c r="L276" s="4">
        <v>6</v>
      </c>
      <c r="M276" s="4">
        <v>3</v>
      </c>
      <c r="N276" s="4" t="s">
        <v>5</v>
      </c>
      <c r="O276" s="4">
        <v>2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1</v>
      </c>
      <c r="E277" s="4">
        <v>228</v>
      </c>
      <c r="F277" s="4">
        <f>ROUND(Source!AY269,O277)</f>
        <v>5199399.3099999996</v>
      </c>
      <c r="G277" s="4" t="s">
        <v>122</v>
      </c>
      <c r="H277" s="4" t="s">
        <v>123</v>
      </c>
      <c r="I277" s="4"/>
      <c r="J277" s="4"/>
      <c r="K277" s="4">
        <v>228</v>
      </c>
      <c r="L277" s="4">
        <v>7</v>
      </c>
      <c r="M277" s="4">
        <v>3</v>
      </c>
      <c r="N277" s="4" t="s">
        <v>5</v>
      </c>
      <c r="O277" s="4">
        <v>2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1</v>
      </c>
      <c r="E278" s="4">
        <v>216</v>
      </c>
      <c r="F278" s="4">
        <f>ROUND(Source!AP269,O278)</f>
        <v>0</v>
      </c>
      <c r="G278" s="4" t="s">
        <v>124</v>
      </c>
      <c r="H278" s="4" t="s">
        <v>125</v>
      </c>
      <c r="I278" s="4"/>
      <c r="J278" s="4"/>
      <c r="K278" s="4">
        <v>216</v>
      </c>
      <c r="L278" s="4">
        <v>8</v>
      </c>
      <c r="M278" s="4">
        <v>3</v>
      </c>
      <c r="N278" s="4" t="s">
        <v>5</v>
      </c>
      <c r="O278" s="4">
        <v>2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1</v>
      </c>
      <c r="E279" s="4">
        <v>223</v>
      </c>
      <c r="F279" s="4">
        <f>ROUND(Source!AQ269,O279)</f>
        <v>0</v>
      </c>
      <c r="G279" s="4" t="s">
        <v>126</v>
      </c>
      <c r="H279" s="4" t="s">
        <v>127</v>
      </c>
      <c r="I279" s="4"/>
      <c r="J279" s="4"/>
      <c r="K279" s="4">
        <v>223</v>
      </c>
      <c r="L279" s="4">
        <v>9</v>
      </c>
      <c r="M279" s="4">
        <v>3</v>
      </c>
      <c r="N279" s="4" t="s">
        <v>5</v>
      </c>
      <c r="O279" s="4">
        <v>2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1</v>
      </c>
      <c r="E280" s="4">
        <v>229</v>
      </c>
      <c r="F280" s="4">
        <f>ROUND(Source!AZ269,O280)</f>
        <v>0</v>
      </c>
      <c r="G280" s="4" t="s">
        <v>128</v>
      </c>
      <c r="H280" s="4" t="s">
        <v>129</v>
      </c>
      <c r="I280" s="4"/>
      <c r="J280" s="4"/>
      <c r="K280" s="4">
        <v>229</v>
      </c>
      <c r="L280" s="4">
        <v>10</v>
      </c>
      <c r="M280" s="4">
        <v>3</v>
      </c>
      <c r="N280" s="4" t="s">
        <v>5</v>
      </c>
      <c r="O280" s="4">
        <v>2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1</v>
      </c>
      <c r="E281" s="4">
        <v>203</v>
      </c>
      <c r="F281" s="4">
        <f>ROUND(Source!Q269,O281)</f>
        <v>186930.62</v>
      </c>
      <c r="G281" s="4" t="s">
        <v>130</v>
      </c>
      <c r="H281" s="4" t="s">
        <v>131</v>
      </c>
      <c r="I281" s="4"/>
      <c r="J281" s="4"/>
      <c r="K281" s="4">
        <v>203</v>
      </c>
      <c r="L281" s="4">
        <v>11</v>
      </c>
      <c r="M281" s="4">
        <v>3</v>
      </c>
      <c r="N281" s="4" t="s">
        <v>5</v>
      </c>
      <c r="O281" s="4">
        <v>2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1</v>
      </c>
      <c r="E282" s="4">
        <v>231</v>
      </c>
      <c r="F282" s="4">
        <f>ROUND(Source!BB269,O282)</f>
        <v>0</v>
      </c>
      <c r="G282" s="4" t="s">
        <v>132</v>
      </c>
      <c r="H282" s="4" t="s">
        <v>133</v>
      </c>
      <c r="I282" s="4"/>
      <c r="J282" s="4"/>
      <c r="K282" s="4">
        <v>231</v>
      </c>
      <c r="L282" s="4">
        <v>12</v>
      </c>
      <c r="M282" s="4">
        <v>3</v>
      </c>
      <c r="N282" s="4" t="s">
        <v>5</v>
      </c>
      <c r="O282" s="4">
        <v>2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1</v>
      </c>
      <c r="E283" s="4">
        <v>204</v>
      </c>
      <c r="F283" s="4">
        <f>ROUND(Source!R269,O283)</f>
        <v>65226.07</v>
      </c>
      <c r="G283" s="4" t="s">
        <v>134</v>
      </c>
      <c r="H283" s="4" t="s">
        <v>135</v>
      </c>
      <c r="I283" s="4"/>
      <c r="J283" s="4"/>
      <c r="K283" s="4">
        <v>204</v>
      </c>
      <c r="L283" s="4">
        <v>13</v>
      </c>
      <c r="M283" s="4">
        <v>3</v>
      </c>
      <c r="N283" s="4" t="s">
        <v>5</v>
      </c>
      <c r="O283" s="4">
        <v>2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1</v>
      </c>
      <c r="E284" s="4">
        <v>205</v>
      </c>
      <c r="F284" s="4">
        <f>ROUND(Source!S269,O284)</f>
        <v>1619351.09</v>
      </c>
      <c r="G284" s="4" t="s">
        <v>136</v>
      </c>
      <c r="H284" s="4" t="s">
        <v>137</v>
      </c>
      <c r="I284" s="4"/>
      <c r="J284" s="4"/>
      <c r="K284" s="4">
        <v>205</v>
      </c>
      <c r="L284" s="4">
        <v>14</v>
      </c>
      <c r="M284" s="4">
        <v>3</v>
      </c>
      <c r="N284" s="4" t="s">
        <v>5</v>
      </c>
      <c r="O284" s="4">
        <v>2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0</v>
      </c>
      <c r="C285" s="4">
        <v>0</v>
      </c>
      <c r="D285" s="4">
        <v>1</v>
      </c>
      <c r="E285" s="4">
        <v>232</v>
      </c>
      <c r="F285" s="4">
        <f>ROUND(Source!BC269,O285)</f>
        <v>0</v>
      </c>
      <c r="G285" s="4" t="s">
        <v>138</v>
      </c>
      <c r="H285" s="4" t="s">
        <v>139</v>
      </c>
      <c r="I285" s="4"/>
      <c r="J285" s="4"/>
      <c r="K285" s="4">
        <v>232</v>
      </c>
      <c r="L285" s="4">
        <v>15</v>
      </c>
      <c r="M285" s="4">
        <v>3</v>
      </c>
      <c r="N285" s="4" t="s">
        <v>5</v>
      </c>
      <c r="O285" s="4">
        <v>2</v>
      </c>
      <c r="P285" s="4"/>
      <c r="Q285" s="4"/>
      <c r="R285" s="4"/>
      <c r="S285" s="4"/>
      <c r="T285" s="4"/>
      <c r="U285" s="4"/>
      <c r="V285" s="4"/>
      <c r="W285" s="4"/>
    </row>
    <row r="286" spans="1:23" x14ac:dyDescent="0.2">
      <c r="A286" s="4">
        <v>50</v>
      </c>
      <c r="B286" s="4">
        <v>0</v>
      </c>
      <c r="C286" s="4">
        <v>0</v>
      </c>
      <c r="D286" s="4">
        <v>1</v>
      </c>
      <c r="E286" s="4">
        <v>214</v>
      </c>
      <c r="F286" s="4">
        <f>ROUND(Source!AS269,O286)</f>
        <v>1724196.43</v>
      </c>
      <c r="G286" s="4" t="s">
        <v>140</v>
      </c>
      <c r="H286" s="4" t="s">
        <v>141</v>
      </c>
      <c r="I286" s="4"/>
      <c r="J286" s="4"/>
      <c r="K286" s="4">
        <v>214</v>
      </c>
      <c r="L286" s="4">
        <v>16</v>
      </c>
      <c r="M286" s="4">
        <v>3</v>
      </c>
      <c r="N286" s="4" t="s">
        <v>5</v>
      </c>
      <c r="O286" s="4">
        <v>2</v>
      </c>
      <c r="P286" s="4"/>
      <c r="Q286" s="4"/>
      <c r="R286" s="4"/>
      <c r="S286" s="4"/>
      <c r="T286" s="4"/>
      <c r="U286" s="4"/>
      <c r="V286" s="4"/>
      <c r="W286" s="4"/>
    </row>
    <row r="287" spans="1:23" x14ac:dyDescent="0.2">
      <c r="A287" s="4">
        <v>50</v>
      </c>
      <c r="B287" s="4">
        <v>0</v>
      </c>
      <c r="C287" s="4">
        <v>0</v>
      </c>
      <c r="D287" s="4">
        <v>1</v>
      </c>
      <c r="E287" s="4">
        <v>215</v>
      </c>
      <c r="F287" s="4">
        <f>ROUND(Source!AT269,O287)</f>
        <v>5964763.2999999998</v>
      </c>
      <c r="G287" s="4" t="s">
        <v>142</v>
      </c>
      <c r="H287" s="4" t="s">
        <v>143</v>
      </c>
      <c r="I287" s="4"/>
      <c r="J287" s="4"/>
      <c r="K287" s="4">
        <v>215</v>
      </c>
      <c r="L287" s="4">
        <v>17</v>
      </c>
      <c r="M287" s="4">
        <v>3</v>
      </c>
      <c r="N287" s="4" t="s">
        <v>5</v>
      </c>
      <c r="O287" s="4">
        <v>2</v>
      </c>
      <c r="P287" s="4"/>
      <c r="Q287" s="4"/>
      <c r="R287" s="4"/>
      <c r="S287" s="4"/>
      <c r="T287" s="4"/>
      <c r="U287" s="4"/>
      <c r="V287" s="4"/>
      <c r="W287" s="4"/>
    </row>
    <row r="288" spans="1:23" x14ac:dyDescent="0.2">
      <c r="A288" s="4">
        <v>50</v>
      </c>
      <c r="B288" s="4">
        <v>0</v>
      </c>
      <c r="C288" s="4">
        <v>0</v>
      </c>
      <c r="D288" s="4">
        <v>1</v>
      </c>
      <c r="E288" s="4">
        <v>217</v>
      </c>
      <c r="F288" s="4">
        <f>ROUND(Source!AU269,O288)</f>
        <v>1389717.75</v>
      </c>
      <c r="G288" s="4" t="s">
        <v>144</v>
      </c>
      <c r="H288" s="4" t="s">
        <v>145</v>
      </c>
      <c r="I288" s="4"/>
      <c r="J288" s="4"/>
      <c r="K288" s="4">
        <v>217</v>
      </c>
      <c r="L288" s="4">
        <v>18</v>
      </c>
      <c r="M288" s="4">
        <v>3</v>
      </c>
      <c r="N288" s="4" t="s">
        <v>5</v>
      </c>
      <c r="O288" s="4">
        <v>2</v>
      </c>
      <c r="P288" s="4"/>
      <c r="Q288" s="4"/>
      <c r="R288" s="4"/>
      <c r="S288" s="4"/>
      <c r="T288" s="4"/>
      <c r="U288" s="4"/>
      <c r="V288" s="4"/>
      <c r="W288" s="4"/>
    </row>
    <row r="289" spans="1:23" x14ac:dyDescent="0.2">
      <c r="A289" s="4">
        <v>50</v>
      </c>
      <c r="B289" s="4">
        <v>0</v>
      </c>
      <c r="C289" s="4">
        <v>0</v>
      </c>
      <c r="D289" s="4">
        <v>1</v>
      </c>
      <c r="E289" s="4">
        <v>230</v>
      </c>
      <c r="F289" s="4">
        <f>ROUND(Source!BA269,O289)</f>
        <v>0</v>
      </c>
      <c r="G289" s="4" t="s">
        <v>146</v>
      </c>
      <c r="H289" s="4" t="s">
        <v>147</v>
      </c>
      <c r="I289" s="4"/>
      <c r="J289" s="4"/>
      <c r="K289" s="4">
        <v>230</v>
      </c>
      <c r="L289" s="4">
        <v>19</v>
      </c>
      <c r="M289" s="4">
        <v>3</v>
      </c>
      <c r="N289" s="4" t="s">
        <v>5</v>
      </c>
      <c r="O289" s="4">
        <v>2</v>
      </c>
      <c r="P289" s="4"/>
      <c r="Q289" s="4"/>
      <c r="R289" s="4"/>
      <c r="S289" s="4"/>
      <c r="T289" s="4"/>
      <c r="U289" s="4"/>
      <c r="V289" s="4"/>
      <c r="W289" s="4"/>
    </row>
    <row r="290" spans="1:23" x14ac:dyDescent="0.2">
      <c r="A290" s="4">
        <v>50</v>
      </c>
      <c r="B290" s="4">
        <v>0</v>
      </c>
      <c r="C290" s="4">
        <v>0</v>
      </c>
      <c r="D290" s="4">
        <v>1</v>
      </c>
      <c r="E290" s="4">
        <v>206</v>
      </c>
      <c r="F290" s="4">
        <f>ROUND(Source!T269,O290)</f>
        <v>0</v>
      </c>
      <c r="G290" s="4" t="s">
        <v>148</v>
      </c>
      <c r="H290" s="4" t="s">
        <v>149</v>
      </c>
      <c r="I290" s="4"/>
      <c r="J290" s="4"/>
      <c r="K290" s="4">
        <v>206</v>
      </c>
      <c r="L290" s="4">
        <v>20</v>
      </c>
      <c r="M290" s="4">
        <v>3</v>
      </c>
      <c r="N290" s="4" t="s">
        <v>5</v>
      </c>
      <c r="O290" s="4">
        <v>2</v>
      </c>
      <c r="P290" s="4"/>
      <c r="Q290" s="4"/>
      <c r="R290" s="4"/>
      <c r="S290" s="4"/>
      <c r="T290" s="4"/>
      <c r="U290" s="4"/>
      <c r="V290" s="4"/>
      <c r="W290" s="4"/>
    </row>
    <row r="291" spans="1:23" x14ac:dyDescent="0.2">
      <c r="A291" s="4">
        <v>50</v>
      </c>
      <c r="B291" s="4">
        <v>0</v>
      </c>
      <c r="C291" s="4">
        <v>0</v>
      </c>
      <c r="D291" s="4">
        <v>1</v>
      </c>
      <c r="E291" s="4">
        <v>207</v>
      </c>
      <c r="F291" s="4">
        <f>Source!U269</f>
        <v>5701.7784195656577</v>
      </c>
      <c r="G291" s="4" t="s">
        <v>150</v>
      </c>
      <c r="H291" s="4" t="s">
        <v>151</v>
      </c>
      <c r="I291" s="4"/>
      <c r="J291" s="4"/>
      <c r="K291" s="4">
        <v>207</v>
      </c>
      <c r="L291" s="4">
        <v>21</v>
      </c>
      <c r="M291" s="4">
        <v>3</v>
      </c>
      <c r="N291" s="4" t="s">
        <v>5</v>
      </c>
      <c r="O291" s="4">
        <v>-1</v>
      </c>
      <c r="P291" s="4"/>
      <c r="Q291" s="4"/>
      <c r="R291" s="4"/>
      <c r="S291" s="4"/>
      <c r="T291" s="4"/>
      <c r="U291" s="4"/>
      <c r="V291" s="4"/>
      <c r="W291" s="4"/>
    </row>
    <row r="292" spans="1:23" x14ac:dyDescent="0.2">
      <c r="A292" s="4">
        <v>50</v>
      </c>
      <c r="B292" s="4">
        <v>0</v>
      </c>
      <c r="C292" s="4">
        <v>0</v>
      </c>
      <c r="D292" s="4">
        <v>1</v>
      </c>
      <c r="E292" s="4">
        <v>208</v>
      </c>
      <c r="F292" s="4">
        <f>Source!V269</f>
        <v>0</v>
      </c>
      <c r="G292" s="4" t="s">
        <v>152</v>
      </c>
      <c r="H292" s="4" t="s">
        <v>153</v>
      </c>
      <c r="I292" s="4"/>
      <c r="J292" s="4"/>
      <c r="K292" s="4">
        <v>208</v>
      </c>
      <c r="L292" s="4">
        <v>22</v>
      </c>
      <c r="M292" s="4">
        <v>3</v>
      </c>
      <c r="N292" s="4" t="s">
        <v>5</v>
      </c>
      <c r="O292" s="4">
        <v>-1</v>
      </c>
      <c r="P292" s="4"/>
      <c r="Q292" s="4"/>
      <c r="R292" s="4"/>
      <c r="S292" s="4"/>
      <c r="T292" s="4"/>
      <c r="U292" s="4"/>
      <c r="V292" s="4"/>
      <c r="W292" s="4"/>
    </row>
    <row r="293" spans="1:23" x14ac:dyDescent="0.2">
      <c r="A293" s="4">
        <v>50</v>
      </c>
      <c r="B293" s="4">
        <v>0</v>
      </c>
      <c r="C293" s="4">
        <v>0</v>
      </c>
      <c r="D293" s="4">
        <v>1</v>
      </c>
      <c r="E293" s="4">
        <v>209</v>
      </c>
      <c r="F293" s="4">
        <f>ROUND(Source!W269,O293)</f>
        <v>0</v>
      </c>
      <c r="G293" s="4" t="s">
        <v>154</v>
      </c>
      <c r="H293" s="4" t="s">
        <v>155</v>
      </c>
      <c r="I293" s="4"/>
      <c r="J293" s="4"/>
      <c r="K293" s="4">
        <v>209</v>
      </c>
      <c r="L293" s="4">
        <v>23</v>
      </c>
      <c r="M293" s="4">
        <v>3</v>
      </c>
      <c r="N293" s="4" t="s">
        <v>5</v>
      </c>
      <c r="O293" s="4">
        <v>2</v>
      </c>
      <c r="P293" s="4"/>
      <c r="Q293" s="4"/>
      <c r="R293" s="4"/>
      <c r="S293" s="4"/>
      <c r="T293" s="4"/>
      <c r="U293" s="4"/>
      <c r="V293" s="4"/>
      <c r="W293" s="4"/>
    </row>
    <row r="294" spans="1:23" x14ac:dyDescent="0.2">
      <c r="A294" s="4">
        <v>50</v>
      </c>
      <c r="B294" s="4">
        <v>0</v>
      </c>
      <c r="C294" s="4">
        <v>0</v>
      </c>
      <c r="D294" s="4">
        <v>1</v>
      </c>
      <c r="E294" s="4">
        <v>233</v>
      </c>
      <c r="F294" s="4">
        <f>ROUND(Source!BD269,O294)</f>
        <v>0</v>
      </c>
      <c r="G294" s="4" t="s">
        <v>156</v>
      </c>
      <c r="H294" s="4" t="s">
        <v>157</v>
      </c>
      <c r="I294" s="4"/>
      <c r="J294" s="4"/>
      <c r="K294" s="4">
        <v>233</v>
      </c>
      <c r="L294" s="4">
        <v>24</v>
      </c>
      <c r="M294" s="4">
        <v>3</v>
      </c>
      <c r="N294" s="4" t="s">
        <v>5</v>
      </c>
      <c r="O294" s="4">
        <v>2</v>
      </c>
      <c r="P294" s="4"/>
      <c r="Q294" s="4"/>
      <c r="R294" s="4"/>
      <c r="S294" s="4"/>
      <c r="T294" s="4"/>
      <c r="U294" s="4"/>
      <c r="V294" s="4"/>
      <c r="W294" s="4"/>
    </row>
    <row r="295" spans="1:23" x14ac:dyDescent="0.2">
      <c r="A295" s="4">
        <v>50</v>
      </c>
      <c r="B295" s="4">
        <v>0</v>
      </c>
      <c r="C295" s="4">
        <v>0</v>
      </c>
      <c r="D295" s="4">
        <v>1</v>
      </c>
      <c r="E295" s="4">
        <v>210</v>
      </c>
      <c r="F295" s="4">
        <f>ROUND(Source!X269,O295)</f>
        <v>1294866.6100000001</v>
      </c>
      <c r="G295" s="4" t="s">
        <v>158</v>
      </c>
      <c r="H295" s="4" t="s">
        <v>159</v>
      </c>
      <c r="I295" s="4"/>
      <c r="J295" s="4"/>
      <c r="K295" s="4">
        <v>210</v>
      </c>
      <c r="L295" s="4">
        <v>25</v>
      </c>
      <c r="M295" s="4">
        <v>3</v>
      </c>
      <c r="N295" s="4" t="s">
        <v>5</v>
      </c>
      <c r="O295" s="4">
        <v>2</v>
      </c>
      <c r="P295" s="4"/>
      <c r="Q295" s="4"/>
      <c r="R295" s="4"/>
      <c r="S295" s="4"/>
      <c r="T295" s="4"/>
      <c r="U295" s="4"/>
      <c r="V295" s="4"/>
      <c r="W295" s="4"/>
    </row>
    <row r="296" spans="1:23" x14ac:dyDescent="0.2">
      <c r="A296" s="4">
        <v>50</v>
      </c>
      <c r="B296" s="4">
        <v>0</v>
      </c>
      <c r="C296" s="4">
        <v>0</v>
      </c>
      <c r="D296" s="4">
        <v>1</v>
      </c>
      <c r="E296" s="4">
        <v>211</v>
      </c>
      <c r="F296" s="4">
        <f>ROUND(Source!Y269,O296)</f>
        <v>675724.93</v>
      </c>
      <c r="G296" s="4" t="s">
        <v>160</v>
      </c>
      <c r="H296" s="4" t="s">
        <v>161</v>
      </c>
      <c r="I296" s="4"/>
      <c r="J296" s="4"/>
      <c r="K296" s="4">
        <v>211</v>
      </c>
      <c r="L296" s="4">
        <v>26</v>
      </c>
      <c r="M296" s="4">
        <v>3</v>
      </c>
      <c r="N296" s="4" t="s">
        <v>5</v>
      </c>
      <c r="O296" s="4">
        <v>2</v>
      </c>
      <c r="P296" s="4"/>
      <c r="Q296" s="4"/>
      <c r="R296" s="4"/>
      <c r="S296" s="4"/>
      <c r="T296" s="4"/>
      <c r="U296" s="4"/>
      <c r="V296" s="4"/>
      <c r="W296" s="4"/>
    </row>
    <row r="297" spans="1:23" x14ac:dyDescent="0.2">
      <c r="A297" s="4">
        <v>50</v>
      </c>
      <c r="B297" s="4">
        <v>0</v>
      </c>
      <c r="C297" s="4">
        <v>0</v>
      </c>
      <c r="D297" s="4">
        <v>1</v>
      </c>
      <c r="E297" s="4">
        <v>224</v>
      </c>
      <c r="F297" s="4">
        <f>ROUND(Source!AR269,O297)</f>
        <v>9078677.4800000004</v>
      </c>
      <c r="G297" s="4" t="s">
        <v>162</v>
      </c>
      <c r="H297" s="4" t="s">
        <v>163</v>
      </c>
      <c r="I297" s="4"/>
      <c r="J297" s="4"/>
      <c r="K297" s="4">
        <v>224</v>
      </c>
      <c r="L297" s="4">
        <v>27</v>
      </c>
      <c r="M297" s="4">
        <v>3</v>
      </c>
      <c r="N297" s="4" t="s">
        <v>5</v>
      </c>
      <c r="O297" s="4">
        <v>2</v>
      </c>
      <c r="P297" s="4"/>
      <c r="Q297" s="4"/>
      <c r="R297" s="4"/>
      <c r="S297" s="4"/>
      <c r="T297" s="4"/>
      <c r="U297" s="4"/>
      <c r="V297" s="4"/>
      <c r="W297" s="4"/>
    </row>
    <row r="298" spans="1:23" x14ac:dyDescent="0.2">
      <c r="A298" s="4">
        <v>50</v>
      </c>
      <c r="B298" s="4">
        <v>1</v>
      </c>
      <c r="C298" s="4">
        <v>0</v>
      </c>
      <c r="D298" s="4">
        <v>2</v>
      </c>
      <c r="E298" s="4">
        <v>0</v>
      </c>
      <c r="F298" s="4">
        <f>ROUND(F271+F295+F296+F283*1.78,O298)</f>
        <v>9092374.9600000009</v>
      </c>
      <c r="G298" s="4" t="s">
        <v>335</v>
      </c>
      <c r="H298" s="4" t="s">
        <v>335</v>
      </c>
      <c r="I298" s="4"/>
      <c r="J298" s="4"/>
      <c r="K298" s="4">
        <v>212</v>
      </c>
      <c r="L298" s="4">
        <v>28</v>
      </c>
      <c r="M298" s="4">
        <v>0</v>
      </c>
      <c r="N298" s="4" t="s">
        <v>5</v>
      </c>
      <c r="O298" s="4">
        <v>2</v>
      </c>
      <c r="P298" s="4"/>
      <c r="Q298" s="4"/>
      <c r="R298" s="4"/>
      <c r="S298" s="4"/>
      <c r="T298" s="4"/>
      <c r="U298" s="4"/>
      <c r="V298" s="4"/>
      <c r="W298" s="4"/>
    </row>
    <row r="299" spans="1:23" x14ac:dyDescent="0.2">
      <c r="A299" s="4">
        <v>50</v>
      </c>
      <c r="B299" s="4">
        <v>1</v>
      </c>
      <c r="C299" s="4">
        <v>0</v>
      </c>
      <c r="D299" s="4">
        <v>2</v>
      </c>
      <c r="E299" s="4">
        <v>0</v>
      </c>
      <c r="F299" s="4">
        <f>ROUND(F298*0.18,O299)</f>
        <v>1636627.49</v>
      </c>
      <c r="G299" s="4" t="s">
        <v>336</v>
      </c>
      <c r="H299" s="4" t="s">
        <v>337</v>
      </c>
      <c r="I299" s="4"/>
      <c r="J299" s="4"/>
      <c r="K299" s="4">
        <v>212</v>
      </c>
      <c r="L299" s="4">
        <v>29</v>
      </c>
      <c r="M299" s="4">
        <v>0</v>
      </c>
      <c r="N299" s="4" t="s">
        <v>5</v>
      </c>
      <c r="O299" s="4">
        <v>2</v>
      </c>
      <c r="P299" s="4"/>
      <c r="Q299" s="4"/>
      <c r="R299" s="4"/>
      <c r="S299" s="4"/>
      <c r="T299" s="4"/>
      <c r="U299" s="4"/>
      <c r="V299" s="4"/>
      <c r="W299" s="4"/>
    </row>
    <row r="300" spans="1:23" x14ac:dyDescent="0.2">
      <c r="A300" s="4">
        <v>50</v>
      </c>
      <c r="B300" s="4">
        <v>1</v>
      </c>
      <c r="C300" s="4">
        <v>0</v>
      </c>
      <c r="D300" s="4">
        <v>2</v>
      </c>
      <c r="E300" s="4">
        <v>213</v>
      </c>
      <c r="F300" s="4">
        <f>ROUND(F298+F299,O300)</f>
        <v>10729002.449999999</v>
      </c>
      <c r="G300" s="4" t="s">
        <v>330</v>
      </c>
      <c r="H300" s="4" t="s">
        <v>330</v>
      </c>
      <c r="I300" s="4"/>
      <c r="J300" s="4"/>
      <c r="K300" s="4">
        <v>212</v>
      </c>
      <c r="L300" s="4">
        <v>30</v>
      </c>
      <c r="M300" s="4">
        <v>0</v>
      </c>
      <c r="N300" s="4" t="s">
        <v>5</v>
      </c>
      <c r="O300" s="4">
        <v>2</v>
      </c>
      <c r="P300" s="4"/>
      <c r="Q300" s="4"/>
      <c r="R300" s="4"/>
      <c r="S300" s="4"/>
      <c r="T300" s="4"/>
      <c r="U300" s="4"/>
      <c r="V300" s="4"/>
      <c r="W300" s="4"/>
    </row>
    <row r="303" spans="1:23" x14ac:dyDescent="0.2">
      <c r="A303">
        <v>-1</v>
      </c>
    </row>
    <row r="305" spans="1:27" x14ac:dyDescent="0.2">
      <c r="A305" s="3">
        <v>75</v>
      </c>
      <c r="B305" s="3" t="s">
        <v>338</v>
      </c>
      <c r="C305" s="3">
        <v>2019</v>
      </c>
      <c r="D305" s="3">
        <v>0</v>
      </c>
      <c r="E305" s="3">
        <v>2</v>
      </c>
      <c r="F305" s="3"/>
      <c r="G305" s="3">
        <v>0</v>
      </c>
      <c r="H305" s="3">
        <v>2</v>
      </c>
      <c r="I305" s="3">
        <v>1</v>
      </c>
      <c r="J305" s="3">
        <v>1</v>
      </c>
      <c r="K305" s="3">
        <v>93</v>
      </c>
      <c r="L305" s="3">
        <v>64</v>
      </c>
      <c r="M305" s="3">
        <v>0</v>
      </c>
      <c r="N305" s="3">
        <v>44175501</v>
      </c>
      <c r="O305" s="3">
        <v>1</v>
      </c>
    </row>
    <row r="306" spans="1:27" x14ac:dyDescent="0.2">
      <c r="A306" s="5">
        <v>1</v>
      </c>
      <c r="B306" s="5" t="s">
        <v>339</v>
      </c>
      <c r="C306" s="5" t="s">
        <v>340</v>
      </c>
      <c r="D306" s="5">
        <v>2019</v>
      </c>
      <c r="E306" s="5">
        <v>2</v>
      </c>
      <c r="F306" s="5">
        <v>1</v>
      </c>
      <c r="G306" s="5">
        <v>1</v>
      </c>
      <c r="H306" s="5">
        <v>0</v>
      </c>
      <c r="I306" s="5">
        <v>2</v>
      </c>
      <c r="J306" s="5">
        <v>1</v>
      </c>
      <c r="K306" s="5">
        <v>1</v>
      </c>
      <c r="L306" s="5">
        <v>1</v>
      </c>
      <c r="M306" s="5">
        <v>1</v>
      </c>
      <c r="N306" s="5">
        <v>1</v>
      </c>
      <c r="O306" s="5">
        <v>1</v>
      </c>
      <c r="P306" s="5">
        <v>1</v>
      </c>
      <c r="Q306" s="5">
        <v>1</v>
      </c>
      <c r="R306" s="5" t="s">
        <v>5</v>
      </c>
      <c r="S306" s="5" t="s">
        <v>5</v>
      </c>
      <c r="T306" s="5" t="s">
        <v>5</v>
      </c>
      <c r="U306" s="5" t="s">
        <v>5</v>
      </c>
      <c r="V306" s="5" t="s">
        <v>5</v>
      </c>
      <c r="W306" s="5" t="s">
        <v>5</v>
      </c>
      <c r="X306" s="5" t="s">
        <v>5</v>
      </c>
      <c r="Y306" s="5" t="s">
        <v>5</v>
      </c>
      <c r="Z306" s="5" t="s">
        <v>5</v>
      </c>
      <c r="AA306" s="5" t="s">
        <v>341</v>
      </c>
    </row>
    <row r="310" spans="1:27" x14ac:dyDescent="0.2">
      <c r="A310">
        <v>65</v>
      </c>
      <c r="C310">
        <v>1</v>
      </c>
      <c r="D310">
        <v>0</v>
      </c>
      <c r="E31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342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407</v>
      </c>
      <c r="H12" s="1" t="s">
        <v>5</v>
      </c>
      <c r="I12" s="1">
        <v>0</v>
      </c>
      <c r="J12" s="1" t="s">
        <v>5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6</v>
      </c>
      <c r="AC12" s="1" t="s">
        <v>7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8</v>
      </c>
      <c r="AI12" s="1" t="s">
        <v>9</v>
      </c>
      <c r="AJ12" s="1" t="s">
        <v>10</v>
      </c>
      <c r="AK12" s="1"/>
      <c r="AL12" s="1" t="s">
        <v>11</v>
      </c>
      <c r="AM12" s="1" t="s">
        <v>9</v>
      </c>
      <c r="AN12" s="1" t="s">
        <v>12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10</v>
      </c>
      <c r="AY12" s="1" t="s">
        <v>12</v>
      </c>
      <c r="AZ12" s="1" t="s">
        <v>5</v>
      </c>
      <c r="BA12" s="1"/>
      <c r="BB12" s="1"/>
      <c r="BC12" s="1"/>
      <c r="BD12" s="1"/>
      <c r="BE12" s="1"/>
      <c r="BF12" s="1"/>
      <c r="BG12" s="1"/>
      <c r="BH12" s="1" t="s">
        <v>13</v>
      </c>
      <c r="BI12" s="1" t="s">
        <v>14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15</v>
      </c>
      <c r="BZ12" s="1" t="s">
        <v>16</v>
      </c>
      <c r="CA12" s="1" t="s">
        <v>17</v>
      </c>
      <c r="CB12" s="1" t="s">
        <v>17</v>
      </c>
      <c r="CC12" s="1" t="s">
        <v>17</v>
      </c>
      <c r="CD12" s="1" t="s">
        <v>17</v>
      </c>
      <c r="CE12" s="1" t="s">
        <v>18</v>
      </c>
      <c r="CF12" s="1">
        <v>0</v>
      </c>
      <c r="CG12" s="1">
        <v>0</v>
      </c>
      <c r="CH12" s="1">
        <v>8</v>
      </c>
      <c r="CI12" s="1" t="s">
        <v>5</v>
      </c>
      <c r="CJ12" s="1" t="s">
        <v>5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44175501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19</v>
      </c>
      <c r="D16" s="6" t="s">
        <v>20</v>
      </c>
      <c r="E16" s="7">
        <f>(Source!F248)/1000</f>
        <v>1724.19643</v>
      </c>
      <c r="F16" s="7">
        <f>(Source!F249)/1000</f>
        <v>5964.7632999999996</v>
      </c>
      <c r="G16" s="7">
        <f>(Source!F240)/1000</f>
        <v>0</v>
      </c>
      <c r="H16" s="7">
        <f>(Source!F250)/1000+(Source!F251)/1000</f>
        <v>1389.71775</v>
      </c>
      <c r="I16" s="7">
        <f>E16+F16+G16+H16</f>
        <v>9078.6774800000003</v>
      </c>
      <c r="J16" s="7">
        <f>(Source!F246)/1000</f>
        <v>1619.3510900000001</v>
      </c>
      <c r="AI16" s="6">
        <v>0</v>
      </c>
      <c r="AJ16" s="6">
        <v>-1</v>
      </c>
      <c r="AK16" s="6" t="s">
        <v>5</v>
      </c>
      <c r="AL16" s="6" t="s">
        <v>5</v>
      </c>
      <c r="AM16" s="6" t="s">
        <v>5</v>
      </c>
      <c r="AN16" s="6">
        <v>0</v>
      </c>
      <c r="AO16" s="6" t="s">
        <v>5</v>
      </c>
      <c r="AP16" s="6" t="s">
        <v>5</v>
      </c>
      <c r="AT16" s="7">
        <v>7005680.9699999997</v>
      </c>
      <c r="AU16" s="7">
        <v>5199399.33</v>
      </c>
      <c r="AV16" s="7">
        <v>0</v>
      </c>
      <c r="AW16" s="7">
        <v>0</v>
      </c>
      <c r="AX16" s="7">
        <v>0</v>
      </c>
      <c r="AY16" s="7">
        <v>186930.57</v>
      </c>
      <c r="AZ16" s="7">
        <v>65226.11</v>
      </c>
      <c r="BA16" s="7">
        <v>1619351.07</v>
      </c>
      <c r="BB16" s="7">
        <v>1724196.3</v>
      </c>
      <c r="BC16" s="7">
        <v>5964763.4100000001</v>
      </c>
      <c r="BD16" s="7">
        <v>1389717.75</v>
      </c>
      <c r="BE16" s="7">
        <v>0</v>
      </c>
      <c r="BF16" s="7">
        <v>5701.7784195656577</v>
      </c>
      <c r="BG16" s="7">
        <v>0</v>
      </c>
      <c r="BH16" s="7">
        <v>0</v>
      </c>
      <c r="BI16" s="7">
        <v>1294866.5900000001</v>
      </c>
      <c r="BJ16" s="7">
        <v>675724.93</v>
      </c>
      <c r="BK16" s="7">
        <v>9078677.4600000009</v>
      </c>
    </row>
    <row r="18" spans="1:19" x14ac:dyDescent="0.2">
      <c r="A18">
        <v>51</v>
      </c>
      <c r="E18" s="8">
        <f>SUMIF(A16:A17,3,E16:E17)</f>
        <v>1724.19643</v>
      </c>
      <c r="F18" s="8">
        <f>SUMIF(A16:A17,3,F16:F17)</f>
        <v>5964.7632999999996</v>
      </c>
      <c r="G18" s="8">
        <f>SUMIF(A16:A17,3,G16:G17)</f>
        <v>0</v>
      </c>
      <c r="H18" s="8">
        <f>SUMIF(A16:A17,3,H16:H17)</f>
        <v>1389.71775</v>
      </c>
      <c r="I18" s="8">
        <f>SUMIF(A16:A17,3,I16:I17)</f>
        <v>9078.6774800000003</v>
      </c>
      <c r="J18" s="8">
        <f>SUMIF(A16:A17,3,J16:J17)</f>
        <v>1619.3510900000001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7005680.9699999997</v>
      </c>
      <c r="G20" s="4" t="s">
        <v>110</v>
      </c>
      <c r="H20" s="4" t="s">
        <v>111</v>
      </c>
      <c r="I20" s="4"/>
      <c r="J20" s="4"/>
      <c r="K20" s="4">
        <v>201</v>
      </c>
      <c r="L20" s="4">
        <v>1</v>
      </c>
      <c r="M20" s="4">
        <v>3</v>
      </c>
      <c r="N20" s="4" t="s">
        <v>5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5199399.33</v>
      </c>
      <c r="G21" s="4" t="s">
        <v>112</v>
      </c>
      <c r="H21" s="4" t="s">
        <v>113</v>
      </c>
      <c r="I21" s="4"/>
      <c r="J21" s="4"/>
      <c r="K21" s="4">
        <v>202</v>
      </c>
      <c r="L21" s="4">
        <v>2</v>
      </c>
      <c r="M21" s="4">
        <v>3</v>
      </c>
      <c r="N21" s="4" t="s">
        <v>5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114</v>
      </c>
      <c r="H22" s="4" t="s">
        <v>115</v>
      </c>
      <c r="I22" s="4"/>
      <c r="J22" s="4"/>
      <c r="K22" s="4">
        <v>222</v>
      </c>
      <c r="L22" s="4">
        <v>3</v>
      </c>
      <c r="M22" s="4">
        <v>3</v>
      </c>
      <c r="N22" s="4" t="s">
        <v>5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5199399.33</v>
      </c>
      <c r="G23" s="4" t="s">
        <v>116</v>
      </c>
      <c r="H23" s="4" t="s">
        <v>117</v>
      </c>
      <c r="I23" s="4"/>
      <c r="J23" s="4"/>
      <c r="K23" s="4">
        <v>225</v>
      </c>
      <c r="L23" s="4">
        <v>4</v>
      </c>
      <c r="M23" s="4">
        <v>3</v>
      </c>
      <c r="N23" s="4" t="s">
        <v>5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5199399.33</v>
      </c>
      <c r="G24" s="4" t="s">
        <v>118</v>
      </c>
      <c r="H24" s="4" t="s">
        <v>119</v>
      </c>
      <c r="I24" s="4"/>
      <c r="J24" s="4"/>
      <c r="K24" s="4">
        <v>226</v>
      </c>
      <c r="L24" s="4">
        <v>5</v>
      </c>
      <c r="M24" s="4">
        <v>3</v>
      </c>
      <c r="N24" s="4" t="s">
        <v>5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120</v>
      </c>
      <c r="H25" s="4" t="s">
        <v>121</v>
      </c>
      <c r="I25" s="4"/>
      <c r="J25" s="4"/>
      <c r="K25" s="4">
        <v>227</v>
      </c>
      <c r="L25" s="4">
        <v>6</v>
      </c>
      <c r="M25" s="4">
        <v>3</v>
      </c>
      <c r="N25" s="4" t="s">
        <v>5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5199399.33</v>
      </c>
      <c r="G26" s="4" t="s">
        <v>122</v>
      </c>
      <c r="H26" s="4" t="s">
        <v>123</v>
      </c>
      <c r="I26" s="4"/>
      <c r="J26" s="4"/>
      <c r="K26" s="4">
        <v>228</v>
      </c>
      <c r="L26" s="4">
        <v>7</v>
      </c>
      <c r="M26" s="4">
        <v>3</v>
      </c>
      <c r="N26" s="4" t="s">
        <v>5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124</v>
      </c>
      <c r="H27" s="4" t="s">
        <v>125</v>
      </c>
      <c r="I27" s="4"/>
      <c r="J27" s="4"/>
      <c r="K27" s="4">
        <v>216</v>
      </c>
      <c r="L27" s="4">
        <v>8</v>
      </c>
      <c r="M27" s="4">
        <v>3</v>
      </c>
      <c r="N27" s="4" t="s">
        <v>5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126</v>
      </c>
      <c r="H28" s="4" t="s">
        <v>127</v>
      </c>
      <c r="I28" s="4"/>
      <c r="J28" s="4"/>
      <c r="K28" s="4">
        <v>223</v>
      </c>
      <c r="L28" s="4">
        <v>9</v>
      </c>
      <c r="M28" s="4">
        <v>3</v>
      </c>
      <c r="N28" s="4" t="s">
        <v>5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128</v>
      </c>
      <c r="H29" s="4" t="s">
        <v>129</v>
      </c>
      <c r="I29" s="4"/>
      <c r="J29" s="4"/>
      <c r="K29" s="4">
        <v>229</v>
      </c>
      <c r="L29" s="4">
        <v>10</v>
      </c>
      <c r="M29" s="4">
        <v>3</v>
      </c>
      <c r="N29" s="4" t="s">
        <v>5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186930.57</v>
      </c>
      <c r="G30" s="4" t="s">
        <v>130</v>
      </c>
      <c r="H30" s="4" t="s">
        <v>131</v>
      </c>
      <c r="I30" s="4"/>
      <c r="J30" s="4"/>
      <c r="K30" s="4">
        <v>203</v>
      </c>
      <c r="L30" s="4">
        <v>11</v>
      </c>
      <c r="M30" s="4">
        <v>3</v>
      </c>
      <c r="N30" s="4" t="s">
        <v>5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132</v>
      </c>
      <c r="H31" s="4" t="s">
        <v>133</v>
      </c>
      <c r="I31" s="4"/>
      <c r="J31" s="4"/>
      <c r="K31" s="4">
        <v>231</v>
      </c>
      <c r="L31" s="4">
        <v>12</v>
      </c>
      <c r="M31" s="4">
        <v>3</v>
      </c>
      <c r="N31" s="4" t="s">
        <v>5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65226.11</v>
      </c>
      <c r="G32" s="4" t="s">
        <v>134</v>
      </c>
      <c r="H32" s="4" t="s">
        <v>135</v>
      </c>
      <c r="I32" s="4"/>
      <c r="J32" s="4"/>
      <c r="K32" s="4">
        <v>204</v>
      </c>
      <c r="L32" s="4">
        <v>13</v>
      </c>
      <c r="M32" s="4">
        <v>3</v>
      </c>
      <c r="N32" s="4" t="s">
        <v>5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1619351.07</v>
      </c>
      <c r="G33" s="4" t="s">
        <v>136</v>
      </c>
      <c r="H33" s="4" t="s">
        <v>137</v>
      </c>
      <c r="I33" s="4"/>
      <c r="J33" s="4"/>
      <c r="K33" s="4">
        <v>205</v>
      </c>
      <c r="L33" s="4">
        <v>14</v>
      </c>
      <c r="M33" s="4">
        <v>3</v>
      </c>
      <c r="N33" s="4" t="s">
        <v>5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138</v>
      </c>
      <c r="H34" s="4" t="s">
        <v>139</v>
      </c>
      <c r="I34" s="4"/>
      <c r="J34" s="4"/>
      <c r="K34" s="4">
        <v>232</v>
      </c>
      <c r="L34" s="4">
        <v>15</v>
      </c>
      <c r="M34" s="4">
        <v>3</v>
      </c>
      <c r="N34" s="4" t="s">
        <v>5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1724196.3</v>
      </c>
      <c r="G35" s="4" t="s">
        <v>140</v>
      </c>
      <c r="H35" s="4" t="s">
        <v>141</v>
      </c>
      <c r="I35" s="4"/>
      <c r="J35" s="4"/>
      <c r="K35" s="4">
        <v>214</v>
      </c>
      <c r="L35" s="4">
        <v>16</v>
      </c>
      <c r="M35" s="4">
        <v>3</v>
      </c>
      <c r="N35" s="4" t="s">
        <v>5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5964763.4100000001</v>
      </c>
      <c r="G36" s="4" t="s">
        <v>142</v>
      </c>
      <c r="H36" s="4" t="s">
        <v>143</v>
      </c>
      <c r="I36" s="4"/>
      <c r="J36" s="4"/>
      <c r="K36" s="4">
        <v>215</v>
      </c>
      <c r="L36" s="4">
        <v>17</v>
      </c>
      <c r="M36" s="4">
        <v>3</v>
      </c>
      <c r="N36" s="4" t="s">
        <v>5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1389717.75</v>
      </c>
      <c r="G37" s="4" t="s">
        <v>144</v>
      </c>
      <c r="H37" s="4" t="s">
        <v>145</v>
      </c>
      <c r="I37" s="4"/>
      <c r="J37" s="4"/>
      <c r="K37" s="4">
        <v>217</v>
      </c>
      <c r="L37" s="4">
        <v>18</v>
      </c>
      <c r="M37" s="4">
        <v>3</v>
      </c>
      <c r="N37" s="4" t="s">
        <v>5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146</v>
      </c>
      <c r="H38" s="4" t="s">
        <v>147</v>
      </c>
      <c r="I38" s="4"/>
      <c r="J38" s="4"/>
      <c r="K38" s="4">
        <v>230</v>
      </c>
      <c r="L38" s="4">
        <v>19</v>
      </c>
      <c r="M38" s="4">
        <v>3</v>
      </c>
      <c r="N38" s="4" t="s">
        <v>5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148</v>
      </c>
      <c r="H39" s="4" t="s">
        <v>149</v>
      </c>
      <c r="I39" s="4"/>
      <c r="J39" s="4"/>
      <c r="K39" s="4">
        <v>206</v>
      </c>
      <c r="L39" s="4">
        <v>20</v>
      </c>
      <c r="M39" s="4">
        <v>3</v>
      </c>
      <c r="N39" s="4" t="s">
        <v>5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5701.7784195656577</v>
      </c>
      <c r="G40" s="4" t="s">
        <v>150</v>
      </c>
      <c r="H40" s="4" t="s">
        <v>151</v>
      </c>
      <c r="I40" s="4"/>
      <c r="J40" s="4"/>
      <c r="K40" s="4">
        <v>207</v>
      </c>
      <c r="L40" s="4">
        <v>21</v>
      </c>
      <c r="M40" s="4">
        <v>3</v>
      </c>
      <c r="N40" s="4" t="s">
        <v>5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152</v>
      </c>
      <c r="H41" s="4" t="s">
        <v>153</v>
      </c>
      <c r="I41" s="4"/>
      <c r="J41" s="4"/>
      <c r="K41" s="4">
        <v>208</v>
      </c>
      <c r="L41" s="4">
        <v>22</v>
      </c>
      <c r="M41" s="4">
        <v>3</v>
      </c>
      <c r="N41" s="4" t="s">
        <v>5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154</v>
      </c>
      <c r="H42" s="4" t="s">
        <v>155</v>
      </c>
      <c r="I42" s="4"/>
      <c r="J42" s="4"/>
      <c r="K42" s="4">
        <v>209</v>
      </c>
      <c r="L42" s="4">
        <v>23</v>
      </c>
      <c r="M42" s="4">
        <v>3</v>
      </c>
      <c r="N42" s="4" t="s">
        <v>5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156</v>
      </c>
      <c r="H43" s="4" t="s">
        <v>157</v>
      </c>
      <c r="I43" s="4"/>
      <c r="J43" s="4"/>
      <c r="K43" s="4">
        <v>233</v>
      </c>
      <c r="L43" s="4">
        <v>24</v>
      </c>
      <c r="M43" s="4">
        <v>3</v>
      </c>
      <c r="N43" s="4" t="s">
        <v>5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1294866.5900000001</v>
      </c>
      <c r="G44" s="4" t="s">
        <v>158</v>
      </c>
      <c r="H44" s="4" t="s">
        <v>159</v>
      </c>
      <c r="I44" s="4"/>
      <c r="J44" s="4"/>
      <c r="K44" s="4">
        <v>210</v>
      </c>
      <c r="L44" s="4">
        <v>25</v>
      </c>
      <c r="M44" s="4">
        <v>3</v>
      </c>
      <c r="N44" s="4" t="s">
        <v>5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675724.93</v>
      </c>
      <c r="G45" s="4" t="s">
        <v>160</v>
      </c>
      <c r="H45" s="4" t="s">
        <v>161</v>
      </c>
      <c r="I45" s="4"/>
      <c r="J45" s="4"/>
      <c r="K45" s="4">
        <v>211</v>
      </c>
      <c r="L45" s="4">
        <v>26</v>
      </c>
      <c r="M45" s="4">
        <v>3</v>
      </c>
      <c r="N45" s="4" t="s">
        <v>5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9078677.4600000009</v>
      </c>
      <c r="G46" s="4" t="s">
        <v>162</v>
      </c>
      <c r="H46" s="4" t="s">
        <v>163</v>
      </c>
      <c r="I46" s="4"/>
      <c r="J46" s="4"/>
      <c r="K46" s="4">
        <v>224</v>
      </c>
      <c r="L46" s="4">
        <v>27</v>
      </c>
      <c r="M46" s="4">
        <v>3</v>
      </c>
      <c r="N46" s="4" t="s">
        <v>5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9092374.9700000007</v>
      </c>
      <c r="G47" s="4" t="s">
        <v>335</v>
      </c>
      <c r="H47" s="4" t="s">
        <v>335</v>
      </c>
      <c r="I47" s="4"/>
      <c r="J47" s="4"/>
      <c r="K47" s="4">
        <v>212</v>
      </c>
      <c r="L47" s="4">
        <v>28</v>
      </c>
      <c r="M47" s="4">
        <v>0</v>
      </c>
      <c r="N47" s="4" t="s">
        <v>5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1636627.49</v>
      </c>
      <c r="G48" s="4" t="s">
        <v>336</v>
      </c>
      <c r="H48" s="4" t="s">
        <v>337</v>
      </c>
      <c r="I48" s="4"/>
      <c r="J48" s="4"/>
      <c r="K48" s="4">
        <v>212</v>
      </c>
      <c r="L48" s="4">
        <v>29</v>
      </c>
      <c r="M48" s="4">
        <v>0</v>
      </c>
      <c r="N48" s="4" t="s">
        <v>5</v>
      </c>
      <c r="O48" s="4">
        <v>2</v>
      </c>
      <c r="P48" s="4"/>
    </row>
    <row r="49" spans="1:27" x14ac:dyDescent="0.2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10729002.460000001</v>
      </c>
      <c r="G49" s="4" t="s">
        <v>330</v>
      </c>
      <c r="H49" s="4" t="s">
        <v>330</v>
      </c>
      <c r="I49" s="4"/>
      <c r="J49" s="4"/>
      <c r="K49" s="4">
        <v>212</v>
      </c>
      <c r="L49" s="4">
        <v>30</v>
      </c>
      <c r="M49" s="4">
        <v>0</v>
      </c>
      <c r="N49" s="4" t="s">
        <v>5</v>
      </c>
      <c r="O49" s="4">
        <v>2</v>
      </c>
      <c r="P49" s="4"/>
    </row>
    <row r="51" spans="1:27" x14ac:dyDescent="0.2">
      <c r="A51">
        <v>-1</v>
      </c>
    </row>
    <row r="54" spans="1:27" x14ac:dyDescent="0.2">
      <c r="A54" s="3">
        <v>75</v>
      </c>
      <c r="B54" s="3" t="s">
        <v>338</v>
      </c>
      <c r="C54" s="3">
        <v>2019</v>
      </c>
      <c r="D54" s="3">
        <v>0</v>
      </c>
      <c r="E54" s="3">
        <v>2</v>
      </c>
      <c r="F54" s="3"/>
      <c r="G54" s="3">
        <v>0</v>
      </c>
      <c r="H54" s="3">
        <v>2</v>
      </c>
      <c r="I54" s="3">
        <v>1</v>
      </c>
      <c r="J54" s="3">
        <v>1</v>
      </c>
      <c r="K54" s="3">
        <v>93</v>
      </c>
      <c r="L54" s="3">
        <v>64</v>
      </c>
      <c r="M54" s="3">
        <v>0</v>
      </c>
      <c r="N54" s="3">
        <v>44175501</v>
      </c>
      <c r="O54" s="3">
        <v>1</v>
      </c>
    </row>
    <row r="55" spans="1:27" x14ac:dyDescent="0.2">
      <c r="A55" s="5">
        <v>1</v>
      </c>
      <c r="B55" s="5" t="s">
        <v>339</v>
      </c>
      <c r="C55" s="5" t="s">
        <v>340</v>
      </c>
      <c r="D55" s="5">
        <v>2019</v>
      </c>
      <c r="E55" s="5">
        <v>2</v>
      </c>
      <c r="F55" s="5">
        <v>1</v>
      </c>
      <c r="G55" s="5">
        <v>1</v>
      </c>
      <c r="H55" s="5">
        <v>0</v>
      </c>
      <c r="I55" s="5">
        <v>2</v>
      </c>
      <c r="J55" s="5">
        <v>1</v>
      </c>
      <c r="K55" s="5">
        <v>1</v>
      </c>
      <c r="L55" s="5">
        <v>1</v>
      </c>
      <c r="M55" s="5">
        <v>1</v>
      </c>
      <c r="N55" s="5">
        <v>1</v>
      </c>
      <c r="O55" s="5">
        <v>1</v>
      </c>
      <c r="P55" s="5">
        <v>1</v>
      </c>
      <c r="Q55" s="5">
        <v>1</v>
      </c>
      <c r="R55" s="5" t="s">
        <v>5</v>
      </c>
      <c r="S55" s="5" t="s">
        <v>5</v>
      </c>
      <c r="T55" s="5" t="s">
        <v>5</v>
      </c>
      <c r="U55" s="5" t="s">
        <v>5</v>
      </c>
      <c r="V55" s="5" t="s">
        <v>5</v>
      </c>
      <c r="W55" s="5" t="s">
        <v>5</v>
      </c>
      <c r="X55" s="5" t="s">
        <v>5</v>
      </c>
      <c r="Y55" s="5" t="s">
        <v>5</v>
      </c>
      <c r="Z55" s="5" t="s">
        <v>5</v>
      </c>
      <c r="AA55" s="5" t="s">
        <v>341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ROW(Source!A29)</f>
        <v>29</v>
      </c>
      <c r="B1">
        <v>44175501</v>
      </c>
      <c r="C1">
        <v>44169190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343</v>
      </c>
      <c r="J1" t="s">
        <v>5</v>
      </c>
      <c r="K1" t="s">
        <v>344</v>
      </c>
      <c r="L1">
        <v>1191</v>
      </c>
      <c r="N1">
        <v>1013</v>
      </c>
      <c r="O1" t="s">
        <v>345</v>
      </c>
      <c r="P1" t="s">
        <v>345</v>
      </c>
      <c r="Q1">
        <v>1</v>
      </c>
      <c r="W1">
        <v>0</v>
      </c>
      <c r="X1">
        <v>476480486</v>
      </c>
      <c r="Y1">
        <v>265.92599999999993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5</v>
      </c>
      <c r="AT1">
        <v>192.7</v>
      </c>
      <c r="AU1" t="s">
        <v>30</v>
      </c>
      <c r="AV1">
        <v>1</v>
      </c>
      <c r="AW1">
        <v>2</v>
      </c>
      <c r="AX1">
        <v>44169193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Y1*Source!I29</f>
        <v>400.43137079999991</v>
      </c>
      <c r="CY1">
        <f>AD1</f>
        <v>0</v>
      </c>
      <c r="CZ1">
        <f>AH1</f>
        <v>0</v>
      </c>
      <c r="DA1">
        <f>AL1</f>
        <v>1</v>
      </c>
      <c r="DB1">
        <f>ROUND((ROUND(AT1*CZ1,2)*1.2*1.15),6)</f>
        <v>0</v>
      </c>
      <c r="DC1">
        <f>ROUND((ROUND(AT1*AG1,2)*1.2*1.15),6)</f>
        <v>0</v>
      </c>
    </row>
    <row r="2" spans="1:107" x14ac:dyDescent="0.2">
      <c r="A2">
        <f>ROW(Source!A30)</f>
        <v>30</v>
      </c>
      <c r="B2">
        <v>44175501</v>
      </c>
      <c r="C2">
        <v>44169194</v>
      </c>
      <c r="D2">
        <v>34984826</v>
      </c>
      <c r="E2">
        <v>34959076</v>
      </c>
      <c r="F2">
        <v>1</v>
      </c>
      <c r="G2">
        <v>34959076</v>
      </c>
      <c r="H2">
        <v>1</v>
      </c>
      <c r="I2" t="s">
        <v>343</v>
      </c>
      <c r="J2" t="s">
        <v>5</v>
      </c>
      <c r="K2" t="s">
        <v>344</v>
      </c>
      <c r="L2">
        <v>1191</v>
      </c>
      <c r="N2">
        <v>1013</v>
      </c>
      <c r="O2" t="s">
        <v>345</v>
      </c>
      <c r="P2" t="s">
        <v>345</v>
      </c>
      <c r="Q2">
        <v>1</v>
      </c>
      <c r="W2">
        <v>0</v>
      </c>
      <c r="X2">
        <v>476480486</v>
      </c>
      <c r="Y2">
        <v>147.71520000000001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5</v>
      </c>
      <c r="AT2">
        <v>107.04</v>
      </c>
      <c r="AU2" t="s">
        <v>30</v>
      </c>
      <c r="AV2">
        <v>1</v>
      </c>
      <c r="AW2">
        <v>2</v>
      </c>
      <c r="AX2">
        <v>44169200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Y2*Source!I30</f>
        <v>179.56259712000002</v>
      </c>
      <c r="CY2">
        <f>AD2</f>
        <v>0</v>
      </c>
      <c r="CZ2">
        <f>AH2</f>
        <v>0</v>
      </c>
      <c r="DA2">
        <f>AL2</f>
        <v>1</v>
      </c>
      <c r="DB2">
        <f>ROUND((ROUND(AT2*CZ2,2)*1.2*1.15),6)</f>
        <v>0</v>
      </c>
      <c r="DC2">
        <f>ROUND((ROUND(AT2*AG2,2)*1.2*1.15),6)</f>
        <v>0</v>
      </c>
    </row>
    <row r="3" spans="1:107" x14ac:dyDescent="0.2">
      <c r="A3">
        <f>ROW(Source!A30)</f>
        <v>30</v>
      </c>
      <c r="B3">
        <v>44175501</v>
      </c>
      <c r="C3">
        <v>44169194</v>
      </c>
      <c r="D3">
        <v>0</v>
      </c>
      <c r="E3">
        <v>1</v>
      </c>
      <c r="F3">
        <v>1</v>
      </c>
      <c r="G3">
        <v>34959076</v>
      </c>
      <c r="H3">
        <v>3</v>
      </c>
      <c r="I3" t="s">
        <v>38</v>
      </c>
      <c r="J3" t="s">
        <v>346</v>
      </c>
      <c r="K3" t="s">
        <v>347</v>
      </c>
      <c r="L3">
        <v>1339</v>
      </c>
      <c r="N3">
        <v>1007</v>
      </c>
      <c r="O3" t="s">
        <v>40</v>
      </c>
      <c r="P3" t="s">
        <v>40</v>
      </c>
      <c r="Q3">
        <v>1</v>
      </c>
      <c r="W3">
        <v>0</v>
      </c>
      <c r="X3">
        <v>-419971176</v>
      </c>
      <c r="Y3">
        <v>110</v>
      </c>
      <c r="AA3">
        <v>104.99</v>
      </c>
      <c r="AB3">
        <v>0</v>
      </c>
      <c r="AC3">
        <v>0</v>
      </c>
      <c r="AD3">
        <v>0</v>
      </c>
      <c r="AE3">
        <v>104.99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0</v>
      </c>
      <c r="AP3">
        <v>0</v>
      </c>
      <c r="AQ3">
        <v>0</v>
      </c>
      <c r="AR3">
        <v>0</v>
      </c>
      <c r="AS3" t="s">
        <v>5</v>
      </c>
      <c r="AT3">
        <v>110</v>
      </c>
      <c r="AU3" t="s">
        <v>5</v>
      </c>
      <c r="AV3">
        <v>0</v>
      </c>
      <c r="AW3">
        <v>1</v>
      </c>
      <c r="AX3">
        <v>-1</v>
      </c>
      <c r="AY3">
        <v>0</v>
      </c>
      <c r="AZ3">
        <v>0</v>
      </c>
      <c r="BA3" t="s">
        <v>5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133.71600000000001</v>
      </c>
      <c r="CY3">
        <f>AA3</f>
        <v>104.99</v>
      </c>
      <c r="CZ3">
        <f>AE3</f>
        <v>104.99</v>
      </c>
      <c r="DA3">
        <f>AI3</f>
        <v>1</v>
      </c>
      <c r="DB3">
        <f>ROUND(ROUND(AT3*CZ3,2),6)</f>
        <v>11548.9</v>
      </c>
      <c r="DC3">
        <f>ROUND(ROUND(AT3*AG3,2),6)</f>
        <v>0</v>
      </c>
    </row>
    <row r="4" spans="1:107" x14ac:dyDescent="0.2">
      <c r="A4">
        <f>ROW(Source!A30)</f>
        <v>30</v>
      </c>
      <c r="B4">
        <v>44175501</v>
      </c>
      <c r="C4">
        <v>44169194</v>
      </c>
      <c r="D4">
        <v>0</v>
      </c>
      <c r="E4">
        <v>1</v>
      </c>
      <c r="F4">
        <v>1</v>
      </c>
      <c r="G4">
        <v>34959076</v>
      </c>
      <c r="H4">
        <v>3</v>
      </c>
      <c r="I4" t="s">
        <v>38</v>
      </c>
      <c r="J4" t="s">
        <v>346</v>
      </c>
      <c r="K4" t="s">
        <v>347</v>
      </c>
      <c r="L4">
        <v>1339</v>
      </c>
      <c r="N4">
        <v>1007</v>
      </c>
      <c r="O4" t="s">
        <v>40</v>
      </c>
      <c r="P4" t="s">
        <v>40</v>
      </c>
      <c r="Q4">
        <v>1</v>
      </c>
      <c r="W4">
        <v>0</v>
      </c>
      <c r="X4">
        <v>-419971176</v>
      </c>
      <c r="Y4">
        <v>110</v>
      </c>
      <c r="AA4">
        <v>104.99</v>
      </c>
      <c r="AB4">
        <v>0</v>
      </c>
      <c r="AC4">
        <v>0</v>
      </c>
      <c r="AD4">
        <v>0</v>
      </c>
      <c r="AE4">
        <v>104.99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5</v>
      </c>
      <c r="AT4">
        <v>110</v>
      </c>
      <c r="AU4" t="s">
        <v>5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5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133.71600000000001</v>
      </c>
      <c r="CY4">
        <f>AA4</f>
        <v>104.99</v>
      </c>
      <c r="CZ4">
        <f>AE4</f>
        <v>104.99</v>
      </c>
      <c r="DA4">
        <f>AI4</f>
        <v>1</v>
      </c>
      <c r="DB4">
        <f>ROUND(ROUND(AT4*CZ4,2),6)</f>
        <v>11548.9</v>
      </c>
      <c r="DC4">
        <f>ROUND(ROUND(AT4*AG4,2),6)</f>
        <v>0</v>
      </c>
    </row>
    <row r="5" spans="1:107" x14ac:dyDescent="0.2">
      <c r="A5">
        <f>ROW(Source!A30)</f>
        <v>30</v>
      </c>
      <c r="B5">
        <v>44175501</v>
      </c>
      <c r="C5">
        <v>44169194</v>
      </c>
      <c r="D5">
        <v>0</v>
      </c>
      <c r="E5">
        <v>1</v>
      </c>
      <c r="F5">
        <v>1</v>
      </c>
      <c r="G5">
        <v>34959076</v>
      </c>
      <c r="H5">
        <v>3</v>
      </c>
      <c r="I5" t="s">
        <v>38</v>
      </c>
      <c r="J5" t="s">
        <v>346</v>
      </c>
      <c r="K5" t="s">
        <v>347</v>
      </c>
      <c r="L5">
        <v>1339</v>
      </c>
      <c r="N5">
        <v>1007</v>
      </c>
      <c r="O5" t="s">
        <v>40</v>
      </c>
      <c r="P5" t="s">
        <v>40</v>
      </c>
      <c r="Q5">
        <v>1</v>
      </c>
      <c r="W5">
        <v>0</v>
      </c>
      <c r="X5">
        <v>-419971176</v>
      </c>
      <c r="Y5">
        <v>0</v>
      </c>
      <c r="AA5">
        <v>104.99</v>
      </c>
      <c r="AB5">
        <v>0</v>
      </c>
      <c r="AC5">
        <v>0</v>
      </c>
      <c r="AD5">
        <v>0</v>
      </c>
      <c r="AE5">
        <v>104.99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0</v>
      </c>
      <c r="AP5">
        <v>0</v>
      </c>
      <c r="AQ5">
        <v>0</v>
      </c>
      <c r="AR5">
        <v>0</v>
      </c>
      <c r="AS5" t="s">
        <v>5</v>
      </c>
      <c r="AT5">
        <v>0</v>
      </c>
      <c r="AU5" t="s">
        <v>5</v>
      </c>
      <c r="AV5">
        <v>0</v>
      </c>
      <c r="AW5">
        <v>1</v>
      </c>
      <c r="AX5">
        <v>-1</v>
      </c>
      <c r="AY5">
        <v>0</v>
      </c>
      <c r="AZ5">
        <v>0</v>
      </c>
      <c r="BA5" t="s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0</v>
      </c>
      <c r="CY5">
        <f>AA5</f>
        <v>104.99</v>
      </c>
      <c r="CZ5">
        <f>AE5</f>
        <v>104.99</v>
      </c>
      <c r="DA5">
        <f>AI5</f>
        <v>1</v>
      </c>
      <c r="DB5">
        <f>ROUND(ROUND(AT5*CZ5,2),6)</f>
        <v>0</v>
      </c>
      <c r="DC5">
        <f>ROUND(ROUND(AT5*AG5,2),6)</f>
        <v>0</v>
      </c>
    </row>
    <row r="6" spans="1:107" x14ac:dyDescent="0.2">
      <c r="A6">
        <f>ROW(Source!A32)</f>
        <v>32</v>
      </c>
      <c r="B6">
        <v>44175501</v>
      </c>
      <c r="C6">
        <v>44169202</v>
      </c>
      <c r="D6">
        <v>34984826</v>
      </c>
      <c r="E6">
        <v>34959076</v>
      </c>
      <c r="F6">
        <v>1</v>
      </c>
      <c r="G6">
        <v>34959076</v>
      </c>
      <c r="H6">
        <v>1</v>
      </c>
      <c r="I6" t="s">
        <v>343</v>
      </c>
      <c r="J6" t="s">
        <v>5</v>
      </c>
      <c r="K6" t="s">
        <v>344</v>
      </c>
      <c r="L6">
        <v>1191</v>
      </c>
      <c r="N6">
        <v>1013</v>
      </c>
      <c r="O6" t="s">
        <v>345</v>
      </c>
      <c r="P6" t="s">
        <v>345</v>
      </c>
      <c r="Q6">
        <v>1</v>
      </c>
      <c r="W6">
        <v>0</v>
      </c>
      <c r="X6">
        <v>476480486</v>
      </c>
      <c r="Y6">
        <v>114.53999999999998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5</v>
      </c>
      <c r="AT6">
        <v>83</v>
      </c>
      <c r="AU6" t="s">
        <v>30</v>
      </c>
      <c r="AV6">
        <v>1</v>
      </c>
      <c r="AW6">
        <v>2</v>
      </c>
      <c r="AX6">
        <v>44169205</v>
      </c>
      <c r="AY6">
        <v>1</v>
      </c>
      <c r="AZ6">
        <v>0</v>
      </c>
      <c r="BA6">
        <v>3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Y6*Source!I32</f>
        <v>71.667677999999995</v>
      </c>
      <c r="CY6">
        <f>AD6</f>
        <v>0</v>
      </c>
      <c r="CZ6">
        <f>AH6</f>
        <v>0</v>
      </c>
      <c r="DA6">
        <f>AL6</f>
        <v>1</v>
      </c>
      <c r="DB6">
        <f>ROUND((ROUND(AT6*CZ6,2)*1.2*1.15),6)</f>
        <v>0</v>
      </c>
      <c r="DC6">
        <f>ROUND((ROUND(AT6*AG6,2)*1.2*1.15),6)</f>
        <v>0</v>
      </c>
    </row>
    <row r="7" spans="1:107" x14ac:dyDescent="0.2">
      <c r="A7">
        <f>ROW(Source!A34)</f>
        <v>34</v>
      </c>
      <c r="B7">
        <v>44175501</v>
      </c>
      <c r="C7">
        <v>44169207</v>
      </c>
      <c r="D7">
        <v>34984826</v>
      </c>
      <c r="E7">
        <v>34959076</v>
      </c>
      <c r="F7">
        <v>1</v>
      </c>
      <c r="G7">
        <v>34959076</v>
      </c>
      <c r="H7">
        <v>1</v>
      </c>
      <c r="I7" t="s">
        <v>343</v>
      </c>
      <c r="J7" t="s">
        <v>5</v>
      </c>
      <c r="K7" t="s">
        <v>344</v>
      </c>
      <c r="L7">
        <v>1191</v>
      </c>
      <c r="N7">
        <v>1013</v>
      </c>
      <c r="O7" t="s">
        <v>345</v>
      </c>
      <c r="P7" t="s">
        <v>345</v>
      </c>
      <c r="Q7">
        <v>1</v>
      </c>
      <c r="W7">
        <v>0</v>
      </c>
      <c r="X7">
        <v>476480486</v>
      </c>
      <c r="Y7">
        <v>183.54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5</v>
      </c>
      <c r="AT7">
        <v>133</v>
      </c>
      <c r="AU7" t="s">
        <v>30</v>
      </c>
      <c r="AV7">
        <v>1</v>
      </c>
      <c r="AW7">
        <v>2</v>
      </c>
      <c r="AX7">
        <v>44169214</v>
      </c>
      <c r="AY7">
        <v>1</v>
      </c>
      <c r="AZ7">
        <v>0</v>
      </c>
      <c r="BA7">
        <v>4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Y7*Source!I34</f>
        <v>45.150839999999995</v>
      </c>
      <c r="CY7">
        <f>AD7</f>
        <v>0</v>
      </c>
      <c r="CZ7">
        <f>AH7</f>
        <v>0</v>
      </c>
      <c r="DA7">
        <f>AL7</f>
        <v>1</v>
      </c>
      <c r="DB7">
        <f>ROUND((ROUND(AT7*CZ7,2)*1.2*1.15),6)</f>
        <v>0</v>
      </c>
      <c r="DC7">
        <f>ROUND((ROUND(AT7*AG7,2)*1.2*1.15),6)</f>
        <v>0</v>
      </c>
    </row>
    <row r="8" spans="1:107" x14ac:dyDescent="0.2">
      <c r="A8">
        <f>ROW(Source!A34)</f>
        <v>34</v>
      </c>
      <c r="B8">
        <v>44175501</v>
      </c>
      <c r="C8">
        <v>44169207</v>
      </c>
      <c r="D8">
        <v>44087584</v>
      </c>
      <c r="E8">
        <v>34959076</v>
      </c>
      <c r="F8">
        <v>1</v>
      </c>
      <c r="G8">
        <v>34959076</v>
      </c>
      <c r="H8">
        <v>3</v>
      </c>
      <c r="I8" t="s">
        <v>348</v>
      </c>
      <c r="J8" t="s">
        <v>5</v>
      </c>
      <c r="K8" t="s">
        <v>349</v>
      </c>
      <c r="L8">
        <v>1301</v>
      </c>
      <c r="N8">
        <v>1003</v>
      </c>
      <c r="O8" t="s">
        <v>63</v>
      </c>
      <c r="P8" t="s">
        <v>63</v>
      </c>
      <c r="Q8">
        <v>1</v>
      </c>
      <c r="W8">
        <v>0</v>
      </c>
      <c r="X8">
        <v>874696565</v>
      </c>
      <c r="Y8">
        <v>1000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0</v>
      </c>
      <c r="AP8">
        <v>0</v>
      </c>
      <c r="AQ8">
        <v>0</v>
      </c>
      <c r="AR8">
        <v>0</v>
      </c>
      <c r="AS8" t="s">
        <v>5</v>
      </c>
      <c r="AT8">
        <v>1000</v>
      </c>
      <c r="AU8" t="s">
        <v>5</v>
      </c>
      <c r="AV8">
        <v>0</v>
      </c>
      <c r="AW8">
        <v>1</v>
      </c>
      <c r="AX8">
        <v>-1</v>
      </c>
      <c r="AY8">
        <v>0</v>
      </c>
      <c r="AZ8">
        <v>0</v>
      </c>
      <c r="BA8" t="s">
        <v>5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Y8*Source!I34</f>
        <v>246</v>
      </c>
      <c r="CY8">
        <f>AA8</f>
        <v>0</v>
      </c>
      <c r="CZ8">
        <f>AE8</f>
        <v>0</v>
      </c>
      <c r="DA8">
        <f>AI8</f>
        <v>1</v>
      </c>
      <c r="DB8">
        <f>ROUND(ROUND(AT8*CZ8,2),6)</f>
        <v>0</v>
      </c>
      <c r="DC8">
        <f>ROUND(ROUND(AT8*AG8,2),6)</f>
        <v>0</v>
      </c>
    </row>
    <row r="9" spans="1:107" x14ac:dyDescent="0.2">
      <c r="A9">
        <f>ROW(Source!A34)</f>
        <v>34</v>
      </c>
      <c r="B9">
        <v>44175501</v>
      </c>
      <c r="C9">
        <v>44169207</v>
      </c>
      <c r="D9">
        <v>34984822</v>
      </c>
      <c r="E9">
        <v>34959076</v>
      </c>
      <c r="F9">
        <v>1</v>
      </c>
      <c r="G9">
        <v>34959076</v>
      </c>
      <c r="H9">
        <v>3</v>
      </c>
      <c r="I9" t="s">
        <v>350</v>
      </c>
      <c r="J9" t="s">
        <v>5</v>
      </c>
      <c r="K9" t="s">
        <v>351</v>
      </c>
      <c r="L9">
        <v>1344</v>
      </c>
      <c r="N9">
        <v>1008</v>
      </c>
      <c r="O9" t="s">
        <v>352</v>
      </c>
      <c r="P9" t="s">
        <v>352</v>
      </c>
      <c r="Q9">
        <v>1</v>
      </c>
      <c r="W9">
        <v>0</v>
      </c>
      <c r="X9">
        <v>-94250534</v>
      </c>
      <c r="Y9">
        <v>44.38</v>
      </c>
      <c r="AA9">
        <v>1.08</v>
      </c>
      <c r="AB9">
        <v>0</v>
      </c>
      <c r="AC9">
        <v>0</v>
      </c>
      <c r="AD9">
        <v>0</v>
      </c>
      <c r="AE9">
        <v>1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5</v>
      </c>
      <c r="AT9">
        <v>44.38</v>
      </c>
      <c r="AU9" t="s">
        <v>5</v>
      </c>
      <c r="AV9">
        <v>0</v>
      </c>
      <c r="AW9">
        <v>2</v>
      </c>
      <c r="AX9">
        <v>44169216</v>
      </c>
      <c r="AY9">
        <v>1</v>
      </c>
      <c r="AZ9">
        <v>0</v>
      </c>
      <c r="BA9">
        <v>6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Y9*Source!I34</f>
        <v>10.917480000000001</v>
      </c>
      <c r="CY9">
        <f>AA9</f>
        <v>1.08</v>
      </c>
      <c r="CZ9">
        <f>AE9</f>
        <v>1</v>
      </c>
      <c r="DA9">
        <f>AI9</f>
        <v>1</v>
      </c>
      <c r="DB9">
        <f>ROUND(ROUND(AT9*CZ9,2),6)</f>
        <v>44.38</v>
      </c>
      <c r="DC9">
        <f>ROUND(ROUND(AT9*AG9,2),6)</f>
        <v>0</v>
      </c>
    </row>
    <row r="10" spans="1:107" x14ac:dyDescent="0.2">
      <c r="A10">
        <f>ROW(Source!A36)</f>
        <v>36</v>
      </c>
      <c r="B10">
        <v>44175501</v>
      </c>
      <c r="C10">
        <v>44169218</v>
      </c>
      <c r="D10">
        <v>34984826</v>
      </c>
      <c r="E10">
        <v>34959076</v>
      </c>
      <c r="F10">
        <v>1</v>
      </c>
      <c r="G10">
        <v>34959076</v>
      </c>
      <c r="H10">
        <v>1</v>
      </c>
      <c r="I10" t="s">
        <v>343</v>
      </c>
      <c r="J10" t="s">
        <v>5</v>
      </c>
      <c r="K10" t="s">
        <v>344</v>
      </c>
      <c r="L10">
        <v>1191</v>
      </c>
      <c r="N10">
        <v>1013</v>
      </c>
      <c r="O10" t="s">
        <v>345</v>
      </c>
      <c r="P10" t="s">
        <v>345</v>
      </c>
      <c r="Q10">
        <v>1</v>
      </c>
      <c r="W10">
        <v>0</v>
      </c>
      <c r="X10">
        <v>476480486</v>
      </c>
      <c r="Y10">
        <v>198.71999999999997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5</v>
      </c>
      <c r="AT10">
        <v>144</v>
      </c>
      <c r="AU10" t="s">
        <v>30</v>
      </c>
      <c r="AV10">
        <v>1</v>
      </c>
      <c r="AW10">
        <v>2</v>
      </c>
      <c r="AX10">
        <v>44169228</v>
      </c>
      <c r="AY10">
        <v>1</v>
      </c>
      <c r="AZ10">
        <v>0</v>
      </c>
      <c r="BA10">
        <v>7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Y10*Source!I36</f>
        <v>0</v>
      </c>
      <c r="CY10">
        <f>AD10</f>
        <v>0</v>
      </c>
      <c r="CZ10">
        <f>AH10</f>
        <v>0</v>
      </c>
      <c r="DA10">
        <f>AL10</f>
        <v>1</v>
      </c>
      <c r="DB10">
        <f>ROUND((ROUND(AT10*CZ10,2)*1.2*1.15),6)</f>
        <v>0</v>
      </c>
      <c r="DC10">
        <f>ROUND((ROUND(AT10*AG10,2)*1.2*1.15),6)</f>
        <v>0</v>
      </c>
    </row>
    <row r="11" spans="1:107" x14ac:dyDescent="0.2">
      <c r="A11">
        <f>ROW(Source!A36)</f>
        <v>36</v>
      </c>
      <c r="B11">
        <v>44175501</v>
      </c>
      <c r="C11">
        <v>44169218</v>
      </c>
      <c r="D11">
        <v>35047318</v>
      </c>
      <c r="E11">
        <v>1</v>
      </c>
      <c r="F11">
        <v>1</v>
      </c>
      <c r="G11">
        <v>34959076</v>
      </c>
      <c r="H11">
        <v>3</v>
      </c>
      <c r="I11" t="s">
        <v>70</v>
      </c>
      <c r="J11" t="s">
        <v>72</v>
      </c>
      <c r="K11" t="s">
        <v>71</v>
      </c>
      <c r="L11">
        <v>1301</v>
      </c>
      <c r="N11">
        <v>1003</v>
      </c>
      <c r="O11" t="s">
        <v>63</v>
      </c>
      <c r="P11" t="s">
        <v>63</v>
      </c>
      <c r="Q11">
        <v>1</v>
      </c>
      <c r="W11">
        <v>1</v>
      </c>
      <c r="X11">
        <v>-828904142</v>
      </c>
      <c r="Y11">
        <v>-990</v>
      </c>
      <c r="AA11">
        <v>85.35</v>
      </c>
      <c r="AB11">
        <v>0</v>
      </c>
      <c r="AC11">
        <v>0</v>
      </c>
      <c r="AD11">
        <v>0</v>
      </c>
      <c r="AE11">
        <v>15.01</v>
      </c>
      <c r="AF11">
        <v>0</v>
      </c>
      <c r="AG11">
        <v>0</v>
      </c>
      <c r="AH11">
        <v>0</v>
      </c>
      <c r="AI11">
        <v>5.26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5</v>
      </c>
      <c r="AT11">
        <v>-990</v>
      </c>
      <c r="AU11" t="s">
        <v>5</v>
      </c>
      <c r="AV11">
        <v>0</v>
      </c>
      <c r="AW11">
        <v>2</v>
      </c>
      <c r="AX11">
        <v>44169229</v>
      </c>
      <c r="AY11">
        <v>1</v>
      </c>
      <c r="AZ11">
        <v>6144</v>
      </c>
      <c r="BA11">
        <v>8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Y11*Source!I36</f>
        <v>0</v>
      </c>
      <c r="CY11">
        <f>AA11</f>
        <v>85.35</v>
      </c>
      <c r="CZ11">
        <f>AE11</f>
        <v>15.01</v>
      </c>
      <c r="DA11">
        <f>AI11</f>
        <v>5.26</v>
      </c>
      <c r="DB11">
        <f>ROUND(ROUND(AT11*CZ11,2),6)</f>
        <v>-14859.9</v>
      </c>
      <c r="DC11">
        <f>ROUND(ROUND(AT11*AG11,2),6)</f>
        <v>0</v>
      </c>
    </row>
    <row r="12" spans="1:107" x14ac:dyDescent="0.2">
      <c r="A12">
        <f>ROW(Source!A36)</f>
        <v>36</v>
      </c>
      <c r="B12">
        <v>44175501</v>
      </c>
      <c r="C12">
        <v>44169218</v>
      </c>
      <c r="D12">
        <v>35047317</v>
      </c>
      <c r="E12">
        <v>1</v>
      </c>
      <c r="F12">
        <v>1</v>
      </c>
      <c r="G12">
        <v>34959076</v>
      </c>
      <c r="H12">
        <v>3</v>
      </c>
      <c r="I12" t="s">
        <v>74</v>
      </c>
      <c r="J12" t="s">
        <v>76</v>
      </c>
      <c r="K12" t="s">
        <v>75</v>
      </c>
      <c r="L12">
        <v>1301</v>
      </c>
      <c r="N12">
        <v>1003</v>
      </c>
      <c r="O12" t="s">
        <v>63</v>
      </c>
      <c r="P12" t="s">
        <v>63</v>
      </c>
      <c r="Q12">
        <v>1</v>
      </c>
      <c r="W12">
        <v>0</v>
      </c>
      <c r="X12">
        <v>-1397492615</v>
      </c>
      <c r="Y12">
        <v>990</v>
      </c>
      <c r="AA12">
        <v>136.88999999999999</v>
      </c>
      <c r="AB12">
        <v>0</v>
      </c>
      <c r="AC12">
        <v>0</v>
      </c>
      <c r="AD12">
        <v>0</v>
      </c>
      <c r="AE12">
        <v>24.4</v>
      </c>
      <c r="AF12">
        <v>0</v>
      </c>
      <c r="AG12">
        <v>0</v>
      </c>
      <c r="AH12">
        <v>0</v>
      </c>
      <c r="AI12">
        <v>5.19</v>
      </c>
      <c r="AJ12">
        <v>1</v>
      </c>
      <c r="AK12">
        <v>1</v>
      </c>
      <c r="AL12">
        <v>1</v>
      </c>
      <c r="AN12">
        <v>0</v>
      </c>
      <c r="AO12">
        <v>0</v>
      </c>
      <c r="AP12">
        <v>0</v>
      </c>
      <c r="AQ12">
        <v>0</v>
      </c>
      <c r="AR12">
        <v>0</v>
      </c>
      <c r="AS12" t="s">
        <v>5</v>
      </c>
      <c r="AT12">
        <v>990</v>
      </c>
      <c r="AU12" t="s">
        <v>5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5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Y12*Source!I36</f>
        <v>0</v>
      </c>
      <c r="CY12">
        <f>AA12</f>
        <v>136.88999999999999</v>
      </c>
      <c r="CZ12">
        <f>AE12</f>
        <v>24.4</v>
      </c>
      <c r="DA12">
        <f>AI12</f>
        <v>5.19</v>
      </c>
      <c r="DB12">
        <f>ROUND(ROUND(AT12*CZ12,2),6)</f>
        <v>24156</v>
      </c>
      <c r="DC12">
        <f>ROUND(ROUND(AT12*AG12,2),6)</f>
        <v>0</v>
      </c>
    </row>
    <row r="13" spans="1:107" x14ac:dyDescent="0.2">
      <c r="A13">
        <f>ROW(Source!A36)</f>
        <v>36</v>
      </c>
      <c r="B13">
        <v>44175501</v>
      </c>
      <c r="C13">
        <v>44169218</v>
      </c>
      <c r="D13">
        <v>0</v>
      </c>
      <c r="E13">
        <v>1</v>
      </c>
      <c r="F13">
        <v>1</v>
      </c>
      <c r="G13">
        <v>34959076</v>
      </c>
      <c r="H13">
        <v>3</v>
      </c>
      <c r="I13" t="s">
        <v>353</v>
      </c>
      <c r="J13" t="s">
        <v>354</v>
      </c>
      <c r="K13" t="s">
        <v>355</v>
      </c>
      <c r="L13">
        <v>1358</v>
      </c>
      <c r="N13">
        <v>1010</v>
      </c>
      <c r="O13" t="s">
        <v>356</v>
      </c>
      <c r="P13" t="s">
        <v>356</v>
      </c>
      <c r="Q13">
        <v>10</v>
      </c>
      <c r="W13">
        <v>0</v>
      </c>
      <c r="X13">
        <v>118030174</v>
      </c>
      <c r="Y13">
        <v>32</v>
      </c>
      <c r="AA13">
        <v>156.5</v>
      </c>
      <c r="AB13">
        <v>0</v>
      </c>
      <c r="AC13">
        <v>0</v>
      </c>
      <c r="AD13">
        <v>0</v>
      </c>
      <c r="AE13">
        <v>144.77000000000001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5</v>
      </c>
      <c r="AT13">
        <v>32</v>
      </c>
      <c r="AU13" t="s">
        <v>5</v>
      </c>
      <c r="AV13">
        <v>0</v>
      </c>
      <c r="AW13">
        <v>2</v>
      </c>
      <c r="AX13">
        <v>44169230</v>
      </c>
      <c r="AY13">
        <v>1</v>
      </c>
      <c r="AZ13">
        <v>0</v>
      </c>
      <c r="BA13">
        <v>9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Y13*Source!I36</f>
        <v>0</v>
      </c>
      <c r="CY13">
        <f>AA13</f>
        <v>156.5</v>
      </c>
      <c r="CZ13">
        <f>AE13</f>
        <v>144.77000000000001</v>
      </c>
      <c r="DA13">
        <f>AI13</f>
        <v>1</v>
      </c>
      <c r="DB13">
        <f>ROUND(ROUND(AT13*CZ13,2),6)</f>
        <v>4632.6400000000003</v>
      </c>
      <c r="DC13">
        <f>ROUND(ROUND(AT13*AG13,2),6)</f>
        <v>0</v>
      </c>
    </row>
    <row r="14" spans="1:107" x14ac:dyDescent="0.2">
      <c r="A14">
        <f>ROW(Source!A36)</f>
        <v>36</v>
      </c>
      <c r="B14">
        <v>44175501</v>
      </c>
      <c r="C14">
        <v>44169218</v>
      </c>
      <c r="D14">
        <v>34984822</v>
      </c>
      <c r="E14">
        <v>34959076</v>
      </c>
      <c r="F14">
        <v>1</v>
      </c>
      <c r="G14">
        <v>34959076</v>
      </c>
      <c r="H14">
        <v>3</v>
      </c>
      <c r="I14" t="s">
        <v>350</v>
      </c>
      <c r="J14" t="s">
        <v>5</v>
      </c>
      <c r="K14" t="s">
        <v>351</v>
      </c>
      <c r="L14">
        <v>1344</v>
      </c>
      <c r="N14">
        <v>1008</v>
      </c>
      <c r="O14" t="s">
        <v>352</v>
      </c>
      <c r="P14" t="s">
        <v>352</v>
      </c>
      <c r="Q14">
        <v>1</v>
      </c>
      <c r="W14">
        <v>0</v>
      </c>
      <c r="X14">
        <v>-94250534</v>
      </c>
      <c r="Y14">
        <v>61.6</v>
      </c>
      <c r="AA14">
        <v>1.08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5</v>
      </c>
      <c r="AT14">
        <v>61.6</v>
      </c>
      <c r="AU14" t="s">
        <v>5</v>
      </c>
      <c r="AV14">
        <v>0</v>
      </c>
      <c r="AW14">
        <v>2</v>
      </c>
      <c r="AX14">
        <v>44169231</v>
      </c>
      <c r="AY14">
        <v>1</v>
      </c>
      <c r="AZ14">
        <v>0</v>
      </c>
      <c r="BA14">
        <v>10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Y14*Source!I36</f>
        <v>0</v>
      </c>
      <c r="CY14">
        <f>AA14</f>
        <v>1.08</v>
      </c>
      <c r="CZ14">
        <f>AE14</f>
        <v>1</v>
      </c>
      <c r="DA14">
        <f>AI14</f>
        <v>1</v>
      </c>
      <c r="DB14">
        <f>ROUND(ROUND(AT14*CZ14,2),6)</f>
        <v>61.6</v>
      </c>
      <c r="DC14">
        <f>ROUND(ROUND(AT14*AG14,2),6)</f>
        <v>0</v>
      </c>
    </row>
    <row r="15" spans="1:107" x14ac:dyDescent="0.2">
      <c r="A15">
        <f>ROW(Source!A41)</f>
        <v>41</v>
      </c>
      <c r="B15">
        <v>44175501</v>
      </c>
      <c r="C15">
        <v>44169236</v>
      </c>
      <c r="D15">
        <v>34984826</v>
      </c>
      <c r="E15">
        <v>34959076</v>
      </c>
      <c r="F15">
        <v>1</v>
      </c>
      <c r="G15">
        <v>34959076</v>
      </c>
      <c r="H15">
        <v>1</v>
      </c>
      <c r="I15" t="s">
        <v>343</v>
      </c>
      <c r="J15" t="s">
        <v>5</v>
      </c>
      <c r="K15" t="s">
        <v>344</v>
      </c>
      <c r="L15">
        <v>1191</v>
      </c>
      <c r="N15">
        <v>1013</v>
      </c>
      <c r="O15" t="s">
        <v>345</v>
      </c>
      <c r="P15" t="s">
        <v>345</v>
      </c>
      <c r="Q15">
        <v>1</v>
      </c>
      <c r="W15">
        <v>0</v>
      </c>
      <c r="X15">
        <v>476480486</v>
      </c>
      <c r="Y15">
        <v>4.1951999999999989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5</v>
      </c>
      <c r="AT15">
        <v>3.04</v>
      </c>
      <c r="AU15" t="s">
        <v>30</v>
      </c>
      <c r="AV15">
        <v>1</v>
      </c>
      <c r="AW15">
        <v>2</v>
      </c>
      <c r="AX15">
        <v>44169241</v>
      </c>
      <c r="AY15">
        <v>1</v>
      </c>
      <c r="AZ15">
        <v>0</v>
      </c>
      <c r="BA15">
        <v>11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Y15*Source!I41</f>
        <v>749.0738084659198</v>
      </c>
      <c r="CY15">
        <f>AD15</f>
        <v>0</v>
      </c>
      <c r="CZ15">
        <f>AH15</f>
        <v>0</v>
      </c>
      <c r="DA15">
        <f>AL15</f>
        <v>1</v>
      </c>
      <c r="DB15">
        <f>ROUND((ROUND(AT15*CZ15,2)*1.2*1.15),6)</f>
        <v>0</v>
      </c>
      <c r="DC15">
        <f>ROUND((ROUND(AT15*AG15,2)*1.2*1.15),6)</f>
        <v>0</v>
      </c>
    </row>
    <row r="16" spans="1:107" x14ac:dyDescent="0.2">
      <c r="A16">
        <f>ROW(Source!A41)</f>
        <v>41</v>
      </c>
      <c r="B16">
        <v>44175501</v>
      </c>
      <c r="C16">
        <v>44169236</v>
      </c>
      <c r="D16">
        <v>35042233</v>
      </c>
      <c r="E16">
        <v>1</v>
      </c>
      <c r="F16">
        <v>1</v>
      </c>
      <c r="G16">
        <v>34959076</v>
      </c>
      <c r="H16">
        <v>3</v>
      </c>
      <c r="I16" t="s">
        <v>91</v>
      </c>
      <c r="J16" t="s">
        <v>94</v>
      </c>
      <c r="K16" t="s">
        <v>92</v>
      </c>
      <c r="L16">
        <v>1348</v>
      </c>
      <c r="N16">
        <v>1009</v>
      </c>
      <c r="O16" t="s">
        <v>93</v>
      </c>
      <c r="P16" t="s">
        <v>93</v>
      </c>
      <c r="Q16">
        <v>1000</v>
      </c>
      <c r="W16">
        <v>0</v>
      </c>
      <c r="X16">
        <v>1462922659</v>
      </c>
      <c r="Y16">
        <v>1.957E-3</v>
      </c>
      <c r="AA16">
        <v>256482.51</v>
      </c>
      <c r="AB16">
        <v>0</v>
      </c>
      <c r="AC16">
        <v>0</v>
      </c>
      <c r="AD16">
        <v>0</v>
      </c>
      <c r="AE16">
        <v>201954.73</v>
      </c>
      <c r="AF16">
        <v>0</v>
      </c>
      <c r="AG16">
        <v>0</v>
      </c>
      <c r="AH16">
        <v>0</v>
      </c>
      <c r="AI16">
        <v>1.27</v>
      </c>
      <c r="AJ16">
        <v>1</v>
      </c>
      <c r="AK16">
        <v>1</v>
      </c>
      <c r="AL16">
        <v>1</v>
      </c>
      <c r="AN16">
        <v>0</v>
      </c>
      <c r="AO16">
        <v>0</v>
      </c>
      <c r="AP16">
        <v>0</v>
      </c>
      <c r="AQ16">
        <v>0</v>
      </c>
      <c r="AR16">
        <v>0</v>
      </c>
      <c r="AS16" t="s">
        <v>5</v>
      </c>
      <c r="AT16">
        <v>1.957E-3</v>
      </c>
      <c r="AU16" t="s">
        <v>5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5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Y16*Source!I41</f>
        <v>0.34943207550719996</v>
      </c>
      <c r="CY16">
        <f>AA16</f>
        <v>256482.51</v>
      </c>
      <c r="CZ16">
        <f>AE16</f>
        <v>201954.73</v>
      </c>
      <c r="DA16">
        <f>AI16</f>
        <v>1.27</v>
      </c>
      <c r="DB16">
        <f>ROUND(ROUND(AT16*CZ16,2),6)</f>
        <v>395.23</v>
      </c>
      <c r="DC16">
        <f>ROUND(ROUND(AT16*AG16,2),6)</f>
        <v>0</v>
      </c>
    </row>
    <row r="17" spans="1:107" x14ac:dyDescent="0.2">
      <c r="A17">
        <f>ROW(Source!A43)</f>
        <v>43</v>
      </c>
      <c r="B17">
        <v>44175501</v>
      </c>
      <c r="C17">
        <v>44169244</v>
      </c>
      <c r="D17">
        <v>34984826</v>
      </c>
      <c r="E17">
        <v>34959076</v>
      </c>
      <c r="F17">
        <v>1</v>
      </c>
      <c r="G17">
        <v>34959076</v>
      </c>
      <c r="H17">
        <v>1</v>
      </c>
      <c r="I17" t="s">
        <v>343</v>
      </c>
      <c r="J17" t="s">
        <v>5</v>
      </c>
      <c r="K17" t="s">
        <v>344</v>
      </c>
      <c r="L17">
        <v>1191</v>
      </c>
      <c r="N17">
        <v>1013</v>
      </c>
      <c r="O17" t="s">
        <v>345</v>
      </c>
      <c r="P17" t="s">
        <v>345</v>
      </c>
      <c r="Q17">
        <v>1</v>
      </c>
      <c r="W17">
        <v>0</v>
      </c>
      <c r="X17">
        <v>476480486</v>
      </c>
      <c r="Y17">
        <v>284.27999999999997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5</v>
      </c>
      <c r="AT17">
        <v>206</v>
      </c>
      <c r="AU17" t="s">
        <v>30</v>
      </c>
      <c r="AV17">
        <v>1</v>
      </c>
      <c r="AW17">
        <v>2</v>
      </c>
      <c r="AX17">
        <v>44169251</v>
      </c>
      <c r="AY17">
        <v>1</v>
      </c>
      <c r="AZ17">
        <v>0</v>
      </c>
      <c r="BA17">
        <v>13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Y17*Source!I43</f>
        <v>0</v>
      </c>
      <c r="CY17">
        <f>AD17</f>
        <v>0</v>
      </c>
      <c r="CZ17">
        <f>AH17</f>
        <v>0</v>
      </c>
      <c r="DA17">
        <f>AL17</f>
        <v>1</v>
      </c>
      <c r="DB17">
        <f>ROUND((ROUND(AT17*CZ17,2)*1.2*1.15),6)</f>
        <v>0</v>
      </c>
      <c r="DC17">
        <f>ROUND((ROUND(AT17*AG17,2)*1.2*1.15),6)</f>
        <v>0</v>
      </c>
    </row>
    <row r="18" spans="1:107" x14ac:dyDescent="0.2">
      <c r="A18">
        <f>ROW(Source!A43)</f>
        <v>43</v>
      </c>
      <c r="B18">
        <v>44175501</v>
      </c>
      <c r="C18">
        <v>44169244</v>
      </c>
      <c r="D18">
        <v>35065072</v>
      </c>
      <c r="E18">
        <v>1</v>
      </c>
      <c r="F18">
        <v>1</v>
      </c>
      <c r="G18">
        <v>34959076</v>
      </c>
      <c r="H18">
        <v>2</v>
      </c>
      <c r="I18" t="s">
        <v>357</v>
      </c>
      <c r="J18" t="s">
        <v>358</v>
      </c>
      <c r="K18" t="s">
        <v>359</v>
      </c>
      <c r="L18">
        <v>1367</v>
      </c>
      <c r="N18">
        <v>1011</v>
      </c>
      <c r="O18" t="s">
        <v>317</v>
      </c>
      <c r="P18" t="s">
        <v>317</v>
      </c>
      <c r="Q18">
        <v>1</v>
      </c>
      <c r="W18">
        <v>0</v>
      </c>
      <c r="X18">
        <v>-668768829</v>
      </c>
      <c r="Y18">
        <v>138</v>
      </c>
      <c r="AA18">
        <v>0</v>
      </c>
      <c r="AB18">
        <v>444.48</v>
      </c>
      <c r="AC18">
        <v>299.08999999999997</v>
      </c>
      <c r="AD18">
        <v>0</v>
      </c>
      <c r="AE18">
        <v>0</v>
      </c>
      <c r="AF18">
        <v>41.62</v>
      </c>
      <c r="AG18">
        <v>13.33</v>
      </c>
      <c r="AH18">
        <v>0</v>
      </c>
      <c r="AI18">
        <v>1</v>
      </c>
      <c r="AJ18">
        <v>10.199999999999999</v>
      </c>
      <c r="AK18">
        <v>21.43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5</v>
      </c>
      <c r="AT18">
        <v>100</v>
      </c>
      <c r="AU18" t="s">
        <v>30</v>
      </c>
      <c r="AV18">
        <v>0</v>
      </c>
      <c r="AW18">
        <v>2</v>
      </c>
      <c r="AX18">
        <v>44169252</v>
      </c>
      <c r="AY18">
        <v>1</v>
      </c>
      <c r="AZ18">
        <v>0</v>
      </c>
      <c r="BA18">
        <v>14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Y18*Source!I43</f>
        <v>0</v>
      </c>
      <c r="CY18">
        <f>AB18</f>
        <v>444.48</v>
      </c>
      <c r="CZ18">
        <f>AF18</f>
        <v>41.62</v>
      </c>
      <c r="DA18">
        <f>AJ18</f>
        <v>10.199999999999999</v>
      </c>
      <c r="DB18">
        <f>ROUND((ROUND(AT18*CZ18,2)*1.2*1.15),6)</f>
        <v>5743.56</v>
      </c>
      <c r="DC18">
        <f>ROUND((ROUND(AT18*AG18,2)*1.2*1.15),6)</f>
        <v>1839.54</v>
      </c>
    </row>
    <row r="19" spans="1:107" x14ac:dyDescent="0.2">
      <c r="A19">
        <f>ROW(Source!A43)</f>
        <v>43</v>
      </c>
      <c r="B19">
        <v>44175501</v>
      </c>
      <c r="C19">
        <v>44169244</v>
      </c>
      <c r="D19">
        <v>35065539</v>
      </c>
      <c r="E19">
        <v>1</v>
      </c>
      <c r="F19">
        <v>1</v>
      </c>
      <c r="G19">
        <v>34959076</v>
      </c>
      <c r="H19">
        <v>2</v>
      </c>
      <c r="I19" t="s">
        <v>360</v>
      </c>
      <c r="J19" t="s">
        <v>361</v>
      </c>
      <c r="K19" t="s">
        <v>362</v>
      </c>
      <c r="L19">
        <v>1367</v>
      </c>
      <c r="N19">
        <v>1011</v>
      </c>
      <c r="O19" t="s">
        <v>317</v>
      </c>
      <c r="P19" t="s">
        <v>317</v>
      </c>
      <c r="Q19">
        <v>1</v>
      </c>
      <c r="W19">
        <v>0</v>
      </c>
      <c r="X19">
        <v>-48163219</v>
      </c>
      <c r="Y19">
        <v>276</v>
      </c>
      <c r="AA19">
        <v>0</v>
      </c>
      <c r="AB19">
        <v>5.56</v>
      </c>
      <c r="AC19">
        <v>0.9</v>
      </c>
      <c r="AD19">
        <v>0</v>
      </c>
      <c r="AE19">
        <v>0</v>
      </c>
      <c r="AF19">
        <v>3.16</v>
      </c>
      <c r="AG19">
        <v>0.04</v>
      </c>
      <c r="AH19">
        <v>0</v>
      </c>
      <c r="AI19">
        <v>1</v>
      </c>
      <c r="AJ19">
        <v>1.68</v>
      </c>
      <c r="AK19">
        <v>21.43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5</v>
      </c>
      <c r="AT19">
        <v>200</v>
      </c>
      <c r="AU19" t="s">
        <v>30</v>
      </c>
      <c r="AV19">
        <v>0</v>
      </c>
      <c r="AW19">
        <v>2</v>
      </c>
      <c r="AX19">
        <v>44169253</v>
      </c>
      <c r="AY19">
        <v>1</v>
      </c>
      <c r="AZ19">
        <v>0</v>
      </c>
      <c r="BA19">
        <v>15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Y19*Source!I43</f>
        <v>0</v>
      </c>
      <c r="CY19">
        <f>AB19</f>
        <v>5.56</v>
      </c>
      <c r="CZ19">
        <f>AF19</f>
        <v>3.16</v>
      </c>
      <c r="DA19">
        <f>AJ19</f>
        <v>1.68</v>
      </c>
      <c r="DB19">
        <f>ROUND((ROUND(AT19*CZ19,2)*1.2*1.15),6)</f>
        <v>872.16</v>
      </c>
      <c r="DC19">
        <f>ROUND((ROUND(AT19*AG19,2)*1.2*1.15),6)</f>
        <v>11.04</v>
      </c>
    </row>
    <row r="20" spans="1:107" x14ac:dyDescent="0.2">
      <c r="A20">
        <f>ROW(Source!A44)</f>
        <v>44</v>
      </c>
      <c r="B20">
        <v>44175501</v>
      </c>
      <c r="C20">
        <v>44169254</v>
      </c>
      <c r="D20">
        <v>34984826</v>
      </c>
      <c r="E20">
        <v>34959076</v>
      </c>
      <c r="F20">
        <v>1</v>
      </c>
      <c r="G20">
        <v>34959076</v>
      </c>
      <c r="H20">
        <v>1</v>
      </c>
      <c r="I20" t="s">
        <v>343</v>
      </c>
      <c r="J20" t="s">
        <v>5</v>
      </c>
      <c r="K20" t="s">
        <v>344</v>
      </c>
      <c r="L20">
        <v>1191</v>
      </c>
      <c r="N20">
        <v>1013</v>
      </c>
      <c r="O20" t="s">
        <v>345</v>
      </c>
      <c r="P20" t="s">
        <v>345</v>
      </c>
      <c r="Q20">
        <v>1</v>
      </c>
      <c r="W20">
        <v>0</v>
      </c>
      <c r="X20">
        <v>476480486</v>
      </c>
      <c r="Y20">
        <v>182.16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5</v>
      </c>
      <c r="AT20">
        <v>132</v>
      </c>
      <c r="AU20" t="s">
        <v>30</v>
      </c>
      <c r="AV20">
        <v>1</v>
      </c>
      <c r="AW20">
        <v>2</v>
      </c>
      <c r="AX20">
        <v>44169267</v>
      </c>
      <c r="AY20">
        <v>1</v>
      </c>
      <c r="AZ20">
        <v>0</v>
      </c>
      <c r="BA20">
        <v>16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Y20*Source!I44</f>
        <v>0</v>
      </c>
      <c r="CY20">
        <f>AD20</f>
        <v>0</v>
      </c>
      <c r="CZ20">
        <f>AH20</f>
        <v>0</v>
      </c>
      <c r="DA20">
        <f>AL20</f>
        <v>1</v>
      </c>
      <c r="DB20">
        <f>ROUND((ROUND(AT20*CZ20,2)*1.2*1.15),6)</f>
        <v>0</v>
      </c>
      <c r="DC20">
        <f>ROUND((ROUND(AT20*AG20,2)*1.2*1.15),6)</f>
        <v>0</v>
      </c>
    </row>
    <row r="21" spans="1:107" x14ac:dyDescent="0.2">
      <c r="A21">
        <f>ROW(Source!A44)</f>
        <v>44</v>
      </c>
      <c r="B21">
        <v>44175501</v>
      </c>
      <c r="C21">
        <v>44169254</v>
      </c>
      <c r="D21">
        <v>0</v>
      </c>
      <c r="E21">
        <v>1</v>
      </c>
      <c r="F21">
        <v>1</v>
      </c>
      <c r="G21">
        <v>34959076</v>
      </c>
      <c r="H21">
        <v>3</v>
      </c>
      <c r="I21" t="s">
        <v>363</v>
      </c>
      <c r="J21" t="s">
        <v>364</v>
      </c>
      <c r="K21" t="s">
        <v>365</v>
      </c>
      <c r="L21">
        <v>1348</v>
      </c>
      <c r="N21">
        <v>1009</v>
      </c>
      <c r="O21" t="s">
        <v>93</v>
      </c>
      <c r="P21" t="s">
        <v>93</v>
      </c>
      <c r="Q21">
        <v>1000</v>
      </c>
      <c r="W21">
        <v>0</v>
      </c>
      <c r="X21">
        <v>-1423428334</v>
      </c>
      <c r="Y21">
        <v>6.0000000000000001E-3</v>
      </c>
      <c r="AA21">
        <v>6534.46</v>
      </c>
      <c r="AB21">
        <v>0</v>
      </c>
      <c r="AC21">
        <v>0</v>
      </c>
      <c r="AD21">
        <v>0</v>
      </c>
      <c r="AE21">
        <v>6521.42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5</v>
      </c>
      <c r="AT21">
        <v>6.0000000000000001E-3</v>
      </c>
      <c r="AU21" t="s">
        <v>5</v>
      </c>
      <c r="AV21">
        <v>0</v>
      </c>
      <c r="AW21">
        <v>2</v>
      </c>
      <c r="AX21">
        <v>44169268</v>
      </c>
      <c r="AY21">
        <v>1</v>
      </c>
      <c r="AZ21">
        <v>0</v>
      </c>
      <c r="BA21">
        <v>17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Y21*Source!I44</f>
        <v>0</v>
      </c>
      <c r="CY21">
        <f t="shared" ref="CY21:CY27" si="0">AA21</f>
        <v>6534.46</v>
      </c>
      <c r="CZ21">
        <f t="shared" ref="CZ21:CZ27" si="1">AE21</f>
        <v>6521.42</v>
      </c>
      <c r="DA21">
        <f t="shared" ref="DA21:DA27" si="2">AI21</f>
        <v>1</v>
      </c>
      <c r="DB21">
        <f t="shared" ref="DB21:DB27" si="3">ROUND(ROUND(AT21*CZ21,2),6)</f>
        <v>39.130000000000003</v>
      </c>
      <c r="DC21">
        <f t="shared" ref="DC21:DC27" si="4">ROUND(ROUND(AT21*AG21,2),6)</f>
        <v>0</v>
      </c>
    </row>
    <row r="22" spans="1:107" x14ac:dyDescent="0.2">
      <c r="A22">
        <f>ROW(Source!A44)</f>
        <v>44</v>
      </c>
      <c r="B22">
        <v>44175501</v>
      </c>
      <c r="C22">
        <v>44169254</v>
      </c>
      <c r="D22">
        <v>0</v>
      </c>
      <c r="E22">
        <v>1</v>
      </c>
      <c r="F22">
        <v>1</v>
      </c>
      <c r="G22">
        <v>34959076</v>
      </c>
      <c r="H22">
        <v>3</v>
      </c>
      <c r="I22" t="s">
        <v>366</v>
      </c>
      <c r="J22" t="s">
        <v>367</v>
      </c>
      <c r="K22" t="s">
        <v>368</v>
      </c>
      <c r="L22">
        <v>1339</v>
      </c>
      <c r="N22">
        <v>1007</v>
      </c>
      <c r="O22" t="s">
        <v>40</v>
      </c>
      <c r="P22" t="s">
        <v>40</v>
      </c>
      <c r="Q22">
        <v>1</v>
      </c>
      <c r="W22">
        <v>0</v>
      </c>
      <c r="X22">
        <v>-744383497</v>
      </c>
      <c r="Y22">
        <v>1.7999999999999999E-2</v>
      </c>
      <c r="AA22">
        <v>1832.22</v>
      </c>
      <c r="AB22">
        <v>0</v>
      </c>
      <c r="AC22">
        <v>0</v>
      </c>
      <c r="AD22">
        <v>0</v>
      </c>
      <c r="AE22">
        <v>1828.56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5</v>
      </c>
      <c r="AT22">
        <v>1.7999999999999999E-2</v>
      </c>
      <c r="AU22" t="s">
        <v>5</v>
      </c>
      <c r="AV22">
        <v>0</v>
      </c>
      <c r="AW22">
        <v>2</v>
      </c>
      <c r="AX22">
        <v>44169269</v>
      </c>
      <c r="AY22">
        <v>1</v>
      </c>
      <c r="AZ22">
        <v>0</v>
      </c>
      <c r="BA22">
        <v>18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Y22*Source!I44</f>
        <v>0</v>
      </c>
      <c r="CY22">
        <f t="shared" si="0"/>
        <v>1832.22</v>
      </c>
      <c r="CZ22">
        <f t="shared" si="1"/>
        <v>1828.56</v>
      </c>
      <c r="DA22">
        <f t="shared" si="2"/>
        <v>1</v>
      </c>
      <c r="DB22">
        <f t="shared" si="3"/>
        <v>32.909999999999997</v>
      </c>
      <c r="DC22">
        <f t="shared" si="4"/>
        <v>0</v>
      </c>
    </row>
    <row r="23" spans="1:107" x14ac:dyDescent="0.2">
      <c r="A23">
        <f>ROW(Source!A44)</f>
        <v>44</v>
      </c>
      <c r="B23">
        <v>44175501</v>
      </c>
      <c r="C23">
        <v>44169254</v>
      </c>
      <c r="D23">
        <v>0</v>
      </c>
      <c r="E23">
        <v>1</v>
      </c>
      <c r="F23">
        <v>1</v>
      </c>
      <c r="G23">
        <v>34959076</v>
      </c>
      <c r="H23">
        <v>3</v>
      </c>
      <c r="I23" t="s">
        <v>369</v>
      </c>
      <c r="J23" t="s">
        <v>370</v>
      </c>
      <c r="K23" t="s">
        <v>371</v>
      </c>
      <c r="L23">
        <v>1339</v>
      </c>
      <c r="N23">
        <v>1007</v>
      </c>
      <c r="O23" t="s">
        <v>40</v>
      </c>
      <c r="P23" t="s">
        <v>40</v>
      </c>
      <c r="Q23">
        <v>1</v>
      </c>
      <c r="W23">
        <v>0</v>
      </c>
      <c r="X23">
        <v>-1465408360</v>
      </c>
      <c r="Y23">
        <v>0.3</v>
      </c>
      <c r="AA23">
        <v>2477.0700000000002</v>
      </c>
      <c r="AB23">
        <v>0</v>
      </c>
      <c r="AC23">
        <v>0</v>
      </c>
      <c r="AD23">
        <v>0</v>
      </c>
      <c r="AE23">
        <v>2472.13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5</v>
      </c>
      <c r="AT23">
        <v>0.3</v>
      </c>
      <c r="AU23" t="s">
        <v>5</v>
      </c>
      <c r="AV23">
        <v>0</v>
      </c>
      <c r="AW23">
        <v>2</v>
      </c>
      <c r="AX23">
        <v>44169270</v>
      </c>
      <c r="AY23">
        <v>1</v>
      </c>
      <c r="AZ23">
        <v>0</v>
      </c>
      <c r="BA23">
        <v>19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Y23*Source!I44</f>
        <v>0</v>
      </c>
      <c r="CY23">
        <f t="shared" si="0"/>
        <v>2477.0700000000002</v>
      </c>
      <c r="CZ23">
        <f t="shared" si="1"/>
        <v>2472.13</v>
      </c>
      <c r="DA23">
        <f t="shared" si="2"/>
        <v>1</v>
      </c>
      <c r="DB23">
        <f t="shared" si="3"/>
        <v>741.64</v>
      </c>
      <c r="DC23">
        <f t="shared" si="4"/>
        <v>0</v>
      </c>
    </row>
    <row r="24" spans="1:107" x14ac:dyDescent="0.2">
      <c r="A24">
        <f>ROW(Source!A44)</f>
        <v>44</v>
      </c>
      <c r="B24">
        <v>44175501</v>
      </c>
      <c r="C24">
        <v>44169254</v>
      </c>
      <c r="D24">
        <v>0</v>
      </c>
      <c r="E24">
        <v>1</v>
      </c>
      <c r="F24">
        <v>1</v>
      </c>
      <c r="G24">
        <v>34959076</v>
      </c>
      <c r="H24">
        <v>3</v>
      </c>
      <c r="I24" t="s">
        <v>372</v>
      </c>
      <c r="J24" t="s">
        <v>373</v>
      </c>
      <c r="K24" t="s">
        <v>374</v>
      </c>
      <c r="L24">
        <v>1348</v>
      </c>
      <c r="N24">
        <v>1009</v>
      </c>
      <c r="O24" t="s">
        <v>93</v>
      </c>
      <c r="P24" t="s">
        <v>93</v>
      </c>
      <c r="Q24">
        <v>1000</v>
      </c>
      <c r="W24">
        <v>0</v>
      </c>
      <c r="X24">
        <v>-585987528</v>
      </c>
      <c r="Y24">
        <v>5.4000000000000003E-3</v>
      </c>
      <c r="AA24">
        <v>9116.7099999999991</v>
      </c>
      <c r="AB24">
        <v>0</v>
      </c>
      <c r="AC24">
        <v>0</v>
      </c>
      <c r="AD24">
        <v>0</v>
      </c>
      <c r="AE24">
        <v>9098.51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5</v>
      </c>
      <c r="AT24">
        <v>5.4000000000000003E-3</v>
      </c>
      <c r="AU24" t="s">
        <v>5</v>
      </c>
      <c r="AV24">
        <v>0</v>
      </c>
      <c r="AW24">
        <v>2</v>
      </c>
      <c r="AX24">
        <v>44169271</v>
      </c>
      <c r="AY24">
        <v>1</v>
      </c>
      <c r="AZ24">
        <v>0</v>
      </c>
      <c r="BA24">
        <v>20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Y24*Source!I44</f>
        <v>0</v>
      </c>
      <c r="CY24">
        <f t="shared" si="0"/>
        <v>9116.7099999999991</v>
      </c>
      <c r="CZ24">
        <f t="shared" si="1"/>
        <v>9098.51</v>
      </c>
      <c r="DA24">
        <f t="shared" si="2"/>
        <v>1</v>
      </c>
      <c r="DB24">
        <f t="shared" si="3"/>
        <v>49.13</v>
      </c>
      <c r="DC24">
        <f t="shared" si="4"/>
        <v>0</v>
      </c>
    </row>
    <row r="25" spans="1:107" x14ac:dyDescent="0.2">
      <c r="A25">
        <f>ROW(Source!A44)</f>
        <v>44</v>
      </c>
      <c r="B25">
        <v>44175501</v>
      </c>
      <c r="C25">
        <v>44169254</v>
      </c>
      <c r="D25">
        <v>35058768</v>
      </c>
      <c r="E25">
        <v>1</v>
      </c>
      <c r="F25">
        <v>1</v>
      </c>
      <c r="G25">
        <v>34959076</v>
      </c>
      <c r="H25">
        <v>3</v>
      </c>
      <c r="I25" t="s">
        <v>107</v>
      </c>
      <c r="J25" t="s">
        <v>109</v>
      </c>
      <c r="K25" t="s">
        <v>108</v>
      </c>
      <c r="L25">
        <v>1339</v>
      </c>
      <c r="N25">
        <v>1007</v>
      </c>
      <c r="O25" t="s">
        <v>40</v>
      </c>
      <c r="P25" t="s">
        <v>40</v>
      </c>
      <c r="Q25">
        <v>1</v>
      </c>
      <c r="W25">
        <v>0</v>
      </c>
      <c r="X25">
        <v>412444006</v>
      </c>
      <c r="Y25">
        <v>0.41599999999999998</v>
      </c>
      <c r="AA25">
        <v>3860.4</v>
      </c>
      <c r="AB25">
        <v>0</v>
      </c>
      <c r="AC25">
        <v>0</v>
      </c>
      <c r="AD25">
        <v>0</v>
      </c>
      <c r="AE25">
        <v>517.14</v>
      </c>
      <c r="AF25">
        <v>0</v>
      </c>
      <c r="AG25">
        <v>0</v>
      </c>
      <c r="AH25">
        <v>0</v>
      </c>
      <c r="AI25">
        <v>7.45</v>
      </c>
      <c r="AJ25">
        <v>1</v>
      </c>
      <c r="AK25">
        <v>1</v>
      </c>
      <c r="AL25">
        <v>1</v>
      </c>
      <c r="AN25">
        <v>0</v>
      </c>
      <c r="AO25">
        <v>0</v>
      </c>
      <c r="AP25">
        <v>0</v>
      </c>
      <c r="AQ25">
        <v>0</v>
      </c>
      <c r="AR25">
        <v>0</v>
      </c>
      <c r="AS25" t="s">
        <v>5</v>
      </c>
      <c r="AT25">
        <v>0.41599999999999998</v>
      </c>
      <c r="AU25" t="s">
        <v>5</v>
      </c>
      <c r="AV25">
        <v>0</v>
      </c>
      <c r="AW25">
        <v>1</v>
      </c>
      <c r="AX25">
        <v>-1</v>
      </c>
      <c r="AY25">
        <v>0</v>
      </c>
      <c r="AZ25">
        <v>0</v>
      </c>
      <c r="BA25" t="s">
        <v>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Y25*Source!I44</f>
        <v>0</v>
      </c>
      <c r="CY25">
        <f t="shared" si="0"/>
        <v>3860.4</v>
      </c>
      <c r="CZ25">
        <f t="shared" si="1"/>
        <v>517.14</v>
      </c>
      <c r="DA25">
        <f t="shared" si="2"/>
        <v>7.45</v>
      </c>
      <c r="DB25">
        <f t="shared" si="3"/>
        <v>215.13</v>
      </c>
      <c r="DC25">
        <f t="shared" si="4"/>
        <v>0</v>
      </c>
    </row>
    <row r="26" spans="1:107" x14ac:dyDescent="0.2">
      <c r="A26">
        <f>ROW(Source!A85)</f>
        <v>85</v>
      </c>
      <c r="B26">
        <v>44175501</v>
      </c>
      <c r="C26">
        <v>44169278</v>
      </c>
      <c r="D26">
        <v>0</v>
      </c>
      <c r="E26">
        <v>1</v>
      </c>
      <c r="F26">
        <v>1</v>
      </c>
      <c r="G26">
        <v>34959076</v>
      </c>
      <c r="H26">
        <v>3</v>
      </c>
      <c r="I26" t="s">
        <v>38</v>
      </c>
      <c r="J26" t="s">
        <v>346</v>
      </c>
      <c r="K26" t="s">
        <v>347</v>
      </c>
      <c r="L26">
        <v>1339</v>
      </c>
      <c r="N26">
        <v>1007</v>
      </c>
      <c r="O26" t="s">
        <v>40</v>
      </c>
      <c r="P26" t="s">
        <v>40</v>
      </c>
      <c r="Q26">
        <v>1</v>
      </c>
      <c r="W26">
        <v>0</v>
      </c>
      <c r="X26">
        <v>-419971176</v>
      </c>
      <c r="Y26">
        <v>7.7968679999999999</v>
      </c>
      <c r="AA26">
        <v>113.49</v>
      </c>
      <c r="AB26">
        <v>0</v>
      </c>
      <c r="AC26">
        <v>0</v>
      </c>
      <c r="AD26">
        <v>0</v>
      </c>
      <c r="AE26">
        <v>104.99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0</v>
      </c>
      <c r="AP26">
        <v>0</v>
      </c>
      <c r="AQ26">
        <v>0</v>
      </c>
      <c r="AR26">
        <v>0</v>
      </c>
      <c r="AS26" t="s">
        <v>5</v>
      </c>
      <c r="AT26">
        <v>7.7968679999999999</v>
      </c>
      <c r="AU26" t="s">
        <v>5</v>
      </c>
      <c r="AV26">
        <v>0</v>
      </c>
      <c r="AW26">
        <v>1</v>
      </c>
      <c r="AX26">
        <v>-1</v>
      </c>
      <c r="AY26">
        <v>0</v>
      </c>
      <c r="AZ26">
        <v>0</v>
      </c>
      <c r="BA26" t="s">
        <v>5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Y26*Source!I85</f>
        <v>17.075140919999999</v>
      </c>
      <c r="CY26">
        <f t="shared" si="0"/>
        <v>113.49</v>
      </c>
      <c r="CZ26">
        <f t="shared" si="1"/>
        <v>104.99</v>
      </c>
      <c r="DA26">
        <f t="shared" si="2"/>
        <v>1</v>
      </c>
      <c r="DB26">
        <f t="shared" si="3"/>
        <v>818.59</v>
      </c>
      <c r="DC26">
        <f t="shared" si="4"/>
        <v>0</v>
      </c>
    </row>
    <row r="27" spans="1:107" x14ac:dyDescent="0.2">
      <c r="A27">
        <f>ROW(Source!A86)</f>
        <v>86</v>
      </c>
      <c r="B27">
        <v>44175501</v>
      </c>
      <c r="C27">
        <v>44169281</v>
      </c>
      <c r="D27">
        <v>0</v>
      </c>
      <c r="E27">
        <v>1</v>
      </c>
      <c r="F27">
        <v>1</v>
      </c>
      <c r="G27">
        <v>34959076</v>
      </c>
      <c r="H27">
        <v>3</v>
      </c>
      <c r="I27" t="s">
        <v>38</v>
      </c>
      <c r="J27" t="s">
        <v>346</v>
      </c>
      <c r="K27" t="s">
        <v>347</v>
      </c>
      <c r="L27">
        <v>1339</v>
      </c>
      <c r="N27">
        <v>1007</v>
      </c>
      <c r="O27" t="s">
        <v>40</v>
      </c>
      <c r="P27" t="s">
        <v>40</v>
      </c>
      <c r="Q27">
        <v>1</v>
      </c>
      <c r="W27">
        <v>0</v>
      </c>
      <c r="X27">
        <v>-419971176</v>
      </c>
      <c r="Y27">
        <v>7.7968679999999999</v>
      </c>
      <c r="AA27">
        <v>113.49</v>
      </c>
      <c r="AB27">
        <v>0</v>
      </c>
      <c r="AC27">
        <v>0</v>
      </c>
      <c r="AD27">
        <v>0</v>
      </c>
      <c r="AE27">
        <v>104.99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0</v>
      </c>
      <c r="AP27">
        <v>0</v>
      </c>
      <c r="AQ27">
        <v>0</v>
      </c>
      <c r="AR27">
        <v>0</v>
      </c>
      <c r="AS27" t="s">
        <v>5</v>
      </c>
      <c r="AT27">
        <v>7.7968679999999999</v>
      </c>
      <c r="AU27" t="s">
        <v>5</v>
      </c>
      <c r="AV27">
        <v>0</v>
      </c>
      <c r="AW27">
        <v>1</v>
      </c>
      <c r="AX27">
        <v>-1</v>
      </c>
      <c r="AY27">
        <v>0</v>
      </c>
      <c r="AZ27">
        <v>0</v>
      </c>
      <c r="BA27" t="s">
        <v>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Y27*Source!I86</f>
        <v>0</v>
      </c>
      <c r="CY27">
        <f t="shared" si="0"/>
        <v>113.49</v>
      </c>
      <c r="CZ27">
        <f t="shared" si="1"/>
        <v>104.99</v>
      </c>
      <c r="DA27">
        <f t="shared" si="2"/>
        <v>1</v>
      </c>
      <c r="DB27">
        <f t="shared" si="3"/>
        <v>818.59</v>
      </c>
      <c r="DC27">
        <f t="shared" si="4"/>
        <v>0</v>
      </c>
    </row>
    <row r="28" spans="1:107" x14ac:dyDescent="0.2">
      <c r="A28">
        <f>ROW(Source!A90)</f>
        <v>90</v>
      </c>
      <c r="B28">
        <v>44175501</v>
      </c>
      <c r="C28">
        <v>44169291</v>
      </c>
      <c r="D28">
        <v>34984826</v>
      </c>
      <c r="E28">
        <v>34959076</v>
      </c>
      <c r="F28">
        <v>1</v>
      </c>
      <c r="G28">
        <v>34959076</v>
      </c>
      <c r="H28">
        <v>1</v>
      </c>
      <c r="I28" t="s">
        <v>343</v>
      </c>
      <c r="J28" t="s">
        <v>5</v>
      </c>
      <c r="K28" t="s">
        <v>344</v>
      </c>
      <c r="L28">
        <v>1191</v>
      </c>
      <c r="N28">
        <v>1013</v>
      </c>
      <c r="O28" t="s">
        <v>345</v>
      </c>
      <c r="P28" t="s">
        <v>345</v>
      </c>
      <c r="Q28">
        <v>1</v>
      </c>
      <c r="W28">
        <v>0</v>
      </c>
      <c r="X28">
        <v>476480486</v>
      </c>
      <c r="Y28">
        <v>34.223999999999997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5</v>
      </c>
      <c r="AT28">
        <v>24.8</v>
      </c>
      <c r="AU28" t="s">
        <v>30</v>
      </c>
      <c r="AV28">
        <v>1</v>
      </c>
      <c r="AW28">
        <v>2</v>
      </c>
      <c r="AX28">
        <v>44169293</v>
      </c>
      <c r="AY28">
        <v>1</v>
      </c>
      <c r="AZ28">
        <v>0</v>
      </c>
      <c r="BA28">
        <v>30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Y28*Source!I90</f>
        <v>626.25813119999998</v>
      </c>
      <c r="CY28">
        <f t="shared" ref="CY28:CY34" si="5">AD28</f>
        <v>0</v>
      </c>
      <c r="CZ28">
        <f t="shared" ref="CZ28:CZ34" si="6">AH28</f>
        <v>0</v>
      </c>
      <c r="DA28">
        <f t="shared" ref="DA28:DA34" si="7">AL28</f>
        <v>1</v>
      </c>
      <c r="DB28">
        <f t="shared" ref="DB28:DB34" si="8">ROUND((ROUND(AT28*CZ28,2)*1.2*1.15),6)</f>
        <v>0</v>
      </c>
      <c r="DC28">
        <f t="shared" ref="DC28:DC34" si="9">ROUND((ROUND(AT28*AG28,2)*1.2*1.15),6)</f>
        <v>0</v>
      </c>
    </row>
    <row r="29" spans="1:107" x14ac:dyDescent="0.2">
      <c r="A29">
        <f>ROW(Source!A91)</f>
        <v>91</v>
      </c>
      <c r="B29">
        <v>44175501</v>
      </c>
      <c r="C29">
        <v>44169294</v>
      </c>
      <c r="D29">
        <v>34984826</v>
      </c>
      <c r="E29">
        <v>34959076</v>
      </c>
      <c r="F29">
        <v>1</v>
      </c>
      <c r="G29">
        <v>34959076</v>
      </c>
      <c r="H29">
        <v>1</v>
      </c>
      <c r="I29" t="s">
        <v>343</v>
      </c>
      <c r="J29" t="s">
        <v>5</v>
      </c>
      <c r="K29" t="s">
        <v>344</v>
      </c>
      <c r="L29">
        <v>1191</v>
      </c>
      <c r="N29">
        <v>1013</v>
      </c>
      <c r="O29" t="s">
        <v>345</v>
      </c>
      <c r="P29" t="s">
        <v>345</v>
      </c>
      <c r="Q29">
        <v>1</v>
      </c>
      <c r="W29">
        <v>0</v>
      </c>
      <c r="X29">
        <v>476480486</v>
      </c>
      <c r="Y29">
        <v>34.223999999999997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5</v>
      </c>
      <c r="AT29">
        <v>24.8</v>
      </c>
      <c r="AU29" t="s">
        <v>30</v>
      </c>
      <c r="AV29">
        <v>1</v>
      </c>
      <c r="AW29">
        <v>2</v>
      </c>
      <c r="AX29">
        <v>44169296</v>
      </c>
      <c r="AY29">
        <v>1</v>
      </c>
      <c r="AZ29">
        <v>0</v>
      </c>
      <c r="BA29">
        <v>31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Y29*Source!I91</f>
        <v>213.63989759999998</v>
      </c>
      <c r="CY29">
        <f t="shared" si="5"/>
        <v>0</v>
      </c>
      <c r="CZ29">
        <f t="shared" si="6"/>
        <v>0</v>
      </c>
      <c r="DA29">
        <f t="shared" si="7"/>
        <v>1</v>
      </c>
      <c r="DB29">
        <f t="shared" si="8"/>
        <v>0</v>
      </c>
      <c r="DC29">
        <f t="shared" si="9"/>
        <v>0</v>
      </c>
    </row>
    <row r="30" spans="1:107" x14ac:dyDescent="0.2">
      <c r="A30">
        <f>ROW(Source!A92)</f>
        <v>92</v>
      </c>
      <c r="B30">
        <v>44175501</v>
      </c>
      <c r="C30">
        <v>44169297</v>
      </c>
      <c r="D30">
        <v>34984826</v>
      </c>
      <c r="E30">
        <v>34959076</v>
      </c>
      <c r="F30">
        <v>1</v>
      </c>
      <c r="G30">
        <v>34959076</v>
      </c>
      <c r="H30">
        <v>1</v>
      </c>
      <c r="I30" t="s">
        <v>343</v>
      </c>
      <c r="J30" t="s">
        <v>5</v>
      </c>
      <c r="K30" t="s">
        <v>344</v>
      </c>
      <c r="L30">
        <v>1191</v>
      </c>
      <c r="N30">
        <v>1013</v>
      </c>
      <c r="O30" t="s">
        <v>345</v>
      </c>
      <c r="P30" t="s">
        <v>345</v>
      </c>
      <c r="Q30">
        <v>1</v>
      </c>
      <c r="W30">
        <v>0</v>
      </c>
      <c r="X30">
        <v>476480486</v>
      </c>
      <c r="Y30">
        <v>34.223999999999997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5</v>
      </c>
      <c r="AT30">
        <v>24.8</v>
      </c>
      <c r="AU30" t="s">
        <v>30</v>
      </c>
      <c r="AV30">
        <v>1</v>
      </c>
      <c r="AW30">
        <v>2</v>
      </c>
      <c r="AX30">
        <v>44169299</v>
      </c>
      <c r="AY30">
        <v>1</v>
      </c>
      <c r="AZ30">
        <v>0</v>
      </c>
      <c r="BA30">
        <v>32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Y30*Source!I92</f>
        <v>0</v>
      </c>
      <c r="CY30">
        <f t="shared" si="5"/>
        <v>0</v>
      </c>
      <c r="CZ30">
        <f t="shared" si="6"/>
        <v>0</v>
      </c>
      <c r="DA30">
        <f t="shared" si="7"/>
        <v>1</v>
      </c>
      <c r="DB30">
        <f t="shared" si="8"/>
        <v>0</v>
      </c>
      <c r="DC30">
        <f t="shared" si="9"/>
        <v>0</v>
      </c>
    </row>
    <row r="31" spans="1:107" x14ac:dyDescent="0.2">
      <c r="A31">
        <f>ROW(Source!A94)</f>
        <v>94</v>
      </c>
      <c r="B31">
        <v>44175501</v>
      </c>
      <c r="C31">
        <v>44169303</v>
      </c>
      <c r="D31">
        <v>34984826</v>
      </c>
      <c r="E31">
        <v>34959076</v>
      </c>
      <c r="F31">
        <v>1</v>
      </c>
      <c r="G31">
        <v>34959076</v>
      </c>
      <c r="H31">
        <v>1</v>
      </c>
      <c r="I31" t="s">
        <v>343</v>
      </c>
      <c r="J31" t="s">
        <v>5</v>
      </c>
      <c r="K31" t="s">
        <v>344</v>
      </c>
      <c r="L31">
        <v>1191</v>
      </c>
      <c r="N31">
        <v>1013</v>
      </c>
      <c r="O31" t="s">
        <v>345</v>
      </c>
      <c r="P31" t="s">
        <v>345</v>
      </c>
      <c r="Q31">
        <v>1</v>
      </c>
      <c r="W31">
        <v>0</v>
      </c>
      <c r="X31">
        <v>476480486</v>
      </c>
      <c r="Y31">
        <v>15.179999999999998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5</v>
      </c>
      <c r="AT31">
        <v>11</v>
      </c>
      <c r="AU31" t="s">
        <v>30</v>
      </c>
      <c r="AV31">
        <v>1</v>
      </c>
      <c r="AW31">
        <v>2</v>
      </c>
      <c r="AX31">
        <v>44169305</v>
      </c>
      <c r="AY31">
        <v>1</v>
      </c>
      <c r="AZ31">
        <v>0</v>
      </c>
      <c r="BA31">
        <v>35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Y31*Source!I94</f>
        <v>4.5539999999999994</v>
      </c>
      <c r="CY31">
        <f t="shared" si="5"/>
        <v>0</v>
      </c>
      <c r="CZ31">
        <f t="shared" si="6"/>
        <v>0</v>
      </c>
      <c r="DA31">
        <f t="shared" si="7"/>
        <v>1</v>
      </c>
      <c r="DB31">
        <f t="shared" si="8"/>
        <v>0</v>
      </c>
      <c r="DC31">
        <f t="shared" si="9"/>
        <v>0</v>
      </c>
    </row>
    <row r="32" spans="1:107" x14ac:dyDescent="0.2">
      <c r="A32">
        <f>ROW(Source!A95)</f>
        <v>95</v>
      </c>
      <c r="B32">
        <v>44175501</v>
      </c>
      <c r="C32">
        <v>44169306</v>
      </c>
      <c r="D32">
        <v>34984826</v>
      </c>
      <c r="E32">
        <v>34959076</v>
      </c>
      <c r="F32">
        <v>1</v>
      </c>
      <c r="G32">
        <v>34959076</v>
      </c>
      <c r="H32">
        <v>1</v>
      </c>
      <c r="I32" t="s">
        <v>343</v>
      </c>
      <c r="J32" t="s">
        <v>5</v>
      </c>
      <c r="K32" t="s">
        <v>344</v>
      </c>
      <c r="L32">
        <v>1191</v>
      </c>
      <c r="N32">
        <v>1013</v>
      </c>
      <c r="O32" t="s">
        <v>345</v>
      </c>
      <c r="P32" t="s">
        <v>345</v>
      </c>
      <c r="Q32">
        <v>1</v>
      </c>
      <c r="W32">
        <v>0</v>
      </c>
      <c r="X32">
        <v>476480486</v>
      </c>
      <c r="Y32">
        <v>15.179999999999998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5</v>
      </c>
      <c r="AT32">
        <v>11</v>
      </c>
      <c r="AU32" t="s">
        <v>30</v>
      </c>
      <c r="AV32">
        <v>1</v>
      </c>
      <c r="AW32">
        <v>2</v>
      </c>
      <c r="AX32">
        <v>44169308</v>
      </c>
      <c r="AY32">
        <v>1</v>
      </c>
      <c r="AZ32">
        <v>0</v>
      </c>
      <c r="BA32">
        <v>36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Y32*Source!I95</f>
        <v>0</v>
      </c>
      <c r="CY32">
        <f t="shared" si="5"/>
        <v>0</v>
      </c>
      <c r="CZ32">
        <f t="shared" si="6"/>
        <v>0</v>
      </c>
      <c r="DA32">
        <f t="shared" si="7"/>
        <v>1</v>
      </c>
      <c r="DB32">
        <f t="shared" si="8"/>
        <v>0</v>
      </c>
      <c r="DC32">
        <f t="shared" si="9"/>
        <v>0</v>
      </c>
    </row>
    <row r="33" spans="1:107" x14ac:dyDescent="0.2">
      <c r="A33">
        <f>ROW(Source!A97)</f>
        <v>97</v>
      </c>
      <c r="B33">
        <v>44175501</v>
      </c>
      <c r="C33">
        <v>44169310</v>
      </c>
      <c r="D33">
        <v>34984826</v>
      </c>
      <c r="E33">
        <v>34959076</v>
      </c>
      <c r="F33">
        <v>1</v>
      </c>
      <c r="G33">
        <v>34959076</v>
      </c>
      <c r="H33">
        <v>1</v>
      </c>
      <c r="I33" t="s">
        <v>343</v>
      </c>
      <c r="J33" t="s">
        <v>5</v>
      </c>
      <c r="K33" t="s">
        <v>344</v>
      </c>
      <c r="L33">
        <v>1191</v>
      </c>
      <c r="N33">
        <v>1013</v>
      </c>
      <c r="O33" t="s">
        <v>345</v>
      </c>
      <c r="P33" t="s">
        <v>345</v>
      </c>
      <c r="Q33">
        <v>1</v>
      </c>
      <c r="W33">
        <v>0</v>
      </c>
      <c r="X33">
        <v>476480486</v>
      </c>
      <c r="Y33">
        <v>8.2385999999999981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5</v>
      </c>
      <c r="AT33">
        <v>5.97</v>
      </c>
      <c r="AU33" t="s">
        <v>30</v>
      </c>
      <c r="AV33">
        <v>1</v>
      </c>
      <c r="AW33">
        <v>2</v>
      </c>
      <c r="AX33">
        <v>44169312</v>
      </c>
      <c r="AY33">
        <v>1</v>
      </c>
      <c r="AZ33">
        <v>0</v>
      </c>
      <c r="BA33">
        <v>37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Y33*Source!I97</f>
        <v>0</v>
      </c>
      <c r="CY33">
        <f t="shared" si="5"/>
        <v>0</v>
      </c>
      <c r="CZ33">
        <f t="shared" si="6"/>
        <v>0</v>
      </c>
      <c r="DA33">
        <f t="shared" si="7"/>
        <v>1</v>
      </c>
      <c r="DB33">
        <f t="shared" si="8"/>
        <v>0</v>
      </c>
      <c r="DC33">
        <f t="shared" si="9"/>
        <v>0</v>
      </c>
    </row>
    <row r="34" spans="1:107" x14ac:dyDescent="0.2">
      <c r="A34">
        <f>ROW(Source!A99)</f>
        <v>99</v>
      </c>
      <c r="B34">
        <v>44175501</v>
      </c>
      <c r="C34">
        <v>44169314</v>
      </c>
      <c r="D34">
        <v>34984826</v>
      </c>
      <c r="E34">
        <v>34959076</v>
      </c>
      <c r="F34">
        <v>1</v>
      </c>
      <c r="G34">
        <v>34959076</v>
      </c>
      <c r="H34">
        <v>1</v>
      </c>
      <c r="I34" t="s">
        <v>343</v>
      </c>
      <c r="J34" t="s">
        <v>5</v>
      </c>
      <c r="K34" t="s">
        <v>344</v>
      </c>
      <c r="L34">
        <v>1191</v>
      </c>
      <c r="N34">
        <v>1013</v>
      </c>
      <c r="O34" t="s">
        <v>345</v>
      </c>
      <c r="P34" t="s">
        <v>345</v>
      </c>
      <c r="Q34">
        <v>1</v>
      </c>
      <c r="W34">
        <v>0</v>
      </c>
      <c r="X34">
        <v>476480486</v>
      </c>
      <c r="Y34">
        <v>8.2385999999999981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5</v>
      </c>
      <c r="AT34">
        <v>5.97</v>
      </c>
      <c r="AU34" t="s">
        <v>30</v>
      </c>
      <c r="AV34">
        <v>1</v>
      </c>
      <c r="AW34">
        <v>2</v>
      </c>
      <c r="AX34">
        <v>44169316</v>
      </c>
      <c r="AY34">
        <v>1</v>
      </c>
      <c r="AZ34">
        <v>0</v>
      </c>
      <c r="BA34">
        <v>38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Y34*Source!I99</f>
        <v>0</v>
      </c>
      <c r="CY34">
        <f t="shared" si="5"/>
        <v>0</v>
      </c>
      <c r="CZ34">
        <f t="shared" si="6"/>
        <v>0</v>
      </c>
      <c r="DA34">
        <f t="shared" si="7"/>
        <v>1</v>
      </c>
      <c r="DB34">
        <f t="shared" si="8"/>
        <v>0</v>
      </c>
      <c r="DC34">
        <f t="shared" si="9"/>
        <v>0</v>
      </c>
    </row>
    <row r="35" spans="1:107" x14ac:dyDescent="0.2">
      <c r="A35">
        <f>ROW(Source!A101)</f>
        <v>101</v>
      </c>
      <c r="B35">
        <v>44175501</v>
      </c>
      <c r="C35">
        <v>44169318</v>
      </c>
      <c r="D35">
        <v>35040949</v>
      </c>
      <c r="E35">
        <v>1</v>
      </c>
      <c r="F35">
        <v>1</v>
      </c>
      <c r="G35">
        <v>34959076</v>
      </c>
      <c r="H35">
        <v>3</v>
      </c>
      <c r="I35" t="s">
        <v>219</v>
      </c>
      <c r="J35" t="s">
        <v>221</v>
      </c>
      <c r="K35" t="s">
        <v>220</v>
      </c>
      <c r="L35">
        <v>1354</v>
      </c>
      <c r="N35">
        <v>1010</v>
      </c>
      <c r="O35" t="s">
        <v>80</v>
      </c>
      <c r="P35" t="s">
        <v>80</v>
      </c>
      <c r="Q35">
        <v>1</v>
      </c>
      <c r="W35">
        <v>0</v>
      </c>
      <c r="X35">
        <v>-1494779997</v>
      </c>
      <c r="Y35">
        <v>206</v>
      </c>
      <c r="AA35">
        <v>54.35</v>
      </c>
      <c r="AB35">
        <v>0</v>
      </c>
      <c r="AC35">
        <v>0</v>
      </c>
      <c r="AD35">
        <v>0</v>
      </c>
      <c r="AE35">
        <v>8.82</v>
      </c>
      <c r="AF35">
        <v>0</v>
      </c>
      <c r="AG35">
        <v>0</v>
      </c>
      <c r="AH35">
        <v>0</v>
      </c>
      <c r="AI35">
        <v>5.7</v>
      </c>
      <c r="AJ35">
        <v>1</v>
      </c>
      <c r="AK35">
        <v>1</v>
      </c>
      <c r="AL35">
        <v>1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5</v>
      </c>
      <c r="AT35">
        <v>206</v>
      </c>
      <c r="AU35" t="s">
        <v>5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Y35*Source!I101</f>
        <v>451.14</v>
      </c>
      <c r="CY35">
        <f>AA35</f>
        <v>54.35</v>
      </c>
      <c r="CZ35">
        <f>AE35</f>
        <v>8.82</v>
      </c>
      <c r="DA35">
        <f>AI35</f>
        <v>5.7</v>
      </c>
      <c r="DB35">
        <f>ROUND(ROUND(AT35*CZ35,2),6)</f>
        <v>1816.92</v>
      </c>
      <c r="DC35">
        <f>ROUND(ROUND(AT35*AG35,2),6)</f>
        <v>0</v>
      </c>
    </row>
    <row r="36" spans="1:107" x14ac:dyDescent="0.2">
      <c r="A36">
        <f>ROW(Source!A103)</f>
        <v>103</v>
      </c>
      <c r="B36">
        <v>44175501</v>
      </c>
      <c r="C36">
        <v>44169324</v>
      </c>
      <c r="D36">
        <v>35040949</v>
      </c>
      <c r="E36">
        <v>1</v>
      </c>
      <c r="F36">
        <v>1</v>
      </c>
      <c r="G36">
        <v>34959076</v>
      </c>
      <c r="H36">
        <v>3</v>
      </c>
      <c r="I36" t="s">
        <v>219</v>
      </c>
      <c r="J36" t="s">
        <v>221</v>
      </c>
      <c r="K36" t="s">
        <v>220</v>
      </c>
      <c r="L36">
        <v>1354</v>
      </c>
      <c r="N36">
        <v>1010</v>
      </c>
      <c r="O36" t="s">
        <v>80</v>
      </c>
      <c r="P36" t="s">
        <v>80</v>
      </c>
      <c r="Q36">
        <v>1</v>
      </c>
      <c r="W36">
        <v>0</v>
      </c>
      <c r="X36">
        <v>-1494779997</v>
      </c>
      <c r="Y36">
        <v>206</v>
      </c>
      <c r="AA36">
        <v>54.35</v>
      </c>
      <c r="AB36">
        <v>0</v>
      </c>
      <c r="AC36">
        <v>0</v>
      </c>
      <c r="AD36">
        <v>0</v>
      </c>
      <c r="AE36">
        <v>8.82</v>
      </c>
      <c r="AF36">
        <v>0</v>
      </c>
      <c r="AG36">
        <v>0</v>
      </c>
      <c r="AH36">
        <v>0</v>
      </c>
      <c r="AI36">
        <v>5.7</v>
      </c>
      <c r="AJ36">
        <v>1</v>
      </c>
      <c r="AK36">
        <v>1</v>
      </c>
      <c r="AL36">
        <v>1</v>
      </c>
      <c r="AN36">
        <v>0</v>
      </c>
      <c r="AO36">
        <v>0</v>
      </c>
      <c r="AP36">
        <v>0</v>
      </c>
      <c r="AQ36">
        <v>0</v>
      </c>
      <c r="AR36">
        <v>0</v>
      </c>
      <c r="AS36" t="s">
        <v>5</v>
      </c>
      <c r="AT36">
        <v>206</v>
      </c>
      <c r="AU36" t="s">
        <v>5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5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Y36*Source!I103</f>
        <v>0</v>
      </c>
      <c r="CY36">
        <f>AA36</f>
        <v>54.35</v>
      </c>
      <c r="CZ36">
        <f>AE36</f>
        <v>8.82</v>
      </c>
      <c r="DA36">
        <f>AI36</f>
        <v>5.7</v>
      </c>
      <c r="DB36">
        <f>ROUND(ROUND(AT36*CZ36,2),6)</f>
        <v>1816.92</v>
      </c>
      <c r="DC36">
        <f>ROUND(ROUND(AT36*AG36,2),6)</f>
        <v>0</v>
      </c>
    </row>
    <row r="37" spans="1:107" x14ac:dyDescent="0.2">
      <c r="A37">
        <f>ROW(Source!A105)</f>
        <v>105</v>
      </c>
      <c r="B37">
        <v>44175501</v>
      </c>
      <c r="C37">
        <v>44169330</v>
      </c>
      <c r="D37">
        <v>35040949</v>
      </c>
      <c r="E37">
        <v>1</v>
      </c>
      <c r="F37">
        <v>1</v>
      </c>
      <c r="G37">
        <v>34959076</v>
      </c>
      <c r="H37">
        <v>3</v>
      </c>
      <c r="I37" t="s">
        <v>219</v>
      </c>
      <c r="J37" t="s">
        <v>221</v>
      </c>
      <c r="K37" t="s">
        <v>220</v>
      </c>
      <c r="L37">
        <v>1354</v>
      </c>
      <c r="N37">
        <v>1010</v>
      </c>
      <c r="O37" t="s">
        <v>80</v>
      </c>
      <c r="P37" t="s">
        <v>80</v>
      </c>
      <c r="Q37">
        <v>1</v>
      </c>
      <c r="W37">
        <v>0</v>
      </c>
      <c r="X37">
        <v>-1494779997</v>
      </c>
      <c r="Y37">
        <v>206</v>
      </c>
      <c r="AA37">
        <v>54.35</v>
      </c>
      <c r="AB37">
        <v>0</v>
      </c>
      <c r="AC37">
        <v>0</v>
      </c>
      <c r="AD37">
        <v>0</v>
      </c>
      <c r="AE37">
        <v>8.82</v>
      </c>
      <c r="AF37">
        <v>0</v>
      </c>
      <c r="AG37">
        <v>0</v>
      </c>
      <c r="AH37">
        <v>0</v>
      </c>
      <c r="AI37">
        <v>5.7</v>
      </c>
      <c r="AJ37">
        <v>1</v>
      </c>
      <c r="AK37">
        <v>1</v>
      </c>
      <c r="AL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 t="s">
        <v>5</v>
      </c>
      <c r="AT37">
        <v>206</v>
      </c>
      <c r="AU37" t="s">
        <v>5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Y37*Source!I105</f>
        <v>0</v>
      </c>
      <c r="CY37">
        <f>AA37</f>
        <v>54.35</v>
      </c>
      <c r="CZ37">
        <f>AE37</f>
        <v>8.82</v>
      </c>
      <c r="DA37">
        <f>AI37</f>
        <v>5.7</v>
      </c>
      <c r="DB37">
        <f>ROUND(ROUND(AT37*CZ37,2),6)</f>
        <v>1816.92</v>
      </c>
      <c r="DC37">
        <f>ROUND(ROUND(AT37*AG37,2),6)</f>
        <v>0</v>
      </c>
    </row>
    <row r="38" spans="1:107" x14ac:dyDescent="0.2">
      <c r="A38">
        <f>ROW(Source!A107)</f>
        <v>107</v>
      </c>
      <c r="B38">
        <v>44175501</v>
      </c>
      <c r="C38">
        <v>44169336</v>
      </c>
      <c r="D38">
        <v>35040949</v>
      </c>
      <c r="E38">
        <v>1</v>
      </c>
      <c r="F38">
        <v>1</v>
      </c>
      <c r="G38">
        <v>34959076</v>
      </c>
      <c r="H38">
        <v>3</v>
      </c>
      <c r="I38" t="s">
        <v>219</v>
      </c>
      <c r="J38" t="s">
        <v>221</v>
      </c>
      <c r="K38" t="s">
        <v>220</v>
      </c>
      <c r="L38">
        <v>1354</v>
      </c>
      <c r="N38">
        <v>1010</v>
      </c>
      <c r="O38" t="s">
        <v>80</v>
      </c>
      <c r="P38" t="s">
        <v>80</v>
      </c>
      <c r="Q38">
        <v>1</v>
      </c>
      <c r="W38">
        <v>0</v>
      </c>
      <c r="X38">
        <v>-1494779997</v>
      </c>
      <c r="Y38">
        <v>206</v>
      </c>
      <c r="AA38">
        <v>54.35</v>
      </c>
      <c r="AB38">
        <v>0</v>
      </c>
      <c r="AC38">
        <v>0</v>
      </c>
      <c r="AD38">
        <v>0</v>
      </c>
      <c r="AE38">
        <v>8.82</v>
      </c>
      <c r="AF38">
        <v>0</v>
      </c>
      <c r="AG38">
        <v>0</v>
      </c>
      <c r="AH38">
        <v>0</v>
      </c>
      <c r="AI38">
        <v>5.7</v>
      </c>
      <c r="AJ38">
        <v>1</v>
      </c>
      <c r="AK38">
        <v>1</v>
      </c>
      <c r="AL38">
        <v>1</v>
      </c>
      <c r="AN38">
        <v>0</v>
      </c>
      <c r="AO38">
        <v>0</v>
      </c>
      <c r="AP38">
        <v>0</v>
      </c>
      <c r="AQ38">
        <v>0</v>
      </c>
      <c r="AR38">
        <v>0</v>
      </c>
      <c r="AS38" t="s">
        <v>5</v>
      </c>
      <c r="AT38">
        <v>206</v>
      </c>
      <c r="AU38" t="s">
        <v>5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5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Y38*Source!I107</f>
        <v>0</v>
      </c>
      <c r="CY38">
        <f>AA38</f>
        <v>54.35</v>
      </c>
      <c r="CZ38">
        <f>AE38</f>
        <v>8.82</v>
      </c>
      <c r="DA38">
        <f>AI38</f>
        <v>5.7</v>
      </c>
      <c r="DB38">
        <f>ROUND(ROUND(AT38*CZ38,2),6)</f>
        <v>1816.92</v>
      </c>
      <c r="DC38">
        <f>ROUND(ROUND(AT38*AG38,2),6)</f>
        <v>0</v>
      </c>
    </row>
    <row r="39" spans="1:107" x14ac:dyDescent="0.2">
      <c r="A39">
        <f>ROW(Source!A109)</f>
        <v>109</v>
      </c>
      <c r="B39">
        <v>44175501</v>
      </c>
      <c r="C39">
        <v>44169342</v>
      </c>
      <c r="D39">
        <v>34984826</v>
      </c>
      <c r="E39">
        <v>34959076</v>
      </c>
      <c r="F39">
        <v>1</v>
      </c>
      <c r="G39">
        <v>34959076</v>
      </c>
      <c r="H39">
        <v>1</v>
      </c>
      <c r="I39" t="s">
        <v>343</v>
      </c>
      <c r="J39" t="s">
        <v>5</v>
      </c>
      <c r="K39" t="s">
        <v>344</v>
      </c>
      <c r="L39">
        <v>1191</v>
      </c>
      <c r="N39">
        <v>1013</v>
      </c>
      <c r="O39" t="s">
        <v>345</v>
      </c>
      <c r="P39" t="s">
        <v>345</v>
      </c>
      <c r="Q39">
        <v>1</v>
      </c>
      <c r="W39">
        <v>0</v>
      </c>
      <c r="X39">
        <v>476480486</v>
      </c>
      <c r="Y39">
        <v>22.273199999999996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5</v>
      </c>
      <c r="AT39">
        <v>16.14</v>
      </c>
      <c r="AU39" t="s">
        <v>30</v>
      </c>
      <c r="AV39">
        <v>1</v>
      </c>
      <c r="AW39">
        <v>2</v>
      </c>
      <c r="AX39">
        <v>44169344</v>
      </c>
      <c r="AY39">
        <v>1</v>
      </c>
      <c r="AZ39">
        <v>0</v>
      </c>
      <c r="BA39">
        <v>47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Y39*Source!I109</f>
        <v>0</v>
      </c>
      <c r="CY39">
        <f t="shared" ref="CY39:CY45" si="10">AD39</f>
        <v>0</v>
      </c>
      <c r="CZ39">
        <f t="shared" ref="CZ39:CZ45" si="11">AH39</f>
        <v>0</v>
      </c>
      <c r="DA39">
        <f t="shared" ref="DA39:DA45" si="12">AL39</f>
        <v>1</v>
      </c>
      <c r="DB39">
        <f>ROUND((ROUND(AT39*CZ39,2)*1.2*1.15),6)</f>
        <v>0</v>
      </c>
      <c r="DC39">
        <f>ROUND((ROUND(AT39*AG39,2)*1.2*1.15),6)</f>
        <v>0</v>
      </c>
    </row>
    <row r="40" spans="1:107" x14ac:dyDescent="0.2">
      <c r="A40">
        <f>ROW(Source!A110)</f>
        <v>110</v>
      </c>
      <c r="B40">
        <v>44175501</v>
      </c>
      <c r="C40">
        <v>44169346</v>
      </c>
      <c r="D40">
        <v>34984826</v>
      </c>
      <c r="E40">
        <v>34959076</v>
      </c>
      <c r="F40">
        <v>1</v>
      </c>
      <c r="G40">
        <v>34959076</v>
      </c>
      <c r="H40">
        <v>1</v>
      </c>
      <c r="I40" t="s">
        <v>343</v>
      </c>
      <c r="J40" t="s">
        <v>5</v>
      </c>
      <c r="K40" t="s">
        <v>344</v>
      </c>
      <c r="L40">
        <v>1191</v>
      </c>
      <c r="N40">
        <v>1013</v>
      </c>
      <c r="O40" t="s">
        <v>345</v>
      </c>
      <c r="P40" t="s">
        <v>345</v>
      </c>
      <c r="Q40">
        <v>1</v>
      </c>
      <c r="W40">
        <v>0</v>
      </c>
      <c r="X40">
        <v>476480486</v>
      </c>
      <c r="Y40">
        <v>22.273199999999996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5</v>
      </c>
      <c r="AT40">
        <v>16.14</v>
      </c>
      <c r="AU40" t="s">
        <v>30</v>
      </c>
      <c r="AV40">
        <v>1</v>
      </c>
      <c r="AW40">
        <v>2</v>
      </c>
      <c r="AX40">
        <v>44169348</v>
      </c>
      <c r="AY40">
        <v>1</v>
      </c>
      <c r="AZ40">
        <v>0</v>
      </c>
      <c r="BA40">
        <v>49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Y40*Source!I110</f>
        <v>400.91759999999994</v>
      </c>
      <c r="CY40">
        <f t="shared" si="10"/>
        <v>0</v>
      </c>
      <c r="CZ40">
        <f t="shared" si="11"/>
        <v>0</v>
      </c>
      <c r="DA40">
        <f t="shared" si="12"/>
        <v>1</v>
      </c>
      <c r="DB40">
        <f>ROUND((ROUND(AT40*CZ40,2)*1.2*1.15),6)</f>
        <v>0</v>
      </c>
      <c r="DC40">
        <f>ROUND((ROUND(AT40*AG40,2)*1.2*1.15),6)</f>
        <v>0</v>
      </c>
    </row>
    <row r="41" spans="1:107" x14ac:dyDescent="0.2">
      <c r="A41">
        <f>ROW(Source!A112)</f>
        <v>112</v>
      </c>
      <c r="B41">
        <v>44175501</v>
      </c>
      <c r="C41">
        <v>44169351</v>
      </c>
      <c r="D41">
        <v>34984826</v>
      </c>
      <c r="E41">
        <v>34959076</v>
      </c>
      <c r="F41">
        <v>1</v>
      </c>
      <c r="G41">
        <v>34959076</v>
      </c>
      <c r="H41">
        <v>1</v>
      </c>
      <c r="I41" t="s">
        <v>343</v>
      </c>
      <c r="J41" t="s">
        <v>5</v>
      </c>
      <c r="K41" t="s">
        <v>344</v>
      </c>
      <c r="L41">
        <v>1191</v>
      </c>
      <c r="N41">
        <v>1013</v>
      </c>
      <c r="O41" t="s">
        <v>345</v>
      </c>
      <c r="P41" t="s">
        <v>345</v>
      </c>
      <c r="Q41">
        <v>1</v>
      </c>
      <c r="W41">
        <v>0</v>
      </c>
      <c r="X41">
        <v>476480486</v>
      </c>
      <c r="Y41">
        <v>23.101199999999995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5</v>
      </c>
      <c r="AT41">
        <v>16.739999999999998</v>
      </c>
      <c r="AU41" t="s">
        <v>30</v>
      </c>
      <c r="AV41">
        <v>1</v>
      </c>
      <c r="AW41">
        <v>2</v>
      </c>
      <c r="AX41">
        <v>44169353</v>
      </c>
      <c r="AY41">
        <v>1</v>
      </c>
      <c r="AZ41">
        <v>0</v>
      </c>
      <c r="BA41">
        <v>51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Y41*Source!I112</f>
        <v>0</v>
      </c>
      <c r="CY41">
        <f t="shared" si="10"/>
        <v>0</v>
      </c>
      <c r="CZ41">
        <f t="shared" si="11"/>
        <v>0</v>
      </c>
      <c r="DA41">
        <f t="shared" si="12"/>
        <v>1</v>
      </c>
      <c r="DB41">
        <f>ROUND((ROUND(AT41*CZ41,2)*1.2*1.15),6)</f>
        <v>0</v>
      </c>
      <c r="DC41">
        <f>ROUND((ROUND(AT41*AG41,2)*1.2*1.15),6)</f>
        <v>0</v>
      </c>
    </row>
    <row r="42" spans="1:107" x14ac:dyDescent="0.2">
      <c r="A42">
        <f>ROW(Source!A113)</f>
        <v>113</v>
      </c>
      <c r="B42">
        <v>44175501</v>
      </c>
      <c r="C42">
        <v>44169355</v>
      </c>
      <c r="D42">
        <v>34984826</v>
      </c>
      <c r="E42">
        <v>34959076</v>
      </c>
      <c r="F42">
        <v>1</v>
      </c>
      <c r="G42">
        <v>34959076</v>
      </c>
      <c r="H42">
        <v>1</v>
      </c>
      <c r="I42" t="s">
        <v>343</v>
      </c>
      <c r="J42" t="s">
        <v>5</v>
      </c>
      <c r="K42" t="s">
        <v>344</v>
      </c>
      <c r="L42">
        <v>1191</v>
      </c>
      <c r="N42">
        <v>1013</v>
      </c>
      <c r="O42" t="s">
        <v>345</v>
      </c>
      <c r="P42" t="s">
        <v>345</v>
      </c>
      <c r="Q42">
        <v>1</v>
      </c>
      <c r="W42">
        <v>0</v>
      </c>
      <c r="X42">
        <v>476480486</v>
      </c>
      <c r="Y42">
        <v>23.101199999999995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5</v>
      </c>
      <c r="AT42">
        <v>16.739999999999998</v>
      </c>
      <c r="AU42" t="s">
        <v>30</v>
      </c>
      <c r="AV42">
        <v>1</v>
      </c>
      <c r="AW42">
        <v>2</v>
      </c>
      <c r="AX42">
        <v>44169357</v>
      </c>
      <c r="AY42">
        <v>1</v>
      </c>
      <c r="AZ42">
        <v>0</v>
      </c>
      <c r="BA42">
        <v>53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Y42*Source!I113</f>
        <v>277.21439999999996</v>
      </c>
      <c r="CY42">
        <f t="shared" si="10"/>
        <v>0</v>
      </c>
      <c r="CZ42">
        <f t="shared" si="11"/>
        <v>0</v>
      </c>
      <c r="DA42">
        <f t="shared" si="12"/>
        <v>1</v>
      </c>
      <c r="DB42">
        <f>ROUND((ROUND(AT42*CZ42,2)*1.2*1.15),6)</f>
        <v>0</v>
      </c>
      <c r="DC42">
        <f>ROUND((ROUND(AT42*AG42,2)*1.2*1.15),6)</f>
        <v>0</v>
      </c>
    </row>
    <row r="43" spans="1:107" x14ac:dyDescent="0.2">
      <c r="A43">
        <f>ROW(Source!A115)</f>
        <v>115</v>
      </c>
      <c r="B43">
        <v>44175501</v>
      </c>
      <c r="C43">
        <v>44175558</v>
      </c>
      <c r="D43">
        <v>34984826</v>
      </c>
      <c r="E43">
        <v>34959076</v>
      </c>
      <c r="F43">
        <v>1</v>
      </c>
      <c r="G43">
        <v>34959076</v>
      </c>
      <c r="H43">
        <v>1</v>
      </c>
      <c r="I43" t="s">
        <v>343</v>
      </c>
      <c r="J43" t="s">
        <v>5</v>
      </c>
      <c r="K43" t="s">
        <v>344</v>
      </c>
      <c r="L43">
        <v>1191</v>
      </c>
      <c r="N43">
        <v>1013</v>
      </c>
      <c r="O43" t="s">
        <v>345</v>
      </c>
      <c r="P43" t="s">
        <v>345</v>
      </c>
      <c r="Q43">
        <v>1</v>
      </c>
      <c r="W43">
        <v>0</v>
      </c>
      <c r="X43">
        <v>476480486</v>
      </c>
      <c r="Y43">
        <v>79.763999999999982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5</v>
      </c>
      <c r="AT43">
        <v>57.8</v>
      </c>
      <c r="AU43" t="s">
        <v>259</v>
      </c>
      <c r="AV43">
        <v>1</v>
      </c>
      <c r="AW43">
        <v>2</v>
      </c>
      <c r="AX43">
        <v>44175559</v>
      </c>
      <c r="AY43">
        <v>1</v>
      </c>
      <c r="AZ43">
        <v>0</v>
      </c>
      <c r="BA43">
        <v>55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Y43*Source!I115</f>
        <v>9.5716799999999971</v>
      </c>
      <c r="CY43">
        <f t="shared" si="10"/>
        <v>0</v>
      </c>
      <c r="CZ43">
        <f t="shared" si="11"/>
        <v>0</v>
      </c>
      <c r="DA43">
        <f t="shared" si="12"/>
        <v>1</v>
      </c>
      <c r="DB43">
        <f>ROUND((ROUND(AT43*CZ43,2)*1.15*1.2),6)</f>
        <v>0</v>
      </c>
      <c r="DC43">
        <f>ROUND((ROUND(AT43*AG43,2)*1.15*1.2),6)</f>
        <v>0</v>
      </c>
    </row>
    <row r="44" spans="1:107" x14ac:dyDescent="0.2">
      <c r="A44">
        <f>ROW(Source!A116)</f>
        <v>116</v>
      </c>
      <c r="B44">
        <v>44175501</v>
      </c>
      <c r="C44">
        <v>44169360</v>
      </c>
      <c r="D44">
        <v>34984826</v>
      </c>
      <c r="E44">
        <v>34959076</v>
      </c>
      <c r="F44">
        <v>1</v>
      </c>
      <c r="G44">
        <v>34959076</v>
      </c>
      <c r="H44">
        <v>1</v>
      </c>
      <c r="I44" t="s">
        <v>343</v>
      </c>
      <c r="J44" t="s">
        <v>5</v>
      </c>
      <c r="K44" t="s">
        <v>344</v>
      </c>
      <c r="L44">
        <v>1191</v>
      </c>
      <c r="N44">
        <v>1013</v>
      </c>
      <c r="O44" t="s">
        <v>345</v>
      </c>
      <c r="P44" t="s">
        <v>345</v>
      </c>
      <c r="Q44">
        <v>1</v>
      </c>
      <c r="W44">
        <v>0</v>
      </c>
      <c r="X44">
        <v>476480486</v>
      </c>
      <c r="Y44">
        <v>172.05840000000001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5</v>
      </c>
      <c r="AT44">
        <v>124.68</v>
      </c>
      <c r="AU44" t="s">
        <v>30</v>
      </c>
      <c r="AV44">
        <v>1</v>
      </c>
      <c r="AW44">
        <v>2</v>
      </c>
      <c r="AX44">
        <v>44169362</v>
      </c>
      <c r="AY44">
        <v>1</v>
      </c>
      <c r="AZ44">
        <v>0</v>
      </c>
      <c r="BA44">
        <v>56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Y44*Source!I116</f>
        <v>0</v>
      </c>
      <c r="CY44">
        <f t="shared" si="10"/>
        <v>0</v>
      </c>
      <c r="CZ44">
        <f t="shared" si="11"/>
        <v>0</v>
      </c>
      <c r="DA44">
        <f t="shared" si="12"/>
        <v>1</v>
      </c>
      <c r="DB44">
        <f>ROUND((ROUND(AT44*CZ44,2)*1.2*1.15),6)</f>
        <v>0</v>
      </c>
      <c r="DC44">
        <f>ROUND((ROUND(AT44*AG44,2)*1.2*1.15),6)</f>
        <v>0</v>
      </c>
    </row>
    <row r="45" spans="1:107" x14ac:dyDescent="0.2">
      <c r="A45">
        <f>ROW(Source!A118)</f>
        <v>118</v>
      </c>
      <c r="B45">
        <v>44175501</v>
      </c>
      <c r="C45">
        <v>44169366</v>
      </c>
      <c r="D45">
        <v>34984826</v>
      </c>
      <c r="E45">
        <v>34959076</v>
      </c>
      <c r="F45">
        <v>1</v>
      </c>
      <c r="G45">
        <v>34959076</v>
      </c>
      <c r="H45">
        <v>1</v>
      </c>
      <c r="I45" t="s">
        <v>343</v>
      </c>
      <c r="J45" t="s">
        <v>5</v>
      </c>
      <c r="K45" t="s">
        <v>344</v>
      </c>
      <c r="L45">
        <v>1191</v>
      </c>
      <c r="N45">
        <v>1013</v>
      </c>
      <c r="O45" t="s">
        <v>345</v>
      </c>
      <c r="P45" t="s">
        <v>345</v>
      </c>
      <c r="Q45">
        <v>1</v>
      </c>
      <c r="W45">
        <v>0</v>
      </c>
      <c r="X45">
        <v>476480486</v>
      </c>
      <c r="Y45">
        <v>215.12819999999996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5</v>
      </c>
      <c r="AT45">
        <v>155.88999999999999</v>
      </c>
      <c r="AU45" t="s">
        <v>30</v>
      </c>
      <c r="AV45">
        <v>1</v>
      </c>
      <c r="AW45">
        <v>2</v>
      </c>
      <c r="AX45">
        <v>44169369</v>
      </c>
      <c r="AY45">
        <v>1</v>
      </c>
      <c r="AZ45">
        <v>0</v>
      </c>
      <c r="BA45">
        <v>59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Y45*Source!I118</f>
        <v>129.07691999999997</v>
      </c>
      <c r="CY45">
        <f t="shared" si="10"/>
        <v>0</v>
      </c>
      <c r="CZ45">
        <f t="shared" si="11"/>
        <v>0</v>
      </c>
      <c r="DA45">
        <f t="shared" si="12"/>
        <v>1</v>
      </c>
      <c r="DB45">
        <f>ROUND((ROUND(AT45*CZ45,2)*1.2*1.15),6)</f>
        <v>0</v>
      </c>
      <c r="DC45">
        <f>ROUND((ROUND(AT45*AG45,2)*1.2*1.15),6)</f>
        <v>0</v>
      </c>
    </row>
    <row r="46" spans="1:107" x14ac:dyDescent="0.2">
      <c r="A46">
        <f>ROW(Source!A118)</f>
        <v>118</v>
      </c>
      <c r="B46">
        <v>44175501</v>
      </c>
      <c r="C46">
        <v>44169366</v>
      </c>
      <c r="D46">
        <v>35052958</v>
      </c>
      <c r="E46">
        <v>1</v>
      </c>
      <c r="F46">
        <v>1</v>
      </c>
      <c r="G46">
        <v>34959076</v>
      </c>
      <c r="H46">
        <v>3</v>
      </c>
      <c r="I46" t="s">
        <v>276</v>
      </c>
      <c r="J46" t="s">
        <v>279</v>
      </c>
      <c r="K46" t="s">
        <v>277</v>
      </c>
      <c r="L46">
        <v>1391</v>
      </c>
      <c r="N46">
        <v>1013</v>
      </c>
      <c r="O46" t="s">
        <v>278</v>
      </c>
      <c r="P46" t="s">
        <v>278</v>
      </c>
      <c r="Q46">
        <v>1</v>
      </c>
      <c r="W46">
        <v>0</v>
      </c>
      <c r="X46">
        <v>-2023689584</v>
      </c>
      <c r="Y46">
        <v>100</v>
      </c>
      <c r="AA46">
        <v>318.01</v>
      </c>
      <c r="AB46">
        <v>0</v>
      </c>
      <c r="AC46">
        <v>0</v>
      </c>
      <c r="AD46">
        <v>0</v>
      </c>
      <c r="AE46">
        <v>153.63</v>
      </c>
      <c r="AF46">
        <v>0</v>
      </c>
      <c r="AG46">
        <v>0</v>
      </c>
      <c r="AH46">
        <v>0</v>
      </c>
      <c r="AI46">
        <v>2.0699999999999998</v>
      </c>
      <c r="AJ46">
        <v>1</v>
      </c>
      <c r="AK46">
        <v>1</v>
      </c>
      <c r="AL46">
        <v>1</v>
      </c>
      <c r="AN46">
        <v>0</v>
      </c>
      <c r="AO46">
        <v>0</v>
      </c>
      <c r="AP46">
        <v>0</v>
      </c>
      <c r="AQ46">
        <v>0</v>
      </c>
      <c r="AR46">
        <v>0</v>
      </c>
      <c r="AS46" t="s">
        <v>5</v>
      </c>
      <c r="AT46">
        <v>100</v>
      </c>
      <c r="AU46" t="s">
        <v>5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5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Y46*Source!I118</f>
        <v>60</v>
      </c>
      <c r="CY46">
        <f>AA46</f>
        <v>318.01</v>
      </c>
      <c r="CZ46">
        <f>AE46</f>
        <v>153.63</v>
      </c>
      <c r="DA46">
        <f>AI46</f>
        <v>2.0699999999999998</v>
      </c>
      <c r="DB46">
        <f>ROUND(ROUND(AT46*CZ46,2),6)</f>
        <v>15363</v>
      </c>
      <c r="DC46">
        <f>ROUND(ROUND(AT46*AG46,2),6)</f>
        <v>0</v>
      </c>
    </row>
    <row r="47" spans="1:107" x14ac:dyDescent="0.2">
      <c r="A47">
        <f>ROW(Source!A156)</f>
        <v>156</v>
      </c>
      <c r="B47">
        <v>44175501</v>
      </c>
      <c r="C47">
        <v>44169372</v>
      </c>
      <c r="D47">
        <v>34984824</v>
      </c>
      <c r="E47">
        <v>34959076</v>
      </c>
      <c r="F47">
        <v>1</v>
      </c>
      <c r="G47">
        <v>34959076</v>
      </c>
      <c r="H47">
        <v>2</v>
      </c>
      <c r="I47" t="s">
        <v>375</v>
      </c>
      <c r="J47" t="s">
        <v>5</v>
      </c>
      <c r="K47" t="s">
        <v>376</v>
      </c>
      <c r="L47">
        <v>1344</v>
      </c>
      <c r="N47">
        <v>1008</v>
      </c>
      <c r="O47" t="s">
        <v>352</v>
      </c>
      <c r="P47" t="s">
        <v>352</v>
      </c>
      <c r="Q47">
        <v>1</v>
      </c>
      <c r="W47">
        <v>0</v>
      </c>
      <c r="X47">
        <v>-1180195794</v>
      </c>
      <c r="Y47">
        <v>28.91</v>
      </c>
      <c r="AA47">
        <v>0</v>
      </c>
      <c r="AB47">
        <v>1</v>
      </c>
      <c r="AC47">
        <v>0</v>
      </c>
      <c r="AD47">
        <v>0</v>
      </c>
      <c r="AE47">
        <v>0</v>
      </c>
      <c r="AF47">
        <v>1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5</v>
      </c>
      <c r="AT47">
        <v>28.91</v>
      </c>
      <c r="AU47" t="s">
        <v>5</v>
      </c>
      <c r="AV47">
        <v>0</v>
      </c>
      <c r="AW47">
        <v>2</v>
      </c>
      <c r="AX47">
        <v>44169374</v>
      </c>
      <c r="AY47">
        <v>1</v>
      </c>
      <c r="AZ47">
        <v>0</v>
      </c>
      <c r="BA47">
        <v>61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Y47*Source!I156</f>
        <v>0</v>
      </c>
      <c r="CY47">
        <f>AB47</f>
        <v>1</v>
      </c>
      <c r="CZ47">
        <f>AF47</f>
        <v>1</v>
      </c>
      <c r="DA47">
        <f>AJ47</f>
        <v>1</v>
      </c>
      <c r="DB47">
        <f>ROUND(ROUND(AT47*CZ47,2),6)</f>
        <v>28.91</v>
      </c>
      <c r="DC47">
        <f>ROUND(ROUND(AT47*AG47,2),6)</f>
        <v>0</v>
      </c>
    </row>
    <row r="48" spans="1:107" x14ac:dyDescent="0.2">
      <c r="A48">
        <f>ROW(Source!A158)</f>
        <v>158</v>
      </c>
      <c r="B48">
        <v>44175501</v>
      </c>
      <c r="C48">
        <v>44169377</v>
      </c>
      <c r="D48">
        <v>34984824</v>
      </c>
      <c r="E48">
        <v>34959076</v>
      </c>
      <c r="F48">
        <v>1</v>
      </c>
      <c r="G48">
        <v>34959076</v>
      </c>
      <c r="H48">
        <v>2</v>
      </c>
      <c r="I48" t="s">
        <v>375</v>
      </c>
      <c r="J48" t="s">
        <v>5</v>
      </c>
      <c r="K48" t="s">
        <v>376</v>
      </c>
      <c r="L48">
        <v>1344</v>
      </c>
      <c r="N48">
        <v>1008</v>
      </c>
      <c r="O48" t="s">
        <v>352</v>
      </c>
      <c r="P48" t="s">
        <v>352</v>
      </c>
      <c r="Q48">
        <v>1</v>
      </c>
      <c r="W48">
        <v>0</v>
      </c>
      <c r="X48">
        <v>-1180195794</v>
      </c>
      <c r="Y48">
        <v>55.05</v>
      </c>
      <c r="AA48">
        <v>0</v>
      </c>
      <c r="AB48">
        <v>1</v>
      </c>
      <c r="AC48">
        <v>0</v>
      </c>
      <c r="AD48">
        <v>0</v>
      </c>
      <c r="AE48">
        <v>0</v>
      </c>
      <c r="AF48">
        <v>1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5</v>
      </c>
      <c r="AT48">
        <v>55.05</v>
      </c>
      <c r="AU48" t="s">
        <v>5</v>
      </c>
      <c r="AV48">
        <v>0</v>
      </c>
      <c r="AW48">
        <v>2</v>
      </c>
      <c r="AX48">
        <v>44169379</v>
      </c>
      <c r="AY48">
        <v>1</v>
      </c>
      <c r="AZ48">
        <v>0</v>
      </c>
      <c r="BA48">
        <v>63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Y48*Source!I158</f>
        <v>3444.4784999999997</v>
      </c>
      <c r="CY48">
        <f>AB48</f>
        <v>1</v>
      </c>
      <c r="CZ48">
        <f>AF48</f>
        <v>1</v>
      </c>
      <c r="DA48">
        <f>AJ48</f>
        <v>1</v>
      </c>
      <c r="DB48">
        <f>ROUND(ROUND(AT48*CZ48,2),6)</f>
        <v>55.05</v>
      </c>
      <c r="DC48">
        <f>ROUND(ROUND(AT48*AG48,2),6)</f>
        <v>0</v>
      </c>
    </row>
    <row r="49" spans="1:107" x14ac:dyDescent="0.2">
      <c r="A49">
        <f>ROW(Source!A196)</f>
        <v>196</v>
      </c>
      <c r="B49">
        <v>44175501</v>
      </c>
      <c r="C49">
        <v>44169382</v>
      </c>
      <c r="D49">
        <v>34984826</v>
      </c>
      <c r="E49">
        <v>34959076</v>
      </c>
      <c r="F49">
        <v>1</v>
      </c>
      <c r="G49">
        <v>34959076</v>
      </c>
      <c r="H49">
        <v>1</v>
      </c>
      <c r="I49" t="s">
        <v>343</v>
      </c>
      <c r="J49" t="s">
        <v>5</v>
      </c>
      <c r="K49" t="s">
        <v>344</v>
      </c>
      <c r="L49">
        <v>1191</v>
      </c>
      <c r="N49">
        <v>1013</v>
      </c>
      <c r="O49" t="s">
        <v>345</v>
      </c>
      <c r="P49" t="s">
        <v>345</v>
      </c>
      <c r="Q49">
        <v>1</v>
      </c>
      <c r="W49">
        <v>0</v>
      </c>
      <c r="X49">
        <v>476480486</v>
      </c>
      <c r="Y49">
        <v>93.600000000000009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5</v>
      </c>
      <c r="AT49">
        <v>72</v>
      </c>
      <c r="AU49" t="s">
        <v>304</v>
      </c>
      <c r="AV49">
        <v>1</v>
      </c>
      <c r="AW49">
        <v>2</v>
      </c>
      <c r="AX49">
        <v>44176485</v>
      </c>
      <c r="AY49">
        <v>1</v>
      </c>
      <c r="AZ49">
        <v>0</v>
      </c>
      <c r="BA49">
        <v>65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Y49*Source!I196</f>
        <v>187.20000000000002</v>
      </c>
      <c r="CY49">
        <f>AD49</f>
        <v>0</v>
      </c>
      <c r="CZ49">
        <f>AH49</f>
        <v>0</v>
      </c>
      <c r="DA49">
        <f>AL49</f>
        <v>1</v>
      </c>
      <c r="DB49">
        <f>ROUND((ROUND(AT49*CZ49,2)*1.3),6)</f>
        <v>0</v>
      </c>
      <c r="DC49">
        <f>ROUND((ROUND(AT49*AG49,2)*1.3),6)</f>
        <v>0</v>
      </c>
    </row>
    <row r="50" spans="1:107" x14ac:dyDescent="0.2">
      <c r="A50">
        <f>ROW(Source!A197)</f>
        <v>197</v>
      </c>
      <c r="B50">
        <v>44175501</v>
      </c>
      <c r="C50">
        <v>44169385</v>
      </c>
      <c r="D50">
        <v>34984826</v>
      </c>
      <c r="E50">
        <v>34959076</v>
      </c>
      <c r="F50">
        <v>1</v>
      </c>
      <c r="G50">
        <v>34959076</v>
      </c>
      <c r="H50">
        <v>1</v>
      </c>
      <c r="I50" t="s">
        <v>343</v>
      </c>
      <c r="J50" t="s">
        <v>5</v>
      </c>
      <c r="K50" t="s">
        <v>344</v>
      </c>
      <c r="L50">
        <v>1191</v>
      </c>
      <c r="N50">
        <v>1013</v>
      </c>
      <c r="O50" t="s">
        <v>345</v>
      </c>
      <c r="P50" t="s">
        <v>345</v>
      </c>
      <c r="Q50">
        <v>1</v>
      </c>
      <c r="W50">
        <v>0</v>
      </c>
      <c r="X50">
        <v>476480486</v>
      </c>
      <c r="Y50">
        <v>11.973000000000001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5</v>
      </c>
      <c r="AT50">
        <v>9.2100000000000009</v>
      </c>
      <c r="AU50" t="s">
        <v>304</v>
      </c>
      <c r="AV50">
        <v>1</v>
      </c>
      <c r="AW50">
        <v>2</v>
      </c>
      <c r="AX50">
        <v>44169387</v>
      </c>
      <c r="AY50">
        <v>1</v>
      </c>
      <c r="AZ50">
        <v>0</v>
      </c>
      <c r="BA50">
        <v>66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Y50*Source!I197</f>
        <v>23.946000000000002</v>
      </c>
      <c r="CY50">
        <f>AD50</f>
        <v>0</v>
      </c>
      <c r="CZ50">
        <f>AH50</f>
        <v>0</v>
      </c>
      <c r="DA50">
        <f>AL50</f>
        <v>1</v>
      </c>
      <c r="DB50">
        <f>ROUND((ROUND(AT50*CZ50,2)*1.3),6)</f>
        <v>0</v>
      </c>
      <c r="DC50">
        <f>ROUND((ROUND(AT50*AG50,2)*1.3),6)</f>
        <v>0</v>
      </c>
    </row>
    <row r="51" spans="1:107" x14ac:dyDescent="0.2">
      <c r="A51">
        <f>ROW(Source!A198)</f>
        <v>198</v>
      </c>
      <c r="B51">
        <v>44175501</v>
      </c>
      <c r="C51">
        <v>44175624</v>
      </c>
      <c r="D51">
        <v>34984826</v>
      </c>
      <c r="E51">
        <v>34959076</v>
      </c>
      <c r="F51">
        <v>1</v>
      </c>
      <c r="G51">
        <v>34959076</v>
      </c>
      <c r="H51">
        <v>1</v>
      </c>
      <c r="I51" t="s">
        <v>343</v>
      </c>
      <c r="J51" t="s">
        <v>5</v>
      </c>
      <c r="K51" t="s">
        <v>344</v>
      </c>
      <c r="L51">
        <v>1191</v>
      </c>
      <c r="N51">
        <v>1013</v>
      </c>
      <c r="O51" t="s">
        <v>345</v>
      </c>
      <c r="P51" t="s">
        <v>345</v>
      </c>
      <c r="Q51">
        <v>1</v>
      </c>
      <c r="W51">
        <v>0</v>
      </c>
      <c r="X51">
        <v>476480486</v>
      </c>
      <c r="Y51">
        <v>43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5</v>
      </c>
      <c r="AT51">
        <v>43</v>
      </c>
      <c r="AU51" t="s">
        <v>5</v>
      </c>
      <c r="AV51">
        <v>1</v>
      </c>
      <c r="AW51">
        <v>2</v>
      </c>
      <c r="AX51">
        <v>44175625</v>
      </c>
      <c r="AY51">
        <v>1</v>
      </c>
      <c r="AZ51">
        <v>0</v>
      </c>
      <c r="BA51">
        <v>67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Y51*Source!I198</f>
        <v>1677</v>
      </c>
      <c r="CY51">
        <f>AD51</f>
        <v>0</v>
      </c>
      <c r="CZ51">
        <f>AH51</f>
        <v>0</v>
      </c>
      <c r="DA51">
        <f>AL51</f>
        <v>1</v>
      </c>
      <c r="DB51">
        <f>ROUND(ROUND(AT51*CZ51,2),6)</f>
        <v>0</v>
      </c>
      <c r="DC51">
        <f>ROUND(ROUND(AT51*AG51,2),6)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ROW(Source!A29)</f>
        <v>29</v>
      </c>
      <c r="B1">
        <v>44169193</v>
      </c>
      <c r="C1">
        <v>44169190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343</v>
      </c>
      <c r="J1" t="s">
        <v>5</v>
      </c>
      <c r="K1" t="s">
        <v>344</v>
      </c>
      <c r="L1">
        <v>1191</v>
      </c>
      <c r="N1">
        <v>1013</v>
      </c>
      <c r="O1" t="s">
        <v>345</v>
      </c>
      <c r="P1" t="s">
        <v>345</v>
      </c>
      <c r="Q1">
        <v>1</v>
      </c>
      <c r="X1">
        <v>192.7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30</v>
      </c>
      <c r="AG1">
        <v>265.92599999999993</v>
      </c>
      <c r="AH1">
        <v>2</v>
      </c>
      <c r="AI1">
        <v>44169191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44169200</v>
      </c>
      <c r="C2">
        <v>44169194</v>
      </c>
      <c r="D2">
        <v>34984826</v>
      </c>
      <c r="E2">
        <v>34959076</v>
      </c>
      <c r="F2">
        <v>1</v>
      </c>
      <c r="G2">
        <v>34959076</v>
      </c>
      <c r="H2">
        <v>1</v>
      </c>
      <c r="I2" t="s">
        <v>343</v>
      </c>
      <c r="J2" t="s">
        <v>5</v>
      </c>
      <c r="K2" t="s">
        <v>344</v>
      </c>
      <c r="L2">
        <v>1191</v>
      </c>
      <c r="N2">
        <v>1013</v>
      </c>
      <c r="O2" t="s">
        <v>345</v>
      </c>
      <c r="P2" t="s">
        <v>345</v>
      </c>
      <c r="Q2">
        <v>1</v>
      </c>
      <c r="X2">
        <v>107.04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30</v>
      </c>
      <c r="AG2">
        <v>147.71520000000001</v>
      </c>
      <c r="AH2">
        <v>2</v>
      </c>
      <c r="AI2">
        <v>44169195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ROW(Source!A32)</f>
        <v>32</v>
      </c>
      <c r="B3">
        <v>44169205</v>
      </c>
      <c r="C3">
        <v>44169202</v>
      </c>
      <c r="D3">
        <v>34984826</v>
      </c>
      <c r="E3">
        <v>34959076</v>
      </c>
      <c r="F3">
        <v>1</v>
      </c>
      <c r="G3">
        <v>34959076</v>
      </c>
      <c r="H3">
        <v>1</v>
      </c>
      <c r="I3" t="s">
        <v>343</v>
      </c>
      <c r="J3" t="s">
        <v>5</v>
      </c>
      <c r="K3" t="s">
        <v>344</v>
      </c>
      <c r="L3">
        <v>1191</v>
      </c>
      <c r="N3">
        <v>1013</v>
      </c>
      <c r="O3" t="s">
        <v>345</v>
      </c>
      <c r="P3" t="s">
        <v>345</v>
      </c>
      <c r="Q3">
        <v>1</v>
      </c>
      <c r="X3">
        <v>83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30</v>
      </c>
      <c r="AG3">
        <v>114.53999999999998</v>
      </c>
      <c r="AH3">
        <v>2</v>
      </c>
      <c r="AI3">
        <v>44169203</v>
      </c>
      <c r="AJ3">
        <v>6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ROW(Source!A34)</f>
        <v>34</v>
      </c>
      <c r="B4">
        <v>44169214</v>
      </c>
      <c r="C4">
        <v>44169207</v>
      </c>
      <c r="D4">
        <v>34984826</v>
      </c>
      <c r="E4">
        <v>34959076</v>
      </c>
      <c r="F4">
        <v>1</v>
      </c>
      <c r="G4">
        <v>34959076</v>
      </c>
      <c r="H4">
        <v>1</v>
      </c>
      <c r="I4" t="s">
        <v>343</v>
      </c>
      <c r="J4" t="s">
        <v>5</v>
      </c>
      <c r="K4" t="s">
        <v>344</v>
      </c>
      <c r="L4">
        <v>1191</v>
      </c>
      <c r="N4">
        <v>1013</v>
      </c>
      <c r="O4" t="s">
        <v>345</v>
      </c>
      <c r="P4" t="s">
        <v>345</v>
      </c>
      <c r="Q4">
        <v>1</v>
      </c>
      <c r="X4">
        <v>133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30</v>
      </c>
      <c r="AG4">
        <v>183.54</v>
      </c>
      <c r="AH4">
        <v>2</v>
      </c>
      <c r="AI4">
        <v>44169208</v>
      </c>
      <c r="AJ4">
        <v>7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ROW(Source!A34)</f>
        <v>34</v>
      </c>
      <c r="B5">
        <v>44169215</v>
      </c>
      <c r="C5">
        <v>44169207</v>
      </c>
      <c r="D5">
        <v>34985710</v>
      </c>
      <c r="E5">
        <v>34959076</v>
      </c>
      <c r="F5">
        <v>1</v>
      </c>
      <c r="G5">
        <v>34959076</v>
      </c>
      <c r="H5">
        <v>3</v>
      </c>
      <c r="I5" t="s">
        <v>377</v>
      </c>
      <c r="J5" t="s">
        <v>5</v>
      </c>
      <c r="K5" t="s">
        <v>378</v>
      </c>
      <c r="L5">
        <v>1301</v>
      </c>
      <c r="N5">
        <v>1003</v>
      </c>
      <c r="O5" t="s">
        <v>63</v>
      </c>
      <c r="P5" t="s">
        <v>63</v>
      </c>
      <c r="Q5">
        <v>1</v>
      </c>
      <c r="X5">
        <v>1000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 t="s">
        <v>5</v>
      </c>
      <c r="AG5">
        <v>1000</v>
      </c>
      <c r="AH5">
        <v>3</v>
      </c>
      <c r="AI5">
        <v>-1</v>
      </c>
      <c r="AJ5" t="s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44169216</v>
      </c>
      <c r="C6">
        <v>44169207</v>
      </c>
      <c r="D6">
        <v>34984822</v>
      </c>
      <c r="E6">
        <v>34959076</v>
      </c>
      <c r="F6">
        <v>1</v>
      </c>
      <c r="G6">
        <v>34959076</v>
      </c>
      <c r="H6">
        <v>3</v>
      </c>
      <c r="I6" t="s">
        <v>350</v>
      </c>
      <c r="J6" t="s">
        <v>5</v>
      </c>
      <c r="K6" t="s">
        <v>351</v>
      </c>
      <c r="L6">
        <v>1344</v>
      </c>
      <c r="N6">
        <v>1008</v>
      </c>
      <c r="O6" t="s">
        <v>352</v>
      </c>
      <c r="P6" t="s">
        <v>352</v>
      </c>
      <c r="Q6">
        <v>1</v>
      </c>
      <c r="X6">
        <v>44.38</v>
      </c>
      <c r="Y6">
        <v>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5</v>
      </c>
      <c r="AG6">
        <v>44.38</v>
      </c>
      <c r="AH6">
        <v>2</v>
      </c>
      <c r="AI6">
        <v>44169210</v>
      </c>
      <c r="AJ6">
        <v>9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ROW(Source!A36)</f>
        <v>36</v>
      </c>
      <c r="B7">
        <v>44169228</v>
      </c>
      <c r="C7">
        <v>44169218</v>
      </c>
      <c r="D7">
        <v>34984826</v>
      </c>
      <c r="E7">
        <v>34959076</v>
      </c>
      <c r="F7">
        <v>1</v>
      </c>
      <c r="G7">
        <v>34959076</v>
      </c>
      <c r="H7">
        <v>1</v>
      </c>
      <c r="I7" t="s">
        <v>343</v>
      </c>
      <c r="J7" t="s">
        <v>5</v>
      </c>
      <c r="K7" t="s">
        <v>344</v>
      </c>
      <c r="L7">
        <v>1191</v>
      </c>
      <c r="N7">
        <v>1013</v>
      </c>
      <c r="O7" t="s">
        <v>345</v>
      </c>
      <c r="P7" t="s">
        <v>345</v>
      </c>
      <c r="Q7">
        <v>1</v>
      </c>
      <c r="X7">
        <v>144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30</v>
      </c>
      <c r="AG7">
        <v>198.71999999999997</v>
      </c>
      <c r="AH7">
        <v>2</v>
      </c>
      <c r="AI7">
        <v>44169219</v>
      </c>
      <c r="AJ7">
        <v>10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ROW(Source!A36)</f>
        <v>36</v>
      </c>
      <c r="B8">
        <v>44169229</v>
      </c>
      <c r="C8">
        <v>44169218</v>
      </c>
      <c r="D8">
        <v>35047318</v>
      </c>
      <c r="E8">
        <v>1</v>
      </c>
      <c r="F8">
        <v>1</v>
      </c>
      <c r="G8">
        <v>34959076</v>
      </c>
      <c r="H8">
        <v>3</v>
      </c>
      <c r="I8" t="s">
        <v>70</v>
      </c>
      <c r="J8" t="s">
        <v>72</v>
      </c>
      <c r="K8" t="s">
        <v>71</v>
      </c>
      <c r="L8">
        <v>1301</v>
      </c>
      <c r="N8">
        <v>1003</v>
      </c>
      <c r="O8" t="s">
        <v>63</v>
      </c>
      <c r="P8" t="s">
        <v>63</v>
      </c>
      <c r="Q8">
        <v>1</v>
      </c>
      <c r="X8">
        <v>990</v>
      </c>
      <c r="Y8">
        <v>15.01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5</v>
      </c>
      <c r="AG8">
        <v>990</v>
      </c>
      <c r="AH8">
        <v>2</v>
      </c>
      <c r="AI8">
        <v>44169222</v>
      </c>
      <c r="AJ8">
        <v>11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ROW(Source!A36)</f>
        <v>36</v>
      </c>
      <c r="B9">
        <v>44169230</v>
      </c>
      <c r="C9">
        <v>44169218</v>
      </c>
      <c r="D9">
        <v>35047149</v>
      </c>
      <c r="E9">
        <v>1</v>
      </c>
      <c r="F9">
        <v>1</v>
      </c>
      <c r="G9">
        <v>34959076</v>
      </c>
      <c r="H9">
        <v>3</v>
      </c>
      <c r="I9" t="s">
        <v>353</v>
      </c>
      <c r="J9" t="s">
        <v>379</v>
      </c>
      <c r="K9" t="s">
        <v>380</v>
      </c>
      <c r="L9">
        <v>1358</v>
      </c>
      <c r="N9">
        <v>1010</v>
      </c>
      <c r="O9" t="s">
        <v>356</v>
      </c>
      <c r="P9" t="s">
        <v>356</v>
      </c>
      <c r="Q9">
        <v>10</v>
      </c>
      <c r="X9">
        <v>32</v>
      </c>
      <c r="Y9">
        <v>144.77000000000001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5</v>
      </c>
      <c r="AG9">
        <v>32</v>
      </c>
      <c r="AH9">
        <v>2</v>
      </c>
      <c r="AI9">
        <v>44169220</v>
      </c>
      <c r="AJ9">
        <v>13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ROW(Source!A36)</f>
        <v>36</v>
      </c>
      <c r="B10">
        <v>44169231</v>
      </c>
      <c r="C10">
        <v>44169218</v>
      </c>
      <c r="D10">
        <v>34984822</v>
      </c>
      <c r="E10">
        <v>34959076</v>
      </c>
      <c r="F10">
        <v>1</v>
      </c>
      <c r="G10">
        <v>34959076</v>
      </c>
      <c r="H10">
        <v>3</v>
      </c>
      <c r="I10" t="s">
        <v>350</v>
      </c>
      <c r="J10" t="s">
        <v>5</v>
      </c>
      <c r="K10" t="s">
        <v>351</v>
      </c>
      <c r="L10">
        <v>1344</v>
      </c>
      <c r="N10">
        <v>1008</v>
      </c>
      <c r="O10" t="s">
        <v>352</v>
      </c>
      <c r="P10" t="s">
        <v>352</v>
      </c>
      <c r="Q10">
        <v>1</v>
      </c>
      <c r="X10">
        <v>61.6</v>
      </c>
      <c r="Y10">
        <v>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5</v>
      </c>
      <c r="AG10">
        <v>61.6</v>
      </c>
      <c r="AH10">
        <v>2</v>
      </c>
      <c r="AI10">
        <v>44169221</v>
      </c>
      <c r="AJ10">
        <v>14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ROW(Source!A41)</f>
        <v>41</v>
      </c>
      <c r="B11">
        <v>44169241</v>
      </c>
      <c r="C11">
        <v>44169236</v>
      </c>
      <c r="D11">
        <v>34984826</v>
      </c>
      <c r="E11">
        <v>34959076</v>
      </c>
      <c r="F11">
        <v>1</v>
      </c>
      <c r="G11">
        <v>34959076</v>
      </c>
      <c r="H11">
        <v>1</v>
      </c>
      <c r="I11" t="s">
        <v>343</v>
      </c>
      <c r="J11" t="s">
        <v>5</v>
      </c>
      <c r="K11" t="s">
        <v>344</v>
      </c>
      <c r="L11">
        <v>1191</v>
      </c>
      <c r="N11">
        <v>1013</v>
      </c>
      <c r="O11" t="s">
        <v>345</v>
      </c>
      <c r="P11" t="s">
        <v>345</v>
      </c>
      <c r="Q11">
        <v>1</v>
      </c>
      <c r="X11">
        <v>3.04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30</v>
      </c>
      <c r="AG11">
        <v>4.1951999999999989</v>
      </c>
      <c r="AH11">
        <v>2</v>
      </c>
      <c r="AI11">
        <v>44169237</v>
      </c>
      <c r="AJ11">
        <v>15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ROW(Source!A41)</f>
        <v>41</v>
      </c>
      <c r="B12">
        <v>44169242</v>
      </c>
      <c r="C12">
        <v>44169236</v>
      </c>
      <c r="D12">
        <v>34986160</v>
      </c>
      <c r="E12">
        <v>34959076</v>
      </c>
      <c r="F12">
        <v>1</v>
      </c>
      <c r="G12">
        <v>34959076</v>
      </c>
      <c r="H12">
        <v>3</v>
      </c>
      <c r="I12" t="s">
        <v>381</v>
      </c>
      <c r="J12" t="s">
        <v>5</v>
      </c>
      <c r="K12" t="s">
        <v>382</v>
      </c>
      <c r="L12">
        <v>1346</v>
      </c>
      <c r="N12">
        <v>1009</v>
      </c>
      <c r="O12" t="s">
        <v>383</v>
      </c>
      <c r="P12" t="s">
        <v>383</v>
      </c>
      <c r="Q12">
        <v>1</v>
      </c>
      <c r="X12">
        <v>1.9570000000000001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5</v>
      </c>
      <c r="AG12">
        <v>1.9570000000000001</v>
      </c>
      <c r="AH12">
        <v>3</v>
      </c>
      <c r="AI12">
        <v>-1</v>
      </c>
      <c r="AJ12" t="s">
        <v>5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ROW(Source!A43)</f>
        <v>43</v>
      </c>
      <c r="B13">
        <v>44169251</v>
      </c>
      <c r="C13">
        <v>44169244</v>
      </c>
      <c r="D13">
        <v>34984826</v>
      </c>
      <c r="E13">
        <v>34959076</v>
      </c>
      <c r="F13">
        <v>1</v>
      </c>
      <c r="G13">
        <v>34959076</v>
      </c>
      <c r="H13">
        <v>1</v>
      </c>
      <c r="I13" t="s">
        <v>343</v>
      </c>
      <c r="J13" t="s">
        <v>5</v>
      </c>
      <c r="K13" t="s">
        <v>344</v>
      </c>
      <c r="L13">
        <v>1191</v>
      </c>
      <c r="N13">
        <v>1013</v>
      </c>
      <c r="O13" t="s">
        <v>345</v>
      </c>
      <c r="P13" t="s">
        <v>345</v>
      </c>
      <c r="Q13">
        <v>1</v>
      </c>
      <c r="X13">
        <v>206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30</v>
      </c>
      <c r="AG13">
        <v>284.27999999999997</v>
      </c>
      <c r="AH13">
        <v>2</v>
      </c>
      <c r="AI13">
        <v>44169245</v>
      </c>
      <c r="AJ13">
        <v>17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ROW(Source!A43)</f>
        <v>43</v>
      </c>
      <c r="B14">
        <v>44169252</v>
      </c>
      <c r="C14">
        <v>44169244</v>
      </c>
      <c r="D14">
        <v>35065072</v>
      </c>
      <c r="E14">
        <v>1</v>
      </c>
      <c r="F14">
        <v>1</v>
      </c>
      <c r="G14">
        <v>34959076</v>
      </c>
      <c r="H14">
        <v>2</v>
      </c>
      <c r="I14" t="s">
        <v>357</v>
      </c>
      <c r="J14" t="s">
        <v>358</v>
      </c>
      <c r="K14" t="s">
        <v>359</v>
      </c>
      <c r="L14">
        <v>1367</v>
      </c>
      <c r="N14">
        <v>1011</v>
      </c>
      <c r="O14" t="s">
        <v>317</v>
      </c>
      <c r="P14" t="s">
        <v>317</v>
      </c>
      <c r="Q14">
        <v>1</v>
      </c>
      <c r="X14">
        <v>100</v>
      </c>
      <c r="Y14">
        <v>0</v>
      </c>
      <c r="Z14">
        <v>41.62</v>
      </c>
      <c r="AA14">
        <v>13.33</v>
      </c>
      <c r="AB14">
        <v>0</v>
      </c>
      <c r="AC14">
        <v>0</v>
      </c>
      <c r="AD14">
        <v>1</v>
      </c>
      <c r="AE14">
        <v>0</v>
      </c>
      <c r="AF14" t="s">
        <v>30</v>
      </c>
      <c r="AG14">
        <v>138</v>
      </c>
      <c r="AH14">
        <v>2</v>
      </c>
      <c r="AI14">
        <v>44169246</v>
      </c>
      <c r="AJ14">
        <v>18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ROW(Source!A43)</f>
        <v>43</v>
      </c>
      <c r="B15">
        <v>44169253</v>
      </c>
      <c r="C15">
        <v>44169244</v>
      </c>
      <c r="D15">
        <v>35065539</v>
      </c>
      <c r="E15">
        <v>1</v>
      </c>
      <c r="F15">
        <v>1</v>
      </c>
      <c r="G15">
        <v>34959076</v>
      </c>
      <c r="H15">
        <v>2</v>
      </c>
      <c r="I15" t="s">
        <v>360</v>
      </c>
      <c r="J15" t="s">
        <v>361</v>
      </c>
      <c r="K15" t="s">
        <v>362</v>
      </c>
      <c r="L15">
        <v>1367</v>
      </c>
      <c r="N15">
        <v>1011</v>
      </c>
      <c r="O15" t="s">
        <v>317</v>
      </c>
      <c r="P15" t="s">
        <v>317</v>
      </c>
      <c r="Q15">
        <v>1</v>
      </c>
      <c r="X15">
        <v>200</v>
      </c>
      <c r="Y15">
        <v>0</v>
      </c>
      <c r="Z15">
        <v>3.16</v>
      </c>
      <c r="AA15">
        <v>0.04</v>
      </c>
      <c r="AB15">
        <v>0</v>
      </c>
      <c r="AC15">
        <v>0</v>
      </c>
      <c r="AD15">
        <v>1</v>
      </c>
      <c r="AE15">
        <v>0</v>
      </c>
      <c r="AF15" t="s">
        <v>30</v>
      </c>
      <c r="AG15">
        <v>276</v>
      </c>
      <c r="AH15">
        <v>2</v>
      </c>
      <c r="AI15">
        <v>44169247</v>
      </c>
      <c r="AJ15">
        <v>19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ROW(Source!A44)</f>
        <v>44</v>
      </c>
      <c r="B16">
        <v>44169267</v>
      </c>
      <c r="C16">
        <v>44169254</v>
      </c>
      <c r="D16">
        <v>34984826</v>
      </c>
      <c r="E16">
        <v>34959076</v>
      </c>
      <c r="F16">
        <v>1</v>
      </c>
      <c r="G16">
        <v>34959076</v>
      </c>
      <c r="H16">
        <v>1</v>
      </c>
      <c r="I16" t="s">
        <v>343</v>
      </c>
      <c r="J16" t="s">
        <v>5</v>
      </c>
      <c r="K16" t="s">
        <v>344</v>
      </c>
      <c r="L16">
        <v>1191</v>
      </c>
      <c r="N16">
        <v>1013</v>
      </c>
      <c r="O16" t="s">
        <v>345</v>
      </c>
      <c r="P16" t="s">
        <v>345</v>
      </c>
      <c r="Q16">
        <v>1</v>
      </c>
      <c r="X16">
        <v>132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30</v>
      </c>
      <c r="AG16">
        <v>182.16</v>
      </c>
      <c r="AH16">
        <v>2</v>
      </c>
      <c r="AI16">
        <v>44169255</v>
      </c>
      <c r="AJ16">
        <v>20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ROW(Source!A44)</f>
        <v>44</v>
      </c>
      <c r="B17">
        <v>44169268</v>
      </c>
      <c r="C17">
        <v>44169254</v>
      </c>
      <c r="D17">
        <v>35043884</v>
      </c>
      <c r="E17">
        <v>1</v>
      </c>
      <c r="F17">
        <v>1</v>
      </c>
      <c r="G17">
        <v>34959076</v>
      </c>
      <c r="H17">
        <v>3</v>
      </c>
      <c r="I17" t="s">
        <v>363</v>
      </c>
      <c r="J17" t="s">
        <v>384</v>
      </c>
      <c r="K17" t="s">
        <v>385</v>
      </c>
      <c r="L17">
        <v>1348</v>
      </c>
      <c r="N17">
        <v>1009</v>
      </c>
      <c r="O17" t="s">
        <v>93</v>
      </c>
      <c r="P17" t="s">
        <v>93</v>
      </c>
      <c r="Q17">
        <v>1000</v>
      </c>
      <c r="X17">
        <v>6.0000000000000001E-3</v>
      </c>
      <c r="Y17">
        <v>6521.42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5</v>
      </c>
      <c r="AG17">
        <v>6.0000000000000001E-3</v>
      </c>
      <c r="AH17">
        <v>2</v>
      </c>
      <c r="AI17">
        <v>44169256</v>
      </c>
      <c r="AJ17">
        <v>21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ROW(Source!A44)</f>
        <v>44</v>
      </c>
      <c r="B18">
        <v>44169269</v>
      </c>
      <c r="C18">
        <v>44169254</v>
      </c>
      <c r="D18">
        <v>35043799</v>
      </c>
      <c r="E18">
        <v>1</v>
      </c>
      <c r="F18">
        <v>1</v>
      </c>
      <c r="G18">
        <v>34959076</v>
      </c>
      <c r="H18">
        <v>3</v>
      </c>
      <c r="I18" t="s">
        <v>366</v>
      </c>
      <c r="J18" t="s">
        <v>386</v>
      </c>
      <c r="K18" t="s">
        <v>387</v>
      </c>
      <c r="L18">
        <v>1339</v>
      </c>
      <c r="N18">
        <v>1007</v>
      </c>
      <c r="O18" t="s">
        <v>40</v>
      </c>
      <c r="P18" t="s">
        <v>40</v>
      </c>
      <c r="Q18">
        <v>1</v>
      </c>
      <c r="X18">
        <v>1.7999999999999999E-2</v>
      </c>
      <c r="Y18">
        <v>1828.56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5</v>
      </c>
      <c r="AG18">
        <v>1.7999999999999999E-2</v>
      </c>
      <c r="AH18">
        <v>2</v>
      </c>
      <c r="AI18">
        <v>44169257</v>
      </c>
      <c r="AJ18">
        <v>22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ROW(Source!A44)</f>
        <v>44</v>
      </c>
      <c r="B19">
        <v>44169270</v>
      </c>
      <c r="C19">
        <v>44169254</v>
      </c>
      <c r="D19">
        <v>35043931</v>
      </c>
      <c r="E19">
        <v>1</v>
      </c>
      <c r="F19">
        <v>1</v>
      </c>
      <c r="G19">
        <v>34959076</v>
      </c>
      <c r="H19">
        <v>3</v>
      </c>
      <c r="I19" t="s">
        <v>369</v>
      </c>
      <c r="J19" t="s">
        <v>388</v>
      </c>
      <c r="K19" t="s">
        <v>389</v>
      </c>
      <c r="L19">
        <v>1339</v>
      </c>
      <c r="N19">
        <v>1007</v>
      </c>
      <c r="O19" t="s">
        <v>40</v>
      </c>
      <c r="P19" t="s">
        <v>40</v>
      </c>
      <c r="Q19">
        <v>1</v>
      </c>
      <c r="X19">
        <v>0.3</v>
      </c>
      <c r="Y19">
        <v>2472.13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5</v>
      </c>
      <c r="AG19">
        <v>0.3</v>
      </c>
      <c r="AH19">
        <v>2</v>
      </c>
      <c r="AI19">
        <v>44169258</v>
      </c>
      <c r="AJ19">
        <v>23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ROW(Source!A44)</f>
        <v>44</v>
      </c>
      <c r="B20">
        <v>44169271</v>
      </c>
      <c r="C20">
        <v>44169254</v>
      </c>
      <c r="D20">
        <v>35043170</v>
      </c>
      <c r="E20">
        <v>1</v>
      </c>
      <c r="F20">
        <v>1</v>
      </c>
      <c r="G20">
        <v>34959076</v>
      </c>
      <c r="H20">
        <v>3</v>
      </c>
      <c r="I20" t="s">
        <v>372</v>
      </c>
      <c r="J20" t="s">
        <v>390</v>
      </c>
      <c r="K20" t="s">
        <v>391</v>
      </c>
      <c r="L20">
        <v>1348</v>
      </c>
      <c r="N20">
        <v>1009</v>
      </c>
      <c r="O20" t="s">
        <v>93</v>
      </c>
      <c r="P20" t="s">
        <v>93</v>
      </c>
      <c r="Q20">
        <v>1000</v>
      </c>
      <c r="X20">
        <v>5.4000000000000003E-3</v>
      </c>
      <c r="Y20">
        <v>9098.51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5</v>
      </c>
      <c r="AG20">
        <v>5.4000000000000003E-3</v>
      </c>
      <c r="AH20">
        <v>2</v>
      </c>
      <c r="AI20">
        <v>44169259</v>
      </c>
      <c r="AJ20">
        <v>24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ROW(Source!A44)</f>
        <v>44</v>
      </c>
      <c r="B21">
        <v>44169272</v>
      </c>
      <c r="C21">
        <v>44169254</v>
      </c>
      <c r="D21">
        <v>34985889</v>
      </c>
      <c r="E21">
        <v>34959076</v>
      </c>
      <c r="F21">
        <v>1</v>
      </c>
      <c r="G21">
        <v>34959076</v>
      </c>
      <c r="H21">
        <v>3</v>
      </c>
      <c r="I21" t="s">
        <v>392</v>
      </c>
      <c r="J21" t="s">
        <v>5</v>
      </c>
      <c r="K21" t="s">
        <v>393</v>
      </c>
      <c r="L21">
        <v>1339</v>
      </c>
      <c r="N21">
        <v>1007</v>
      </c>
      <c r="O21" t="s">
        <v>40</v>
      </c>
      <c r="P21" t="s">
        <v>40</v>
      </c>
      <c r="Q21">
        <v>1</v>
      </c>
      <c r="X21">
        <v>0.41599999999999998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t="s">
        <v>5</v>
      </c>
      <c r="AG21">
        <v>0.41599999999999998</v>
      </c>
      <c r="AH21">
        <v>3</v>
      </c>
      <c r="AI21">
        <v>-1</v>
      </c>
      <c r="AJ21" t="s">
        <v>5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ROW(Source!A83)</f>
        <v>83</v>
      </c>
      <c r="B22">
        <v>44169275</v>
      </c>
      <c r="C22">
        <v>44169274</v>
      </c>
      <c r="D22">
        <v>34984826</v>
      </c>
      <c r="E22">
        <v>34959076</v>
      </c>
      <c r="F22">
        <v>1</v>
      </c>
      <c r="G22">
        <v>34959076</v>
      </c>
      <c r="H22">
        <v>1</v>
      </c>
      <c r="I22" t="s">
        <v>343</v>
      </c>
      <c r="J22" t="s">
        <v>5</v>
      </c>
      <c r="K22" t="s">
        <v>344</v>
      </c>
      <c r="L22">
        <v>1191</v>
      </c>
      <c r="N22">
        <v>1013</v>
      </c>
      <c r="O22" t="s">
        <v>345</v>
      </c>
      <c r="P22" t="s">
        <v>345</v>
      </c>
      <c r="Q22">
        <v>1</v>
      </c>
      <c r="X22">
        <v>6.08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1</v>
      </c>
      <c r="AF22" t="s">
        <v>30</v>
      </c>
      <c r="AG22">
        <v>8.3903999999999979</v>
      </c>
      <c r="AH22">
        <v>3</v>
      </c>
      <c r="AI22">
        <v>-1</v>
      </c>
      <c r="AJ22" t="s">
        <v>5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ROW(Source!A84)</f>
        <v>84</v>
      </c>
      <c r="B23">
        <v>44169277</v>
      </c>
      <c r="C23">
        <v>44169276</v>
      </c>
      <c r="D23">
        <v>34984826</v>
      </c>
      <c r="E23">
        <v>34959076</v>
      </c>
      <c r="F23">
        <v>1</v>
      </c>
      <c r="G23">
        <v>34959076</v>
      </c>
      <c r="H23">
        <v>1</v>
      </c>
      <c r="I23" t="s">
        <v>343</v>
      </c>
      <c r="J23" t="s">
        <v>5</v>
      </c>
      <c r="K23" t="s">
        <v>344</v>
      </c>
      <c r="L23">
        <v>1191</v>
      </c>
      <c r="N23">
        <v>1013</v>
      </c>
      <c r="O23" t="s">
        <v>345</v>
      </c>
      <c r="P23" t="s">
        <v>345</v>
      </c>
      <c r="Q23">
        <v>1</v>
      </c>
      <c r="X23">
        <v>6.08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30</v>
      </c>
      <c r="AG23">
        <v>8.3903999999999979</v>
      </c>
      <c r="AH23">
        <v>3</v>
      </c>
      <c r="AI23">
        <v>-1</v>
      </c>
      <c r="AJ23" t="s">
        <v>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ROW(Source!A85)</f>
        <v>85</v>
      </c>
      <c r="B24">
        <v>44169280</v>
      </c>
      <c r="C24">
        <v>44169278</v>
      </c>
      <c r="D24">
        <v>34984826</v>
      </c>
      <c r="E24">
        <v>34959076</v>
      </c>
      <c r="F24">
        <v>1</v>
      </c>
      <c r="G24">
        <v>34959076</v>
      </c>
      <c r="H24">
        <v>1</v>
      </c>
      <c r="I24" t="s">
        <v>343</v>
      </c>
      <c r="J24" t="s">
        <v>5</v>
      </c>
      <c r="K24" t="s">
        <v>344</v>
      </c>
      <c r="L24">
        <v>1191</v>
      </c>
      <c r="N24">
        <v>1013</v>
      </c>
      <c r="O24" t="s">
        <v>345</v>
      </c>
      <c r="P24" t="s">
        <v>345</v>
      </c>
      <c r="Q24">
        <v>1</v>
      </c>
      <c r="X24">
        <v>2.2799999999999998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30</v>
      </c>
      <c r="AG24">
        <v>3.1463999999999994</v>
      </c>
      <c r="AH24">
        <v>3</v>
      </c>
      <c r="AI24">
        <v>-1</v>
      </c>
      <c r="AJ24" t="s">
        <v>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ROW(Source!A86)</f>
        <v>86</v>
      </c>
      <c r="B25">
        <v>44169283</v>
      </c>
      <c r="C25">
        <v>44169281</v>
      </c>
      <c r="D25">
        <v>34984826</v>
      </c>
      <c r="E25">
        <v>34959076</v>
      </c>
      <c r="F25">
        <v>1</v>
      </c>
      <c r="G25">
        <v>34959076</v>
      </c>
      <c r="H25">
        <v>1</v>
      </c>
      <c r="I25" t="s">
        <v>343</v>
      </c>
      <c r="J25" t="s">
        <v>5</v>
      </c>
      <c r="K25" t="s">
        <v>344</v>
      </c>
      <c r="L25">
        <v>1191</v>
      </c>
      <c r="N25">
        <v>1013</v>
      </c>
      <c r="O25" t="s">
        <v>345</v>
      </c>
      <c r="P25" t="s">
        <v>345</v>
      </c>
      <c r="Q25">
        <v>1</v>
      </c>
      <c r="X25">
        <v>2.2799999999999998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30</v>
      </c>
      <c r="AG25">
        <v>3.1463999999999994</v>
      </c>
      <c r="AH25">
        <v>3</v>
      </c>
      <c r="AI25">
        <v>-1</v>
      </c>
      <c r="AJ25" t="s">
        <v>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ROW(Source!A88)</f>
        <v>88</v>
      </c>
      <c r="B26">
        <v>44169286</v>
      </c>
      <c r="C26">
        <v>44169285</v>
      </c>
      <c r="D26">
        <v>34984826</v>
      </c>
      <c r="E26">
        <v>34959076</v>
      </c>
      <c r="F26">
        <v>1</v>
      </c>
      <c r="G26">
        <v>34959076</v>
      </c>
      <c r="H26">
        <v>1</v>
      </c>
      <c r="I26" t="s">
        <v>343</v>
      </c>
      <c r="J26" t="s">
        <v>5</v>
      </c>
      <c r="K26" t="s">
        <v>344</v>
      </c>
      <c r="L26">
        <v>1191</v>
      </c>
      <c r="N26">
        <v>1013</v>
      </c>
      <c r="O26" t="s">
        <v>345</v>
      </c>
      <c r="P26" t="s">
        <v>345</v>
      </c>
      <c r="Q26">
        <v>1</v>
      </c>
      <c r="X26">
        <v>30.93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30</v>
      </c>
      <c r="AG26">
        <v>42.683399999999999</v>
      </c>
      <c r="AH26">
        <v>3</v>
      </c>
      <c r="AI26">
        <v>-1</v>
      </c>
      <c r="AJ26" t="s">
        <v>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ROW(Source!A88)</f>
        <v>88</v>
      </c>
      <c r="B27">
        <v>44169287</v>
      </c>
      <c r="C27">
        <v>44169285</v>
      </c>
      <c r="D27">
        <v>34989536</v>
      </c>
      <c r="E27">
        <v>34959076</v>
      </c>
      <c r="F27">
        <v>1</v>
      </c>
      <c r="G27">
        <v>34959076</v>
      </c>
      <c r="H27">
        <v>3</v>
      </c>
      <c r="I27" t="s">
        <v>394</v>
      </c>
      <c r="J27" t="s">
        <v>5</v>
      </c>
      <c r="K27" t="s">
        <v>395</v>
      </c>
      <c r="L27">
        <v>1303</v>
      </c>
      <c r="N27">
        <v>1003</v>
      </c>
      <c r="O27" t="s">
        <v>199</v>
      </c>
      <c r="P27" t="s">
        <v>199</v>
      </c>
      <c r="Q27">
        <v>1000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5</v>
      </c>
      <c r="AG27">
        <v>0</v>
      </c>
      <c r="AH27">
        <v>3</v>
      </c>
      <c r="AI27">
        <v>-1</v>
      </c>
      <c r="AJ27" t="s">
        <v>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ROW(Source!A89)</f>
        <v>89</v>
      </c>
      <c r="B28">
        <v>44169289</v>
      </c>
      <c r="C28">
        <v>44169288</v>
      </c>
      <c r="D28">
        <v>34984826</v>
      </c>
      <c r="E28">
        <v>34959076</v>
      </c>
      <c r="F28">
        <v>1</v>
      </c>
      <c r="G28">
        <v>34959076</v>
      </c>
      <c r="H28">
        <v>1</v>
      </c>
      <c r="I28" t="s">
        <v>343</v>
      </c>
      <c r="J28" t="s">
        <v>5</v>
      </c>
      <c r="K28" t="s">
        <v>344</v>
      </c>
      <c r="L28">
        <v>1191</v>
      </c>
      <c r="N28">
        <v>1013</v>
      </c>
      <c r="O28" t="s">
        <v>345</v>
      </c>
      <c r="P28" t="s">
        <v>345</v>
      </c>
      <c r="Q28">
        <v>1</v>
      </c>
      <c r="X28">
        <v>30.93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30</v>
      </c>
      <c r="AG28">
        <v>42.683399999999999</v>
      </c>
      <c r="AH28">
        <v>3</v>
      </c>
      <c r="AI28">
        <v>-1</v>
      </c>
      <c r="AJ28" t="s">
        <v>5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ROW(Source!A89)</f>
        <v>89</v>
      </c>
      <c r="B29">
        <v>44169290</v>
      </c>
      <c r="C29">
        <v>44169288</v>
      </c>
      <c r="D29">
        <v>34989536</v>
      </c>
      <c r="E29">
        <v>34959076</v>
      </c>
      <c r="F29">
        <v>1</v>
      </c>
      <c r="G29">
        <v>34959076</v>
      </c>
      <c r="H29">
        <v>3</v>
      </c>
      <c r="I29" t="s">
        <v>394</v>
      </c>
      <c r="J29" t="s">
        <v>5</v>
      </c>
      <c r="K29" t="s">
        <v>395</v>
      </c>
      <c r="L29">
        <v>1303</v>
      </c>
      <c r="N29">
        <v>1003</v>
      </c>
      <c r="O29" t="s">
        <v>199</v>
      </c>
      <c r="P29" t="s">
        <v>199</v>
      </c>
      <c r="Q29">
        <v>1000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 t="s">
        <v>5</v>
      </c>
      <c r="AG29">
        <v>0</v>
      </c>
      <c r="AH29">
        <v>3</v>
      </c>
      <c r="AI29">
        <v>-1</v>
      </c>
      <c r="AJ29" t="s">
        <v>5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ROW(Source!A90)</f>
        <v>90</v>
      </c>
      <c r="B30">
        <v>44169293</v>
      </c>
      <c r="C30">
        <v>44169291</v>
      </c>
      <c r="D30">
        <v>34984826</v>
      </c>
      <c r="E30">
        <v>34959076</v>
      </c>
      <c r="F30">
        <v>1</v>
      </c>
      <c r="G30">
        <v>34959076</v>
      </c>
      <c r="H30">
        <v>1</v>
      </c>
      <c r="I30" t="s">
        <v>343</v>
      </c>
      <c r="J30" t="s">
        <v>5</v>
      </c>
      <c r="K30" t="s">
        <v>344</v>
      </c>
      <c r="L30">
        <v>1191</v>
      </c>
      <c r="N30">
        <v>1013</v>
      </c>
      <c r="O30" t="s">
        <v>345</v>
      </c>
      <c r="P30" t="s">
        <v>345</v>
      </c>
      <c r="Q30">
        <v>1</v>
      </c>
      <c r="X30">
        <v>24.8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30</v>
      </c>
      <c r="AG30">
        <v>34.223999999999997</v>
      </c>
      <c r="AH30">
        <v>2</v>
      </c>
      <c r="AI30">
        <v>44169292</v>
      </c>
      <c r="AJ30">
        <v>28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ROW(Source!A91)</f>
        <v>91</v>
      </c>
      <c r="B31">
        <v>44169296</v>
      </c>
      <c r="C31">
        <v>44169294</v>
      </c>
      <c r="D31">
        <v>34984826</v>
      </c>
      <c r="E31">
        <v>34959076</v>
      </c>
      <c r="F31">
        <v>1</v>
      </c>
      <c r="G31">
        <v>34959076</v>
      </c>
      <c r="H31">
        <v>1</v>
      </c>
      <c r="I31" t="s">
        <v>343</v>
      </c>
      <c r="J31" t="s">
        <v>5</v>
      </c>
      <c r="K31" t="s">
        <v>344</v>
      </c>
      <c r="L31">
        <v>1191</v>
      </c>
      <c r="N31">
        <v>1013</v>
      </c>
      <c r="O31" t="s">
        <v>345</v>
      </c>
      <c r="P31" t="s">
        <v>345</v>
      </c>
      <c r="Q31">
        <v>1</v>
      </c>
      <c r="X31">
        <v>24.8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30</v>
      </c>
      <c r="AG31">
        <v>34.223999999999997</v>
      </c>
      <c r="AH31">
        <v>2</v>
      </c>
      <c r="AI31">
        <v>44169295</v>
      </c>
      <c r="AJ31">
        <v>29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ROW(Source!A92)</f>
        <v>92</v>
      </c>
      <c r="B32">
        <v>44169299</v>
      </c>
      <c r="C32">
        <v>44169297</v>
      </c>
      <c r="D32">
        <v>34984826</v>
      </c>
      <c r="E32">
        <v>34959076</v>
      </c>
      <c r="F32">
        <v>1</v>
      </c>
      <c r="G32">
        <v>34959076</v>
      </c>
      <c r="H32">
        <v>1</v>
      </c>
      <c r="I32" t="s">
        <v>343</v>
      </c>
      <c r="J32" t="s">
        <v>5</v>
      </c>
      <c r="K32" t="s">
        <v>344</v>
      </c>
      <c r="L32">
        <v>1191</v>
      </c>
      <c r="N32">
        <v>1013</v>
      </c>
      <c r="O32" t="s">
        <v>345</v>
      </c>
      <c r="P32" t="s">
        <v>345</v>
      </c>
      <c r="Q32">
        <v>1</v>
      </c>
      <c r="X32">
        <v>24.8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30</v>
      </c>
      <c r="AG32">
        <v>34.223999999999997</v>
      </c>
      <c r="AH32">
        <v>2</v>
      </c>
      <c r="AI32">
        <v>44169298</v>
      </c>
      <c r="AJ32">
        <v>30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ROW(Source!A93)</f>
        <v>93</v>
      </c>
      <c r="B33">
        <v>44169301</v>
      </c>
      <c r="C33">
        <v>44169300</v>
      </c>
      <c r="D33">
        <v>34984826</v>
      </c>
      <c r="E33">
        <v>34959076</v>
      </c>
      <c r="F33">
        <v>1</v>
      </c>
      <c r="G33">
        <v>34959076</v>
      </c>
      <c r="H33">
        <v>1</v>
      </c>
      <c r="I33" t="s">
        <v>343</v>
      </c>
      <c r="J33" t="s">
        <v>5</v>
      </c>
      <c r="K33" t="s">
        <v>344</v>
      </c>
      <c r="L33">
        <v>1191</v>
      </c>
      <c r="N33">
        <v>1013</v>
      </c>
      <c r="O33" t="s">
        <v>345</v>
      </c>
      <c r="P33" t="s">
        <v>345</v>
      </c>
      <c r="Q33">
        <v>1</v>
      </c>
      <c r="X33">
        <v>54.12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30</v>
      </c>
      <c r="AG33">
        <v>74.68559999999998</v>
      </c>
      <c r="AH33">
        <v>3</v>
      </c>
      <c r="AI33">
        <v>-1</v>
      </c>
      <c r="AJ33" t="s">
        <v>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ROW(Source!A93)</f>
        <v>93</v>
      </c>
      <c r="B34">
        <v>44169302</v>
      </c>
      <c r="C34">
        <v>44169300</v>
      </c>
      <c r="D34">
        <v>34989536</v>
      </c>
      <c r="E34">
        <v>34959076</v>
      </c>
      <c r="F34">
        <v>1</v>
      </c>
      <c r="G34">
        <v>34959076</v>
      </c>
      <c r="H34">
        <v>3</v>
      </c>
      <c r="I34" t="s">
        <v>394</v>
      </c>
      <c r="J34" t="s">
        <v>5</v>
      </c>
      <c r="K34" t="s">
        <v>395</v>
      </c>
      <c r="L34">
        <v>1303</v>
      </c>
      <c r="N34">
        <v>1003</v>
      </c>
      <c r="O34" t="s">
        <v>199</v>
      </c>
      <c r="P34" t="s">
        <v>199</v>
      </c>
      <c r="Q34">
        <v>1000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5</v>
      </c>
      <c r="AG34">
        <v>0</v>
      </c>
      <c r="AH34">
        <v>3</v>
      </c>
      <c r="AI34">
        <v>-1</v>
      </c>
      <c r="AJ34" t="s">
        <v>5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ROW(Source!A94)</f>
        <v>94</v>
      </c>
      <c r="B35">
        <v>44169305</v>
      </c>
      <c r="C35">
        <v>44169303</v>
      </c>
      <c r="D35">
        <v>34984826</v>
      </c>
      <c r="E35">
        <v>34959076</v>
      </c>
      <c r="F35">
        <v>1</v>
      </c>
      <c r="G35">
        <v>34959076</v>
      </c>
      <c r="H35">
        <v>1</v>
      </c>
      <c r="I35" t="s">
        <v>343</v>
      </c>
      <c r="J35" t="s">
        <v>5</v>
      </c>
      <c r="K35" t="s">
        <v>344</v>
      </c>
      <c r="L35">
        <v>1191</v>
      </c>
      <c r="N35">
        <v>1013</v>
      </c>
      <c r="O35" t="s">
        <v>345</v>
      </c>
      <c r="P35" t="s">
        <v>345</v>
      </c>
      <c r="Q35">
        <v>1</v>
      </c>
      <c r="X35">
        <v>11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30</v>
      </c>
      <c r="AG35">
        <v>15.179999999999998</v>
      </c>
      <c r="AH35">
        <v>2</v>
      </c>
      <c r="AI35">
        <v>44169304</v>
      </c>
      <c r="AJ35">
        <v>31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ROW(Source!A95)</f>
        <v>95</v>
      </c>
      <c r="B36">
        <v>44169308</v>
      </c>
      <c r="C36">
        <v>44169306</v>
      </c>
      <c r="D36">
        <v>34984826</v>
      </c>
      <c r="E36">
        <v>34959076</v>
      </c>
      <c r="F36">
        <v>1</v>
      </c>
      <c r="G36">
        <v>34959076</v>
      </c>
      <c r="H36">
        <v>1</v>
      </c>
      <c r="I36" t="s">
        <v>343</v>
      </c>
      <c r="J36" t="s">
        <v>5</v>
      </c>
      <c r="K36" t="s">
        <v>344</v>
      </c>
      <c r="L36">
        <v>1191</v>
      </c>
      <c r="N36">
        <v>1013</v>
      </c>
      <c r="O36" t="s">
        <v>345</v>
      </c>
      <c r="P36" t="s">
        <v>345</v>
      </c>
      <c r="Q36">
        <v>1</v>
      </c>
      <c r="X36">
        <v>11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30</v>
      </c>
      <c r="AG36">
        <v>15.179999999999998</v>
      </c>
      <c r="AH36">
        <v>2</v>
      </c>
      <c r="AI36">
        <v>44169307</v>
      </c>
      <c r="AJ36">
        <v>32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ROW(Source!A97)</f>
        <v>97</v>
      </c>
      <c r="B37">
        <v>44169312</v>
      </c>
      <c r="C37">
        <v>44169310</v>
      </c>
      <c r="D37">
        <v>34984826</v>
      </c>
      <c r="E37">
        <v>34959076</v>
      </c>
      <c r="F37">
        <v>1</v>
      </c>
      <c r="G37">
        <v>34959076</v>
      </c>
      <c r="H37">
        <v>1</v>
      </c>
      <c r="I37" t="s">
        <v>343</v>
      </c>
      <c r="J37" t="s">
        <v>5</v>
      </c>
      <c r="K37" t="s">
        <v>344</v>
      </c>
      <c r="L37">
        <v>1191</v>
      </c>
      <c r="N37">
        <v>1013</v>
      </c>
      <c r="O37" t="s">
        <v>345</v>
      </c>
      <c r="P37" t="s">
        <v>345</v>
      </c>
      <c r="Q37">
        <v>1</v>
      </c>
      <c r="X37">
        <v>5.97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30</v>
      </c>
      <c r="AG37">
        <v>8.2385999999999981</v>
      </c>
      <c r="AH37">
        <v>2</v>
      </c>
      <c r="AI37">
        <v>44169311</v>
      </c>
      <c r="AJ37">
        <v>33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ROW(Source!A99)</f>
        <v>99</v>
      </c>
      <c r="B38">
        <v>44169316</v>
      </c>
      <c r="C38">
        <v>44169314</v>
      </c>
      <c r="D38">
        <v>34984826</v>
      </c>
      <c r="E38">
        <v>34959076</v>
      </c>
      <c r="F38">
        <v>1</v>
      </c>
      <c r="G38">
        <v>34959076</v>
      </c>
      <c r="H38">
        <v>1</v>
      </c>
      <c r="I38" t="s">
        <v>343</v>
      </c>
      <c r="J38" t="s">
        <v>5</v>
      </c>
      <c r="K38" t="s">
        <v>344</v>
      </c>
      <c r="L38">
        <v>1191</v>
      </c>
      <c r="N38">
        <v>1013</v>
      </c>
      <c r="O38" t="s">
        <v>345</v>
      </c>
      <c r="P38" t="s">
        <v>345</v>
      </c>
      <c r="Q38">
        <v>1</v>
      </c>
      <c r="X38">
        <v>5.97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30</v>
      </c>
      <c r="AG38">
        <v>8.2385999999999981</v>
      </c>
      <c r="AH38">
        <v>2</v>
      </c>
      <c r="AI38">
        <v>44169315</v>
      </c>
      <c r="AJ38">
        <v>34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ROW(Source!A101)</f>
        <v>101</v>
      </c>
      <c r="B39">
        <v>44169321</v>
      </c>
      <c r="C39">
        <v>44169318</v>
      </c>
      <c r="D39">
        <v>34984826</v>
      </c>
      <c r="E39">
        <v>34959076</v>
      </c>
      <c r="F39">
        <v>1</v>
      </c>
      <c r="G39">
        <v>34959076</v>
      </c>
      <c r="H39">
        <v>1</v>
      </c>
      <c r="I39" t="s">
        <v>343</v>
      </c>
      <c r="J39" t="s">
        <v>5</v>
      </c>
      <c r="K39" t="s">
        <v>344</v>
      </c>
      <c r="L39">
        <v>1191</v>
      </c>
      <c r="N39">
        <v>1013</v>
      </c>
      <c r="O39" t="s">
        <v>345</v>
      </c>
      <c r="P39" t="s">
        <v>345</v>
      </c>
      <c r="Q39">
        <v>1</v>
      </c>
      <c r="X39">
        <v>4.16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30</v>
      </c>
      <c r="AG39">
        <v>5.7407999999999992</v>
      </c>
      <c r="AH39">
        <v>3</v>
      </c>
      <c r="AI39">
        <v>-1</v>
      </c>
      <c r="AJ39" t="s">
        <v>5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ROW(Source!A101)</f>
        <v>101</v>
      </c>
      <c r="B40">
        <v>44169322</v>
      </c>
      <c r="C40">
        <v>44169318</v>
      </c>
      <c r="D40">
        <v>34991473</v>
      </c>
      <c r="E40">
        <v>34959076</v>
      </c>
      <c r="F40">
        <v>1</v>
      </c>
      <c r="G40">
        <v>34959076</v>
      </c>
      <c r="H40">
        <v>3</v>
      </c>
      <c r="I40" t="s">
        <v>396</v>
      </c>
      <c r="J40" t="s">
        <v>5</v>
      </c>
      <c r="K40" t="s">
        <v>397</v>
      </c>
      <c r="L40">
        <v>1354</v>
      </c>
      <c r="N40">
        <v>1010</v>
      </c>
      <c r="O40" t="s">
        <v>80</v>
      </c>
      <c r="P40" t="s">
        <v>80</v>
      </c>
      <c r="Q40">
        <v>1</v>
      </c>
      <c r="X40">
        <v>206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5</v>
      </c>
      <c r="AG40">
        <v>206</v>
      </c>
      <c r="AH40">
        <v>3</v>
      </c>
      <c r="AI40">
        <v>-1</v>
      </c>
      <c r="AJ40" t="s">
        <v>5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ROW(Source!A103)</f>
        <v>103</v>
      </c>
      <c r="B41">
        <v>44169327</v>
      </c>
      <c r="C41">
        <v>44169324</v>
      </c>
      <c r="D41">
        <v>34984826</v>
      </c>
      <c r="E41">
        <v>34959076</v>
      </c>
      <c r="F41">
        <v>1</v>
      </c>
      <c r="G41">
        <v>34959076</v>
      </c>
      <c r="H41">
        <v>1</v>
      </c>
      <c r="I41" t="s">
        <v>343</v>
      </c>
      <c r="J41" t="s">
        <v>5</v>
      </c>
      <c r="K41" t="s">
        <v>344</v>
      </c>
      <c r="L41">
        <v>1191</v>
      </c>
      <c r="N41">
        <v>1013</v>
      </c>
      <c r="O41" t="s">
        <v>345</v>
      </c>
      <c r="P41" t="s">
        <v>345</v>
      </c>
      <c r="Q41">
        <v>1</v>
      </c>
      <c r="X41">
        <v>4.16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30</v>
      </c>
      <c r="AG41">
        <v>5.7407999999999992</v>
      </c>
      <c r="AH41">
        <v>3</v>
      </c>
      <c r="AI41">
        <v>-1</v>
      </c>
      <c r="AJ41" t="s">
        <v>5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ROW(Source!A103)</f>
        <v>103</v>
      </c>
      <c r="B42">
        <v>44169328</v>
      </c>
      <c r="C42">
        <v>44169324</v>
      </c>
      <c r="D42">
        <v>34991473</v>
      </c>
      <c r="E42">
        <v>34959076</v>
      </c>
      <c r="F42">
        <v>1</v>
      </c>
      <c r="G42">
        <v>34959076</v>
      </c>
      <c r="H42">
        <v>3</v>
      </c>
      <c r="I42" t="s">
        <v>396</v>
      </c>
      <c r="J42" t="s">
        <v>5</v>
      </c>
      <c r="K42" t="s">
        <v>397</v>
      </c>
      <c r="L42">
        <v>1354</v>
      </c>
      <c r="N42">
        <v>1010</v>
      </c>
      <c r="O42" t="s">
        <v>80</v>
      </c>
      <c r="P42" t="s">
        <v>80</v>
      </c>
      <c r="Q42">
        <v>1</v>
      </c>
      <c r="X42">
        <v>206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 t="s">
        <v>5</v>
      </c>
      <c r="AG42">
        <v>206</v>
      </c>
      <c r="AH42">
        <v>3</v>
      </c>
      <c r="AI42">
        <v>-1</v>
      </c>
      <c r="AJ42" t="s">
        <v>5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ROW(Source!A105)</f>
        <v>105</v>
      </c>
      <c r="B43">
        <v>44169333</v>
      </c>
      <c r="C43">
        <v>44169330</v>
      </c>
      <c r="D43">
        <v>34984826</v>
      </c>
      <c r="E43">
        <v>34959076</v>
      </c>
      <c r="F43">
        <v>1</v>
      </c>
      <c r="G43">
        <v>34959076</v>
      </c>
      <c r="H43">
        <v>1</v>
      </c>
      <c r="I43" t="s">
        <v>343</v>
      </c>
      <c r="J43" t="s">
        <v>5</v>
      </c>
      <c r="K43" t="s">
        <v>344</v>
      </c>
      <c r="L43">
        <v>1191</v>
      </c>
      <c r="N43">
        <v>1013</v>
      </c>
      <c r="O43" t="s">
        <v>345</v>
      </c>
      <c r="P43" t="s">
        <v>345</v>
      </c>
      <c r="Q43">
        <v>1</v>
      </c>
      <c r="X43">
        <v>3.48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30</v>
      </c>
      <c r="AG43">
        <v>4.8023999999999996</v>
      </c>
      <c r="AH43">
        <v>3</v>
      </c>
      <c r="AI43">
        <v>-1</v>
      </c>
      <c r="AJ43" t="s">
        <v>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ROW(Source!A105)</f>
        <v>105</v>
      </c>
      <c r="B44">
        <v>44169334</v>
      </c>
      <c r="C44">
        <v>44169330</v>
      </c>
      <c r="D44">
        <v>34991473</v>
      </c>
      <c r="E44">
        <v>34959076</v>
      </c>
      <c r="F44">
        <v>1</v>
      </c>
      <c r="G44">
        <v>34959076</v>
      </c>
      <c r="H44">
        <v>3</v>
      </c>
      <c r="I44" t="s">
        <v>396</v>
      </c>
      <c r="J44" t="s">
        <v>5</v>
      </c>
      <c r="K44" t="s">
        <v>397</v>
      </c>
      <c r="L44">
        <v>1354</v>
      </c>
      <c r="N44">
        <v>1010</v>
      </c>
      <c r="O44" t="s">
        <v>80</v>
      </c>
      <c r="P44" t="s">
        <v>80</v>
      </c>
      <c r="Q44">
        <v>1</v>
      </c>
      <c r="X44">
        <v>206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 t="s">
        <v>5</v>
      </c>
      <c r="AG44">
        <v>206</v>
      </c>
      <c r="AH44">
        <v>3</v>
      </c>
      <c r="AI44">
        <v>-1</v>
      </c>
      <c r="AJ44" t="s">
        <v>5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ROW(Source!A107)</f>
        <v>107</v>
      </c>
      <c r="B45">
        <v>44169339</v>
      </c>
      <c r="C45">
        <v>44169336</v>
      </c>
      <c r="D45">
        <v>34984826</v>
      </c>
      <c r="E45">
        <v>34959076</v>
      </c>
      <c r="F45">
        <v>1</v>
      </c>
      <c r="G45">
        <v>34959076</v>
      </c>
      <c r="H45">
        <v>1</v>
      </c>
      <c r="I45" t="s">
        <v>343</v>
      </c>
      <c r="J45" t="s">
        <v>5</v>
      </c>
      <c r="K45" t="s">
        <v>344</v>
      </c>
      <c r="L45">
        <v>1191</v>
      </c>
      <c r="N45">
        <v>1013</v>
      </c>
      <c r="O45" t="s">
        <v>345</v>
      </c>
      <c r="P45" t="s">
        <v>345</v>
      </c>
      <c r="Q45">
        <v>1</v>
      </c>
      <c r="X45">
        <v>3.48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30</v>
      </c>
      <c r="AG45">
        <v>4.8023999999999996</v>
      </c>
      <c r="AH45">
        <v>3</v>
      </c>
      <c r="AI45">
        <v>-1</v>
      </c>
      <c r="AJ45" t="s">
        <v>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ROW(Source!A107)</f>
        <v>107</v>
      </c>
      <c r="B46">
        <v>44169340</v>
      </c>
      <c r="C46">
        <v>44169336</v>
      </c>
      <c r="D46">
        <v>34991473</v>
      </c>
      <c r="E46">
        <v>34959076</v>
      </c>
      <c r="F46">
        <v>1</v>
      </c>
      <c r="G46">
        <v>34959076</v>
      </c>
      <c r="H46">
        <v>3</v>
      </c>
      <c r="I46" t="s">
        <v>396</v>
      </c>
      <c r="J46" t="s">
        <v>5</v>
      </c>
      <c r="K46" t="s">
        <v>397</v>
      </c>
      <c r="L46">
        <v>1354</v>
      </c>
      <c r="N46">
        <v>1010</v>
      </c>
      <c r="O46" t="s">
        <v>80</v>
      </c>
      <c r="P46" t="s">
        <v>80</v>
      </c>
      <c r="Q46">
        <v>1</v>
      </c>
      <c r="X46">
        <v>206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5</v>
      </c>
      <c r="AG46">
        <v>206</v>
      </c>
      <c r="AH46">
        <v>3</v>
      </c>
      <c r="AI46">
        <v>-1</v>
      </c>
      <c r="AJ46" t="s">
        <v>5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ROW(Source!A109)</f>
        <v>109</v>
      </c>
      <c r="B47">
        <v>44169344</v>
      </c>
      <c r="C47">
        <v>44169342</v>
      </c>
      <c r="D47">
        <v>34984826</v>
      </c>
      <c r="E47">
        <v>34959076</v>
      </c>
      <c r="F47">
        <v>1</v>
      </c>
      <c r="G47">
        <v>34959076</v>
      </c>
      <c r="H47">
        <v>1</v>
      </c>
      <c r="I47" t="s">
        <v>343</v>
      </c>
      <c r="J47" t="s">
        <v>5</v>
      </c>
      <c r="K47" t="s">
        <v>344</v>
      </c>
      <c r="L47">
        <v>1191</v>
      </c>
      <c r="N47">
        <v>1013</v>
      </c>
      <c r="O47" t="s">
        <v>345</v>
      </c>
      <c r="P47" t="s">
        <v>345</v>
      </c>
      <c r="Q47">
        <v>1</v>
      </c>
      <c r="X47">
        <v>16.14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30</v>
      </c>
      <c r="AG47">
        <v>22.273199999999996</v>
      </c>
      <c r="AH47">
        <v>2</v>
      </c>
      <c r="AI47">
        <v>44169343</v>
      </c>
      <c r="AJ47">
        <v>39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ROW(Source!A109)</f>
        <v>109</v>
      </c>
      <c r="B48">
        <v>44169345</v>
      </c>
      <c r="C48">
        <v>44169342</v>
      </c>
      <c r="D48">
        <v>34990512</v>
      </c>
      <c r="E48">
        <v>34959076</v>
      </c>
      <c r="F48">
        <v>1</v>
      </c>
      <c r="G48">
        <v>34959076</v>
      </c>
      <c r="H48">
        <v>3</v>
      </c>
      <c r="I48" t="s">
        <v>398</v>
      </c>
      <c r="J48" t="s">
        <v>5</v>
      </c>
      <c r="K48" t="s">
        <v>399</v>
      </c>
      <c r="L48">
        <v>1035</v>
      </c>
      <c r="N48">
        <v>1013</v>
      </c>
      <c r="O48" t="s">
        <v>268</v>
      </c>
      <c r="P48" t="s">
        <v>268</v>
      </c>
      <c r="Q48">
        <v>1</v>
      </c>
      <c r="X48">
        <v>1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 t="s">
        <v>5</v>
      </c>
      <c r="AG48">
        <v>1</v>
      </c>
      <c r="AH48">
        <v>3</v>
      </c>
      <c r="AI48">
        <v>-1</v>
      </c>
      <c r="AJ48" t="s">
        <v>5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ROW(Source!A110)</f>
        <v>110</v>
      </c>
      <c r="B49">
        <v>44169348</v>
      </c>
      <c r="C49">
        <v>44169346</v>
      </c>
      <c r="D49">
        <v>34984826</v>
      </c>
      <c r="E49">
        <v>34959076</v>
      </c>
      <c r="F49">
        <v>1</v>
      </c>
      <c r="G49">
        <v>34959076</v>
      </c>
      <c r="H49">
        <v>1</v>
      </c>
      <c r="I49" t="s">
        <v>343</v>
      </c>
      <c r="J49" t="s">
        <v>5</v>
      </c>
      <c r="K49" t="s">
        <v>344</v>
      </c>
      <c r="L49">
        <v>1191</v>
      </c>
      <c r="N49">
        <v>1013</v>
      </c>
      <c r="O49" t="s">
        <v>345</v>
      </c>
      <c r="P49" t="s">
        <v>345</v>
      </c>
      <c r="Q49">
        <v>1</v>
      </c>
      <c r="X49">
        <v>16.14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30</v>
      </c>
      <c r="AG49">
        <v>22.273199999999996</v>
      </c>
      <c r="AH49">
        <v>2</v>
      </c>
      <c r="AI49">
        <v>44169347</v>
      </c>
      <c r="AJ49">
        <v>40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ROW(Source!A110)</f>
        <v>110</v>
      </c>
      <c r="B50">
        <v>44169349</v>
      </c>
      <c r="C50">
        <v>44169346</v>
      </c>
      <c r="D50">
        <v>34990512</v>
      </c>
      <c r="E50">
        <v>34959076</v>
      </c>
      <c r="F50">
        <v>1</v>
      </c>
      <c r="G50">
        <v>34959076</v>
      </c>
      <c r="H50">
        <v>3</v>
      </c>
      <c r="I50" t="s">
        <v>398</v>
      </c>
      <c r="J50" t="s">
        <v>5</v>
      </c>
      <c r="K50" t="s">
        <v>399</v>
      </c>
      <c r="L50">
        <v>1035</v>
      </c>
      <c r="N50">
        <v>1013</v>
      </c>
      <c r="O50" t="s">
        <v>268</v>
      </c>
      <c r="P50" t="s">
        <v>268</v>
      </c>
      <c r="Q50">
        <v>1</v>
      </c>
      <c r="X50">
        <v>1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5</v>
      </c>
      <c r="AG50">
        <v>1</v>
      </c>
      <c r="AH50">
        <v>3</v>
      </c>
      <c r="AI50">
        <v>-1</v>
      </c>
      <c r="AJ50" t="s">
        <v>5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ROW(Source!A112)</f>
        <v>112</v>
      </c>
      <c r="B51">
        <v>44169353</v>
      </c>
      <c r="C51">
        <v>44169351</v>
      </c>
      <c r="D51">
        <v>34984826</v>
      </c>
      <c r="E51">
        <v>34959076</v>
      </c>
      <c r="F51">
        <v>1</v>
      </c>
      <c r="G51">
        <v>34959076</v>
      </c>
      <c r="H51">
        <v>1</v>
      </c>
      <c r="I51" t="s">
        <v>343</v>
      </c>
      <c r="J51" t="s">
        <v>5</v>
      </c>
      <c r="K51" t="s">
        <v>344</v>
      </c>
      <c r="L51">
        <v>1191</v>
      </c>
      <c r="N51">
        <v>1013</v>
      </c>
      <c r="O51" t="s">
        <v>345</v>
      </c>
      <c r="P51" t="s">
        <v>345</v>
      </c>
      <c r="Q51">
        <v>1</v>
      </c>
      <c r="X51">
        <v>16.739999999999998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30</v>
      </c>
      <c r="AG51">
        <v>23.101199999999995</v>
      </c>
      <c r="AH51">
        <v>2</v>
      </c>
      <c r="AI51">
        <v>44169352</v>
      </c>
      <c r="AJ51">
        <v>41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ROW(Source!A112)</f>
        <v>112</v>
      </c>
      <c r="B52">
        <v>44169354</v>
      </c>
      <c r="C52">
        <v>44169351</v>
      </c>
      <c r="D52">
        <v>34990512</v>
      </c>
      <c r="E52">
        <v>34959076</v>
      </c>
      <c r="F52">
        <v>1</v>
      </c>
      <c r="G52">
        <v>34959076</v>
      </c>
      <c r="H52">
        <v>3</v>
      </c>
      <c r="I52" t="s">
        <v>398</v>
      </c>
      <c r="J52" t="s">
        <v>5</v>
      </c>
      <c r="K52" t="s">
        <v>400</v>
      </c>
      <c r="L52">
        <v>1035</v>
      </c>
      <c r="N52">
        <v>1013</v>
      </c>
      <c r="O52" t="s">
        <v>268</v>
      </c>
      <c r="P52" t="s">
        <v>268</v>
      </c>
      <c r="Q52">
        <v>1</v>
      </c>
      <c r="X52">
        <v>1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5</v>
      </c>
      <c r="AG52">
        <v>1</v>
      </c>
      <c r="AH52">
        <v>3</v>
      </c>
      <c r="AI52">
        <v>-1</v>
      </c>
      <c r="AJ52" t="s">
        <v>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ROW(Source!A113)</f>
        <v>113</v>
      </c>
      <c r="B53">
        <v>44169357</v>
      </c>
      <c r="C53">
        <v>44169355</v>
      </c>
      <c r="D53">
        <v>34984826</v>
      </c>
      <c r="E53">
        <v>34959076</v>
      </c>
      <c r="F53">
        <v>1</v>
      </c>
      <c r="G53">
        <v>34959076</v>
      </c>
      <c r="H53">
        <v>1</v>
      </c>
      <c r="I53" t="s">
        <v>343</v>
      </c>
      <c r="J53" t="s">
        <v>5</v>
      </c>
      <c r="K53" t="s">
        <v>344</v>
      </c>
      <c r="L53">
        <v>1191</v>
      </c>
      <c r="N53">
        <v>1013</v>
      </c>
      <c r="O53" t="s">
        <v>345</v>
      </c>
      <c r="P53" t="s">
        <v>345</v>
      </c>
      <c r="Q53">
        <v>1</v>
      </c>
      <c r="X53">
        <v>16.739999999999998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30</v>
      </c>
      <c r="AG53">
        <v>23.101199999999995</v>
      </c>
      <c r="AH53">
        <v>2</v>
      </c>
      <c r="AI53">
        <v>44169356</v>
      </c>
      <c r="AJ53">
        <v>42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ROW(Source!A113)</f>
        <v>113</v>
      </c>
      <c r="B54">
        <v>44169358</v>
      </c>
      <c r="C54">
        <v>44169355</v>
      </c>
      <c r="D54">
        <v>34990512</v>
      </c>
      <c r="E54">
        <v>34959076</v>
      </c>
      <c r="F54">
        <v>1</v>
      </c>
      <c r="G54">
        <v>34959076</v>
      </c>
      <c r="H54">
        <v>3</v>
      </c>
      <c r="I54" t="s">
        <v>398</v>
      </c>
      <c r="J54" t="s">
        <v>5</v>
      </c>
      <c r="K54" t="s">
        <v>400</v>
      </c>
      <c r="L54">
        <v>1035</v>
      </c>
      <c r="N54">
        <v>1013</v>
      </c>
      <c r="O54" t="s">
        <v>268</v>
      </c>
      <c r="P54" t="s">
        <v>268</v>
      </c>
      <c r="Q54">
        <v>1</v>
      </c>
      <c r="X54">
        <v>1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 t="s">
        <v>5</v>
      </c>
      <c r="AG54">
        <v>1</v>
      </c>
      <c r="AH54">
        <v>3</v>
      </c>
      <c r="AI54">
        <v>-1</v>
      </c>
      <c r="AJ54" t="s">
        <v>5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ROW(Source!A115)</f>
        <v>115</v>
      </c>
      <c r="B55">
        <v>44175559</v>
      </c>
      <c r="C55">
        <v>44175558</v>
      </c>
      <c r="D55">
        <v>34984826</v>
      </c>
      <c r="E55">
        <v>34959076</v>
      </c>
      <c r="F55">
        <v>1</v>
      </c>
      <c r="G55">
        <v>34959076</v>
      </c>
      <c r="H55">
        <v>1</v>
      </c>
      <c r="I55" t="s">
        <v>343</v>
      </c>
      <c r="J55" t="s">
        <v>5</v>
      </c>
      <c r="K55" t="s">
        <v>344</v>
      </c>
      <c r="L55">
        <v>1191</v>
      </c>
      <c r="N55">
        <v>1013</v>
      </c>
      <c r="O55" t="s">
        <v>345</v>
      </c>
      <c r="P55" t="s">
        <v>345</v>
      </c>
      <c r="Q55">
        <v>1</v>
      </c>
      <c r="X55">
        <v>57.8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259</v>
      </c>
      <c r="AG55">
        <v>79.763999999999982</v>
      </c>
      <c r="AH55">
        <v>2</v>
      </c>
      <c r="AI55">
        <v>44175559</v>
      </c>
      <c r="AJ55">
        <v>43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ROW(Source!A116)</f>
        <v>116</v>
      </c>
      <c r="B56">
        <v>44169362</v>
      </c>
      <c r="C56">
        <v>44169360</v>
      </c>
      <c r="D56">
        <v>34984826</v>
      </c>
      <c r="E56">
        <v>34959076</v>
      </c>
      <c r="F56">
        <v>1</v>
      </c>
      <c r="G56">
        <v>34959076</v>
      </c>
      <c r="H56">
        <v>1</v>
      </c>
      <c r="I56" t="s">
        <v>343</v>
      </c>
      <c r="J56" t="s">
        <v>5</v>
      </c>
      <c r="K56" t="s">
        <v>344</v>
      </c>
      <c r="L56">
        <v>1191</v>
      </c>
      <c r="N56">
        <v>1013</v>
      </c>
      <c r="O56" t="s">
        <v>345</v>
      </c>
      <c r="P56" t="s">
        <v>345</v>
      </c>
      <c r="Q56">
        <v>1</v>
      </c>
      <c r="X56">
        <v>124.68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30</v>
      </c>
      <c r="AG56">
        <v>172.05840000000001</v>
      </c>
      <c r="AH56">
        <v>2</v>
      </c>
      <c r="AI56">
        <v>44169361</v>
      </c>
      <c r="AJ56">
        <v>44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ROW(Source!A116)</f>
        <v>116</v>
      </c>
      <c r="B57">
        <v>44169363</v>
      </c>
      <c r="C57">
        <v>44169360</v>
      </c>
      <c r="D57">
        <v>34989542</v>
      </c>
      <c r="E57">
        <v>34959076</v>
      </c>
      <c r="F57">
        <v>1</v>
      </c>
      <c r="G57">
        <v>34959076</v>
      </c>
      <c r="H57">
        <v>3</v>
      </c>
      <c r="I57" t="s">
        <v>401</v>
      </c>
      <c r="J57" t="s">
        <v>5</v>
      </c>
      <c r="K57" t="s">
        <v>402</v>
      </c>
      <c r="L57">
        <v>1354</v>
      </c>
      <c r="N57">
        <v>1010</v>
      </c>
      <c r="O57" t="s">
        <v>80</v>
      </c>
      <c r="P57" t="s">
        <v>80</v>
      </c>
      <c r="Q57">
        <v>1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 t="s">
        <v>5</v>
      </c>
      <c r="AG57">
        <v>0</v>
      </c>
      <c r="AH57">
        <v>3</v>
      </c>
      <c r="AI57">
        <v>-1</v>
      </c>
      <c r="AJ57" t="s">
        <v>5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ROW(Source!A116)</f>
        <v>116</v>
      </c>
      <c r="B58">
        <v>44169364</v>
      </c>
      <c r="C58">
        <v>44169360</v>
      </c>
      <c r="D58">
        <v>40060582</v>
      </c>
      <c r="E58">
        <v>34959076</v>
      </c>
      <c r="F58">
        <v>1</v>
      </c>
      <c r="G58">
        <v>34959076</v>
      </c>
      <c r="H58">
        <v>3</v>
      </c>
      <c r="I58" t="s">
        <v>403</v>
      </c>
      <c r="J58" t="s">
        <v>5</v>
      </c>
      <c r="K58" t="s">
        <v>404</v>
      </c>
      <c r="L58">
        <v>1391</v>
      </c>
      <c r="N58">
        <v>1013</v>
      </c>
      <c r="O58" t="s">
        <v>278</v>
      </c>
      <c r="P58" t="s">
        <v>278</v>
      </c>
      <c r="Q58">
        <v>1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 t="s">
        <v>5</v>
      </c>
      <c r="AG58">
        <v>0</v>
      </c>
      <c r="AH58">
        <v>3</v>
      </c>
      <c r="AI58">
        <v>-1</v>
      </c>
      <c r="AJ58" t="s">
        <v>5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ROW(Source!A118)</f>
        <v>118</v>
      </c>
      <c r="B59">
        <v>44169369</v>
      </c>
      <c r="C59">
        <v>44169366</v>
      </c>
      <c r="D59">
        <v>34984826</v>
      </c>
      <c r="E59">
        <v>34959076</v>
      </c>
      <c r="F59">
        <v>1</v>
      </c>
      <c r="G59">
        <v>34959076</v>
      </c>
      <c r="H59">
        <v>1</v>
      </c>
      <c r="I59" t="s">
        <v>343</v>
      </c>
      <c r="J59" t="s">
        <v>5</v>
      </c>
      <c r="K59" t="s">
        <v>344</v>
      </c>
      <c r="L59">
        <v>1191</v>
      </c>
      <c r="N59">
        <v>1013</v>
      </c>
      <c r="O59" t="s">
        <v>345</v>
      </c>
      <c r="P59" t="s">
        <v>345</v>
      </c>
      <c r="Q59">
        <v>1</v>
      </c>
      <c r="X59">
        <v>155.88999999999999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30</v>
      </c>
      <c r="AG59">
        <v>215.12819999999996</v>
      </c>
      <c r="AH59">
        <v>2</v>
      </c>
      <c r="AI59">
        <v>44169367</v>
      </c>
      <c r="AJ59">
        <v>45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ROW(Source!A118)</f>
        <v>118</v>
      </c>
      <c r="B60">
        <v>44169370</v>
      </c>
      <c r="C60">
        <v>44169366</v>
      </c>
      <c r="D60">
        <v>40061445</v>
      </c>
      <c r="E60">
        <v>34959076</v>
      </c>
      <c r="F60">
        <v>1</v>
      </c>
      <c r="G60">
        <v>34959076</v>
      </c>
      <c r="H60">
        <v>3</v>
      </c>
      <c r="I60" t="s">
        <v>405</v>
      </c>
      <c r="J60" t="s">
        <v>5</v>
      </c>
      <c r="K60" t="s">
        <v>406</v>
      </c>
      <c r="L60">
        <v>1391</v>
      </c>
      <c r="N60">
        <v>1013</v>
      </c>
      <c r="O60" t="s">
        <v>278</v>
      </c>
      <c r="P60" t="s">
        <v>278</v>
      </c>
      <c r="Q60">
        <v>1</v>
      </c>
      <c r="X60">
        <v>100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5</v>
      </c>
      <c r="AG60">
        <v>100</v>
      </c>
      <c r="AH60">
        <v>3</v>
      </c>
      <c r="AI60">
        <v>-1</v>
      </c>
      <c r="AJ60" t="s">
        <v>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ROW(Source!A156)</f>
        <v>156</v>
      </c>
      <c r="B61">
        <v>44169374</v>
      </c>
      <c r="C61">
        <v>44169372</v>
      </c>
      <c r="D61">
        <v>34984824</v>
      </c>
      <c r="E61">
        <v>34959076</v>
      </c>
      <c r="F61">
        <v>1</v>
      </c>
      <c r="G61">
        <v>34959076</v>
      </c>
      <c r="H61">
        <v>2</v>
      </c>
      <c r="I61" t="s">
        <v>375</v>
      </c>
      <c r="J61" t="s">
        <v>5</v>
      </c>
      <c r="K61" t="s">
        <v>376</v>
      </c>
      <c r="L61">
        <v>1344</v>
      </c>
      <c r="N61">
        <v>1008</v>
      </c>
      <c r="O61" t="s">
        <v>352</v>
      </c>
      <c r="P61" t="s">
        <v>352</v>
      </c>
      <c r="Q61">
        <v>1</v>
      </c>
      <c r="X61">
        <v>28.91</v>
      </c>
      <c r="Y61">
        <v>0</v>
      </c>
      <c r="Z61">
        <v>1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5</v>
      </c>
      <c r="AG61">
        <v>28.91</v>
      </c>
      <c r="AH61">
        <v>2</v>
      </c>
      <c r="AI61">
        <v>44169373</v>
      </c>
      <c r="AJ61">
        <v>47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ROW(Source!A157)</f>
        <v>157</v>
      </c>
      <c r="B62">
        <v>44169376</v>
      </c>
      <c r="C62">
        <v>44169375</v>
      </c>
      <c r="D62">
        <v>34984824</v>
      </c>
      <c r="E62">
        <v>34959076</v>
      </c>
      <c r="F62">
        <v>1</v>
      </c>
      <c r="G62">
        <v>34959076</v>
      </c>
      <c r="H62">
        <v>2</v>
      </c>
      <c r="I62" t="s">
        <v>375</v>
      </c>
      <c r="J62" t="s">
        <v>5</v>
      </c>
      <c r="K62" t="s">
        <v>376</v>
      </c>
      <c r="L62">
        <v>1344</v>
      </c>
      <c r="N62">
        <v>1008</v>
      </c>
      <c r="O62" t="s">
        <v>352</v>
      </c>
      <c r="P62" t="s">
        <v>352</v>
      </c>
      <c r="Q62">
        <v>1</v>
      </c>
      <c r="X62">
        <v>101</v>
      </c>
      <c r="Y62">
        <v>0</v>
      </c>
      <c r="Z62">
        <v>1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5</v>
      </c>
      <c r="AG62">
        <v>101</v>
      </c>
      <c r="AH62">
        <v>3</v>
      </c>
      <c r="AI62">
        <v>-1</v>
      </c>
      <c r="AJ62" t="s">
        <v>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ROW(Source!A158)</f>
        <v>158</v>
      </c>
      <c r="B63">
        <v>44169379</v>
      </c>
      <c r="C63">
        <v>44169377</v>
      </c>
      <c r="D63">
        <v>34984824</v>
      </c>
      <c r="E63">
        <v>34959076</v>
      </c>
      <c r="F63">
        <v>1</v>
      </c>
      <c r="G63">
        <v>34959076</v>
      </c>
      <c r="H63">
        <v>2</v>
      </c>
      <c r="I63" t="s">
        <v>375</v>
      </c>
      <c r="J63" t="s">
        <v>5</v>
      </c>
      <c r="K63" t="s">
        <v>376</v>
      </c>
      <c r="L63">
        <v>1344</v>
      </c>
      <c r="N63">
        <v>1008</v>
      </c>
      <c r="O63" t="s">
        <v>352</v>
      </c>
      <c r="P63" t="s">
        <v>352</v>
      </c>
      <c r="Q63">
        <v>1</v>
      </c>
      <c r="X63">
        <v>55.05</v>
      </c>
      <c r="Y63">
        <v>0</v>
      </c>
      <c r="Z63">
        <v>1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5</v>
      </c>
      <c r="AG63">
        <v>55.05</v>
      </c>
      <c r="AH63">
        <v>2</v>
      </c>
      <c r="AI63">
        <v>44169378</v>
      </c>
      <c r="AJ63">
        <v>48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ROW(Source!A159)</f>
        <v>159</v>
      </c>
      <c r="B64">
        <v>44169381</v>
      </c>
      <c r="C64">
        <v>44169380</v>
      </c>
      <c r="D64">
        <v>34984824</v>
      </c>
      <c r="E64">
        <v>34959076</v>
      </c>
      <c r="F64">
        <v>1</v>
      </c>
      <c r="G64">
        <v>34959076</v>
      </c>
      <c r="H64">
        <v>2</v>
      </c>
      <c r="I64" t="s">
        <v>375</v>
      </c>
      <c r="J64" t="s">
        <v>5</v>
      </c>
      <c r="K64" t="s">
        <v>376</v>
      </c>
      <c r="L64">
        <v>1344</v>
      </c>
      <c r="N64">
        <v>1008</v>
      </c>
      <c r="O64" t="s">
        <v>352</v>
      </c>
      <c r="P64" t="s">
        <v>352</v>
      </c>
      <c r="Q64">
        <v>1</v>
      </c>
      <c r="X64">
        <v>43.28</v>
      </c>
      <c r="Y64">
        <v>0</v>
      </c>
      <c r="Z64">
        <v>1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5</v>
      </c>
      <c r="AG64">
        <v>43.28</v>
      </c>
      <c r="AH64">
        <v>3</v>
      </c>
      <c r="AI64">
        <v>-1</v>
      </c>
      <c r="AJ64" t="s">
        <v>5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ROW(Source!A196)</f>
        <v>196</v>
      </c>
      <c r="B65">
        <v>44176485</v>
      </c>
      <c r="C65">
        <v>44169382</v>
      </c>
      <c r="D65">
        <v>34984826</v>
      </c>
      <c r="E65">
        <v>34959076</v>
      </c>
      <c r="F65">
        <v>1</v>
      </c>
      <c r="G65">
        <v>34959076</v>
      </c>
      <c r="H65">
        <v>1</v>
      </c>
      <c r="I65" t="s">
        <v>343</v>
      </c>
      <c r="J65" t="s">
        <v>5</v>
      </c>
      <c r="K65" t="s">
        <v>344</v>
      </c>
      <c r="L65">
        <v>1191</v>
      </c>
      <c r="N65">
        <v>1013</v>
      </c>
      <c r="O65" t="s">
        <v>345</v>
      </c>
      <c r="P65" t="s">
        <v>345</v>
      </c>
      <c r="Q65">
        <v>1</v>
      </c>
      <c r="X65">
        <v>72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304</v>
      </c>
      <c r="AG65">
        <v>93.600000000000009</v>
      </c>
      <c r="AH65">
        <v>2</v>
      </c>
      <c r="AI65">
        <v>44176485</v>
      </c>
      <c r="AJ65">
        <v>49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ROW(Source!A197)</f>
        <v>197</v>
      </c>
      <c r="B66">
        <v>44169387</v>
      </c>
      <c r="C66">
        <v>44169385</v>
      </c>
      <c r="D66">
        <v>34984826</v>
      </c>
      <c r="E66">
        <v>34959076</v>
      </c>
      <c r="F66">
        <v>1</v>
      </c>
      <c r="G66">
        <v>34959076</v>
      </c>
      <c r="H66">
        <v>1</v>
      </c>
      <c r="I66" t="s">
        <v>343</v>
      </c>
      <c r="J66" t="s">
        <v>5</v>
      </c>
      <c r="K66" t="s">
        <v>344</v>
      </c>
      <c r="L66">
        <v>1191</v>
      </c>
      <c r="N66">
        <v>1013</v>
      </c>
      <c r="O66" t="s">
        <v>345</v>
      </c>
      <c r="P66" t="s">
        <v>345</v>
      </c>
      <c r="Q66">
        <v>1</v>
      </c>
      <c r="X66">
        <v>9.2100000000000009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304</v>
      </c>
      <c r="AG66">
        <v>11.973000000000001</v>
      </c>
      <c r="AH66">
        <v>2</v>
      </c>
      <c r="AI66">
        <v>44169386</v>
      </c>
      <c r="AJ66">
        <v>50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ROW(Source!A198)</f>
        <v>198</v>
      </c>
      <c r="B67">
        <v>44175625</v>
      </c>
      <c r="C67">
        <v>44175624</v>
      </c>
      <c r="D67">
        <v>34984826</v>
      </c>
      <c r="E67">
        <v>34959076</v>
      </c>
      <c r="F67">
        <v>1</v>
      </c>
      <c r="G67">
        <v>34959076</v>
      </c>
      <c r="H67">
        <v>1</v>
      </c>
      <c r="I67" t="s">
        <v>343</v>
      </c>
      <c r="J67" t="s">
        <v>5</v>
      </c>
      <c r="K67" t="s">
        <v>344</v>
      </c>
      <c r="L67">
        <v>1191</v>
      </c>
      <c r="N67">
        <v>1013</v>
      </c>
      <c r="O67" t="s">
        <v>345</v>
      </c>
      <c r="P67" t="s">
        <v>345</v>
      </c>
      <c r="Q67">
        <v>1</v>
      </c>
      <c r="X67">
        <v>43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5</v>
      </c>
      <c r="AG67">
        <v>43</v>
      </c>
      <c r="AH67">
        <v>2</v>
      </c>
      <c r="AI67">
        <v>44175625</v>
      </c>
      <c r="AJ67">
        <v>51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по ТСН-2001</vt:lpstr>
      <vt:lpstr>Source</vt:lpstr>
      <vt:lpstr>SourceObSm</vt:lpstr>
      <vt:lpstr>SmtRes</vt:lpstr>
      <vt:lpstr>EtalonRes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 Александр Николаевич</dc:creator>
  <cp:lastModifiedBy>Афоничев Александр Николаевич</cp:lastModifiedBy>
  <dcterms:created xsi:type="dcterms:W3CDTF">2019-09-10T10:10:58Z</dcterms:created>
  <dcterms:modified xsi:type="dcterms:W3CDTF">2019-09-10T11:57:00Z</dcterms:modified>
</cp:coreProperties>
</file>